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0" yWindow="0" windowWidth="25200" windowHeight="11880"/>
  </bookViews>
  <sheets>
    <sheet name="Contents" sheetId="174" r:id="rId1"/>
    <sheet name="Tables" sheetId="250" r:id="rId2"/>
    <sheet name="General Inputs" sheetId="109" r:id="rId3"/>
    <sheet name="Measure Inputs" sheetId="118" r:id="rId4"/>
    <sheet name="Program Inputs" sheetId="131" r:id="rId5"/>
    <sheet name="Analysis" sheetId="135" r:id="rId6"/>
    <sheet name="ErrorCheck" sheetId="178" state="hidden" r:id="rId7"/>
    <sheet name="BHP SD PY2-3 Plan Adj" sheetId="262" r:id="rId8"/>
    <sheet name="Plan Data" sheetId="251" r:id="rId9"/>
    <sheet name="BHS Program Application Details" sheetId="259" r:id="rId10"/>
    <sheet name="VDSM Executive Summary" sheetId="257" r:id="rId11"/>
    <sheet name="APP DATA" sheetId="253" r:id="rId12"/>
    <sheet name="VDSM MAPPING" sheetId="254" r:id="rId13"/>
    <sheet name="VDSM to BenCost Inputs" sheetId="256" r:id="rId14"/>
    <sheet name="Res Lighting" sheetId="261" r:id="rId15"/>
    <sheet name="App Data Outliers" sheetId="255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_123Graph_A" localSheetId="7" hidden="1">'[1]Func. Plt. RRF - With Earnings'!#REF!</definedName>
    <definedName name="__123Graph_A" hidden="1">'[1]Func. Plt. RRF - With Earnings'!#REF!</definedName>
    <definedName name="__123Graph_C" localSheetId="7" hidden="1">'[1]Func. Plt. RRF - With Earnings'!#REF!</definedName>
    <definedName name="__123Graph_C" hidden="1">'[1]Func. Plt. RRF - With Earnings'!#REF!</definedName>
    <definedName name="__123Graph_D" localSheetId="7" hidden="1">'[1]Func. Plt. RRF - With Earnings'!#REF!</definedName>
    <definedName name="__123Graph_D" hidden="1">'[1]Func. Plt. RRF - With Earnings'!#REF!</definedName>
    <definedName name="__123Graph_E" hidden="1">'[1]Func. Plt. RRF - With Earnings'!#REF!</definedName>
    <definedName name="__123Graph_F" hidden="1">'[1]Func. Plt. RRF - With Earnings'!#REF!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_xlnm._FilterDatabase" localSheetId="5" hidden="1">Analysis!$B$9:$HF$263</definedName>
    <definedName name="_xlnm._FilterDatabase" localSheetId="11" hidden="1">'APP DATA'!$A$4:$BO$675</definedName>
    <definedName name="_xlnm._FilterDatabase" localSheetId="9" hidden="1">'BHS Program Application Details'!$A$331:$AY$669</definedName>
    <definedName name="_xlnm._FilterDatabase" localSheetId="3" hidden="1">'Measure Inputs'!$B$6:$AE$286</definedName>
    <definedName name="_xlnm._FilterDatabase" localSheetId="8" hidden="1">'Plan Data'!$A$3:$Z$3</definedName>
    <definedName name="_xlnm._FilterDatabase" localSheetId="12" hidden="1">'VDSM MAPPING'!$A$1:$J$29</definedName>
    <definedName name="adfa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BaseYear">'General Inputs'!$E$5</definedName>
    <definedName name="CycleEndYear">'General Inputs'!$E$8</definedName>
    <definedName name="CycleStartYear">'General Inputs'!$E$7</definedName>
    <definedName name="DiscountRate" localSheetId="7">'[5]General Inputs'!$B$3</definedName>
    <definedName name="DiscountRate">'[5]General Inputs'!$B$3</definedName>
    <definedName name="DiscountRateTRC">'General Inputs'!$E$10</definedName>
    <definedName name="EndYear">'General Inputs'!$E$6</definedName>
    <definedName name="EnergyLineLoss" localSheetId="7">'[5]General Inputs'!$B$5</definedName>
    <definedName name="EnergyLineLoss">'[5]General Inputs'!$B$5</definedName>
    <definedName name="EscalationRate">'General Inputs'!$E$12</definedName>
    <definedName name="InputRows">ErrorCheck!$B$11</definedName>
    <definedName name="PeakLineLoss" localSheetId="7">'[5]General Inputs'!$B$6</definedName>
    <definedName name="PeakLineLoss">'[5]General Inputs'!$B$6</definedName>
    <definedName name="saraaksdf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ErrorCheck!$B$10</definedName>
    <definedName name="TotalPrograms">ErrorCheck!$B$12</definedName>
    <definedName name="wrn.COST._.ALLOC._.STUDY._.1997._.CLFP.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7" hidden="1">{#N/A,#N/A,TRUE,"DATA INPUTS"}</definedName>
    <definedName name="wrn.DATA._.INPUTS." hidden="1">{#N/A,#N/A,TRUE,"DATA INPUTS"}</definedName>
    <definedName name="wrn.Other._.Schedules.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7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2." localSheetId="7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7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7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5." localSheetId="7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</definedNames>
  <calcPr calcId="145621"/>
  <pivotCaches>
    <pivotCache cacheId="0" r:id="rId22"/>
    <pivotCache cacheId="1" r:id="rId23"/>
  </pivotCaches>
</workbook>
</file>

<file path=xl/calcChain.xml><?xml version="1.0" encoding="utf-8"?>
<calcChain xmlns="http://schemas.openxmlformats.org/spreadsheetml/2006/main">
  <c r="N26" i="118" l="1"/>
  <c r="H39" i="257"/>
  <c r="H35" i="257"/>
  <c r="H23" i="257" l="1"/>
  <c r="I23" i="257" s="1"/>
  <c r="B25" i="118" l="1"/>
  <c r="D25" i="118"/>
  <c r="B30" i="118"/>
  <c r="D30" i="118"/>
  <c r="R25" i="118" l="1"/>
  <c r="U25" i="118"/>
  <c r="T25" i="118"/>
  <c r="S25" i="118"/>
  <c r="T30" i="118"/>
  <c r="R30" i="118"/>
  <c r="U30" i="118"/>
  <c r="S30" i="118"/>
  <c r="L241" i="250" l="1"/>
  <c r="N69" i="118"/>
  <c r="O9" i="256" l="1"/>
  <c r="P9" i="256" s="1"/>
  <c r="N9" i="256"/>
  <c r="M10" i="256"/>
  <c r="N10" i="256" s="1"/>
  <c r="Z95" i="262"/>
  <c r="Z94" i="262"/>
  <c r="Z93" i="262"/>
  <c r="Z92" i="262"/>
  <c r="Z91" i="262"/>
  <c r="Z90" i="262"/>
  <c r="Z89" i="262"/>
  <c r="Z88" i="262"/>
  <c r="Z87" i="262"/>
  <c r="Z86" i="262"/>
  <c r="Z85" i="262"/>
  <c r="Z84" i="262"/>
  <c r="Z83" i="262"/>
  <c r="Z82" i="262"/>
  <c r="Z81" i="262"/>
  <c r="Z80" i="262"/>
  <c r="Z79" i="262"/>
  <c r="Z78" i="262"/>
  <c r="Z77" i="262"/>
  <c r="Z76" i="262"/>
  <c r="Z75" i="262"/>
  <c r="Z74" i="262"/>
  <c r="Z73" i="262"/>
  <c r="Z72" i="262"/>
  <c r="Z71" i="262"/>
  <c r="Z70" i="262"/>
  <c r="Z69" i="262"/>
  <c r="Z68" i="262"/>
  <c r="Z67" i="262"/>
  <c r="Z66" i="262"/>
  <c r="Z65" i="262"/>
  <c r="Z64" i="262"/>
  <c r="Z63" i="262"/>
  <c r="Z62" i="262"/>
  <c r="Z61" i="262"/>
  <c r="Z60" i="262"/>
  <c r="Z59" i="262"/>
  <c r="Z58" i="262"/>
  <c r="Z57" i="262"/>
  <c r="Z56" i="262"/>
  <c r="Z55" i="262"/>
  <c r="Z54" i="262"/>
  <c r="Z53" i="262"/>
  <c r="Z52" i="262"/>
  <c r="Z51" i="262"/>
  <c r="Z50" i="262"/>
  <c r="Z49" i="262"/>
  <c r="Z48" i="262"/>
  <c r="Z47" i="262"/>
  <c r="Z46" i="262"/>
  <c r="Z45" i="262"/>
  <c r="Z44" i="262"/>
  <c r="Z43" i="262"/>
  <c r="Z42" i="262"/>
  <c r="Z41" i="262"/>
  <c r="Z40" i="262"/>
  <c r="Z39" i="262"/>
  <c r="Z38" i="262"/>
  <c r="Z37" i="262"/>
  <c r="Z36" i="262"/>
  <c r="Z35" i="262"/>
  <c r="Z34" i="262"/>
  <c r="Z33" i="262"/>
  <c r="Z32" i="262"/>
  <c r="Z31" i="262"/>
  <c r="Z30" i="262"/>
  <c r="Z29" i="262"/>
  <c r="Z28" i="262"/>
  <c r="Z27" i="262"/>
  <c r="Z26" i="262"/>
  <c r="Z25" i="262"/>
  <c r="Z24" i="262"/>
  <c r="Z23" i="262"/>
  <c r="Z22" i="262"/>
  <c r="Z21" i="262"/>
  <c r="Z20" i="262"/>
  <c r="Z19" i="262"/>
  <c r="Z18" i="262"/>
  <c r="Z17" i="262"/>
  <c r="Z16" i="262"/>
  <c r="Z15" i="262"/>
  <c r="Z14" i="262"/>
  <c r="Z13" i="262"/>
  <c r="Z12" i="262"/>
  <c r="Z11" i="262"/>
  <c r="Z10" i="262"/>
  <c r="Z9" i="262"/>
  <c r="Y10" i="262"/>
  <c r="Y11" i="262"/>
  <c r="Y12" i="262"/>
  <c r="Y13" i="262"/>
  <c r="Y14" i="262"/>
  <c r="Y15" i="262"/>
  <c r="Y16" i="262"/>
  <c r="Y17" i="262"/>
  <c r="Y18" i="262"/>
  <c r="Y19" i="262"/>
  <c r="Y20" i="262"/>
  <c r="Y21" i="262"/>
  <c r="Y22" i="262"/>
  <c r="Y23" i="262"/>
  <c r="Y24" i="262"/>
  <c r="Y25" i="262"/>
  <c r="Y26" i="262"/>
  <c r="Y27" i="262"/>
  <c r="Y28" i="262"/>
  <c r="Y29" i="262"/>
  <c r="Y30" i="262"/>
  <c r="Y31" i="262"/>
  <c r="Y32" i="262"/>
  <c r="Y33" i="262"/>
  <c r="Y34" i="262"/>
  <c r="Y35" i="262"/>
  <c r="Y36" i="262"/>
  <c r="Y37" i="262"/>
  <c r="Y38" i="262"/>
  <c r="Y39" i="262"/>
  <c r="Y40" i="262"/>
  <c r="Y41" i="262"/>
  <c r="Y42" i="262"/>
  <c r="Y43" i="262"/>
  <c r="Y44" i="262"/>
  <c r="Y45" i="262"/>
  <c r="Y46" i="262"/>
  <c r="Y47" i="262"/>
  <c r="Y48" i="262"/>
  <c r="Y49" i="262"/>
  <c r="Y50" i="262"/>
  <c r="Y51" i="262"/>
  <c r="Y52" i="262"/>
  <c r="Y53" i="262"/>
  <c r="Y54" i="262"/>
  <c r="Y55" i="262"/>
  <c r="Y56" i="262"/>
  <c r="Y57" i="262"/>
  <c r="Y58" i="262"/>
  <c r="Y59" i="262"/>
  <c r="Y60" i="262"/>
  <c r="Y61" i="262"/>
  <c r="Y62" i="262"/>
  <c r="Y63" i="262"/>
  <c r="Y64" i="262"/>
  <c r="Y65" i="262"/>
  <c r="Y66" i="262"/>
  <c r="Y67" i="262"/>
  <c r="Y68" i="262"/>
  <c r="Y69" i="262"/>
  <c r="Y70" i="262"/>
  <c r="Y71" i="262"/>
  <c r="Y72" i="262"/>
  <c r="Y73" i="262"/>
  <c r="Y74" i="262"/>
  <c r="Y75" i="262"/>
  <c r="Y76" i="262"/>
  <c r="Y77" i="262"/>
  <c r="Y78" i="262"/>
  <c r="Y79" i="262"/>
  <c r="Y80" i="262"/>
  <c r="Y81" i="262"/>
  <c r="Y82" i="262"/>
  <c r="Y83" i="262"/>
  <c r="Y84" i="262"/>
  <c r="Y85" i="262"/>
  <c r="Y86" i="262"/>
  <c r="Y87" i="262"/>
  <c r="Y88" i="262"/>
  <c r="Y89" i="262"/>
  <c r="Y90" i="262"/>
  <c r="Y91" i="262"/>
  <c r="Y92" i="262"/>
  <c r="Y93" i="262"/>
  <c r="Y94" i="262"/>
  <c r="Y95" i="262"/>
  <c r="Y9" i="262"/>
  <c r="AA10" i="251"/>
  <c r="AA9" i="251"/>
  <c r="AA8" i="251"/>
  <c r="U35" i="250" l="1"/>
  <c r="U34" i="250"/>
  <c r="U33" i="250"/>
  <c r="U32" i="250"/>
  <c r="U30" i="250"/>
  <c r="U29" i="250"/>
  <c r="U28" i="250"/>
  <c r="U27" i="250"/>
  <c r="U26" i="250"/>
  <c r="U25" i="250"/>
  <c r="U24" i="250"/>
  <c r="S23" i="250"/>
  <c r="S22" i="250"/>
  <c r="S21" i="250"/>
  <c r="S20" i="250"/>
  <c r="S19" i="250"/>
  <c r="S18" i="250"/>
  <c r="L262" i="250"/>
  <c r="L243" i="250"/>
  <c r="L242" i="250"/>
  <c r="L221" i="250"/>
  <c r="L202" i="250"/>
  <c r="L183" i="250"/>
  <c r="L164" i="250"/>
  <c r="L115" i="250"/>
  <c r="L116" i="250"/>
  <c r="L63" i="250"/>
  <c r="L77" i="250"/>
  <c r="L76" i="250"/>
  <c r="L75" i="250"/>
  <c r="L74" i="250"/>
  <c r="L73" i="250"/>
  <c r="L72" i="250"/>
  <c r="L71" i="250"/>
  <c r="L70" i="250"/>
  <c r="L69" i="250"/>
  <c r="L62" i="250" s="1"/>
  <c r="L56" i="250"/>
  <c r="L42" i="250" s="1"/>
  <c r="L55" i="250"/>
  <c r="L54" i="250"/>
  <c r="L53" i="250"/>
  <c r="L52" i="250"/>
  <c r="L51" i="250"/>
  <c r="L50" i="250"/>
  <c r="L49" i="250"/>
  <c r="L41" i="250" s="1"/>
  <c r="L48" i="250"/>
  <c r="L35" i="250"/>
  <c r="L17" i="250" s="1"/>
  <c r="L34" i="250"/>
  <c r="L16" i="250" s="1"/>
  <c r="L33" i="250"/>
  <c r="L32" i="250"/>
  <c r="L11" i="250" s="1"/>
  <c r="L30" i="250"/>
  <c r="L29" i="250"/>
  <c r="L28" i="250"/>
  <c r="L27" i="250"/>
  <c r="L26" i="250"/>
  <c r="L25" i="250"/>
  <c r="L24" i="250"/>
  <c r="L10" i="250" s="1"/>
  <c r="L18" i="250" s="1"/>
  <c r="U95" i="262"/>
  <c r="E93" i="262"/>
  <c r="U94" i="262"/>
  <c r="U93" i="262"/>
  <c r="N93" i="262" s="1"/>
  <c r="K93" i="262"/>
  <c r="D93" i="262"/>
  <c r="C93" i="262"/>
  <c r="U92" i="262"/>
  <c r="I92" i="262"/>
  <c r="I91" i="262"/>
  <c r="U91" i="262" s="1"/>
  <c r="U90" i="262"/>
  <c r="I90" i="262"/>
  <c r="E88" i="262"/>
  <c r="D88" i="262"/>
  <c r="I89" i="262"/>
  <c r="U89" i="262" s="1"/>
  <c r="C88" i="262"/>
  <c r="C55" i="262" s="1"/>
  <c r="C53" i="262" s="1"/>
  <c r="C87" i="262"/>
  <c r="U87" i="262" s="1"/>
  <c r="C86" i="262"/>
  <c r="C85" i="262"/>
  <c r="U85" i="262" s="1"/>
  <c r="C84" i="262"/>
  <c r="C83" i="262"/>
  <c r="U83" i="262" s="1"/>
  <c r="C82" i="262"/>
  <c r="C81" i="262"/>
  <c r="U81" i="262" s="1"/>
  <c r="C80" i="262"/>
  <c r="I79" i="262"/>
  <c r="C79" i="262"/>
  <c r="U79" i="262" s="1"/>
  <c r="C78" i="262"/>
  <c r="U78" i="262" s="1"/>
  <c r="C77" i="262"/>
  <c r="C76" i="262"/>
  <c r="U76" i="262" s="1"/>
  <c r="C75" i="262"/>
  <c r="C74" i="262"/>
  <c r="U74" i="262" s="1"/>
  <c r="C73" i="262"/>
  <c r="C72" i="262"/>
  <c r="U72" i="262" s="1"/>
  <c r="C71" i="262"/>
  <c r="C70" i="262"/>
  <c r="U70" i="262" s="1"/>
  <c r="C69" i="262"/>
  <c r="C68" i="262"/>
  <c r="U68" i="262" s="1"/>
  <c r="C67" i="262"/>
  <c r="C66" i="262"/>
  <c r="U66" i="262" s="1"/>
  <c r="C65" i="262"/>
  <c r="U65" i="262" s="1"/>
  <c r="C64" i="262"/>
  <c r="U64" i="262" s="1"/>
  <c r="C63" i="262"/>
  <c r="U63" i="262" s="1"/>
  <c r="C62" i="262"/>
  <c r="U62" i="262" s="1"/>
  <c r="C61" i="262"/>
  <c r="U61" i="262" s="1"/>
  <c r="C60" i="262"/>
  <c r="U60" i="262" s="1"/>
  <c r="C59" i="262"/>
  <c r="U59" i="262" s="1"/>
  <c r="C58" i="262"/>
  <c r="U58" i="262" s="1"/>
  <c r="C57" i="262"/>
  <c r="U57" i="262" s="1"/>
  <c r="I54" i="262"/>
  <c r="U54" i="262" s="1"/>
  <c r="C52" i="262"/>
  <c r="C51" i="262"/>
  <c r="C50" i="262"/>
  <c r="C48" i="262"/>
  <c r="C47" i="262"/>
  <c r="C46" i="262"/>
  <c r="C45" i="262"/>
  <c r="K43" i="262"/>
  <c r="M42" i="262"/>
  <c r="K42" i="262"/>
  <c r="C38" i="262"/>
  <c r="K37" i="262"/>
  <c r="C37" i="262"/>
  <c r="I36" i="262"/>
  <c r="H36" i="262"/>
  <c r="G36" i="262"/>
  <c r="C35" i="262"/>
  <c r="C34" i="262"/>
  <c r="C33" i="262"/>
  <c r="C31" i="262"/>
  <c r="C30" i="262"/>
  <c r="C29" i="262"/>
  <c r="C28" i="262"/>
  <c r="U26" i="262"/>
  <c r="M26" i="262"/>
  <c r="L26" i="262" s="1"/>
  <c r="V26" i="262" s="1"/>
  <c r="W26" i="262" s="1"/>
  <c r="K26" i="262"/>
  <c r="N26" i="262" s="1"/>
  <c r="U25" i="262"/>
  <c r="I25" i="262"/>
  <c r="U24" i="262"/>
  <c r="I24" i="262"/>
  <c r="U23" i="262"/>
  <c r="I23" i="262"/>
  <c r="U22" i="262"/>
  <c r="I22" i="262"/>
  <c r="U21" i="262"/>
  <c r="I21" i="262"/>
  <c r="U20" i="262"/>
  <c r="I20" i="262"/>
  <c r="U19" i="262"/>
  <c r="I19" i="262"/>
  <c r="U18" i="262"/>
  <c r="I18" i="262"/>
  <c r="U17" i="262"/>
  <c r="I17" i="262"/>
  <c r="U16" i="262"/>
  <c r="I16" i="262"/>
  <c r="D15" i="262"/>
  <c r="U15" i="262"/>
  <c r="E15" i="262"/>
  <c r="C15" i="262"/>
  <c r="U14" i="262"/>
  <c r="U13" i="262"/>
  <c r="E12" i="262"/>
  <c r="U12" i="262"/>
  <c r="N12" i="262" s="1"/>
  <c r="C12" i="262"/>
  <c r="I11" i="262"/>
  <c r="U11" i="262" s="1"/>
  <c r="U10" i="262"/>
  <c r="U9" i="262"/>
  <c r="N9" i="262" s="1"/>
  <c r="K9" i="262"/>
  <c r="D8" i="262"/>
  <c r="E8" i="262"/>
  <c r="C8" i="262"/>
  <c r="W6" i="262"/>
  <c r="W5" i="262"/>
  <c r="B10" i="135"/>
  <c r="B15" i="135"/>
  <c r="B14" i="135"/>
  <c r="B13" i="135"/>
  <c r="B12" i="135"/>
  <c r="B29" i="135"/>
  <c r="B28" i="135"/>
  <c r="B27" i="135"/>
  <c r="B26" i="135"/>
  <c r="B25" i="135"/>
  <c r="B24" i="135"/>
  <c r="B23" i="135"/>
  <c r="B22" i="135"/>
  <c r="B21" i="135"/>
  <c r="B20" i="135"/>
  <c r="B19" i="135"/>
  <c r="B18" i="135"/>
  <c r="B17" i="135"/>
  <c r="U20" i="131"/>
  <c r="T20" i="131"/>
  <c r="V20" i="131" s="1"/>
  <c r="M20" i="131"/>
  <c r="U19" i="131"/>
  <c r="T19" i="131"/>
  <c r="V19" i="131" s="1"/>
  <c r="M19" i="131"/>
  <c r="U18" i="131"/>
  <c r="T18" i="131"/>
  <c r="V18" i="131" s="1"/>
  <c r="U17" i="131"/>
  <c r="T17" i="131"/>
  <c r="L17" i="131" s="1"/>
  <c r="Q17" i="131" s="1"/>
  <c r="U16" i="131"/>
  <c r="T16" i="131"/>
  <c r="U15" i="131"/>
  <c r="T15" i="131"/>
  <c r="V15" i="131" s="1"/>
  <c r="U14" i="131"/>
  <c r="T14" i="131"/>
  <c r="V14" i="131" s="1"/>
  <c r="U13" i="131"/>
  <c r="T13" i="131"/>
  <c r="L13" i="131" s="1"/>
  <c r="Q13" i="131" s="1"/>
  <c r="U12" i="131"/>
  <c r="T12" i="131"/>
  <c r="U11" i="131"/>
  <c r="T11" i="131"/>
  <c r="V11" i="131" s="1"/>
  <c r="U10" i="131"/>
  <c r="T10" i="131"/>
  <c r="V10" i="131" s="1"/>
  <c r="U9" i="131"/>
  <c r="T9" i="131"/>
  <c r="L9" i="131" s="1"/>
  <c r="Q9" i="131" s="1"/>
  <c r="U8" i="131"/>
  <c r="T8" i="131"/>
  <c r="V17" i="131" l="1"/>
  <c r="L14" i="131"/>
  <c r="Q14" i="131" s="1"/>
  <c r="AO23" i="135" s="1"/>
  <c r="L16" i="131"/>
  <c r="Q16" i="131" s="1"/>
  <c r="AO25" i="135" s="1"/>
  <c r="V9" i="131"/>
  <c r="L8" i="131"/>
  <c r="Q8" i="131" s="1"/>
  <c r="AO17" i="135" s="1"/>
  <c r="V13" i="131"/>
  <c r="L18" i="131"/>
  <c r="Q18" i="131" s="1"/>
  <c r="AO27" i="135" s="1"/>
  <c r="L20" i="131"/>
  <c r="Q20" i="131" s="1"/>
  <c r="AO29" i="135" s="1"/>
  <c r="L10" i="131"/>
  <c r="Q10" i="131" s="1"/>
  <c r="AO19" i="135" s="1"/>
  <c r="L12" i="131"/>
  <c r="Q12" i="131" s="1"/>
  <c r="AO21" i="135" s="1"/>
  <c r="L19" i="131"/>
  <c r="Q19" i="131" s="1"/>
  <c r="AO18" i="135"/>
  <c r="AO22" i="135"/>
  <c r="AO26" i="135"/>
  <c r="AO28" i="135"/>
  <c r="N37" i="262"/>
  <c r="M37" i="262"/>
  <c r="N15" i="262"/>
  <c r="M15" i="262"/>
  <c r="E27" i="262"/>
  <c r="D27" i="262"/>
  <c r="D32" i="262"/>
  <c r="K12" i="262"/>
  <c r="C7" i="262"/>
  <c r="C4" i="262" s="1"/>
  <c r="C39" i="262"/>
  <c r="K38" i="262"/>
  <c r="C40" i="262"/>
  <c r="C41" i="262"/>
  <c r="U88" i="262"/>
  <c r="N10" i="262"/>
  <c r="N8" i="262" s="1"/>
  <c r="M10" i="262"/>
  <c r="E32" i="262"/>
  <c r="U8" i="262"/>
  <c r="K10" i="262"/>
  <c r="D12" i="262"/>
  <c r="K15" i="262"/>
  <c r="L15" i="262" s="1"/>
  <c r="E49" i="262"/>
  <c r="D49" i="262"/>
  <c r="L54" i="262"/>
  <c r="K54" i="262"/>
  <c r="N54" i="262"/>
  <c r="M54" i="262"/>
  <c r="U82" i="262"/>
  <c r="U84" i="262"/>
  <c r="U86" i="262"/>
  <c r="M9" i="262"/>
  <c r="M12" i="262"/>
  <c r="N42" i="262"/>
  <c r="L42" i="262" s="1"/>
  <c r="V42" i="262" s="1"/>
  <c r="W42" i="262" s="1"/>
  <c r="M43" i="262"/>
  <c r="E56" i="262"/>
  <c r="E55" i="262" s="1"/>
  <c r="E53" i="262" s="1"/>
  <c r="U67" i="262"/>
  <c r="U56" i="262" s="1"/>
  <c r="U69" i="262"/>
  <c r="U71" i="262"/>
  <c r="U73" i="262"/>
  <c r="U75" i="262"/>
  <c r="U77" i="262"/>
  <c r="D56" i="262"/>
  <c r="D55" i="262" s="1"/>
  <c r="D53" i="262" s="1"/>
  <c r="U80" i="262"/>
  <c r="N43" i="262"/>
  <c r="M93" i="262"/>
  <c r="L93" i="262" s="1"/>
  <c r="L15" i="131"/>
  <c r="Q15" i="131" s="1"/>
  <c r="AO24" i="135" s="1"/>
  <c r="V8" i="131"/>
  <c r="V12" i="131"/>
  <c r="V16" i="131"/>
  <c r="L11" i="131"/>
  <c r="Q11" i="131" s="1"/>
  <c r="AO20" i="135" s="1"/>
  <c r="K56" i="262" l="1"/>
  <c r="N56" i="262"/>
  <c r="M56" i="262"/>
  <c r="L56" i="262" s="1"/>
  <c r="U55" i="262"/>
  <c r="E44" i="262"/>
  <c r="E43" i="262"/>
  <c r="L10" i="262"/>
  <c r="K8" i="262"/>
  <c r="D44" i="262"/>
  <c r="D43" i="262"/>
  <c r="E26" i="262"/>
  <c r="L43" i="262"/>
  <c r="V43" i="262" s="1"/>
  <c r="W43" i="262" s="1"/>
  <c r="M8" i="262"/>
  <c r="L9" i="262"/>
  <c r="L8" i="262" s="1"/>
  <c r="U7" i="262"/>
  <c r="L12" i="262"/>
  <c r="V12" i="262"/>
  <c r="W12" i="262" s="1"/>
  <c r="V54" i="262"/>
  <c r="V15" i="262"/>
  <c r="W15" i="262" s="1"/>
  <c r="K88" i="262"/>
  <c r="L88" i="262" s="1"/>
  <c r="N88" i="262"/>
  <c r="M88" i="262"/>
  <c r="N38" i="262"/>
  <c r="N36" i="262" s="1"/>
  <c r="N7" i="262" s="1"/>
  <c r="M38" i="262"/>
  <c r="M36" i="262" s="1"/>
  <c r="K36" i="262"/>
  <c r="D26" i="262"/>
  <c r="L37" i="262"/>
  <c r="D38" i="262" l="1"/>
  <c r="D36" i="262" s="1"/>
  <c r="D7" i="262" s="1"/>
  <c r="D4" i="262" s="1"/>
  <c r="M55" i="262"/>
  <c r="M53" i="262" s="1"/>
  <c r="K55" i="262"/>
  <c r="N55" i="262"/>
  <c r="N53" i="262" s="1"/>
  <c r="N4" i="262" s="1"/>
  <c r="U53" i="262"/>
  <c r="L36" i="262"/>
  <c r="V36" i="262"/>
  <c r="W36" i="262" s="1"/>
  <c r="U4" i="262"/>
  <c r="E38" i="262"/>
  <c r="E36" i="262" s="1"/>
  <c r="L38" i="262"/>
  <c r="M7" i="262"/>
  <c r="M4" i="262" s="1"/>
  <c r="V8" i="262"/>
  <c r="K7" i="262"/>
  <c r="W54" i="262"/>
  <c r="L7" i="262"/>
  <c r="E7" i="262"/>
  <c r="E4" i="262" s="1"/>
  <c r="K53" i="262" l="1"/>
  <c r="K4" i="262"/>
  <c r="L55" i="262"/>
  <c r="L53" i="262" s="1"/>
  <c r="L4" i="262" s="1"/>
  <c r="V7" i="262"/>
  <c r="W7" i="262" s="1"/>
  <c r="W8" i="262"/>
  <c r="V55" i="262" l="1"/>
  <c r="V53" i="262" l="1"/>
  <c r="W53" i="262" s="1"/>
  <c r="W4" i="262" s="1"/>
  <c r="W55" i="262"/>
  <c r="V4" i="262"/>
  <c r="D69" i="118" l="1"/>
  <c r="B69" i="118"/>
  <c r="R69" i="118" s="1"/>
  <c r="D68" i="118"/>
  <c r="B68" i="118"/>
  <c r="T68" i="118" s="1"/>
  <c r="D67" i="118"/>
  <c r="B67" i="118"/>
  <c r="T67" i="118" s="1"/>
  <c r="D66" i="118"/>
  <c r="B66" i="118"/>
  <c r="T66" i="118" s="1"/>
  <c r="D65" i="118"/>
  <c r="B65" i="118"/>
  <c r="T65" i="118" s="1"/>
  <c r="D64" i="118"/>
  <c r="B64" i="118"/>
  <c r="T64" i="118" s="1"/>
  <c r="D63" i="118"/>
  <c r="B63" i="118"/>
  <c r="T63" i="118" s="1"/>
  <c r="D62" i="118"/>
  <c r="B62" i="118"/>
  <c r="T62" i="118" s="1"/>
  <c r="D61" i="118"/>
  <c r="B61" i="118"/>
  <c r="T61" i="118" s="1"/>
  <c r="D60" i="118"/>
  <c r="B60" i="118"/>
  <c r="T60" i="118" s="1"/>
  <c r="D59" i="118"/>
  <c r="B59" i="118"/>
  <c r="D58" i="118"/>
  <c r="B58" i="118"/>
  <c r="D57" i="118"/>
  <c r="B57" i="118"/>
  <c r="D56" i="118"/>
  <c r="B56" i="118"/>
  <c r="D55" i="118"/>
  <c r="B55" i="118"/>
  <c r="D54" i="118"/>
  <c r="B54" i="118"/>
  <c r="D53" i="118"/>
  <c r="B53" i="118"/>
  <c r="D52" i="118"/>
  <c r="B52" i="118"/>
  <c r="D51" i="118"/>
  <c r="B51" i="118"/>
  <c r="D50" i="118"/>
  <c r="B50" i="118"/>
  <c r="D49" i="118"/>
  <c r="B49" i="118"/>
  <c r="D48" i="118"/>
  <c r="B48" i="118"/>
  <c r="D47" i="118"/>
  <c r="B47" i="118"/>
  <c r="D46" i="118"/>
  <c r="B46" i="118"/>
  <c r="U46" i="118" s="1"/>
  <c r="D45" i="118"/>
  <c r="B45" i="118"/>
  <c r="U45" i="118" s="1"/>
  <c r="D44" i="118"/>
  <c r="B44" i="118"/>
  <c r="R44" i="118" s="1"/>
  <c r="D43" i="118"/>
  <c r="B43" i="118"/>
  <c r="R43" i="118" s="1"/>
  <c r="D42" i="118"/>
  <c r="B42" i="118"/>
  <c r="T42" i="118" s="1"/>
  <c r="D41" i="118"/>
  <c r="B41" i="118"/>
  <c r="T41" i="118" s="1"/>
  <c r="D40" i="118"/>
  <c r="B40" i="118"/>
  <c r="R40" i="118" s="1"/>
  <c r="D39" i="118"/>
  <c r="B39" i="118"/>
  <c r="R39" i="118" s="1"/>
  <c r="D38" i="118"/>
  <c r="B38" i="118"/>
  <c r="U38" i="118" s="1"/>
  <c r="D37" i="118"/>
  <c r="B37" i="118"/>
  <c r="T37" i="118" s="1"/>
  <c r="D36" i="118"/>
  <c r="B36" i="118"/>
  <c r="T36" i="118" s="1"/>
  <c r="D35" i="118"/>
  <c r="B35" i="118"/>
  <c r="T35" i="118" s="1"/>
  <c r="D34" i="118"/>
  <c r="B34" i="118"/>
  <c r="T34" i="118" s="1"/>
  <c r="D33" i="118"/>
  <c r="B33" i="118"/>
  <c r="T33" i="118" s="1"/>
  <c r="D32" i="118"/>
  <c r="B32" i="118"/>
  <c r="T32" i="118" s="1"/>
  <c r="D31" i="118"/>
  <c r="B31" i="118"/>
  <c r="T31" i="118" s="1"/>
  <c r="D29" i="118"/>
  <c r="B29" i="118"/>
  <c r="T29" i="118" s="1"/>
  <c r="D28" i="118"/>
  <c r="B28" i="118"/>
  <c r="T28" i="118" s="1"/>
  <c r="D27" i="118"/>
  <c r="B27" i="118"/>
  <c r="T27" i="118" s="1"/>
  <c r="D26" i="118"/>
  <c r="B26" i="118"/>
  <c r="T26" i="118" s="1"/>
  <c r="D24" i="118"/>
  <c r="B24" i="118"/>
  <c r="T24" i="118" s="1"/>
  <c r="D23" i="118"/>
  <c r="B23" i="118"/>
  <c r="T23" i="118" s="1"/>
  <c r="D22" i="118"/>
  <c r="B22" i="118"/>
  <c r="T22" i="118" s="1"/>
  <c r="D21" i="118"/>
  <c r="B21" i="118"/>
  <c r="T21" i="118" s="1"/>
  <c r="D20" i="118"/>
  <c r="B20" i="118"/>
  <c r="T20" i="118" s="1"/>
  <c r="D19" i="118"/>
  <c r="B19" i="118"/>
  <c r="T19" i="118" s="1"/>
  <c r="D18" i="118"/>
  <c r="B18" i="118"/>
  <c r="T18" i="118" s="1"/>
  <c r="D17" i="118"/>
  <c r="B17" i="118"/>
  <c r="T17" i="118" s="1"/>
  <c r="D16" i="118"/>
  <c r="B16" i="118"/>
  <c r="T16" i="118" s="1"/>
  <c r="D15" i="118"/>
  <c r="B15" i="118"/>
  <c r="T15" i="118" s="1"/>
  <c r="D14" i="118"/>
  <c r="B14" i="118"/>
  <c r="T14" i="118" s="1"/>
  <c r="D13" i="118"/>
  <c r="B13" i="118"/>
  <c r="T13" i="118" s="1"/>
  <c r="D12" i="118"/>
  <c r="B12" i="118"/>
  <c r="T12" i="118" s="1"/>
  <c r="D11" i="118"/>
  <c r="B11" i="118"/>
  <c r="D10" i="118"/>
  <c r="B10" i="118"/>
  <c r="T10" i="118" s="1"/>
  <c r="D9" i="118"/>
  <c r="B9" i="118"/>
  <c r="T9" i="118" s="1"/>
  <c r="D8" i="118"/>
  <c r="B8" i="118"/>
  <c r="T8" i="118" s="1"/>
  <c r="D7" i="118"/>
  <c r="B7" i="118"/>
  <c r="D35" i="135"/>
  <c r="M35" i="135" s="1"/>
  <c r="E35" i="135"/>
  <c r="F35" i="135"/>
  <c r="G35" i="135"/>
  <c r="H35" i="135"/>
  <c r="I35" i="135"/>
  <c r="D36" i="135"/>
  <c r="M36" i="135" s="1"/>
  <c r="E36" i="135"/>
  <c r="F36" i="135"/>
  <c r="G36" i="135"/>
  <c r="H36" i="135"/>
  <c r="I36" i="135"/>
  <c r="D37" i="135"/>
  <c r="M37" i="135" s="1"/>
  <c r="E37" i="135"/>
  <c r="F37" i="135"/>
  <c r="G37" i="135"/>
  <c r="H37" i="135"/>
  <c r="I37" i="135"/>
  <c r="D38" i="135"/>
  <c r="M38" i="135" s="1"/>
  <c r="E38" i="135"/>
  <c r="F38" i="135"/>
  <c r="G38" i="135"/>
  <c r="H38" i="135"/>
  <c r="I38" i="135"/>
  <c r="D39" i="135"/>
  <c r="M39" i="135" s="1"/>
  <c r="E39" i="135"/>
  <c r="F39" i="135"/>
  <c r="G39" i="135"/>
  <c r="H39" i="135"/>
  <c r="I39" i="135"/>
  <c r="D40" i="135"/>
  <c r="M40" i="135" s="1"/>
  <c r="E40" i="135"/>
  <c r="F40" i="135"/>
  <c r="G40" i="135"/>
  <c r="H40" i="135"/>
  <c r="I40" i="135"/>
  <c r="D41" i="135"/>
  <c r="M41" i="135" s="1"/>
  <c r="E41" i="135"/>
  <c r="F41" i="135"/>
  <c r="G41" i="135"/>
  <c r="H41" i="135"/>
  <c r="I41" i="135"/>
  <c r="D42" i="135"/>
  <c r="M42" i="135" s="1"/>
  <c r="E42" i="135"/>
  <c r="F42" i="135"/>
  <c r="G42" i="135"/>
  <c r="H42" i="135"/>
  <c r="I42" i="135"/>
  <c r="D43" i="135"/>
  <c r="M43" i="135" s="1"/>
  <c r="E43" i="135"/>
  <c r="F43" i="135"/>
  <c r="G43" i="135"/>
  <c r="H43" i="135"/>
  <c r="I43" i="135"/>
  <c r="D44" i="135"/>
  <c r="M44" i="135" s="1"/>
  <c r="E44" i="135"/>
  <c r="F44" i="135"/>
  <c r="G44" i="135"/>
  <c r="H44" i="135"/>
  <c r="I44" i="135"/>
  <c r="D45" i="135"/>
  <c r="M45" i="135" s="1"/>
  <c r="E45" i="135"/>
  <c r="F45" i="135"/>
  <c r="G45" i="135"/>
  <c r="H45" i="135"/>
  <c r="I45" i="135"/>
  <c r="D46" i="135"/>
  <c r="M46" i="135" s="1"/>
  <c r="E46" i="135"/>
  <c r="F46" i="135"/>
  <c r="G46" i="135"/>
  <c r="H46" i="135"/>
  <c r="I46" i="135"/>
  <c r="D47" i="135"/>
  <c r="M47" i="135" s="1"/>
  <c r="E47" i="135"/>
  <c r="F47" i="135"/>
  <c r="G47" i="135"/>
  <c r="H47" i="135"/>
  <c r="I47" i="135"/>
  <c r="D48" i="135"/>
  <c r="E48" i="135"/>
  <c r="F48" i="135"/>
  <c r="G48" i="135"/>
  <c r="H48" i="135"/>
  <c r="I48" i="135"/>
  <c r="D49" i="135"/>
  <c r="M49" i="135" s="1"/>
  <c r="E49" i="135"/>
  <c r="F49" i="135"/>
  <c r="G49" i="135"/>
  <c r="H49" i="135"/>
  <c r="I49" i="135"/>
  <c r="D50" i="135"/>
  <c r="M50" i="135" s="1"/>
  <c r="E50" i="135"/>
  <c r="F50" i="135"/>
  <c r="G50" i="135"/>
  <c r="H50" i="135"/>
  <c r="I50" i="135"/>
  <c r="D51" i="135"/>
  <c r="M51" i="135" s="1"/>
  <c r="E51" i="135"/>
  <c r="F51" i="135"/>
  <c r="G51" i="135"/>
  <c r="H51" i="135"/>
  <c r="I51" i="135"/>
  <c r="D52" i="135"/>
  <c r="M52" i="135" s="1"/>
  <c r="E52" i="135"/>
  <c r="F52" i="135"/>
  <c r="G52" i="135"/>
  <c r="H52" i="135"/>
  <c r="I52" i="135"/>
  <c r="D53" i="135"/>
  <c r="M53" i="135" s="1"/>
  <c r="E53" i="135"/>
  <c r="F53" i="135"/>
  <c r="G53" i="135"/>
  <c r="H53" i="135"/>
  <c r="I53" i="135"/>
  <c r="D54" i="135"/>
  <c r="M54" i="135" s="1"/>
  <c r="E54" i="135"/>
  <c r="F54" i="135"/>
  <c r="G54" i="135"/>
  <c r="H54" i="135"/>
  <c r="I54" i="135"/>
  <c r="D55" i="135"/>
  <c r="M55" i="135" s="1"/>
  <c r="E55" i="135"/>
  <c r="F55" i="135"/>
  <c r="G55" i="135"/>
  <c r="H55" i="135"/>
  <c r="I55" i="135"/>
  <c r="D56" i="135"/>
  <c r="M56" i="135" s="1"/>
  <c r="E56" i="135"/>
  <c r="F56" i="135"/>
  <c r="G56" i="135"/>
  <c r="H56" i="135"/>
  <c r="I56" i="135"/>
  <c r="D57" i="135"/>
  <c r="M57" i="135" s="1"/>
  <c r="E57" i="135"/>
  <c r="F57" i="135"/>
  <c r="G57" i="135"/>
  <c r="H57" i="135"/>
  <c r="I57" i="135"/>
  <c r="D58" i="135"/>
  <c r="M58" i="135" s="1"/>
  <c r="E58" i="135"/>
  <c r="F58" i="135"/>
  <c r="G58" i="135"/>
  <c r="H58" i="135"/>
  <c r="I58" i="135"/>
  <c r="D59" i="135"/>
  <c r="M59" i="135" s="1"/>
  <c r="E59" i="135"/>
  <c r="F59" i="135"/>
  <c r="G59" i="135"/>
  <c r="H59" i="135"/>
  <c r="I59" i="135"/>
  <c r="D60" i="135"/>
  <c r="M60" i="135" s="1"/>
  <c r="E60" i="135"/>
  <c r="F60" i="135"/>
  <c r="G60" i="135"/>
  <c r="H60" i="135"/>
  <c r="I60" i="135"/>
  <c r="D61" i="135"/>
  <c r="M61" i="135" s="1"/>
  <c r="E61" i="135"/>
  <c r="F61" i="135"/>
  <c r="G61" i="135"/>
  <c r="H61" i="135"/>
  <c r="I61" i="135"/>
  <c r="D62" i="135"/>
  <c r="M62" i="135" s="1"/>
  <c r="E62" i="135"/>
  <c r="F62" i="135"/>
  <c r="G62" i="135"/>
  <c r="H62" i="135"/>
  <c r="I62" i="135"/>
  <c r="D63" i="135"/>
  <c r="M63" i="135" s="1"/>
  <c r="E63" i="135"/>
  <c r="F63" i="135"/>
  <c r="G63" i="135"/>
  <c r="H63" i="135"/>
  <c r="I63" i="135"/>
  <c r="D64" i="135"/>
  <c r="M64" i="135" s="1"/>
  <c r="E64" i="135"/>
  <c r="F64" i="135"/>
  <c r="G64" i="135"/>
  <c r="H64" i="135"/>
  <c r="I64" i="135"/>
  <c r="D65" i="135"/>
  <c r="M65" i="135" s="1"/>
  <c r="E65" i="135"/>
  <c r="F65" i="135"/>
  <c r="G65" i="135"/>
  <c r="H65" i="135"/>
  <c r="I65" i="135"/>
  <c r="D66" i="135"/>
  <c r="M66" i="135" s="1"/>
  <c r="E66" i="135"/>
  <c r="F66" i="135"/>
  <c r="G66" i="135"/>
  <c r="H66" i="135"/>
  <c r="I66" i="135"/>
  <c r="D67" i="135"/>
  <c r="M67" i="135" s="1"/>
  <c r="E67" i="135"/>
  <c r="F67" i="135"/>
  <c r="G67" i="135"/>
  <c r="H67" i="135"/>
  <c r="I67" i="135"/>
  <c r="D68" i="135"/>
  <c r="M68" i="135" s="1"/>
  <c r="E68" i="135"/>
  <c r="F68" i="135"/>
  <c r="G68" i="135"/>
  <c r="H68" i="135"/>
  <c r="I68" i="135"/>
  <c r="D69" i="135"/>
  <c r="M69" i="135" s="1"/>
  <c r="E69" i="135"/>
  <c r="F69" i="135"/>
  <c r="G69" i="135"/>
  <c r="H69" i="135"/>
  <c r="I69" i="135"/>
  <c r="D70" i="135"/>
  <c r="M70" i="135" s="1"/>
  <c r="E70" i="135"/>
  <c r="F70" i="135"/>
  <c r="G70" i="135"/>
  <c r="H70" i="135"/>
  <c r="I70" i="135"/>
  <c r="D71" i="135"/>
  <c r="M71" i="135" s="1"/>
  <c r="E71" i="135"/>
  <c r="F71" i="135"/>
  <c r="G71" i="135"/>
  <c r="H71" i="135"/>
  <c r="I71" i="135"/>
  <c r="D72" i="135"/>
  <c r="M72" i="135" s="1"/>
  <c r="E72" i="135"/>
  <c r="F72" i="135"/>
  <c r="G72" i="135"/>
  <c r="H72" i="135"/>
  <c r="I72" i="135"/>
  <c r="D73" i="135"/>
  <c r="M73" i="135" s="1"/>
  <c r="E73" i="135"/>
  <c r="F73" i="135"/>
  <c r="G73" i="135"/>
  <c r="H73" i="135"/>
  <c r="I73" i="135"/>
  <c r="D74" i="135"/>
  <c r="M74" i="135" s="1"/>
  <c r="E74" i="135"/>
  <c r="F74" i="135"/>
  <c r="G74" i="135"/>
  <c r="H74" i="135"/>
  <c r="I74" i="135"/>
  <c r="D75" i="135"/>
  <c r="M75" i="135" s="1"/>
  <c r="E75" i="135"/>
  <c r="F75" i="135"/>
  <c r="G75" i="135"/>
  <c r="H75" i="135"/>
  <c r="I75" i="135"/>
  <c r="D76" i="135"/>
  <c r="M76" i="135" s="1"/>
  <c r="E76" i="135"/>
  <c r="F76" i="135"/>
  <c r="G76" i="135"/>
  <c r="H76" i="135"/>
  <c r="I76" i="135"/>
  <c r="D77" i="135"/>
  <c r="E77" i="135"/>
  <c r="F77" i="135"/>
  <c r="G77" i="135"/>
  <c r="H77" i="135"/>
  <c r="I77" i="135"/>
  <c r="D78" i="135"/>
  <c r="M78" i="135" s="1"/>
  <c r="E78" i="135"/>
  <c r="F78" i="135"/>
  <c r="G78" i="135"/>
  <c r="H78" i="135"/>
  <c r="I78" i="135"/>
  <c r="D79" i="135"/>
  <c r="M79" i="135" s="1"/>
  <c r="E79" i="135"/>
  <c r="F79" i="135"/>
  <c r="G79" i="135"/>
  <c r="H79" i="135"/>
  <c r="I79" i="135"/>
  <c r="D80" i="135"/>
  <c r="M80" i="135" s="1"/>
  <c r="E80" i="135"/>
  <c r="F80" i="135"/>
  <c r="G80" i="135"/>
  <c r="H80" i="135"/>
  <c r="I80" i="135"/>
  <c r="D81" i="135"/>
  <c r="E81" i="135"/>
  <c r="F81" i="135"/>
  <c r="G81" i="135"/>
  <c r="H81" i="135"/>
  <c r="I81" i="135"/>
  <c r="D82" i="135"/>
  <c r="M82" i="135" s="1"/>
  <c r="E82" i="135"/>
  <c r="F82" i="135"/>
  <c r="G82" i="135"/>
  <c r="H82" i="135"/>
  <c r="I82" i="135"/>
  <c r="D83" i="135"/>
  <c r="M83" i="135" s="1"/>
  <c r="E83" i="135"/>
  <c r="F83" i="135"/>
  <c r="G83" i="135"/>
  <c r="H83" i="135"/>
  <c r="I83" i="135"/>
  <c r="D84" i="135"/>
  <c r="M84" i="135" s="1"/>
  <c r="E84" i="135"/>
  <c r="F84" i="135"/>
  <c r="G84" i="135"/>
  <c r="H84" i="135"/>
  <c r="I84" i="135"/>
  <c r="D85" i="135"/>
  <c r="E85" i="135"/>
  <c r="F85" i="135"/>
  <c r="G85" i="135"/>
  <c r="H85" i="135"/>
  <c r="I85" i="135"/>
  <c r="D86" i="135"/>
  <c r="E86" i="135"/>
  <c r="F86" i="135"/>
  <c r="G86" i="135"/>
  <c r="H86" i="135"/>
  <c r="I86" i="135"/>
  <c r="D87" i="135"/>
  <c r="E87" i="135"/>
  <c r="F87" i="135"/>
  <c r="G87" i="135"/>
  <c r="H87" i="135"/>
  <c r="I87" i="135"/>
  <c r="D88" i="135"/>
  <c r="M88" i="135" s="1"/>
  <c r="E88" i="135"/>
  <c r="F88" i="135"/>
  <c r="G88" i="135"/>
  <c r="H88" i="135"/>
  <c r="I88" i="135"/>
  <c r="D89" i="135"/>
  <c r="M89" i="135" s="1"/>
  <c r="E89" i="135"/>
  <c r="F89" i="135"/>
  <c r="G89" i="135"/>
  <c r="H89" i="135"/>
  <c r="I89" i="135"/>
  <c r="D90" i="135"/>
  <c r="M90" i="135" s="1"/>
  <c r="E90" i="135"/>
  <c r="F90" i="135"/>
  <c r="G90" i="135"/>
  <c r="H90" i="135"/>
  <c r="I90" i="135"/>
  <c r="D91" i="135"/>
  <c r="E91" i="135"/>
  <c r="F91" i="135"/>
  <c r="G91" i="135"/>
  <c r="H91" i="135"/>
  <c r="I91" i="135"/>
  <c r="D92" i="135"/>
  <c r="M92" i="135" s="1"/>
  <c r="E92" i="135"/>
  <c r="F92" i="135"/>
  <c r="G92" i="135"/>
  <c r="H92" i="135"/>
  <c r="I92" i="135"/>
  <c r="D93" i="135"/>
  <c r="M93" i="135" s="1"/>
  <c r="E93" i="135"/>
  <c r="F93" i="135"/>
  <c r="G93" i="135"/>
  <c r="H93" i="135"/>
  <c r="I93" i="135"/>
  <c r="D94" i="135"/>
  <c r="M94" i="135" s="1"/>
  <c r="E94" i="135"/>
  <c r="F94" i="135"/>
  <c r="G94" i="135"/>
  <c r="H94" i="135"/>
  <c r="I94" i="135"/>
  <c r="D95" i="135"/>
  <c r="E95" i="135"/>
  <c r="F95" i="135"/>
  <c r="G95" i="135"/>
  <c r="H95" i="135"/>
  <c r="I95" i="135"/>
  <c r="D96" i="135"/>
  <c r="M96" i="135" s="1"/>
  <c r="E96" i="135"/>
  <c r="F96" i="135"/>
  <c r="G96" i="135"/>
  <c r="H96" i="135"/>
  <c r="I96" i="135"/>
  <c r="D97" i="135"/>
  <c r="E97" i="135"/>
  <c r="F97" i="135"/>
  <c r="G97" i="135"/>
  <c r="H97" i="135"/>
  <c r="I97" i="135"/>
  <c r="T11" i="251"/>
  <c r="E25" i="118" l="1"/>
  <c r="S9" i="118"/>
  <c r="T7" i="118"/>
  <c r="E30" i="118"/>
  <c r="S8" i="118"/>
  <c r="U62" i="118"/>
  <c r="U61" i="118"/>
  <c r="S7" i="118"/>
  <c r="R46" i="118"/>
  <c r="U66" i="118"/>
  <c r="S10" i="118"/>
  <c r="R41" i="118"/>
  <c r="U65" i="118"/>
  <c r="R45" i="118"/>
  <c r="U60" i="118"/>
  <c r="U64" i="118"/>
  <c r="U68" i="118"/>
  <c r="U63" i="118"/>
  <c r="U67" i="118"/>
  <c r="E44" i="118"/>
  <c r="E40" i="118"/>
  <c r="E45" i="118"/>
  <c r="T40" i="118"/>
  <c r="E42" i="118"/>
  <c r="T44" i="118"/>
  <c r="E41" i="118"/>
  <c r="T43" i="118"/>
  <c r="E66" i="118"/>
  <c r="S12" i="118"/>
  <c r="S13" i="118"/>
  <c r="S14" i="118"/>
  <c r="S15" i="118"/>
  <c r="S16" i="118"/>
  <c r="S17" i="118"/>
  <c r="S18" i="118"/>
  <c r="S19" i="118"/>
  <c r="S20" i="118"/>
  <c r="S21" i="118"/>
  <c r="S22" i="118"/>
  <c r="S23" i="118"/>
  <c r="S24" i="118"/>
  <c r="S26" i="118"/>
  <c r="S27" i="118"/>
  <c r="S28" i="118"/>
  <c r="S29" i="118"/>
  <c r="S31" i="118"/>
  <c r="S32" i="118"/>
  <c r="S33" i="118"/>
  <c r="S34" i="118"/>
  <c r="S35" i="118"/>
  <c r="S36" i="118"/>
  <c r="S37" i="118"/>
  <c r="S38" i="118"/>
  <c r="E39" i="118"/>
  <c r="R42" i="118"/>
  <c r="E43" i="118"/>
  <c r="T39" i="118"/>
  <c r="T38" i="118"/>
  <c r="T47" i="118"/>
  <c r="S47" i="118"/>
  <c r="U47" i="118"/>
  <c r="E47" i="118"/>
  <c r="R47" i="118"/>
  <c r="E62" i="118"/>
  <c r="E46" i="118"/>
  <c r="T48" i="118"/>
  <c r="S48" i="118"/>
  <c r="S49" i="118"/>
  <c r="T49" i="118"/>
  <c r="R49" i="118"/>
  <c r="E49" i="118"/>
  <c r="U49" i="118"/>
  <c r="S51" i="118"/>
  <c r="T51" i="118"/>
  <c r="R51" i="118"/>
  <c r="E51" i="118"/>
  <c r="U51" i="118"/>
  <c r="S53" i="118"/>
  <c r="T53" i="118"/>
  <c r="R53" i="118"/>
  <c r="E53" i="118"/>
  <c r="U53" i="118"/>
  <c r="S55" i="118"/>
  <c r="T55" i="118"/>
  <c r="R55" i="118"/>
  <c r="E55" i="118"/>
  <c r="U55" i="118"/>
  <c r="S57" i="118"/>
  <c r="T57" i="118"/>
  <c r="R57" i="118"/>
  <c r="E57" i="118"/>
  <c r="U57" i="118"/>
  <c r="S59" i="118"/>
  <c r="T59" i="118"/>
  <c r="R59" i="118"/>
  <c r="E59" i="118"/>
  <c r="U59" i="118"/>
  <c r="E7" i="118"/>
  <c r="U7" i="118"/>
  <c r="E8" i="118"/>
  <c r="U8" i="118"/>
  <c r="E9" i="118"/>
  <c r="U9" i="118"/>
  <c r="E10" i="118"/>
  <c r="U10" i="118"/>
  <c r="E11" i="118"/>
  <c r="E12" i="118"/>
  <c r="U12" i="118"/>
  <c r="E13" i="118"/>
  <c r="U13" i="118"/>
  <c r="E14" i="118"/>
  <c r="U14" i="118"/>
  <c r="E15" i="118"/>
  <c r="U15" i="118"/>
  <c r="E16" i="118"/>
  <c r="U16" i="118"/>
  <c r="E17" i="118"/>
  <c r="U17" i="118"/>
  <c r="E18" i="118"/>
  <c r="U18" i="118"/>
  <c r="E19" i="118"/>
  <c r="U19" i="118"/>
  <c r="E20" i="118"/>
  <c r="U20" i="118"/>
  <c r="E21" i="118"/>
  <c r="U21" i="118"/>
  <c r="E22" i="118"/>
  <c r="U22" i="118"/>
  <c r="E23" i="118"/>
  <c r="U23" i="118"/>
  <c r="E24" i="118"/>
  <c r="U24" i="118"/>
  <c r="E26" i="118"/>
  <c r="U26" i="118"/>
  <c r="E27" i="118"/>
  <c r="U27" i="118"/>
  <c r="E28" i="118"/>
  <c r="U28" i="118"/>
  <c r="E29" i="118"/>
  <c r="U29" i="118"/>
  <c r="E31" i="118"/>
  <c r="U31" i="118"/>
  <c r="E32" i="118"/>
  <c r="U32" i="118"/>
  <c r="E33" i="118"/>
  <c r="U33" i="118"/>
  <c r="E34" i="118"/>
  <c r="U34" i="118"/>
  <c r="E35" i="118"/>
  <c r="U35" i="118"/>
  <c r="E36" i="118"/>
  <c r="U36" i="118"/>
  <c r="E37" i="118"/>
  <c r="U37" i="118"/>
  <c r="E38" i="118"/>
  <c r="S39" i="118"/>
  <c r="U39" i="118"/>
  <c r="S40" i="118"/>
  <c r="U40" i="118"/>
  <c r="S41" i="118"/>
  <c r="U41" i="118"/>
  <c r="S42" i="118"/>
  <c r="U42" i="118"/>
  <c r="S43" i="118"/>
  <c r="U43" i="118"/>
  <c r="S44" i="118"/>
  <c r="U44" i="118"/>
  <c r="T45" i="118"/>
  <c r="S45" i="118"/>
  <c r="R48" i="118"/>
  <c r="E69" i="118"/>
  <c r="E65" i="118"/>
  <c r="E61" i="118"/>
  <c r="E68" i="118"/>
  <c r="E64" i="118"/>
  <c r="E60" i="118"/>
  <c r="E67" i="118"/>
  <c r="R7" i="118"/>
  <c r="R8" i="118"/>
  <c r="R9" i="118"/>
  <c r="R10" i="118"/>
  <c r="R12" i="118"/>
  <c r="R13" i="118"/>
  <c r="R14" i="118"/>
  <c r="R15" i="118"/>
  <c r="R16" i="118"/>
  <c r="R17" i="118"/>
  <c r="R18" i="118"/>
  <c r="R19" i="118"/>
  <c r="R20" i="118"/>
  <c r="R21" i="118"/>
  <c r="R22" i="118"/>
  <c r="R23" i="118"/>
  <c r="R24" i="118"/>
  <c r="R26" i="118"/>
  <c r="R27" i="118"/>
  <c r="R28" i="118"/>
  <c r="R29" i="118"/>
  <c r="R31" i="118"/>
  <c r="R32" i="118"/>
  <c r="R33" i="118"/>
  <c r="R34" i="118"/>
  <c r="R35" i="118"/>
  <c r="R36" i="118"/>
  <c r="R37" i="118"/>
  <c r="R38" i="118"/>
  <c r="T46" i="118"/>
  <c r="S46" i="118"/>
  <c r="E48" i="118"/>
  <c r="U48" i="118"/>
  <c r="S50" i="118"/>
  <c r="T50" i="118"/>
  <c r="R50" i="118"/>
  <c r="E50" i="118"/>
  <c r="U50" i="118"/>
  <c r="S52" i="118"/>
  <c r="T52" i="118"/>
  <c r="R52" i="118"/>
  <c r="E52" i="118"/>
  <c r="U52" i="118"/>
  <c r="S54" i="118"/>
  <c r="T54" i="118"/>
  <c r="R54" i="118"/>
  <c r="E54" i="118"/>
  <c r="U54" i="118"/>
  <c r="S56" i="118"/>
  <c r="T56" i="118"/>
  <c r="R56" i="118"/>
  <c r="E56" i="118"/>
  <c r="U56" i="118"/>
  <c r="S58" i="118"/>
  <c r="T58" i="118"/>
  <c r="R58" i="118"/>
  <c r="E58" i="118"/>
  <c r="U58" i="118"/>
  <c r="E63" i="118"/>
  <c r="R60" i="118"/>
  <c r="R61" i="118"/>
  <c r="R62" i="118"/>
  <c r="R63" i="118"/>
  <c r="R64" i="118"/>
  <c r="R65" i="118"/>
  <c r="R66" i="118"/>
  <c r="R67" i="118"/>
  <c r="R68" i="118"/>
  <c r="S69" i="118"/>
  <c r="S60" i="118"/>
  <c r="S61" i="118"/>
  <c r="S62" i="118"/>
  <c r="S63" i="118"/>
  <c r="S64" i="118"/>
  <c r="S65" i="118"/>
  <c r="S66" i="118"/>
  <c r="S67" i="118"/>
  <c r="S68" i="118"/>
  <c r="B75" i="135"/>
  <c r="B67" i="135"/>
  <c r="B46" i="135"/>
  <c r="B71" i="135"/>
  <c r="B65" i="135"/>
  <c r="B91" i="135"/>
  <c r="B60" i="135"/>
  <c r="B66" i="135"/>
  <c r="B87" i="135"/>
  <c r="B77" i="135"/>
  <c r="B64" i="135"/>
  <c r="B55" i="135"/>
  <c r="B95" i="135"/>
  <c r="B96" i="135"/>
  <c r="B92" i="135"/>
  <c r="B88" i="135"/>
  <c r="B82" i="135"/>
  <c r="B78" i="135"/>
  <c r="B72" i="135"/>
  <c r="B68" i="135"/>
  <c r="B61" i="135"/>
  <c r="B56" i="135"/>
  <c r="B52" i="135"/>
  <c r="B41" i="135"/>
  <c r="B81" i="135"/>
  <c r="B97" i="135"/>
  <c r="M95" i="135"/>
  <c r="B93" i="135"/>
  <c r="M91" i="135"/>
  <c r="B89" i="135"/>
  <c r="M87" i="135"/>
  <c r="B83" i="135"/>
  <c r="M81" i="135"/>
  <c r="B79" i="135"/>
  <c r="M77" i="135"/>
  <c r="B73" i="135"/>
  <c r="B69" i="135"/>
  <c r="B62" i="135"/>
  <c r="B57" i="135"/>
  <c r="B44" i="135"/>
  <c r="B39" i="135"/>
  <c r="B94" i="135"/>
  <c r="B90" i="135"/>
  <c r="B84" i="135"/>
  <c r="B80" i="135"/>
  <c r="B76" i="135"/>
  <c r="B74" i="135"/>
  <c r="B70" i="135"/>
  <c r="B63" i="135"/>
  <c r="B59" i="135"/>
  <c r="B58" i="135"/>
  <c r="B86" i="135"/>
  <c r="M97" i="135"/>
  <c r="B85" i="135"/>
  <c r="M86" i="135"/>
  <c r="M85" i="135"/>
  <c r="B54" i="135"/>
  <c r="B53" i="135"/>
  <c r="B51" i="135"/>
  <c r="B45" i="135"/>
  <c r="B42" i="135"/>
  <c r="B49" i="135"/>
  <c r="B48" i="135"/>
  <c r="M48" i="135"/>
  <c r="B43" i="135"/>
  <c r="B50" i="135"/>
  <c r="B47" i="135"/>
  <c r="B40" i="135"/>
  <c r="B36" i="135"/>
  <c r="B38" i="135"/>
  <c r="B37" i="135"/>
  <c r="B35" i="135"/>
  <c r="M122" i="251"/>
  <c r="M123" i="251" s="1"/>
  <c r="O6" i="251"/>
  <c r="Q6" i="251"/>
  <c r="Q54" i="251"/>
  <c r="P54" i="251"/>
  <c r="O54" i="251"/>
  <c r="N54" i="251"/>
  <c r="C25" i="118" l="1"/>
  <c r="C30" i="118"/>
  <c r="Q4" i="251"/>
  <c r="O4" i="251"/>
  <c r="T54" i="251" l="1"/>
  <c r="T6" i="251"/>
  <c r="T4" i="251" s="1"/>
  <c r="U54" i="251"/>
  <c r="U6" i="251"/>
  <c r="U4" i="251" l="1"/>
  <c r="E24" i="261" l="1"/>
  <c r="E25" i="261" s="1"/>
  <c r="A16" i="261"/>
  <c r="A15" i="261"/>
  <c r="A14" i="261"/>
  <c r="A13" i="261"/>
  <c r="A12" i="261"/>
  <c r="A11" i="261"/>
  <c r="A10" i="261"/>
  <c r="A9" i="261"/>
  <c r="A8" i="261"/>
  <c r="A7" i="261"/>
  <c r="A6" i="261"/>
  <c r="A5" i="261"/>
  <c r="K95" i="250"/>
  <c r="B95" i="250"/>
  <c r="B15" i="250" l="1"/>
  <c r="B14" i="250"/>
  <c r="B13" i="250"/>
  <c r="B12" i="250"/>
  <c r="B18" i="131" l="1"/>
  <c r="B17" i="131"/>
  <c r="C12" i="174" l="1"/>
  <c r="C14" i="174"/>
  <c r="C17" i="174"/>
  <c r="C16" i="174"/>
  <c r="C15" i="174"/>
  <c r="C13" i="174"/>
  <c r="S6" i="255"/>
  <c r="S7" i="255"/>
  <c r="S8" i="255"/>
  <c r="S9" i="255"/>
  <c r="S10" i="255"/>
  <c r="S11" i="255"/>
  <c r="S12" i="255"/>
  <c r="S13" i="255"/>
  <c r="S14" i="255"/>
  <c r="S15" i="255"/>
  <c r="S16" i="255"/>
  <c r="S17" i="255"/>
  <c r="S18" i="255"/>
  <c r="S19" i="255"/>
  <c r="S20" i="255"/>
  <c r="S21" i="255"/>
  <c r="S22" i="255"/>
  <c r="S23" i="255"/>
  <c r="S24" i="255"/>
  <c r="S25" i="255"/>
  <c r="S26" i="255"/>
  <c r="S27" i="255"/>
  <c r="S28" i="255"/>
  <c r="S29" i="255"/>
  <c r="S30" i="255"/>
  <c r="S5" i="255"/>
  <c r="BN667" i="253"/>
  <c r="BN666" i="253"/>
  <c r="BN665" i="253"/>
  <c r="BN664" i="253"/>
  <c r="BN663" i="253"/>
  <c r="BN662" i="253"/>
  <c r="BN661" i="253"/>
  <c r="BN660" i="253"/>
  <c r="BN659" i="253"/>
  <c r="BN658" i="253"/>
  <c r="BN657" i="253"/>
  <c r="BN656" i="253"/>
  <c r="BN655" i="253"/>
  <c r="BN654" i="253"/>
  <c r="BN653" i="253"/>
  <c r="BN652" i="253"/>
  <c r="BN651" i="253"/>
  <c r="BN650" i="253"/>
  <c r="BN649" i="253"/>
  <c r="BN648" i="253"/>
  <c r="BN647" i="253"/>
  <c r="BN646" i="253"/>
  <c r="BN645" i="253"/>
  <c r="BN644" i="253"/>
  <c r="BN643" i="253"/>
  <c r="BN642" i="253"/>
  <c r="BN641" i="253"/>
  <c r="BN640" i="253"/>
  <c r="BN639" i="253"/>
  <c r="BN638" i="253"/>
  <c r="BN637" i="253"/>
  <c r="BN636" i="253"/>
  <c r="BN635" i="253"/>
  <c r="BN634" i="253"/>
  <c r="BN633" i="253"/>
  <c r="BN632" i="253"/>
  <c r="BN631" i="253"/>
  <c r="BN630" i="253"/>
  <c r="BN629" i="253"/>
  <c r="BN628" i="253"/>
  <c r="BN627" i="253"/>
  <c r="BN626" i="253"/>
  <c r="BN625" i="253"/>
  <c r="BN624" i="253"/>
  <c r="BN623" i="253"/>
  <c r="BN622" i="253"/>
  <c r="BN621" i="253"/>
  <c r="BN620" i="253"/>
  <c r="BN619" i="253"/>
  <c r="BN618" i="253"/>
  <c r="BN617" i="253"/>
  <c r="BN616" i="253"/>
  <c r="BN615" i="253"/>
  <c r="BN614" i="253"/>
  <c r="BN613" i="253"/>
  <c r="BN612" i="253"/>
  <c r="BN611" i="253"/>
  <c r="BN610" i="253"/>
  <c r="BN609" i="253"/>
  <c r="BN608" i="253"/>
  <c r="BN607" i="253"/>
  <c r="BN606" i="253"/>
  <c r="BN605" i="253"/>
  <c r="BN604" i="253"/>
  <c r="BN603" i="253"/>
  <c r="BN602" i="253"/>
  <c r="BN601" i="253"/>
  <c r="BN600" i="253"/>
  <c r="BN599" i="253"/>
  <c r="BN598" i="253"/>
  <c r="BN597" i="253"/>
  <c r="BN596" i="253"/>
  <c r="BN595" i="253"/>
  <c r="BN594" i="253"/>
  <c r="BN593" i="253"/>
  <c r="BN592" i="253"/>
  <c r="BN591" i="253"/>
  <c r="BN590" i="253"/>
  <c r="BN589" i="253"/>
  <c r="BN588" i="253"/>
  <c r="BN587" i="253"/>
  <c r="BN586" i="253"/>
  <c r="BN585" i="253"/>
  <c r="BN584" i="253"/>
  <c r="BN583" i="253"/>
  <c r="BN582" i="253"/>
  <c r="BN581" i="253"/>
  <c r="BN580" i="253"/>
  <c r="BN579" i="253"/>
  <c r="BN578" i="253"/>
  <c r="BN577" i="253"/>
  <c r="BN576" i="253"/>
  <c r="BN575" i="253"/>
  <c r="BN574" i="253"/>
  <c r="BN573" i="253"/>
  <c r="BN572" i="253"/>
  <c r="BN571" i="253"/>
  <c r="BN570" i="253"/>
  <c r="BN569" i="253"/>
  <c r="BN568" i="253"/>
  <c r="BN567" i="253"/>
  <c r="BN566" i="253"/>
  <c r="BN565" i="253"/>
  <c r="BN564" i="253"/>
  <c r="BN563" i="253"/>
  <c r="BN562" i="253"/>
  <c r="BN561" i="253"/>
  <c r="BN560" i="253"/>
  <c r="BN559" i="253"/>
  <c r="BN558" i="253"/>
  <c r="BN557" i="253"/>
  <c r="BN556" i="253"/>
  <c r="BN555" i="253"/>
  <c r="BN554" i="253"/>
  <c r="BN553" i="253"/>
  <c r="BN552" i="253"/>
  <c r="BN551" i="253"/>
  <c r="BN550" i="253"/>
  <c r="BN549" i="253"/>
  <c r="BN548" i="253"/>
  <c r="BN547" i="253"/>
  <c r="BN546" i="253"/>
  <c r="BN545" i="253"/>
  <c r="BN544" i="253"/>
  <c r="BN543" i="253"/>
  <c r="BN542" i="253"/>
  <c r="BN541" i="253"/>
  <c r="BN540" i="253"/>
  <c r="BN539" i="253"/>
  <c r="BN538" i="253"/>
  <c r="BN537" i="253"/>
  <c r="BN536" i="253"/>
  <c r="BN535" i="253"/>
  <c r="BN534" i="253"/>
  <c r="BN533" i="253"/>
  <c r="BN532" i="253"/>
  <c r="BN531" i="253"/>
  <c r="BN530" i="253"/>
  <c r="BN529" i="253"/>
  <c r="BN528" i="253"/>
  <c r="BN527" i="253"/>
  <c r="BN526" i="253"/>
  <c r="BN525" i="253"/>
  <c r="BN524" i="253"/>
  <c r="BN523" i="253"/>
  <c r="BN522" i="253"/>
  <c r="BN521" i="253"/>
  <c r="BN520" i="253"/>
  <c r="BN519" i="253"/>
  <c r="BN518" i="253"/>
  <c r="BN517" i="253"/>
  <c r="BN516" i="253"/>
  <c r="BN515" i="253"/>
  <c r="BN514" i="253"/>
  <c r="BN513" i="253"/>
  <c r="BN512" i="253"/>
  <c r="BN511" i="253"/>
  <c r="BN510" i="253"/>
  <c r="BN509" i="253"/>
  <c r="BN508" i="253"/>
  <c r="BN507" i="253"/>
  <c r="BN506" i="253"/>
  <c r="BN505" i="253"/>
  <c r="BN504" i="253"/>
  <c r="BN503" i="253"/>
  <c r="BN502" i="253"/>
  <c r="BN501" i="253"/>
  <c r="BN500" i="253"/>
  <c r="BN499" i="253"/>
  <c r="BN498" i="253"/>
  <c r="BN497" i="253"/>
  <c r="BN496" i="253"/>
  <c r="BN495" i="253"/>
  <c r="BN494" i="253"/>
  <c r="BN493" i="253"/>
  <c r="BN492" i="253"/>
  <c r="BN491" i="253"/>
  <c r="BN490" i="253"/>
  <c r="BN489" i="253"/>
  <c r="BN488" i="253"/>
  <c r="BN487" i="253"/>
  <c r="BN486" i="253"/>
  <c r="BN485" i="253"/>
  <c r="BN484" i="253"/>
  <c r="BN483" i="253"/>
  <c r="BN482" i="253"/>
  <c r="BN481" i="253"/>
  <c r="BN480" i="253"/>
  <c r="BN479" i="253"/>
  <c r="BN478" i="253"/>
  <c r="BN477" i="253"/>
  <c r="BN476" i="253"/>
  <c r="BN475" i="253"/>
  <c r="BN474" i="253"/>
  <c r="BN473" i="253"/>
  <c r="BN472" i="253"/>
  <c r="BN471" i="253"/>
  <c r="BN470" i="253"/>
  <c r="BN469" i="253"/>
  <c r="BN468" i="253"/>
  <c r="BN467" i="253"/>
  <c r="BN466" i="253"/>
  <c r="BN465" i="253"/>
  <c r="BN464" i="253"/>
  <c r="BN463" i="253"/>
  <c r="BN462" i="253"/>
  <c r="BN461" i="253"/>
  <c r="BN460" i="253"/>
  <c r="BN459" i="253"/>
  <c r="BN458" i="253"/>
  <c r="BN457" i="253"/>
  <c r="BN456" i="253"/>
  <c r="BN455" i="253"/>
  <c r="BN454" i="253"/>
  <c r="BN453" i="253"/>
  <c r="BN452" i="253"/>
  <c r="BN451" i="253"/>
  <c r="BN450" i="253"/>
  <c r="BN449" i="253"/>
  <c r="BN448" i="253"/>
  <c r="BN447" i="253"/>
  <c r="BN446" i="253"/>
  <c r="BN445" i="253"/>
  <c r="BN444" i="253"/>
  <c r="BN443" i="253"/>
  <c r="BN442" i="253"/>
  <c r="BN441" i="253"/>
  <c r="BN440" i="253"/>
  <c r="BN439" i="253"/>
  <c r="BN438" i="253"/>
  <c r="BN437" i="253"/>
  <c r="BN436" i="253"/>
  <c r="BN435" i="253"/>
  <c r="BN434" i="253"/>
  <c r="BN433" i="253"/>
  <c r="BN432" i="253"/>
  <c r="BN431" i="253"/>
  <c r="BN430" i="253"/>
  <c r="BN429" i="253"/>
  <c r="BN428" i="253"/>
  <c r="BN427" i="253"/>
  <c r="BN426" i="253"/>
  <c r="BN425" i="253"/>
  <c r="BN424" i="253"/>
  <c r="BN423" i="253"/>
  <c r="BN422" i="253"/>
  <c r="BN421" i="253"/>
  <c r="BN420" i="253"/>
  <c r="BN419" i="253"/>
  <c r="BN418" i="253"/>
  <c r="BN417" i="253"/>
  <c r="BN416" i="253"/>
  <c r="BN415" i="253"/>
  <c r="BN414" i="253"/>
  <c r="BN413" i="253"/>
  <c r="BN412" i="253"/>
  <c r="BN411" i="253"/>
  <c r="BN410" i="253"/>
  <c r="BN409" i="253"/>
  <c r="BN408" i="253"/>
  <c r="BN407" i="253"/>
  <c r="BN406" i="253"/>
  <c r="BN405" i="253"/>
  <c r="BN404" i="253"/>
  <c r="BN403" i="253"/>
  <c r="BN402" i="253"/>
  <c r="BN401" i="253"/>
  <c r="BN400" i="253"/>
  <c r="BN399" i="253"/>
  <c r="BN398" i="253"/>
  <c r="BN397" i="253"/>
  <c r="BN396" i="253"/>
  <c r="BN395" i="253"/>
  <c r="BN394" i="253"/>
  <c r="BN393" i="253"/>
  <c r="BN392" i="253"/>
  <c r="BN391" i="253"/>
  <c r="BN390" i="253"/>
  <c r="BN389" i="253"/>
  <c r="BN388" i="253"/>
  <c r="BN387" i="253"/>
  <c r="BN386" i="253"/>
  <c r="BN385" i="253"/>
  <c r="BN384" i="253"/>
  <c r="BN383" i="253"/>
  <c r="BN382" i="253"/>
  <c r="BN381" i="253"/>
  <c r="BN380" i="253"/>
  <c r="BN379" i="253"/>
  <c r="BN378" i="253"/>
  <c r="BN377" i="253"/>
  <c r="BN376" i="253"/>
  <c r="BN375" i="253"/>
  <c r="BN374" i="253"/>
  <c r="BN373" i="253"/>
  <c r="BN372" i="253"/>
  <c r="BN371" i="253"/>
  <c r="BN370" i="253"/>
  <c r="BN369" i="253"/>
  <c r="BN368" i="253"/>
  <c r="BN367" i="253"/>
  <c r="BN366" i="253"/>
  <c r="BN365" i="253"/>
  <c r="BN364" i="253"/>
  <c r="BN363" i="253"/>
  <c r="BN362" i="253"/>
  <c r="BN361" i="253"/>
  <c r="BN360" i="253"/>
  <c r="BN359" i="253"/>
  <c r="BN358" i="253"/>
  <c r="BN357" i="253"/>
  <c r="BN356" i="253"/>
  <c r="BN355" i="253"/>
  <c r="BN354" i="253"/>
  <c r="BN353" i="253"/>
  <c r="BN352" i="253"/>
  <c r="BN351" i="253"/>
  <c r="BN350" i="253"/>
  <c r="BN349" i="253"/>
  <c r="BN348" i="253"/>
  <c r="BN347" i="253"/>
  <c r="BN346" i="253"/>
  <c r="BN345" i="253"/>
  <c r="BN344" i="253"/>
  <c r="BN343" i="253"/>
  <c r="BN342" i="253"/>
  <c r="BN341" i="253"/>
  <c r="BN340" i="253"/>
  <c r="BN339" i="253"/>
  <c r="BN338" i="253"/>
  <c r="BN337" i="253"/>
  <c r="BN336" i="253"/>
  <c r="BN335" i="253"/>
  <c r="BN334" i="253"/>
  <c r="BN333" i="253"/>
  <c r="BN332" i="253"/>
  <c r="BN331" i="253"/>
  <c r="BN330" i="253"/>
  <c r="BN329" i="253"/>
  <c r="BN328" i="253"/>
  <c r="BN327" i="253"/>
  <c r="BN326" i="253"/>
  <c r="BN325" i="253"/>
  <c r="BN324" i="253"/>
  <c r="BN323" i="253"/>
  <c r="BN322" i="253"/>
  <c r="BN321" i="253"/>
  <c r="BN320" i="253"/>
  <c r="BN319" i="253"/>
  <c r="BN318" i="253"/>
  <c r="BN317" i="253"/>
  <c r="BN316" i="253"/>
  <c r="BN315" i="253"/>
  <c r="BN314" i="253"/>
  <c r="BN313" i="253"/>
  <c r="BN312" i="253"/>
  <c r="BN311" i="253"/>
  <c r="BN310" i="253"/>
  <c r="BN309" i="253"/>
  <c r="BN308" i="253"/>
  <c r="BN307" i="253"/>
  <c r="BN306" i="253"/>
  <c r="BN305" i="253"/>
  <c r="BN304" i="253"/>
  <c r="BN303" i="253"/>
  <c r="BN302" i="253"/>
  <c r="BN301" i="253"/>
  <c r="BN300" i="253"/>
  <c r="BN299" i="253"/>
  <c r="BN298" i="253"/>
  <c r="BN297" i="253"/>
  <c r="BN296" i="253"/>
  <c r="BN295" i="253"/>
  <c r="BN294" i="253"/>
  <c r="BN293" i="253"/>
  <c r="BN292" i="253"/>
  <c r="BN291" i="253"/>
  <c r="BN290" i="253"/>
  <c r="BN289" i="253"/>
  <c r="BN288" i="253"/>
  <c r="BN287" i="253"/>
  <c r="BN286" i="253"/>
  <c r="BN285" i="253"/>
  <c r="BN284" i="253"/>
  <c r="BN283" i="253"/>
  <c r="BN282" i="253"/>
  <c r="BN281" i="253"/>
  <c r="BN280" i="253"/>
  <c r="BN279" i="253"/>
  <c r="BN278" i="253"/>
  <c r="BN277" i="253"/>
  <c r="BN276" i="253"/>
  <c r="BN275" i="253"/>
  <c r="BN274" i="253"/>
  <c r="BN273" i="253"/>
  <c r="BN272" i="253"/>
  <c r="BN271" i="253"/>
  <c r="BN270" i="253"/>
  <c r="BN269" i="253"/>
  <c r="BN268" i="253"/>
  <c r="BN267" i="253"/>
  <c r="BN266" i="253"/>
  <c r="BN265" i="253"/>
  <c r="BN264" i="253"/>
  <c r="BN263" i="253"/>
  <c r="BN262" i="253"/>
  <c r="BN261" i="253"/>
  <c r="BN260" i="253"/>
  <c r="BN259" i="253"/>
  <c r="BN258" i="253"/>
  <c r="BN257" i="253"/>
  <c r="BN256" i="253"/>
  <c r="BN255" i="253"/>
  <c r="BN254" i="253"/>
  <c r="BN253" i="253"/>
  <c r="BN252" i="253"/>
  <c r="BN251" i="253"/>
  <c r="BN250" i="253"/>
  <c r="BN249" i="253"/>
  <c r="BN248" i="253"/>
  <c r="BN247" i="253"/>
  <c r="BN246" i="253"/>
  <c r="BN245" i="253"/>
  <c r="BN244" i="253"/>
  <c r="BN243" i="253"/>
  <c r="BN242" i="253"/>
  <c r="BN241" i="253"/>
  <c r="BN240" i="253"/>
  <c r="BN239" i="253"/>
  <c r="BN238" i="253"/>
  <c r="BN237" i="253"/>
  <c r="BN236" i="253"/>
  <c r="BN235" i="253"/>
  <c r="BN234" i="253"/>
  <c r="BN233" i="253"/>
  <c r="BN232" i="253"/>
  <c r="BN231" i="253"/>
  <c r="BN230" i="253"/>
  <c r="BN229" i="253"/>
  <c r="BN228" i="253"/>
  <c r="BN227" i="253"/>
  <c r="BN226" i="253"/>
  <c r="BN225" i="253"/>
  <c r="BN224" i="253"/>
  <c r="BN223" i="253"/>
  <c r="BN222" i="253"/>
  <c r="BN221" i="253"/>
  <c r="BN220" i="253"/>
  <c r="BN219" i="253"/>
  <c r="BN218" i="253"/>
  <c r="BN217" i="253"/>
  <c r="BN216" i="253"/>
  <c r="BN215" i="253"/>
  <c r="BN214" i="253"/>
  <c r="BN213" i="253"/>
  <c r="BN212" i="253"/>
  <c r="BN211" i="253"/>
  <c r="BN210" i="253"/>
  <c r="BN144" i="253"/>
  <c r="BN208" i="253"/>
  <c r="BN204" i="253"/>
  <c r="BN206" i="253"/>
  <c r="BN205" i="253"/>
  <c r="BN209" i="253"/>
  <c r="BN199" i="253"/>
  <c r="BN202" i="253"/>
  <c r="BN201" i="253"/>
  <c r="BN200" i="253"/>
  <c r="BN207" i="253"/>
  <c r="BN198" i="253"/>
  <c r="BN197" i="253"/>
  <c r="BN196" i="253"/>
  <c r="BN195" i="253"/>
  <c r="BN194" i="253"/>
  <c r="BN193" i="253"/>
  <c r="BN192" i="253"/>
  <c r="BN191" i="253"/>
  <c r="BN190" i="253"/>
  <c r="BN189" i="253"/>
  <c r="BN188" i="253"/>
  <c r="BN187" i="253"/>
  <c r="BN186" i="253"/>
  <c r="BN185" i="253"/>
  <c r="BN184" i="253"/>
  <c r="BN183" i="253"/>
  <c r="BN182" i="253"/>
  <c r="BN181" i="253"/>
  <c r="BN180" i="253"/>
  <c r="BN179" i="253"/>
  <c r="BN178" i="253"/>
  <c r="BN177" i="253"/>
  <c r="BN176" i="253"/>
  <c r="BN175" i="253"/>
  <c r="BN174" i="253"/>
  <c r="BN173" i="253"/>
  <c r="BN172" i="253"/>
  <c r="BN171" i="253"/>
  <c r="BN170" i="253"/>
  <c r="BN169" i="253"/>
  <c r="BN168" i="253"/>
  <c r="BN167" i="253"/>
  <c r="BN166" i="253"/>
  <c r="BN165" i="253"/>
  <c r="BN164" i="253"/>
  <c r="BN163" i="253"/>
  <c r="BN162" i="253"/>
  <c r="BN161" i="253"/>
  <c r="BN160" i="253"/>
  <c r="BN159" i="253"/>
  <c r="BN158" i="253"/>
  <c r="BN157" i="253"/>
  <c r="BN156" i="253"/>
  <c r="BN155" i="253"/>
  <c r="BN154" i="253"/>
  <c r="BN153" i="253"/>
  <c r="BN152" i="253"/>
  <c r="BN151" i="253"/>
  <c r="BN150" i="253"/>
  <c r="BN149" i="253"/>
  <c r="BN148" i="253"/>
  <c r="BN147" i="253"/>
  <c r="BN146" i="253"/>
  <c r="BN145" i="253"/>
  <c r="BN203" i="253"/>
  <c r="BN143" i="253"/>
  <c r="BN142" i="253"/>
  <c r="BN141" i="253"/>
  <c r="BN140" i="253"/>
  <c r="BN139" i="253"/>
  <c r="BN138" i="253"/>
  <c r="BN137" i="253"/>
  <c r="BN136" i="253"/>
  <c r="BN135" i="253"/>
  <c r="BN134" i="253"/>
  <c r="BN133" i="253"/>
  <c r="BN132" i="253"/>
  <c r="BN131" i="253"/>
  <c r="BN130" i="253"/>
  <c r="BN129" i="253"/>
  <c r="BN128" i="253"/>
  <c r="BN127" i="253"/>
  <c r="BN126" i="253"/>
  <c r="BN125" i="253"/>
  <c r="BN124" i="253"/>
  <c r="BN123" i="253"/>
  <c r="BN122" i="253"/>
  <c r="BN121" i="253"/>
  <c r="BN120" i="253"/>
  <c r="BN119" i="253"/>
  <c r="BN118" i="253"/>
  <c r="BN117" i="253"/>
  <c r="BN116" i="253"/>
  <c r="BN115" i="253"/>
  <c r="BN114" i="253"/>
  <c r="BN113" i="253"/>
  <c r="BN112" i="253"/>
  <c r="BN111" i="253"/>
  <c r="BN110" i="253"/>
  <c r="BN109" i="253"/>
  <c r="BN108" i="253"/>
  <c r="BN107" i="253"/>
  <c r="BN106" i="253"/>
  <c r="BN105" i="253"/>
  <c r="BN104" i="253"/>
  <c r="BN103" i="253"/>
  <c r="BN102" i="253"/>
  <c r="BN101" i="253"/>
  <c r="BN100" i="253"/>
  <c r="BN99" i="253"/>
  <c r="BN98" i="253"/>
  <c r="BN97" i="253"/>
  <c r="BN96" i="253"/>
  <c r="BN95" i="253"/>
  <c r="BN94" i="253"/>
  <c r="BN93" i="253"/>
  <c r="BN92" i="253"/>
  <c r="BN91" i="253"/>
  <c r="BN90" i="253"/>
  <c r="BN89" i="253"/>
  <c r="BN88" i="253"/>
  <c r="BN87" i="253"/>
  <c r="BN86" i="253"/>
  <c r="BN85" i="253"/>
  <c r="BN84" i="253"/>
  <c r="BN83" i="253"/>
  <c r="BN82" i="253"/>
  <c r="BN81" i="253"/>
  <c r="BN80" i="253"/>
  <c r="BN79" i="253"/>
  <c r="BN78" i="253"/>
  <c r="BN77" i="253"/>
  <c r="BN76" i="253"/>
  <c r="BN75" i="253"/>
  <c r="BN74" i="253"/>
  <c r="BN73" i="253"/>
  <c r="BN72" i="253"/>
  <c r="BN71" i="253"/>
  <c r="BN70" i="253"/>
  <c r="BN69" i="253"/>
  <c r="BN68" i="253"/>
  <c r="BN67" i="253"/>
  <c r="BN66" i="253"/>
  <c r="BN65" i="253"/>
  <c r="BN64" i="253"/>
  <c r="BN63" i="253"/>
  <c r="BN62" i="253"/>
  <c r="BN61" i="253"/>
  <c r="BN60" i="253"/>
  <c r="BN59" i="253"/>
  <c r="BN58" i="253"/>
  <c r="BN57" i="253"/>
  <c r="BN56" i="253"/>
  <c r="BN55" i="253"/>
  <c r="BN54" i="253"/>
  <c r="BN53" i="253"/>
  <c r="BN52" i="253"/>
  <c r="BN51" i="253"/>
  <c r="BN50" i="253"/>
  <c r="BN49" i="253"/>
  <c r="BN48" i="253"/>
  <c r="BN47" i="253"/>
  <c r="BN46" i="253"/>
  <c r="BN45" i="253"/>
  <c r="BN44" i="253"/>
  <c r="BN43" i="253"/>
  <c r="BN42" i="253"/>
  <c r="BN41" i="253"/>
  <c r="BN40" i="253"/>
  <c r="BN39" i="253"/>
  <c r="BN38" i="253"/>
  <c r="BN37" i="253"/>
  <c r="BN36" i="253"/>
  <c r="BN35" i="253"/>
  <c r="BN34" i="253"/>
  <c r="BN33" i="253"/>
  <c r="BN32" i="253"/>
  <c r="BN31" i="253"/>
  <c r="BN30" i="253"/>
  <c r="BN29" i="253"/>
  <c r="BN28" i="253"/>
  <c r="BN27" i="253"/>
  <c r="BN26" i="253"/>
  <c r="BN25" i="253"/>
  <c r="BN24" i="253"/>
  <c r="BN23" i="253"/>
  <c r="BN22" i="253"/>
  <c r="BN21" i="253"/>
  <c r="BN20" i="253"/>
  <c r="BN19" i="253"/>
  <c r="BN18" i="253"/>
  <c r="BN17" i="253"/>
  <c r="BN16" i="253"/>
  <c r="BN15" i="253"/>
  <c r="BN14" i="253"/>
  <c r="BN13" i="253"/>
  <c r="BN12" i="253"/>
  <c r="BN11" i="253"/>
  <c r="BN10" i="253"/>
  <c r="BN9" i="253"/>
  <c r="BN8" i="253"/>
  <c r="BN7" i="253"/>
  <c r="BN6" i="253"/>
  <c r="BN5" i="253"/>
  <c r="M6" i="255"/>
  <c r="M7" i="255"/>
  <c r="M8" i="255"/>
  <c r="M9" i="255"/>
  <c r="M10" i="255"/>
  <c r="M11" i="255"/>
  <c r="M12" i="255"/>
  <c r="M13" i="255"/>
  <c r="M14" i="255"/>
  <c r="M15" i="255"/>
  <c r="M16" i="255"/>
  <c r="M17" i="255"/>
  <c r="M18" i="255"/>
  <c r="M19" i="255"/>
  <c r="M20" i="255"/>
  <c r="M21" i="255"/>
  <c r="M22" i="255"/>
  <c r="M23" i="255"/>
  <c r="M24" i="255"/>
  <c r="M25" i="255"/>
  <c r="M26" i="255"/>
  <c r="M27" i="255"/>
  <c r="M28" i="255"/>
  <c r="M29" i="255"/>
  <c r="M30" i="255"/>
  <c r="M5" i="255"/>
  <c r="BO6" i="253"/>
  <c r="BO7" i="253"/>
  <c r="BO8" i="253"/>
  <c r="BO9" i="253"/>
  <c r="BO10" i="253"/>
  <c r="BO11" i="253"/>
  <c r="BO12" i="253"/>
  <c r="BO13" i="253"/>
  <c r="BO14" i="253"/>
  <c r="BO15" i="253"/>
  <c r="BO16" i="253"/>
  <c r="BO17" i="253"/>
  <c r="BO18" i="253"/>
  <c r="BO19" i="253"/>
  <c r="BO20" i="253"/>
  <c r="BO21" i="253"/>
  <c r="BO22" i="253"/>
  <c r="BO23" i="253"/>
  <c r="BO24" i="253"/>
  <c r="BO25" i="253"/>
  <c r="BO26" i="253"/>
  <c r="BO27" i="253"/>
  <c r="BO28" i="253"/>
  <c r="BO29" i="253"/>
  <c r="BO30" i="253"/>
  <c r="BO31" i="253"/>
  <c r="BO32" i="253"/>
  <c r="BO33" i="253"/>
  <c r="BO34" i="253"/>
  <c r="BO35" i="253"/>
  <c r="BO36" i="253"/>
  <c r="BO37" i="253"/>
  <c r="BO38" i="253"/>
  <c r="BO39" i="253"/>
  <c r="BO40" i="253"/>
  <c r="BO41" i="253"/>
  <c r="BO42" i="253"/>
  <c r="BO43" i="253"/>
  <c r="BO44" i="253"/>
  <c r="BO45" i="253"/>
  <c r="BO46" i="253"/>
  <c r="BO47" i="253"/>
  <c r="BO48" i="253"/>
  <c r="BO49" i="253"/>
  <c r="BO50" i="253"/>
  <c r="BO51" i="253"/>
  <c r="BO52" i="253"/>
  <c r="BO53" i="253"/>
  <c r="BO54" i="253"/>
  <c r="BO55" i="253"/>
  <c r="BO56" i="253"/>
  <c r="BO57" i="253"/>
  <c r="BO58" i="253"/>
  <c r="BO59" i="253"/>
  <c r="BO60" i="253"/>
  <c r="BO61" i="253"/>
  <c r="BO62" i="253"/>
  <c r="BO63" i="253"/>
  <c r="BO64" i="253"/>
  <c r="BO65" i="253"/>
  <c r="BO66" i="253"/>
  <c r="BO67" i="253"/>
  <c r="BO68" i="253"/>
  <c r="BO69" i="253"/>
  <c r="BO70" i="253"/>
  <c r="BO71" i="253"/>
  <c r="BO72" i="253"/>
  <c r="BO73" i="253"/>
  <c r="BO74" i="253"/>
  <c r="BO75" i="253"/>
  <c r="BO76" i="253"/>
  <c r="BO77" i="253"/>
  <c r="BO78" i="253"/>
  <c r="BO79" i="253"/>
  <c r="BO80" i="253"/>
  <c r="BO81" i="253"/>
  <c r="BO82" i="253"/>
  <c r="BO83" i="253"/>
  <c r="BO84" i="253"/>
  <c r="BO85" i="253"/>
  <c r="BO86" i="253"/>
  <c r="BO87" i="253"/>
  <c r="BO88" i="253"/>
  <c r="BO89" i="253"/>
  <c r="BO90" i="253"/>
  <c r="BO91" i="253"/>
  <c r="BO92" i="253"/>
  <c r="BO93" i="253"/>
  <c r="BO94" i="253"/>
  <c r="BO95" i="253"/>
  <c r="BO96" i="253"/>
  <c r="BO97" i="253"/>
  <c r="BO98" i="253"/>
  <c r="BO99" i="253"/>
  <c r="BO100" i="253"/>
  <c r="BO101" i="253"/>
  <c r="BO102" i="253"/>
  <c r="BO103" i="253"/>
  <c r="BO104" i="253"/>
  <c r="BO105" i="253"/>
  <c r="BO106" i="253"/>
  <c r="BO107" i="253"/>
  <c r="BO108" i="253"/>
  <c r="BO109" i="253"/>
  <c r="BO110" i="253"/>
  <c r="BO111" i="253"/>
  <c r="BO112" i="253"/>
  <c r="BO113" i="253"/>
  <c r="BO114" i="253"/>
  <c r="BO115" i="253"/>
  <c r="BO116" i="253"/>
  <c r="BO117" i="253"/>
  <c r="BO118" i="253"/>
  <c r="BO119" i="253"/>
  <c r="BO120" i="253"/>
  <c r="BO121" i="253"/>
  <c r="BO122" i="253"/>
  <c r="BO123" i="253"/>
  <c r="BO124" i="253"/>
  <c r="BO125" i="253"/>
  <c r="BO126" i="253"/>
  <c r="BO127" i="253"/>
  <c r="BO128" i="253"/>
  <c r="BO129" i="253"/>
  <c r="BO130" i="253"/>
  <c r="BO131" i="253"/>
  <c r="BO132" i="253"/>
  <c r="BO133" i="253"/>
  <c r="BO134" i="253"/>
  <c r="BO135" i="253"/>
  <c r="BO136" i="253"/>
  <c r="BO137" i="253"/>
  <c r="BO138" i="253"/>
  <c r="BO139" i="253"/>
  <c r="BO140" i="253"/>
  <c r="BO141" i="253"/>
  <c r="BO142" i="253"/>
  <c r="BO143" i="253"/>
  <c r="BO203" i="253"/>
  <c r="BO145" i="253"/>
  <c r="BO146" i="253"/>
  <c r="BO147" i="253"/>
  <c r="BO148" i="253"/>
  <c r="BO149" i="253"/>
  <c r="BO150" i="253"/>
  <c r="BO151" i="253"/>
  <c r="BO152" i="253"/>
  <c r="BO153" i="253"/>
  <c r="BO154" i="253"/>
  <c r="BO155" i="253"/>
  <c r="BO156" i="253"/>
  <c r="BO157" i="253"/>
  <c r="BO158" i="253"/>
  <c r="BO159" i="253"/>
  <c r="BO160" i="253"/>
  <c r="BO161" i="253"/>
  <c r="BO162" i="253"/>
  <c r="BO163" i="253"/>
  <c r="BO164" i="253"/>
  <c r="BO165" i="253"/>
  <c r="BO166" i="253"/>
  <c r="BO167" i="253"/>
  <c r="BO168" i="253"/>
  <c r="BO169" i="253"/>
  <c r="BO170" i="253"/>
  <c r="BO171" i="253"/>
  <c r="BO172" i="253"/>
  <c r="BO173" i="253"/>
  <c r="BO174" i="253"/>
  <c r="BO175" i="253"/>
  <c r="BO176" i="253"/>
  <c r="BO177" i="253"/>
  <c r="BO178" i="253"/>
  <c r="BO179" i="253"/>
  <c r="BO180" i="253"/>
  <c r="BO181" i="253"/>
  <c r="BO182" i="253"/>
  <c r="BO183" i="253"/>
  <c r="BO184" i="253"/>
  <c r="BO185" i="253"/>
  <c r="BO186" i="253"/>
  <c r="BO187" i="253"/>
  <c r="BO188" i="253"/>
  <c r="BO189" i="253"/>
  <c r="BO190" i="253"/>
  <c r="BO191" i="253"/>
  <c r="BO192" i="253"/>
  <c r="BO193" i="253"/>
  <c r="BO194" i="253"/>
  <c r="BO195" i="253"/>
  <c r="BO196" i="253"/>
  <c r="BO197" i="253"/>
  <c r="BO198" i="253"/>
  <c r="BO207" i="253"/>
  <c r="BO200" i="253"/>
  <c r="BO201" i="253"/>
  <c r="BO202" i="253"/>
  <c r="BO199" i="253"/>
  <c r="BO209" i="253"/>
  <c r="BO205" i="253"/>
  <c r="BO206" i="253"/>
  <c r="BO204" i="253"/>
  <c r="BO208" i="253"/>
  <c r="BO144" i="253"/>
  <c r="BO210" i="253"/>
  <c r="BO211" i="253"/>
  <c r="BO212" i="253"/>
  <c r="BO213" i="253"/>
  <c r="BO214" i="253"/>
  <c r="BO215" i="253"/>
  <c r="BO216" i="253"/>
  <c r="BO217" i="253"/>
  <c r="BO218" i="253"/>
  <c r="BO219" i="253"/>
  <c r="BO220" i="253"/>
  <c r="BO221" i="253"/>
  <c r="BO222" i="253"/>
  <c r="BO223" i="253"/>
  <c r="BO224" i="253"/>
  <c r="BO225" i="253"/>
  <c r="BO226" i="253"/>
  <c r="BO227" i="253"/>
  <c r="BO228" i="253"/>
  <c r="BO229" i="253"/>
  <c r="BO230" i="253"/>
  <c r="BO231" i="253"/>
  <c r="BO232" i="253"/>
  <c r="BO233" i="253"/>
  <c r="BO234" i="253"/>
  <c r="BO235" i="253"/>
  <c r="BO236" i="253"/>
  <c r="BO237" i="253"/>
  <c r="BO238" i="253"/>
  <c r="BO239" i="253"/>
  <c r="BO240" i="253"/>
  <c r="BO241" i="253"/>
  <c r="BO242" i="253"/>
  <c r="BO243" i="253"/>
  <c r="BO244" i="253"/>
  <c r="BO245" i="253"/>
  <c r="BO246" i="253"/>
  <c r="BO247" i="253"/>
  <c r="BO248" i="253"/>
  <c r="BO249" i="253"/>
  <c r="BO250" i="253"/>
  <c r="BO251" i="253"/>
  <c r="BO252" i="253"/>
  <c r="BO253" i="253"/>
  <c r="BO254" i="253"/>
  <c r="BO255" i="253"/>
  <c r="BO256" i="253"/>
  <c r="BO257" i="253"/>
  <c r="BO258" i="253"/>
  <c r="BO259" i="253"/>
  <c r="BO260" i="253"/>
  <c r="BO261" i="253"/>
  <c r="BO262" i="253"/>
  <c r="BO263" i="253"/>
  <c r="BO264" i="253"/>
  <c r="BO265" i="253"/>
  <c r="BO266" i="253"/>
  <c r="BO267" i="253"/>
  <c r="BO268" i="253"/>
  <c r="BO269" i="253"/>
  <c r="BO270" i="253"/>
  <c r="BO271" i="253"/>
  <c r="BO272" i="253"/>
  <c r="BO273" i="253"/>
  <c r="BO274" i="253"/>
  <c r="BO275" i="253"/>
  <c r="BO276" i="253"/>
  <c r="BO277" i="253"/>
  <c r="BO278" i="253"/>
  <c r="BO279" i="253"/>
  <c r="BO280" i="253"/>
  <c r="BO281" i="253"/>
  <c r="BO282" i="253"/>
  <c r="BO283" i="253"/>
  <c r="BO284" i="253"/>
  <c r="BO285" i="253"/>
  <c r="BO286" i="253"/>
  <c r="BO287" i="253"/>
  <c r="BO288" i="253"/>
  <c r="BO289" i="253"/>
  <c r="BO290" i="253"/>
  <c r="BO291" i="253"/>
  <c r="BO292" i="253"/>
  <c r="BO293" i="253"/>
  <c r="BO294" i="253"/>
  <c r="BO295" i="253"/>
  <c r="BO296" i="253"/>
  <c r="BO297" i="253"/>
  <c r="BO298" i="253"/>
  <c r="BO299" i="253"/>
  <c r="BO300" i="253"/>
  <c r="BO301" i="253"/>
  <c r="BO302" i="253"/>
  <c r="BO303" i="253"/>
  <c r="BO304" i="253"/>
  <c r="BO305" i="253"/>
  <c r="BO306" i="253"/>
  <c r="BO307" i="253"/>
  <c r="BO308" i="253"/>
  <c r="BO309" i="253"/>
  <c r="BO310" i="253"/>
  <c r="BO311" i="253"/>
  <c r="BO312" i="253"/>
  <c r="BO313" i="253"/>
  <c r="BO314" i="253"/>
  <c r="BO315" i="253"/>
  <c r="BO316" i="253"/>
  <c r="BO317" i="253"/>
  <c r="BO318" i="253"/>
  <c r="BO319" i="253"/>
  <c r="BO320" i="253"/>
  <c r="BO321" i="253"/>
  <c r="BO322" i="253"/>
  <c r="BO323" i="253"/>
  <c r="BO324" i="253"/>
  <c r="BO325" i="253"/>
  <c r="BO326" i="253"/>
  <c r="BO327" i="253"/>
  <c r="BO328" i="253"/>
  <c r="BO329" i="253"/>
  <c r="BO330" i="253"/>
  <c r="BO331" i="253"/>
  <c r="BO332" i="253"/>
  <c r="BO333" i="253"/>
  <c r="BO334" i="253"/>
  <c r="BO335" i="253"/>
  <c r="BO336" i="253"/>
  <c r="BO337" i="253"/>
  <c r="BO338" i="253"/>
  <c r="BO339" i="253"/>
  <c r="BO340" i="253"/>
  <c r="BO341" i="253"/>
  <c r="BO342" i="253"/>
  <c r="BO343" i="253"/>
  <c r="BO344" i="253"/>
  <c r="BO345" i="253"/>
  <c r="BO346" i="253"/>
  <c r="BO347" i="253"/>
  <c r="BO348" i="253"/>
  <c r="BO349" i="253"/>
  <c r="BO350" i="253"/>
  <c r="BO351" i="253"/>
  <c r="BO352" i="253"/>
  <c r="BO353" i="253"/>
  <c r="BO354" i="253"/>
  <c r="BO355" i="253"/>
  <c r="BO356" i="253"/>
  <c r="BO357" i="253"/>
  <c r="BO358" i="253"/>
  <c r="BO359" i="253"/>
  <c r="BO360" i="253"/>
  <c r="BO361" i="253"/>
  <c r="BO362" i="253"/>
  <c r="BO363" i="253"/>
  <c r="BO364" i="253"/>
  <c r="BO365" i="253"/>
  <c r="BO366" i="253"/>
  <c r="BO367" i="253"/>
  <c r="BO368" i="253"/>
  <c r="BO369" i="253"/>
  <c r="BO370" i="253"/>
  <c r="BO371" i="253"/>
  <c r="BO372" i="253"/>
  <c r="BO373" i="253"/>
  <c r="BO374" i="253"/>
  <c r="BO375" i="253"/>
  <c r="BO376" i="253"/>
  <c r="BO377" i="253"/>
  <c r="BO378" i="253"/>
  <c r="BO379" i="253"/>
  <c r="BO380" i="253"/>
  <c r="BO381" i="253"/>
  <c r="BO382" i="253"/>
  <c r="BO383" i="253"/>
  <c r="BO384" i="253"/>
  <c r="BO385" i="253"/>
  <c r="BO386" i="253"/>
  <c r="BO387" i="253"/>
  <c r="BO388" i="253"/>
  <c r="BO389" i="253"/>
  <c r="BO390" i="253"/>
  <c r="BO391" i="253"/>
  <c r="BO392" i="253"/>
  <c r="BO393" i="253"/>
  <c r="BO394" i="253"/>
  <c r="BO395" i="253"/>
  <c r="BO396" i="253"/>
  <c r="BO397" i="253"/>
  <c r="BO398" i="253"/>
  <c r="BO399" i="253"/>
  <c r="BO400" i="253"/>
  <c r="BO401" i="253"/>
  <c r="BO402" i="253"/>
  <c r="BO403" i="253"/>
  <c r="BO404" i="253"/>
  <c r="BO405" i="253"/>
  <c r="BO406" i="253"/>
  <c r="BO407" i="253"/>
  <c r="BO408" i="253"/>
  <c r="BO409" i="253"/>
  <c r="BO410" i="253"/>
  <c r="BO411" i="253"/>
  <c r="BO412" i="253"/>
  <c r="BO413" i="253"/>
  <c r="BO414" i="253"/>
  <c r="BO415" i="253"/>
  <c r="BO416" i="253"/>
  <c r="BO417" i="253"/>
  <c r="BO418" i="253"/>
  <c r="BO419" i="253"/>
  <c r="BO420" i="253"/>
  <c r="BO421" i="253"/>
  <c r="BO422" i="253"/>
  <c r="BO423" i="253"/>
  <c r="BO424" i="253"/>
  <c r="BO425" i="253"/>
  <c r="BO426" i="253"/>
  <c r="BO427" i="253"/>
  <c r="BO428" i="253"/>
  <c r="BO429" i="253"/>
  <c r="BO430" i="253"/>
  <c r="BO431" i="253"/>
  <c r="BO432" i="253"/>
  <c r="BO433" i="253"/>
  <c r="BO434" i="253"/>
  <c r="BO435" i="253"/>
  <c r="BO436" i="253"/>
  <c r="BO437" i="253"/>
  <c r="BO438" i="253"/>
  <c r="BO439" i="253"/>
  <c r="BO440" i="253"/>
  <c r="BO441" i="253"/>
  <c r="BO442" i="253"/>
  <c r="BO443" i="253"/>
  <c r="BO444" i="253"/>
  <c r="BO445" i="253"/>
  <c r="BO446" i="253"/>
  <c r="BO447" i="253"/>
  <c r="BO448" i="253"/>
  <c r="BO449" i="253"/>
  <c r="BO450" i="253"/>
  <c r="BO451" i="253"/>
  <c r="BO452" i="253"/>
  <c r="BO453" i="253"/>
  <c r="BO454" i="253"/>
  <c r="BO455" i="253"/>
  <c r="BO456" i="253"/>
  <c r="BO457" i="253"/>
  <c r="BO458" i="253"/>
  <c r="BO459" i="253"/>
  <c r="BO460" i="253"/>
  <c r="BO461" i="253"/>
  <c r="BO462" i="253"/>
  <c r="BO463" i="253"/>
  <c r="BO464" i="253"/>
  <c r="BO465" i="253"/>
  <c r="BO466" i="253"/>
  <c r="BO467" i="253"/>
  <c r="BO468" i="253"/>
  <c r="BO469" i="253"/>
  <c r="BO470" i="253"/>
  <c r="BO471" i="253"/>
  <c r="BO472" i="253"/>
  <c r="BO473" i="253"/>
  <c r="BO474" i="253"/>
  <c r="BO475" i="253"/>
  <c r="BO476" i="253"/>
  <c r="BO477" i="253"/>
  <c r="BO478" i="253"/>
  <c r="BO479" i="253"/>
  <c r="BO480" i="253"/>
  <c r="BO481" i="253"/>
  <c r="BO482" i="253"/>
  <c r="BO483" i="253"/>
  <c r="BO484" i="253"/>
  <c r="BO485" i="253"/>
  <c r="BO486" i="253"/>
  <c r="BO487" i="253"/>
  <c r="BO488" i="253"/>
  <c r="BO489" i="253"/>
  <c r="BO490" i="253"/>
  <c r="BO491" i="253"/>
  <c r="BO492" i="253"/>
  <c r="BO493" i="253"/>
  <c r="BO494" i="253"/>
  <c r="BO495" i="253"/>
  <c r="BO496" i="253"/>
  <c r="BO497" i="253"/>
  <c r="BO498" i="253"/>
  <c r="BO499" i="253"/>
  <c r="BO500" i="253"/>
  <c r="BO501" i="253"/>
  <c r="BO502" i="253"/>
  <c r="BO503" i="253"/>
  <c r="BO504" i="253"/>
  <c r="BO505" i="253"/>
  <c r="BO506" i="253"/>
  <c r="BO507" i="253"/>
  <c r="BO508" i="253"/>
  <c r="BO509" i="253"/>
  <c r="BO510" i="253"/>
  <c r="BO511" i="253"/>
  <c r="BO512" i="253"/>
  <c r="BO513" i="253"/>
  <c r="BO514" i="253"/>
  <c r="BO515" i="253"/>
  <c r="BO516" i="253"/>
  <c r="BO517" i="253"/>
  <c r="BO518" i="253"/>
  <c r="BO519" i="253"/>
  <c r="BO520" i="253"/>
  <c r="BO521" i="253"/>
  <c r="BO522" i="253"/>
  <c r="BO523" i="253"/>
  <c r="BO524" i="253"/>
  <c r="BO525" i="253"/>
  <c r="BO526" i="253"/>
  <c r="BO527" i="253"/>
  <c r="BO528" i="253"/>
  <c r="BO529" i="253"/>
  <c r="BO530" i="253"/>
  <c r="BO531" i="253"/>
  <c r="BO532" i="253"/>
  <c r="BO533" i="253"/>
  <c r="BO534" i="253"/>
  <c r="BO535" i="253"/>
  <c r="BO536" i="253"/>
  <c r="BO537" i="253"/>
  <c r="BO538" i="253"/>
  <c r="BO539" i="253"/>
  <c r="BO540" i="253"/>
  <c r="BO541" i="253"/>
  <c r="BO542" i="253"/>
  <c r="BO543" i="253"/>
  <c r="BO544" i="253"/>
  <c r="BO545" i="253"/>
  <c r="BO546" i="253"/>
  <c r="BO547" i="253"/>
  <c r="BO548" i="253"/>
  <c r="BO549" i="253"/>
  <c r="BO550" i="253"/>
  <c r="BO551" i="253"/>
  <c r="BO552" i="253"/>
  <c r="BO553" i="253"/>
  <c r="BO554" i="253"/>
  <c r="BO555" i="253"/>
  <c r="BO556" i="253"/>
  <c r="BO557" i="253"/>
  <c r="BO558" i="253"/>
  <c r="BO559" i="253"/>
  <c r="BO560" i="253"/>
  <c r="BO561" i="253"/>
  <c r="BO562" i="253"/>
  <c r="BO563" i="253"/>
  <c r="BO564" i="253"/>
  <c r="BO565" i="253"/>
  <c r="BO566" i="253"/>
  <c r="BO567" i="253"/>
  <c r="BO568" i="253"/>
  <c r="BO569" i="253"/>
  <c r="BO570" i="253"/>
  <c r="BO571" i="253"/>
  <c r="BO572" i="253"/>
  <c r="BO573" i="253"/>
  <c r="BO574" i="253"/>
  <c r="BO575" i="253"/>
  <c r="BO576" i="253"/>
  <c r="BO577" i="253"/>
  <c r="BO578" i="253"/>
  <c r="BO579" i="253"/>
  <c r="BO580" i="253"/>
  <c r="BO581" i="253"/>
  <c r="BO582" i="253"/>
  <c r="BO583" i="253"/>
  <c r="BO584" i="253"/>
  <c r="BO585" i="253"/>
  <c r="BO586" i="253"/>
  <c r="BO587" i="253"/>
  <c r="BO588" i="253"/>
  <c r="BO589" i="253"/>
  <c r="BO590" i="253"/>
  <c r="BO591" i="253"/>
  <c r="BO592" i="253"/>
  <c r="BO593" i="253"/>
  <c r="BO594" i="253"/>
  <c r="BO595" i="253"/>
  <c r="BO596" i="253"/>
  <c r="BO597" i="253"/>
  <c r="BO598" i="253"/>
  <c r="BO599" i="253"/>
  <c r="BO600" i="253"/>
  <c r="BO601" i="253"/>
  <c r="BO602" i="253"/>
  <c r="BO603" i="253"/>
  <c r="BO604" i="253"/>
  <c r="BO605" i="253"/>
  <c r="BO606" i="253"/>
  <c r="BO607" i="253"/>
  <c r="BO608" i="253"/>
  <c r="BO609" i="253"/>
  <c r="BO610" i="253"/>
  <c r="BO611" i="253"/>
  <c r="BO612" i="253"/>
  <c r="BO613" i="253"/>
  <c r="BO614" i="253"/>
  <c r="BO615" i="253"/>
  <c r="BO616" i="253"/>
  <c r="BO617" i="253"/>
  <c r="BO618" i="253"/>
  <c r="BO619" i="253"/>
  <c r="BO620" i="253"/>
  <c r="BO621" i="253"/>
  <c r="BO622" i="253"/>
  <c r="BO623" i="253"/>
  <c r="BO624" i="253"/>
  <c r="BO625" i="253"/>
  <c r="BO626" i="253"/>
  <c r="BO627" i="253"/>
  <c r="BO628" i="253"/>
  <c r="BO629" i="253"/>
  <c r="BO630" i="253"/>
  <c r="BO631" i="253"/>
  <c r="BO632" i="253"/>
  <c r="BO633" i="253"/>
  <c r="BO634" i="253"/>
  <c r="BO635" i="253"/>
  <c r="BO636" i="253"/>
  <c r="BO637" i="253"/>
  <c r="BO638" i="253"/>
  <c r="BO639" i="253"/>
  <c r="BO640" i="253"/>
  <c r="BO641" i="253"/>
  <c r="BO642" i="253"/>
  <c r="BO643" i="253"/>
  <c r="BO644" i="253"/>
  <c r="BO645" i="253"/>
  <c r="BO646" i="253"/>
  <c r="BO647" i="253"/>
  <c r="BO648" i="253"/>
  <c r="BO649" i="253"/>
  <c r="BO650" i="253"/>
  <c r="BO651" i="253"/>
  <c r="BO652" i="253"/>
  <c r="BO653" i="253"/>
  <c r="BO654" i="253"/>
  <c r="BO655" i="253"/>
  <c r="BO656" i="253"/>
  <c r="BO657" i="253"/>
  <c r="BO658" i="253"/>
  <c r="BO659" i="253"/>
  <c r="BO660" i="253"/>
  <c r="BO661" i="253"/>
  <c r="BO662" i="253"/>
  <c r="BO663" i="253"/>
  <c r="BO664" i="253"/>
  <c r="BO665" i="253"/>
  <c r="BO666" i="253"/>
  <c r="BO667" i="253"/>
  <c r="BO5" i="253"/>
  <c r="A30" i="255"/>
  <c r="A29" i="255"/>
  <c r="A28" i="255"/>
  <c r="A27" i="255"/>
  <c r="A26" i="255"/>
  <c r="A25" i="255"/>
  <c r="A24" i="255"/>
  <c r="A23" i="255"/>
  <c r="A22" i="255"/>
  <c r="A21" i="255"/>
  <c r="A20" i="255"/>
  <c r="A19" i="255"/>
  <c r="A18" i="255"/>
  <c r="A17" i="255"/>
  <c r="A16" i="255"/>
  <c r="A15" i="255"/>
  <c r="A14" i="255"/>
  <c r="A13" i="255"/>
  <c r="A12" i="255"/>
  <c r="A11" i="255"/>
  <c r="A10" i="255"/>
  <c r="A9" i="255"/>
  <c r="A8" i="255"/>
  <c r="A7" i="255"/>
  <c r="A6" i="255"/>
  <c r="A5" i="255"/>
  <c r="K243" i="250"/>
  <c r="K242" i="250"/>
  <c r="K241" i="250"/>
  <c r="B243" i="250"/>
  <c r="B242" i="250"/>
  <c r="HF30" i="135"/>
  <c r="HE30" i="135"/>
  <c r="HD30" i="135"/>
  <c r="HC30" i="135"/>
  <c r="HB30" i="135"/>
  <c r="CS30" i="135"/>
  <c r="CJ30" i="135"/>
  <c r="CI30" i="135"/>
  <c r="B33" i="135"/>
  <c r="B32" i="135"/>
  <c r="B31" i="135"/>
  <c r="L38" i="251" l="1"/>
  <c r="L37" i="251" s="1"/>
  <c r="L50" i="251"/>
  <c r="L45" i="251"/>
  <c r="L32" i="251"/>
  <c r="L27" i="251"/>
  <c r="K27" i="251"/>
  <c r="K37" i="251"/>
  <c r="K38" i="251" s="1"/>
  <c r="B147" i="250"/>
  <c r="B146" i="250"/>
  <c r="B145" i="250"/>
  <c r="B144" i="250"/>
  <c r="B143" i="250"/>
  <c r="B142" i="250"/>
  <c r="B141" i="250"/>
  <c r="B140" i="250"/>
  <c r="B139" i="250"/>
  <c r="B138" i="250"/>
  <c r="B137" i="250"/>
  <c r="K145" i="250"/>
  <c r="L145" i="250" s="1"/>
  <c r="K144" i="250"/>
  <c r="L144" i="250" s="1"/>
  <c r="K143" i="250"/>
  <c r="L143" i="250" s="1"/>
  <c r="K142" i="250"/>
  <c r="L142" i="250" s="1"/>
  <c r="K141" i="250"/>
  <c r="L141" i="250" s="1"/>
  <c r="K140" i="250"/>
  <c r="L140" i="250" s="1"/>
  <c r="K139" i="250"/>
  <c r="L139" i="250" s="1"/>
  <c r="K138" i="250"/>
  <c r="L138" i="250" s="1"/>
  <c r="K137" i="250"/>
  <c r="L137" i="250" s="1"/>
  <c r="Z56" i="251" l="1"/>
  <c r="V5" i="251"/>
  <c r="W5" i="251"/>
  <c r="X5" i="251"/>
  <c r="Y5" i="251"/>
  <c r="V6" i="251"/>
  <c r="X6" i="251"/>
  <c r="V7" i="251"/>
  <c r="W7" i="251"/>
  <c r="X7" i="251"/>
  <c r="Y7" i="251"/>
  <c r="V8" i="251"/>
  <c r="W8" i="251"/>
  <c r="X8" i="251"/>
  <c r="Y8" i="251"/>
  <c r="V9" i="251"/>
  <c r="W9" i="251"/>
  <c r="X9" i="251"/>
  <c r="Y9" i="251"/>
  <c r="V10" i="251"/>
  <c r="W10" i="251"/>
  <c r="X10" i="251"/>
  <c r="Y10" i="251"/>
  <c r="V11" i="251"/>
  <c r="W11" i="251"/>
  <c r="X11" i="251"/>
  <c r="Y11" i="251"/>
  <c r="V12" i="251"/>
  <c r="W12" i="251"/>
  <c r="X12" i="251"/>
  <c r="Y12" i="251"/>
  <c r="V13" i="251"/>
  <c r="W13" i="251"/>
  <c r="X13" i="251"/>
  <c r="Y13" i="251"/>
  <c r="V14" i="251"/>
  <c r="W14" i="251"/>
  <c r="X14" i="251"/>
  <c r="Y14" i="251"/>
  <c r="V15" i="251"/>
  <c r="W15" i="251"/>
  <c r="X15" i="251"/>
  <c r="Y15" i="251"/>
  <c r="V16" i="251"/>
  <c r="W16" i="251"/>
  <c r="X16" i="251"/>
  <c r="Y16" i="251"/>
  <c r="V17" i="251"/>
  <c r="W17" i="251"/>
  <c r="X17" i="251"/>
  <c r="Y17" i="251"/>
  <c r="V18" i="251"/>
  <c r="W18" i="251"/>
  <c r="X18" i="251"/>
  <c r="Y18" i="251"/>
  <c r="V19" i="251"/>
  <c r="W19" i="251"/>
  <c r="X19" i="251"/>
  <c r="Y19" i="251"/>
  <c r="V20" i="251"/>
  <c r="W20" i="251"/>
  <c r="X20" i="251"/>
  <c r="Y20" i="251"/>
  <c r="V21" i="251"/>
  <c r="W21" i="251"/>
  <c r="X21" i="251"/>
  <c r="Y21" i="251"/>
  <c r="V22" i="251"/>
  <c r="W22" i="251"/>
  <c r="X22" i="251"/>
  <c r="Y22" i="251"/>
  <c r="V23" i="251"/>
  <c r="W23" i="251"/>
  <c r="X23" i="251"/>
  <c r="Y23" i="251"/>
  <c r="V24" i="251"/>
  <c r="W24" i="251"/>
  <c r="X24" i="251"/>
  <c r="Y24" i="251"/>
  <c r="V25" i="251"/>
  <c r="W25" i="251"/>
  <c r="X25" i="251"/>
  <c r="Y25" i="251"/>
  <c r="V26" i="251"/>
  <c r="W26" i="251"/>
  <c r="X26" i="251"/>
  <c r="Y26" i="251"/>
  <c r="W27" i="251"/>
  <c r="Y27" i="251"/>
  <c r="V28" i="251"/>
  <c r="W28" i="251"/>
  <c r="X28" i="251"/>
  <c r="Y28" i="251"/>
  <c r="V29" i="251"/>
  <c r="W29" i="251"/>
  <c r="X29" i="251"/>
  <c r="Y29" i="251"/>
  <c r="V30" i="251"/>
  <c r="W30" i="251"/>
  <c r="X30" i="251"/>
  <c r="Y30" i="251"/>
  <c r="V31" i="251"/>
  <c r="W31" i="251"/>
  <c r="X31" i="251"/>
  <c r="Y31" i="251"/>
  <c r="W32" i="251"/>
  <c r="Y32" i="251"/>
  <c r="V33" i="251"/>
  <c r="W33" i="251"/>
  <c r="X33" i="251"/>
  <c r="Y33" i="251"/>
  <c r="V34" i="251"/>
  <c r="W34" i="251"/>
  <c r="X34" i="251"/>
  <c r="Y34" i="251"/>
  <c r="V35" i="251"/>
  <c r="W35" i="251"/>
  <c r="X35" i="251"/>
  <c r="Y35" i="251"/>
  <c r="V36" i="251"/>
  <c r="W36" i="251"/>
  <c r="X36" i="251"/>
  <c r="Y36" i="251"/>
  <c r="V37" i="251"/>
  <c r="W37" i="251"/>
  <c r="X37" i="251"/>
  <c r="Y37" i="251"/>
  <c r="W38" i="251"/>
  <c r="Y38" i="251"/>
  <c r="V39" i="251"/>
  <c r="W39" i="251"/>
  <c r="X39" i="251"/>
  <c r="Y39" i="251"/>
  <c r="V40" i="251"/>
  <c r="W40" i="251"/>
  <c r="X40" i="251"/>
  <c r="Y40" i="251"/>
  <c r="V41" i="251"/>
  <c r="W41" i="251"/>
  <c r="X41" i="251"/>
  <c r="Y41" i="251"/>
  <c r="V42" i="251"/>
  <c r="W42" i="251"/>
  <c r="X42" i="251"/>
  <c r="Y42" i="251"/>
  <c r="V43" i="251"/>
  <c r="W43" i="251"/>
  <c r="X43" i="251"/>
  <c r="Y43" i="251"/>
  <c r="V44" i="251"/>
  <c r="W44" i="251"/>
  <c r="X44" i="251"/>
  <c r="Y44" i="251"/>
  <c r="W45" i="251"/>
  <c r="Y45" i="251"/>
  <c r="V46" i="251"/>
  <c r="W46" i="251"/>
  <c r="X46" i="251"/>
  <c r="Y46" i="251"/>
  <c r="V47" i="251"/>
  <c r="W47" i="251"/>
  <c r="X47" i="251"/>
  <c r="Y47" i="251"/>
  <c r="V48" i="251"/>
  <c r="W48" i="251"/>
  <c r="X48" i="251"/>
  <c r="Y48" i="251"/>
  <c r="V49" i="251"/>
  <c r="W49" i="251"/>
  <c r="X49" i="251"/>
  <c r="Y49" i="251"/>
  <c r="W50" i="251"/>
  <c r="Y50" i="251"/>
  <c r="V51" i="251"/>
  <c r="W51" i="251"/>
  <c r="X51" i="251"/>
  <c r="Y51" i="251"/>
  <c r="V52" i="251"/>
  <c r="W52" i="251"/>
  <c r="X52" i="251"/>
  <c r="Y52" i="251"/>
  <c r="V53" i="251"/>
  <c r="W53" i="251"/>
  <c r="X53" i="251"/>
  <c r="Y53" i="251"/>
  <c r="V54" i="251"/>
  <c r="W54" i="251"/>
  <c r="X54" i="251"/>
  <c r="Y54" i="251"/>
  <c r="V55" i="251"/>
  <c r="W55" i="251"/>
  <c r="X55" i="251"/>
  <c r="Y55" i="251"/>
  <c r="V56" i="251"/>
  <c r="W56" i="251"/>
  <c r="X56" i="251"/>
  <c r="Y56" i="251"/>
  <c r="V57" i="251"/>
  <c r="W57" i="251"/>
  <c r="X57" i="251"/>
  <c r="Y57" i="251"/>
  <c r="V58" i="251"/>
  <c r="W58" i="251"/>
  <c r="X58" i="251"/>
  <c r="Y58" i="251"/>
  <c r="V59" i="251"/>
  <c r="W59" i="251"/>
  <c r="X59" i="251"/>
  <c r="Y59" i="251"/>
  <c r="V60" i="251"/>
  <c r="W60" i="251"/>
  <c r="X60" i="251"/>
  <c r="Y60" i="251"/>
  <c r="V61" i="251"/>
  <c r="W61" i="251"/>
  <c r="X61" i="251"/>
  <c r="Y61" i="251"/>
  <c r="V62" i="251"/>
  <c r="W62" i="251"/>
  <c r="X62" i="251"/>
  <c r="Y62" i="251"/>
  <c r="V63" i="251"/>
  <c r="W63" i="251"/>
  <c r="X63" i="251"/>
  <c r="Y63" i="251"/>
  <c r="V64" i="251"/>
  <c r="W64" i="251"/>
  <c r="X64" i="251"/>
  <c r="Y64" i="251"/>
  <c r="V65" i="251"/>
  <c r="W65" i="251"/>
  <c r="X65" i="251"/>
  <c r="Y65" i="251"/>
  <c r="V66" i="251"/>
  <c r="W66" i="251"/>
  <c r="X66" i="251"/>
  <c r="Y66" i="251"/>
  <c r="V67" i="251"/>
  <c r="W67" i="251"/>
  <c r="X67" i="251"/>
  <c r="Y67" i="251"/>
  <c r="V68" i="251"/>
  <c r="W68" i="251"/>
  <c r="X68" i="251"/>
  <c r="Y68" i="251"/>
  <c r="V69" i="251"/>
  <c r="W69" i="251"/>
  <c r="X69" i="251"/>
  <c r="Y69" i="251"/>
  <c r="V70" i="251"/>
  <c r="W70" i="251"/>
  <c r="X70" i="251"/>
  <c r="Y70" i="251"/>
  <c r="V71" i="251"/>
  <c r="W71" i="251"/>
  <c r="X71" i="251"/>
  <c r="Y71" i="251"/>
  <c r="V72" i="251"/>
  <c r="W72" i="251"/>
  <c r="X72" i="251"/>
  <c r="Y72" i="251"/>
  <c r="V73" i="251"/>
  <c r="W73" i="251"/>
  <c r="X73" i="251"/>
  <c r="Y73" i="251"/>
  <c r="V74" i="251"/>
  <c r="W74" i="251"/>
  <c r="X74" i="251"/>
  <c r="Y74" i="251"/>
  <c r="V75" i="251"/>
  <c r="W75" i="251"/>
  <c r="X75" i="251"/>
  <c r="Y75" i="251"/>
  <c r="V76" i="251"/>
  <c r="W76" i="251"/>
  <c r="X76" i="251"/>
  <c r="Y76" i="251"/>
  <c r="V77" i="251"/>
  <c r="W77" i="251"/>
  <c r="X77" i="251"/>
  <c r="Y77" i="251"/>
  <c r="V78" i="251"/>
  <c r="W78" i="251"/>
  <c r="X78" i="251"/>
  <c r="Y78" i="251"/>
  <c r="V79" i="251"/>
  <c r="W79" i="251"/>
  <c r="X79" i="251"/>
  <c r="Y79" i="251"/>
  <c r="V80" i="251"/>
  <c r="W80" i="251"/>
  <c r="X80" i="251"/>
  <c r="Y80" i="251"/>
  <c r="V81" i="251"/>
  <c r="W81" i="251"/>
  <c r="X81" i="251"/>
  <c r="Y81" i="251"/>
  <c r="V82" i="251"/>
  <c r="W82" i="251"/>
  <c r="X82" i="251"/>
  <c r="Y82" i="251"/>
  <c r="V83" i="251"/>
  <c r="W83" i="251"/>
  <c r="X83" i="251"/>
  <c r="Y83" i="251"/>
  <c r="V84" i="251"/>
  <c r="W84" i="251"/>
  <c r="X84" i="251"/>
  <c r="Y84" i="251"/>
  <c r="V85" i="251"/>
  <c r="W85" i="251"/>
  <c r="X85" i="251"/>
  <c r="Y85" i="251"/>
  <c r="V86" i="251"/>
  <c r="W86" i="251"/>
  <c r="X86" i="251"/>
  <c r="Y86" i="251"/>
  <c r="V87" i="251"/>
  <c r="W87" i="251"/>
  <c r="X87" i="251"/>
  <c r="Y87" i="251"/>
  <c r="V88" i="251"/>
  <c r="W88" i="251"/>
  <c r="X88" i="251"/>
  <c r="Y88" i="251"/>
  <c r="V89" i="251"/>
  <c r="W89" i="251"/>
  <c r="X89" i="251"/>
  <c r="Y89" i="251"/>
  <c r="V90" i="251"/>
  <c r="W90" i="251"/>
  <c r="X90" i="251"/>
  <c r="Y90" i="251"/>
  <c r="V91" i="251"/>
  <c r="W91" i="251"/>
  <c r="X91" i="251"/>
  <c r="Y91" i="251"/>
  <c r="V92" i="251"/>
  <c r="W92" i="251"/>
  <c r="X92" i="251"/>
  <c r="Y92" i="251"/>
  <c r="V93" i="251"/>
  <c r="W93" i="251"/>
  <c r="X93" i="251"/>
  <c r="Y93" i="251"/>
  <c r="V94" i="251"/>
  <c r="W94" i="251"/>
  <c r="X94" i="251"/>
  <c r="Y94" i="251"/>
  <c r="V95" i="251"/>
  <c r="W95" i="251"/>
  <c r="X95" i="251"/>
  <c r="Y95" i="251"/>
  <c r="V96" i="251"/>
  <c r="W96" i="251"/>
  <c r="X96" i="251"/>
  <c r="Y96" i="251"/>
  <c r="V97" i="251"/>
  <c r="W97" i="251"/>
  <c r="X97" i="251"/>
  <c r="Y97" i="251"/>
  <c r="V98" i="251"/>
  <c r="W98" i="251"/>
  <c r="X98" i="251"/>
  <c r="Y98" i="251"/>
  <c r="V99" i="251"/>
  <c r="W99" i="251"/>
  <c r="X99" i="251"/>
  <c r="Y99" i="251"/>
  <c r="V100" i="251"/>
  <c r="W100" i="251"/>
  <c r="X100" i="251"/>
  <c r="Y100" i="251"/>
  <c r="V101" i="251"/>
  <c r="W101" i="251"/>
  <c r="X101" i="251"/>
  <c r="Y101" i="251"/>
  <c r="V102" i="251"/>
  <c r="W102" i="251"/>
  <c r="X102" i="251"/>
  <c r="Y102" i="251"/>
  <c r="V103" i="251"/>
  <c r="W103" i="251"/>
  <c r="X103" i="251"/>
  <c r="Y103" i="251"/>
  <c r="V104" i="251"/>
  <c r="W104" i="251"/>
  <c r="X104" i="251"/>
  <c r="Y104" i="251"/>
  <c r="V105" i="251"/>
  <c r="W105" i="251"/>
  <c r="X105" i="251"/>
  <c r="Y105" i="251"/>
  <c r="V106" i="251"/>
  <c r="W106" i="251"/>
  <c r="X106" i="251"/>
  <c r="Y106" i="251"/>
  <c r="V107" i="251"/>
  <c r="W107" i="251"/>
  <c r="X107" i="251"/>
  <c r="Y107" i="251"/>
  <c r="V108" i="251"/>
  <c r="W108" i="251"/>
  <c r="X108" i="251"/>
  <c r="Y108" i="251"/>
  <c r="P50" i="251"/>
  <c r="X50" i="251" s="1"/>
  <c r="N50" i="251"/>
  <c r="V50" i="251" s="1"/>
  <c r="P45" i="251"/>
  <c r="X45" i="251" s="1"/>
  <c r="N45" i="251"/>
  <c r="V45" i="251" s="1"/>
  <c r="B56" i="251"/>
  <c r="B43" i="251"/>
  <c r="K33" i="250"/>
  <c r="K32" i="250"/>
  <c r="B18" i="250"/>
  <c r="I15" i="257"/>
  <c r="K15" i="257"/>
  <c r="I16" i="257"/>
  <c r="I19" i="257"/>
  <c r="I24" i="257"/>
  <c r="I25" i="257"/>
  <c r="I26" i="257"/>
  <c r="I28" i="257"/>
  <c r="I31" i="257"/>
  <c r="I32" i="257"/>
  <c r="I34" i="257"/>
  <c r="I35" i="257"/>
  <c r="I36" i="257"/>
  <c r="K36" i="257"/>
  <c r="I37" i="257"/>
  <c r="I38" i="257"/>
  <c r="I39" i="257"/>
  <c r="H40" i="257"/>
  <c r="K40" i="257"/>
  <c r="I40" i="257" l="1"/>
  <c r="M40" i="257"/>
  <c r="H7" i="257"/>
  <c r="I7" i="257" s="1"/>
  <c r="A5" i="256"/>
  <c r="A6" i="256"/>
  <c r="A7" i="256"/>
  <c r="A8" i="256"/>
  <c r="A9" i="256"/>
  <c r="A10" i="256"/>
  <c r="A11" i="256"/>
  <c r="A12" i="256"/>
  <c r="A13" i="256"/>
  <c r="A14" i="256"/>
  <c r="A15" i="256"/>
  <c r="A16" i="256"/>
  <c r="A17" i="256"/>
  <c r="A18" i="256"/>
  <c r="A19" i="256"/>
  <c r="A20" i="256"/>
  <c r="A21" i="256"/>
  <c r="A22" i="256"/>
  <c r="A23" i="256"/>
  <c r="A24" i="256"/>
  <c r="A25" i="256"/>
  <c r="A26" i="256"/>
  <c r="A27" i="256"/>
  <c r="A28" i="256"/>
  <c r="A29" i="256"/>
  <c r="A30" i="256"/>
  <c r="A2" i="254"/>
  <c r="J2" i="254"/>
  <c r="A3" i="254"/>
  <c r="J3" i="254"/>
  <c r="A4" i="254"/>
  <c r="J4" i="254"/>
  <c r="A5" i="254"/>
  <c r="J5" i="254"/>
  <c r="A6" i="254"/>
  <c r="J6" i="254"/>
  <c r="A7" i="254"/>
  <c r="J7" i="254"/>
  <c r="A8" i="254"/>
  <c r="J8" i="254"/>
  <c r="A9" i="254"/>
  <c r="J9" i="254"/>
  <c r="A10" i="254"/>
  <c r="J10" i="254"/>
  <c r="A11" i="254"/>
  <c r="J11" i="254"/>
  <c r="A12" i="254"/>
  <c r="J12" i="254"/>
  <c r="A13" i="254"/>
  <c r="J13" i="254"/>
  <c r="A14" i="254"/>
  <c r="J14" i="254"/>
  <c r="A15" i="254"/>
  <c r="J15" i="254"/>
  <c r="A16" i="254"/>
  <c r="J16" i="254"/>
  <c r="A17" i="254"/>
  <c r="J17" i="254"/>
  <c r="A18" i="254"/>
  <c r="J18" i="254"/>
  <c r="A19" i="254"/>
  <c r="J19" i="254"/>
  <c r="A20" i="254"/>
  <c r="J20" i="254"/>
  <c r="A21" i="254"/>
  <c r="J21" i="254"/>
  <c r="A22" i="254"/>
  <c r="J22" i="254"/>
  <c r="A23" i="254"/>
  <c r="J23" i="254"/>
  <c r="A24" i="254"/>
  <c r="J24" i="254"/>
  <c r="A25" i="254"/>
  <c r="J25" i="254"/>
  <c r="A26" i="254"/>
  <c r="J26" i="254"/>
  <c r="A27" i="254"/>
  <c r="J27" i="254"/>
  <c r="A28" i="254"/>
  <c r="J28" i="254"/>
  <c r="A29" i="254"/>
  <c r="J29" i="254"/>
  <c r="B5" i="253"/>
  <c r="D5" i="253" s="1"/>
  <c r="G5" i="253" s="1"/>
  <c r="C5" i="253"/>
  <c r="C6" i="253"/>
  <c r="C7" i="253"/>
  <c r="C8" i="253"/>
  <c r="C9" i="253"/>
  <c r="C10" i="253"/>
  <c r="C11" i="253"/>
  <c r="C12" i="253"/>
  <c r="C13" i="253"/>
  <c r="C14" i="253"/>
  <c r="C15" i="253"/>
  <c r="C16" i="253"/>
  <c r="C17" i="253"/>
  <c r="C18" i="253"/>
  <c r="C19" i="253"/>
  <c r="C20" i="253"/>
  <c r="C21" i="253"/>
  <c r="C22" i="253"/>
  <c r="C23" i="253"/>
  <c r="C24" i="253"/>
  <c r="C25" i="253"/>
  <c r="C26" i="253"/>
  <c r="C27" i="253"/>
  <c r="C28" i="253"/>
  <c r="C29" i="253"/>
  <c r="C30" i="253"/>
  <c r="C31" i="253"/>
  <c r="C32" i="253"/>
  <c r="C33" i="253"/>
  <c r="C34" i="253"/>
  <c r="C35" i="253"/>
  <c r="C36" i="253"/>
  <c r="C37" i="253"/>
  <c r="C38" i="253"/>
  <c r="C39" i="253"/>
  <c r="C40" i="253"/>
  <c r="C41" i="253"/>
  <c r="C42" i="253"/>
  <c r="C43" i="253"/>
  <c r="C44" i="253"/>
  <c r="C45" i="253"/>
  <c r="C46" i="253"/>
  <c r="C47" i="253"/>
  <c r="C48" i="253"/>
  <c r="C49" i="253"/>
  <c r="B50" i="253"/>
  <c r="C50" i="253"/>
  <c r="C51" i="253"/>
  <c r="C52" i="253"/>
  <c r="C53" i="253"/>
  <c r="C54" i="253"/>
  <c r="C55" i="253"/>
  <c r="C56" i="253"/>
  <c r="C57" i="253"/>
  <c r="C58" i="253"/>
  <c r="C59" i="253"/>
  <c r="C60" i="253"/>
  <c r="C61" i="253"/>
  <c r="C62" i="253"/>
  <c r="C63" i="253"/>
  <c r="C64" i="253"/>
  <c r="C65" i="253"/>
  <c r="C66" i="253"/>
  <c r="C67" i="253"/>
  <c r="C68" i="253"/>
  <c r="C69" i="253"/>
  <c r="C70" i="253"/>
  <c r="C71" i="253"/>
  <c r="C72" i="253"/>
  <c r="C73" i="253"/>
  <c r="C74" i="253"/>
  <c r="C75" i="253"/>
  <c r="C76" i="253"/>
  <c r="C77" i="253"/>
  <c r="C78" i="253"/>
  <c r="C79" i="253"/>
  <c r="C80" i="253"/>
  <c r="C81" i="253"/>
  <c r="C82" i="253"/>
  <c r="C83" i="253"/>
  <c r="C84" i="253"/>
  <c r="C85" i="253"/>
  <c r="C86" i="253"/>
  <c r="C87" i="253"/>
  <c r="C88" i="253"/>
  <c r="C89" i="253"/>
  <c r="C90" i="253"/>
  <c r="C91" i="253"/>
  <c r="C92" i="253"/>
  <c r="C93" i="253"/>
  <c r="C94" i="253"/>
  <c r="C95" i="253"/>
  <c r="C96" i="253"/>
  <c r="C97" i="253"/>
  <c r="C98" i="253"/>
  <c r="C99" i="253"/>
  <c r="C100" i="253"/>
  <c r="C101" i="253"/>
  <c r="C102" i="253"/>
  <c r="C103" i="253"/>
  <c r="C104" i="253"/>
  <c r="C105" i="253"/>
  <c r="C106" i="253"/>
  <c r="C107" i="253"/>
  <c r="C108" i="253"/>
  <c r="C109" i="253"/>
  <c r="C110" i="253"/>
  <c r="C111" i="253"/>
  <c r="C112" i="253"/>
  <c r="C113" i="253"/>
  <c r="C114" i="253"/>
  <c r="B115" i="253"/>
  <c r="D115" i="253" s="1"/>
  <c r="H115" i="253" s="1"/>
  <c r="C115" i="253"/>
  <c r="C116" i="253"/>
  <c r="C117" i="253"/>
  <c r="C118" i="253"/>
  <c r="C119" i="253"/>
  <c r="C120" i="253"/>
  <c r="C121" i="253"/>
  <c r="C122" i="253"/>
  <c r="C123" i="253"/>
  <c r="C124" i="253"/>
  <c r="C125" i="253"/>
  <c r="C126" i="253"/>
  <c r="C127" i="253"/>
  <c r="C128" i="253"/>
  <c r="C129" i="253"/>
  <c r="C130" i="253"/>
  <c r="C131" i="253"/>
  <c r="C132" i="253"/>
  <c r="C133" i="253"/>
  <c r="C134" i="253"/>
  <c r="C135" i="253"/>
  <c r="C136" i="253"/>
  <c r="C137" i="253"/>
  <c r="C138" i="253"/>
  <c r="C139" i="253"/>
  <c r="C140" i="253"/>
  <c r="C141" i="253"/>
  <c r="C142" i="253"/>
  <c r="C143" i="253"/>
  <c r="C203" i="253"/>
  <c r="C145" i="253"/>
  <c r="C146" i="253"/>
  <c r="C147" i="253"/>
  <c r="C148" i="253"/>
  <c r="C149" i="253"/>
  <c r="C150" i="253"/>
  <c r="C151" i="253"/>
  <c r="C152" i="253"/>
  <c r="C153" i="253"/>
  <c r="C154" i="253"/>
  <c r="C155" i="253"/>
  <c r="C156" i="253"/>
  <c r="C157" i="253"/>
  <c r="C158" i="253"/>
  <c r="C159" i="253"/>
  <c r="C160" i="253"/>
  <c r="C161" i="253"/>
  <c r="C162" i="253"/>
  <c r="C163" i="253"/>
  <c r="C164" i="253"/>
  <c r="C165" i="253"/>
  <c r="C166" i="253"/>
  <c r="C167" i="253"/>
  <c r="C168" i="253"/>
  <c r="C169" i="253"/>
  <c r="C170" i="253"/>
  <c r="C171" i="253"/>
  <c r="C172" i="253"/>
  <c r="C173" i="253"/>
  <c r="C174" i="253"/>
  <c r="C175" i="253"/>
  <c r="C176" i="253"/>
  <c r="C177" i="253"/>
  <c r="C178" i="253"/>
  <c r="C179" i="253"/>
  <c r="C180" i="253"/>
  <c r="C181" i="253"/>
  <c r="C182" i="253"/>
  <c r="C183" i="253"/>
  <c r="C184" i="253"/>
  <c r="C185" i="253"/>
  <c r="C186" i="253"/>
  <c r="C187" i="253"/>
  <c r="C188" i="253"/>
  <c r="C189" i="253"/>
  <c r="C190" i="253"/>
  <c r="C191" i="253"/>
  <c r="C192" i="253"/>
  <c r="C193" i="253"/>
  <c r="C194" i="253"/>
  <c r="C195" i="253"/>
  <c r="C196" i="253"/>
  <c r="C197" i="253"/>
  <c r="C198" i="253"/>
  <c r="C207" i="253"/>
  <c r="C200" i="253"/>
  <c r="C201" i="253"/>
  <c r="C202" i="253"/>
  <c r="C199" i="253"/>
  <c r="C209" i="253"/>
  <c r="C205" i="253"/>
  <c r="C206" i="253"/>
  <c r="C204" i="253"/>
  <c r="C208" i="253"/>
  <c r="C144" i="253"/>
  <c r="C210" i="253"/>
  <c r="C211" i="253"/>
  <c r="C212" i="253"/>
  <c r="C213" i="253"/>
  <c r="C214" i="253"/>
  <c r="C215" i="253"/>
  <c r="C216" i="253"/>
  <c r="C217" i="253"/>
  <c r="C218" i="253"/>
  <c r="C219" i="253"/>
  <c r="C220" i="253"/>
  <c r="C221" i="253"/>
  <c r="C222" i="253"/>
  <c r="C223" i="253"/>
  <c r="C224" i="253"/>
  <c r="C225" i="253"/>
  <c r="C226" i="253"/>
  <c r="C227" i="253"/>
  <c r="C228" i="253"/>
  <c r="C229" i="253"/>
  <c r="C230" i="253"/>
  <c r="C231" i="253"/>
  <c r="C232" i="253"/>
  <c r="C233" i="253"/>
  <c r="C234" i="253"/>
  <c r="C235" i="253"/>
  <c r="C236" i="253"/>
  <c r="C237" i="253"/>
  <c r="C238" i="253"/>
  <c r="C239" i="253"/>
  <c r="C240" i="253"/>
  <c r="C241" i="253"/>
  <c r="C242" i="253"/>
  <c r="C243" i="253"/>
  <c r="C244" i="253"/>
  <c r="C245" i="253"/>
  <c r="C246" i="253"/>
  <c r="C247" i="253"/>
  <c r="C248" i="253"/>
  <c r="C249" i="253"/>
  <c r="C250" i="253"/>
  <c r="C251" i="253"/>
  <c r="C252" i="253"/>
  <c r="C253" i="253"/>
  <c r="C254" i="253"/>
  <c r="C255" i="253"/>
  <c r="C256" i="253"/>
  <c r="C257" i="253"/>
  <c r="C258" i="253"/>
  <c r="C259" i="253"/>
  <c r="C260" i="253"/>
  <c r="C261" i="253"/>
  <c r="C262" i="253"/>
  <c r="C263" i="253"/>
  <c r="C264" i="253"/>
  <c r="C265" i="253"/>
  <c r="C266" i="253"/>
  <c r="C267" i="253"/>
  <c r="C268" i="253"/>
  <c r="C269" i="253"/>
  <c r="C270" i="253"/>
  <c r="C271" i="253"/>
  <c r="C272" i="253"/>
  <c r="C273" i="253"/>
  <c r="C274" i="253"/>
  <c r="B275" i="253"/>
  <c r="B276" i="253" s="1"/>
  <c r="B277" i="253" s="1"/>
  <c r="C275" i="253"/>
  <c r="C276" i="253"/>
  <c r="C277" i="253"/>
  <c r="C278" i="253"/>
  <c r="C279" i="253"/>
  <c r="C280" i="253"/>
  <c r="C281" i="253"/>
  <c r="C282" i="253"/>
  <c r="C283" i="253"/>
  <c r="C284" i="253"/>
  <c r="C285" i="253"/>
  <c r="C286" i="253"/>
  <c r="C287" i="253"/>
  <c r="C288" i="253"/>
  <c r="C289" i="253"/>
  <c r="C290" i="253"/>
  <c r="C291" i="253"/>
  <c r="C292" i="253"/>
  <c r="C293" i="253"/>
  <c r="C294" i="253"/>
  <c r="C295" i="253"/>
  <c r="C296" i="253"/>
  <c r="C297" i="253"/>
  <c r="C298" i="253"/>
  <c r="C299" i="253"/>
  <c r="C300" i="253"/>
  <c r="C301" i="253"/>
  <c r="C302" i="253"/>
  <c r="C303" i="253"/>
  <c r="C304" i="253"/>
  <c r="C305" i="253"/>
  <c r="C306" i="253"/>
  <c r="C307" i="253"/>
  <c r="C308" i="253"/>
  <c r="C309" i="253"/>
  <c r="C310" i="253"/>
  <c r="C311" i="253"/>
  <c r="C312" i="253"/>
  <c r="C313" i="253"/>
  <c r="C314" i="253"/>
  <c r="C315" i="253"/>
  <c r="C316" i="253"/>
  <c r="C317" i="253"/>
  <c r="C318" i="253"/>
  <c r="C319" i="253"/>
  <c r="C320" i="253"/>
  <c r="C321" i="253"/>
  <c r="C322" i="253"/>
  <c r="C323" i="253"/>
  <c r="C324" i="253"/>
  <c r="C325" i="253"/>
  <c r="C326" i="253"/>
  <c r="C327" i="253"/>
  <c r="C328" i="253"/>
  <c r="C329" i="253"/>
  <c r="C330" i="253"/>
  <c r="C331" i="253"/>
  <c r="C332" i="253"/>
  <c r="C333" i="253"/>
  <c r="C334" i="253"/>
  <c r="C335" i="253"/>
  <c r="C336" i="253"/>
  <c r="C337" i="253"/>
  <c r="C338" i="253"/>
  <c r="C339" i="253"/>
  <c r="C340" i="253"/>
  <c r="C341" i="253"/>
  <c r="C342" i="253"/>
  <c r="C343" i="253"/>
  <c r="C344" i="253"/>
  <c r="C345" i="253"/>
  <c r="C346" i="253"/>
  <c r="C347" i="253"/>
  <c r="C348" i="253"/>
  <c r="C349" i="253"/>
  <c r="C350" i="253"/>
  <c r="C351" i="253"/>
  <c r="C352" i="253"/>
  <c r="C353" i="253"/>
  <c r="C354" i="253"/>
  <c r="C355" i="253"/>
  <c r="C356" i="253"/>
  <c r="C357" i="253"/>
  <c r="C358" i="253"/>
  <c r="C359" i="253"/>
  <c r="C360" i="253"/>
  <c r="C361" i="253"/>
  <c r="C362" i="253"/>
  <c r="C363" i="253"/>
  <c r="C364" i="253"/>
  <c r="C365" i="253"/>
  <c r="C366" i="253"/>
  <c r="C367" i="253"/>
  <c r="C368" i="253"/>
  <c r="C369" i="253"/>
  <c r="C370" i="253"/>
  <c r="C371" i="253"/>
  <c r="C372" i="253"/>
  <c r="C373" i="253"/>
  <c r="C374" i="253"/>
  <c r="C375" i="253"/>
  <c r="C376" i="253"/>
  <c r="C377" i="253"/>
  <c r="C378" i="253"/>
  <c r="C379" i="253"/>
  <c r="C380" i="253"/>
  <c r="C381" i="253"/>
  <c r="C382" i="253"/>
  <c r="C383" i="253"/>
  <c r="C384" i="253"/>
  <c r="C385" i="253"/>
  <c r="C386" i="253"/>
  <c r="C387" i="253"/>
  <c r="C388" i="253"/>
  <c r="C389" i="253"/>
  <c r="C390" i="253"/>
  <c r="C391" i="253"/>
  <c r="C392" i="253"/>
  <c r="C393" i="253"/>
  <c r="C394" i="253"/>
  <c r="C395" i="253"/>
  <c r="C396" i="253"/>
  <c r="C397" i="253"/>
  <c r="C398" i="253"/>
  <c r="C399" i="253"/>
  <c r="C400" i="253"/>
  <c r="C401" i="253"/>
  <c r="C402" i="253"/>
  <c r="C403" i="253"/>
  <c r="C404" i="253"/>
  <c r="C405" i="253"/>
  <c r="C406" i="253"/>
  <c r="C407" i="253"/>
  <c r="C408" i="253"/>
  <c r="C409" i="253"/>
  <c r="C410" i="253"/>
  <c r="C411" i="253"/>
  <c r="C412" i="253"/>
  <c r="C413" i="253"/>
  <c r="C414" i="253"/>
  <c r="C415" i="253"/>
  <c r="C416" i="253"/>
  <c r="C417" i="253"/>
  <c r="C418" i="253"/>
  <c r="C419" i="253"/>
  <c r="C420" i="253"/>
  <c r="C421" i="253"/>
  <c r="C422" i="253"/>
  <c r="C423" i="253"/>
  <c r="C424" i="253"/>
  <c r="C425" i="253"/>
  <c r="C426" i="253"/>
  <c r="C427" i="253"/>
  <c r="C428" i="253"/>
  <c r="C429" i="253"/>
  <c r="C430" i="253"/>
  <c r="C431" i="253"/>
  <c r="C432" i="253"/>
  <c r="C433" i="253"/>
  <c r="C434" i="253"/>
  <c r="C435" i="253"/>
  <c r="C436" i="253"/>
  <c r="C437" i="253"/>
  <c r="C438" i="253"/>
  <c r="C439" i="253"/>
  <c r="C440" i="253"/>
  <c r="C441" i="253"/>
  <c r="C442" i="253"/>
  <c r="C443" i="253"/>
  <c r="C444" i="253"/>
  <c r="C445" i="253"/>
  <c r="C446" i="253"/>
  <c r="C447" i="253"/>
  <c r="C448" i="253"/>
  <c r="C449" i="253"/>
  <c r="C450" i="253"/>
  <c r="C451" i="253"/>
  <c r="C452" i="253"/>
  <c r="C453" i="253"/>
  <c r="C454" i="253"/>
  <c r="C455" i="253"/>
  <c r="C456" i="253"/>
  <c r="C457" i="253"/>
  <c r="C458" i="253"/>
  <c r="C459" i="253"/>
  <c r="C460" i="253"/>
  <c r="C461" i="253"/>
  <c r="C462" i="253"/>
  <c r="C463" i="253"/>
  <c r="C464" i="253"/>
  <c r="C465" i="253"/>
  <c r="C466" i="253"/>
  <c r="C467" i="253"/>
  <c r="C468" i="253"/>
  <c r="C469" i="253"/>
  <c r="C470" i="253"/>
  <c r="C471" i="253"/>
  <c r="C472" i="253"/>
  <c r="C473" i="253"/>
  <c r="C474" i="253"/>
  <c r="C475" i="253"/>
  <c r="C476" i="253"/>
  <c r="C477" i="253"/>
  <c r="C478" i="253"/>
  <c r="C479" i="253"/>
  <c r="C480" i="253"/>
  <c r="C481" i="253"/>
  <c r="C482" i="253"/>
  <c r="C483" i="253"/>
  <c r="C484" i="253"/>
  <c r="C485" i="253"/>
  <c r="C486" i="253"/>
  <c r="C487" i="253"/>
  <c r="C488" i="253"/>
  <c r="C489" i="253"/>
  <c r="C490" i="253"/>
  <c r="C491" i="253"/>
  <c r="C492" i="253"/>
  <c r="C493" i="253"/>
  <c r="C494" i="253"/>
  <c r="C495" i="253"/>
  <c r="C496" i="253"/>
  <c r="C497" i="253"/>
  <c r="C498" i="253"/>
  <c r="C499" i="253"/>
  <c r="C500" i="253"/>
  <c r="C501" i="253"/>
  <c r="C502" i="253"/>
  <c r="C503" i="253"/>
  <c r="C504" i="253"/>
  <c r="C505" i="253"/>
  <c r="C506" i="253"/>
  <c r="C507" i="253"/>
  <c r="C508" i="253"/>
  <c r="C509" i="253"/>
  <c r="C510" i="253"/>
  <c r="C511" i="253"/>
  <c r="C512" i="253"/>
  <c r="C513" i="253"/>
  <c r="C514" i="253"/>
  <c r="C515" i="253"/>
  <c r="C516" i="253"/>
  <c r="C517" i="253"/>
  <c r="C518" i="253"/>
  <c r="C519" i="253"/>
  <c r="C520" i="253"/>
  <c r="C521" i="253"/>
  <c r="C522" i="253"/>
  <c r="C523" i="253"/>
  <c r="C524" i="253"/>
  <c r="C525" i="253"/>
  <c r="C526" i="253"/>
  <c r="C527" i="253"/>
  <c r="C528" i="253"/>
  <c r="C529" i="253"/>
  <c r="C530" i="253"/>
  <c r="C531" i="253"/>
  <c r="C532" i="253"/>
  <c r="C533" i="253"/>
  <c r="C534" i="253"/>
  <c r="C535" i="253"/>
  <c r="C536" i="253"/>
  <c r="C537" i="253"/>
  <c r="C538" i="253"/>
  <c r="C539" i="253"/>
  <c r="C540" i="253"/>
  <c r="C541" i="253"/>
  <c r="C542" i="253"/>
  <c r="C543" i="253"/>
  <c r="C544" i="253"/>
  <c r="C545" i="253"/>
  <c r="C546" i="253"/>
  <c r="C547" i="253"/>
  <c r="C548" i="253"/>
  <c r="C549" i="253"/>
  <c r="C550" i="253"/>
  <c r="C551" i="253"/>
  <c r="C552" i="253"/>
  <c r="C553" i="253"/>
  <c r="C554" i="253"/>
  <c r="C555" i="253"/>
  <c r="C556" i="253"/>
  <c r="C557" i="253"/>
  <c r="C558" i="253"/>
  <c r="C559" i="253"/>
  <c r="C560" i="253"/>
  <c r="C561" i="253"/>
  <c r="C562" i="253"/>
  <c r="C563" i="253"/>
  <c r="C564" i="253"/>
  <c r="C565" i="253"/>
  <c r="C566" i="253"/>
  <c r="C567" i="253"/>
  <c r="C568" i="253"/>
  <c r="C569" i="253"/>
  <c r="C570" i="253"/>
  <c r="C571" i="253"/>
  <c r="C572" i="253"/>
  <c r="C573" i="253"/>
  <c r="C574" i="253"/>
  <c r="C575" i="253"/>
  <c r="C576" i="253"/>
  <c r="C577" i="253"/>
  <c r="C578" i="253"/>
  <c r="C579" i="253"/>
  <c r="C580" i="253"/>
  <c r="C581" i="253"/>
  <c r="C582" i="253"/>
  <c r="C583" i="253"/>
  <c r="C584" i="253"/>
  <c r="C585" i="253"/>
  <c r="C586" i="253"/>
  <c r="C587" i="253"/>
  <c r="C588" i="253"/>
  <c r="C589" i="253"/>
  <c r="C590" i="253"/>
  <c r="C591" i="253"/>
  <c r="C592" i="253"/>
  <c r="C593" i="253"/>
  <c r="C594" i="253"/>
  <c r="C595" i="253"/>
  <c r="C596" i="253"/>
  <c r="C597" i="253"/>
  <c r="C598" i="253"/>
  <c r="C599" i="253"/>
  <c r="C600" i="253"/>
  <c r="C601" i="253"/>
  <c r="C602" i="253"/>
  <c r="C603" i="253"/>
  <c r="C604" i="253"/>
  <c r="C605" i="253"/>
  <c r="C606" i="253"/>
  <c r="C607" i="253"/>
  <c r="C608" i="253"/>
  <c r="C609" i="253"/>
  <c r="C610" i="253"/>
  <c r="C611" i="253"/>
  <c r="C612" i="253"/>
  <c r="C613" i="253"/>
  <c r="C614" i="253"/>
  <c r="C615" i="253"/>
  <c r="C616" i="253"/>
  <c r="C617" i="253"/>
  <c r="C618" i="253"/>
  <c r="C619" i="253"/>
  <c r="C620" i="253"/>
  <c r="C621" i="253"/>
  <c r="C622" i="253"/>
  <c r="C623" i="253"/>
  <c r="C624" i="253"/>
  <c r="C625" i="253"/>
  <c r="C626" i="253"/>
  <c r="C627" i="253"/>
  <c r="C628" i="253"/>
  <c r="C629" i="253"/>
  <c r="C630" i="253"/>
  <c r="C631" i="253"/>
  <c r="C632" i="253"/>
  <c r="C633" i="253"/>
  <c r="C634" i="253"/>
  <c r="C635" i="253"/>
  <c r="C636" i="253"/>
  <c r="C637" i="253"/>
  <c r="C638" i="253"/>
  <c r="C639" i="253"/>
  <c r="C640" i="253"/>
  <c r="C641" i="253"/>
  <c r="C642" i="253"/>
  <c r="C643" i="253"/>
  <c r="C644" i="253"/>
  <c r="C645" i="253"/>
  <c r="C646" i="253"/>
  <c r="C647" i="253"/>
  <c r="C648" i="253"/>
  <c r="C649" i="253"/>
  <c r="C650" i="253"/>
  <c r="C651" i="253"/>
  <c r="C652" i="253"/>
  <c r="C653" i="253"/>
  <c r="C654" i="253"/>
  <c r="C655" i="253"/>
  <c r="C656" i="253"/>
  <c r="C657" i="253"/>
  <c r="C658" i="253"/>
  <c r="C659" i="253"/>
  <c r="C660" i="253"/>
  <c r="C661" i="253"/>
  <c r="C662" i="253"/>
  <c r="C663" i="253"/>
  <c r="C664" i="253"/>
  <c r="C665" i="253"/>
  <c r="C666" i="253"/>
  <c r="C667" i="253"/>
  <c r="N25" i="118" l="1"/>
  <c r="AC25" i="118" s="1"/>
  <c r="N30" i="118"/>
  <c r="AB30" i="118" s="1"/>
  <c r="AH30" i="118" s="1"/>
  <c r="AB69" i="118"/>
  <c r="AH69" i="118" s="1"/>
  <c r="N38" i="118"/>
  <c r="N34" i="118"/>
  <c r="N27" i="118"/>
  <c r="N22" i="118"/>
  <c r="N19" i="118"/>
  <c r="N14" i="118"/>
  <c r="N10" i="118"/>
  <c r="N7" i="118"/>
  <c r="N28" i="118"/>
  <c r="N20" i="118"/>
  <c r="N12" i="118"/>
  <c r="X69" i="118"/>
  <c r="N37" i="118"/>
  <c r="N33" i="118"/>
  <c r="N29" i="118"/>
  <c r="N24" i="118"/>
  <c r="N21" i="118"/>
  <c r="N16" i="118"/>
  <c r="N13" i="118"/>
  <c r="N9" i="118"/>
  <c r="N31" i="118"/>
  <c r="N8" i="118"/>
  <c r="N36" i="118"/>
  <c r="N32" i="118"/>
  <c r="N23" i="118"/>
  <c r="N18" i="118"/>
  <c r="N15" i="118"/>
  <c r="N11" i="118"/>
  <c r="N35" i="118"/>
  <c r="N17" i="118"/>
  <c r="N47" i="118"/>
  <c r="N49" i="118"/>
  <c r="N57" i="118"/>
  <c r="N39" i="118"/>
  <c r="N43" i="118"/>
  <c r="N45" i="118"/>
  <c r="N50" i="118"/>
  <c r="N52" i="118"/>
  <c r="AC69" i="118"/>
  <c r="N68" i="118"/>
  <c r="N51" i="118"/>
  <c r="N44" i="118"/>
  <c r="N61" i="118"/>
  <c r="N67" i="118"/>
  <c r="N55" i="118"/>
  <c r="N42" i="118"/>
  <c r="N60" i="118"/>
  <c r="N62" i="118"/>
  <c r="N64" i="118"/>
  <c r="N66" i="118"/>
  <c r="N59" i="118"/>
  <c r="N46" i="118"/>
  <c r="N63" i="118"/>
  <c r="N48" i="118"/>
  <c r="N53" i="118"/>
  <c r="N41" i="118"/>
  <c r="N56" i="118"/>
  <c r="N58" i="118"/>
  <c r="N40" i="118"/>
  <c r="N54" i="118"/>
  <c r="N65" i="118"/>
  <c r="D275" i="253"/>
  <c r="I275" i="253" s="1"/>
  <c r="G115" i="253"/>
  <c r="D276" i="253"/>
  <c r="F276" i="253" s="1"/>
  <c r="B116" i="253"/>
  <c r="D116" i="253" s="1"/>
  <c r="D277" i="253"/>
  <c r="F277" i="253" s="1"/>
  <c r="B278" i="253"/>
  <c r="D278" i="253" s="1"/>
  <c r="F5" i="253"/>
  <c r="B6" i="253"/>
  <c r="B7" i="253" s="1"/>
  <c r="I115" i="253"/>
  <c r="F115" i="253"/>
  <c r="D50" i="253"/>
  <c r="B51" i="253"/>
  <c r="I5" i="253"/>
  <c r="H5" i="253"/>
  <c r="AC30" i="118" l="1"/>
  <c r="AB25" i="118"/>
  <c r="AH25" i="118" s="1"/>
  <c r="X25" i="118"/>
  <c r="T69" i="118"/>
  <c r="X30" i="118"/>
  <c r="X46" i="118"/>
  <c r="AC46" i="118"/>
  <c r="AB46" i="118"/>
  <c r="AH46" i="118" s="1"/>
  <c r="AB67" i="118"/>
  <c r="AH67" i="118" s="1"/>
  <c r="AC67" i="118"/>
  <c r="X67" i="118"/>
  <c r="AB45" i="118"/>
  <c r="AH45" i="118" s="1"/>
  <c r="AC45" i="118"/>
  <c r="X45" i="118"/>
  <c r="AB23" i="118"/>
  <c r="AH23" i="118" s="1"/>
  <c r="X23" i="118"/>
  <c r="AC23" i="118"/>
  <c r="X8" i="118"/>
  <c r="AC20" i="118"/>
  <c r="AB20" i="118"/>
  <c r="AH20" i="118" s="1"/>
  <c r="X20" i="118"/>
  <c r="AC14" i="118"/>
  <c r="X14" i="118"/>
  <c r="AB14" i="118"/>
  <c r="AH14" i="118" s="1"/>
  <c r="AB40" i="118"/>
  <c r="AH40" i="118" s="1"/>
  <c r="AC40" i="118"/>
  <c r="X40" i="118"/>
  <c r="AC53" i="118"/>
  <c r="X53" i="118"/>
  <c r="AB53" i="118"/>
  <c r="AH53" i="118" s="1"/>
  <c r="AB59" i="118"/>
  <c r="AH59" i="118" s="1"/>
  <c r="AC59" i="118"/>
  <c r="X59" i="118"/>
  <c r="AB60" i="118"/>
  <c r="AH60" i="118" s="1"/>
  <c r="X60" i="118"/>
  <c r="AC60" i="118"/>
  <c r="AB61" i="118"/>
  <c r="AH61" i="118" s="1"/>
  <c r="AC61" i="118"/>
  <c r="X61" i="118"/>
  <c r="AB43" i="118"/>
  <c r="AH43" i="118" s="1"/>
  <c r="X43" i="118"/>
  <c r="AC43" i="118"/>
  <c r="X47" i="118"/>
  <c r="AC47" i="118"/>
  <c r="AB47" i="118"/>
  <c r="AH47" i="118" s="1"/>
  <c r="X11" i="118"/>
  <c r="AC11" i="118"/>
  <c r="AB11" i="118"/>
  <c r="AH11" i="118" s="1"/>
  <c r="AC26" i="118"/>
  <c r="X26" i="118"/>
  <c r="AB26" i="118"/>
  <c r="AH26" i="118" s="1"/>
  <c r="AC31" i="118"/>
  <c r="X31" i="118"/>
  <c r="AB31" i="118"/>
  <c r="AH31" i="118" s="1"/>
  <c r="AB21" i="118"/>
  <c r="AH21" i="118" s="1"/>
  <c r="X21" i="118"/>
  <c r="AC21" i="118"/>
  <c r="X37" i="118"/>
  <c r="AC37" i="118"/>
  <c r="AB37" i="118"/>
  <c r="AH37" i="118" s="1"/>
  <c r="AC28" i="118"/>
  <c r="X28" i="118"/>
  <c r="AB28" i="118"/>
  <c r="AH28" i="118" s="1"/>
  <c r="AB19" i="118"/>
  <c r="AH19" i="118" s="1"/>
  <c r="AC19" i="118"/>
  <c r="X19" i="118"/>
  <c r="AB34" i="118"/>
  <c r="AH34" i="118" s="1"/>
  <c r="X34" i="118"/>
  <c r="AC34" i="118"/>
  <c r="AB54" i="118"/>
  <c r="AH54" i="118" s="1"/>
  <c r="AC54" i="118"/>
  <c r="X54" i="118"/>
  <c r="X62" i="118"/>
  <c r="AC62" i="118"/>
  <c r="AB62" i="118"/>
  <c r="AH62" i="118" s="1"/>
  <c r="AB68" i="118"/>
  <c r="AH68" i="118" s="1"/>
  <c r="AC68" i="118"/>
  <c r="X68" i="118"/>
  <c r="AC35" i="118"/>
  <c r="X35" i="118"/>
  <c r="AB35" i="118"/>
  <c r="AH35" i="118" s="1"/>
  <c r="AC33" i="118"/>
  <c r="AB33" i="118"/>
  <c r="AH33" i="118" s="1"/>
  <c r="X33" i="118"/>
  <c r="AB58" i="118"/>
  <c r="AH58" i="118" s="1"/>
  <c r="AC58" i="118"/>
  <c r="X58" i="118"/>
  <c r="AC48" i="118"/>
  <c r="AB48" i="118"/>
  <c r="AH48" i="118" s="1"/>
  <c r="X48" i="118"/>
  <c r="AC66" i="118"/>
  <c r="AB66" i="118"/>
  <c r="AH66" i="118" s="1"/>
  <c r="X66" i="118"/>
  <c r="AB42" i="118"/>
  <c r="AH42" i="118" s="1"/>
  <c r="X42" i="118"/>
  <c r="AC42" i="118"/>
  <c r="AB44" i="118"/>
  <c r="AH44" i="118" s="1"/>
  <c r="X44" i="118"/>
  <c r="AC44" i="118"/>
  <c r="AB52" i="118"/>
  <c r="AH52" i="118" s="1"/>
  <c r="AC52" i="118"/>
  <c r="X52" i="118"/>
  <c r="X39" i="118"/>
  <c r="AB39" i="118"/>
  <c r="AH39" i="118" s="1"/>
  <c r="AC39" i="118"/>
  <c r="AB17" i="118"/>
  <c r="AH17" i="118" s="1"/>
  <c r="X17" i="118"/>
  <c r="AC17" i="118"/>
  <c r="X15" i="118"/>
  <c r="AB15" i="118"/>
  <c r="AH15" i="118" s="1"/>
  <c r="AC15" i="118"/>
  <c r="AB32" i="118"/>
  <c r="AH32" i="118" s="1"/>
  <c r="AC32" i="118"/>
  <c r="X32" i="118"/>
  <c r="AB9" i="118"/>
  <c r="X9" i="118"/>
  <c r="AC9" i="118"/>
  <c r="AC24" i="118"/>
  <c r="X24" i="118"/>
  <c r="AB24" i="118"/>
  <c r="AH24" i="118" s="1"/>
  <c r="X7" i="118"/>
  <c r="AC22" i="118"/>
  <c r="X22" i="118"/>
  <c r="AB22" i="118"/>
  <c r="AH22" i="118" s="1"/>
  <c r="X38" i="118"/>
  <c r="AB38" i="118"/>
  <c r="AH38" i="118" s="1"/>
  <c r="AC38" i="118"/>
  <c r="AC41" i="118"/>
  <c r="AB41" i="118"/>
  <c r="AH41" i="118" s="1"/>
  <c r="X41" i="118"/>
  <c r="AC49" i="118"/>
  <c r="X49" i="118"/>
  <c r="AB49" i="118"/>
  <c r="AH49" i="118" s="1"/>
  <c r="AC16" i="118"/>
  <c r="AB16" i="118"/>
  <c r="AH16" i="118" s="1"/>
  <c r="X16" i="118"/>
  <c r="AB65" i="118"/>
  <c r="AH65" i="118" s="1"/>
  <c r="AC65" i="118"/>
  <c r="X65" i="118"/>
  <c r="AC56" i="118"/>
  <c r="X56" i="118"/>
  <c r="AB56" i="118"/>
  <c r="AH56" i="118" s="1"/>
  <c r="X63" i="118"/>
  <c r="AB63" i="118"/>
  <c r="AH63" i="118" s="1"/>
  <c r="AC63" i="118"/>
  <c r="AC64" i="118"/>
  <c r="X64" i="118"/>
  <c r="AB64" i="118"/>
  <c r="AH64" i="118" s="1"/>
  <c r="AB55" i="118"/>
  <c r="AH55" i="118" s="1"/>
  <c r="X55" i="118"/>
  <c r="AC55" i="118"/>
  <c r="AB51" i="118"/>
  <c r="AH51" i="118" s="1"/>
  <c r="AC51" i="118"/>
  <c r="X51" i="118"/>
  <c r="AB50" i="118"/>
  <c r="AH50" i="118" s="1"/>
  <c r="AC50" i="118"/>
  <c r="X50" i="118"/>
  <c r="AC57" i="118"/>
  <c r="X57" i="118"/>
  <c r="AB57" i="118"/>
  <c r="AH57" i="118" s="1"/>
  <c r="AC18" i="118"/>
  <c r="AB18" i="118"/>
  <c r="AH18" i="118" s="1"/>
  <c r="X18" i="118"/>
  <c r="AB36" i="118"/>
  <c r="AH36" i="118" s="1"/>
  <c r="AC36" i="118"/>
  <c r="X36" i="118"/>
  <c r="AC13" i="118"/>
  <c r="X13" i="118"/>
  <c r="AB13" i="118"/>
  <c r="AH13" i="118" s="1"/>
  <c r="X29" i="118"/>
  <c r="AC29" i="118"/>
  <c r="AB29" i="118"/>
  <c r="AH29" i="118" s="1"/>
  <c r="AC12" i="118"/>
  <c r="AB12" i="118"/>
  <c r="AH12" i="118" s="1"/>
  <c r="X12" i="118"/>
  <c r="AC10" i="118"/>
  <c r="X10" i="118"/>
  <c r="AB10" i="118"/>
  <c r="AH10" i="118" s="1"/>
  <c r="AB27" i="118"/>
  <c r="AH27" i="118" s="1"/>
  <c r="X27" i="118"/>
  <c r="AC27" i="118"/>
  <c r="I276" i="253"/>
  <c r="H276" i="253"/>
  <c r="G275" i="253"/>
  <c r="I277" i="253"/>
  <c r="F275" i="253"/>
  <c r="H275" i="253"/>
  <c r="G276" i="253"/>
  <c r="B117" i="253"/>
  <c r="B118" i="253" s="1"/>
  <c r="D6" i="253"/>
  <c r="F6" i="253" s="1"/>
  <c r="G277" i="253"/>
  <c r="B279" i="253"/>
  <c r="D279" i="253" s="1"/>
  <c r="H277" i="253"/>
  <c r="E5" i="253"/>
  <c r="E115" i="253"/>
  <c r="D51" i="253"/>
  <c r="B52" i="253"/>
  <c r="I116" i="253"/>
  <c r="H116" i="253"/>
  <c r="G116" i="253"/>
  <c r="F116" i="253"/>
  <c r="D7" i="253"/>
  <c r="B8" i="253"/>
  <c r="H50" i="253"/>
  <c r="I50" i="253"/>
  <c r="G50" i="253"/>
  <c r="F50" i="253"/>
  <c r="I278" i="253"/>
  <c r="F278" i="253"/>
  <c r="H278" i="253"/>
  <c r="G278" i="253"/>
  <c r="I6" i="253" l="1"/>
  <c r="E276" i="253"/>
  <c r="BP276" i="253" s="1"/>
  <c r="H6" i="253"/>
  <c r="E275" i="253"/>
  <c r="BR275" i="253" s="1"/>
  <c r="G6" i="253"/>
  <c r="D117" i="253"/>
  <c r="I117" i="253" s="1"/>
  <c r="E277" i="253"/>
  <c r="BP277" i="253" s="1"/>
  <c r="B280" i="253"/>
  <c r="B281" i="253" s="1"/>
  <c r="BS115" i="253"/>
  <c r="BQ115" i="253"/>
  <c r="BR115" i="253"/>
  <c r="BP115" i="253"/>
  <c r="BP5" i="253"/>
  <c r="BS5" i="253"/>
  <c r="BQ5" i="253"/>
  <c r="BR5" i="253"/>
  <c r="E116" i="253"/>
  <c r="D52" i="253"/>
  <c r="B53" i="253"/>
  <c r="E278" i="253"/>
  <c r="D8" i="253"/>
  <c r="B9" i="253"/>
  <c r="B119" i="253"/>
  <c r="D118" i="253"/>
  <c r="I279" i="253"/>
  <c r="G279" i="253"/>
  <c r="H279" i="253"/>
  <c r="F279" i="253"/>
  <c r="H51" i="253"/>
  <c r="G51" i="253"/>
  <c r="F51" i="253"/>
  <c r="I51" i="253"/>
  <c r="E50" i="253"/>
  <c r="H7" i="253"/>
  <c r="G7" i="253"/>
  <c r="I7" i="253"/>
  <c r="F7" i="253"/>
  <c r="F117" i="253" l="1"/>
  <c r="BS275" i="253"/>
  <c r="K275" i="253" s="1"/>
  <c r="M275" i="253" s="1"/>
  <c r="E6" i="253"/>
  <c r="BR6" i="253" s="1"/>
  <c r="BR276" i="253"/>
  <c r="H117" i="253"/>
  <c r="BQ275" i="253"/>
  <c r="G117" i="253"/>
  <c r="BP275" i="253"/>
  <c r="J115" i="253"/>
  <c r="L115" i="253" s="1"/>
  <c r="BR277" i="253"/>
  <c r="D280" i="253"/>
  <c r="I280" i="253" s="1"/>
  <c r="K115" i="253"/>
  <c r="M115" i="253" s="1"/>
  <c r="BR278" i="253"/>
  <c r="BP278" i="253"/>
  <c r="K5" i="253"/>
  <c r="M5" i="253" s="1"/>
  <c r="J5" i="253"/>
  <c r="L5" i="253" s="1"/>
  <c r="BR116" i="253"/>
  <c r="BP116" i="253"/>
  <c r="BR50" i="253"/>
  <c r="BQ50" i="253"/>
  <c r="BS50" i="253"/>
  <c r="BP50" i="253"/>
  <c r="E51" i="253"/>
  <c r="D119" i="253"/>
  <c r="B120" i="253"/>
  <c r="H8" i="253"/>
  <c r="F8" i="253"/>
  <c r="G8" i="253"/>
  <c r="I8" i="253"/>
  <c r="D53" i="253"/>
  <c r="B54" i="253"/>
  <c r="H52" i="253"/>
  <c r="F52" i="253"/>
  <c r="I52" i="253"/>
  <c r="G52" i="253"/>
  <c r="D281" i="253"/>
  <c r="B282" i="253"/>
  <c r="E7" i="253"/>
  <c r="E279" i="253"/>
  <c r="I118" i="253"/>
  <c r="F118" i="253"/>
  <c r="G118" i="253"/>
  <c r="H118" i="253"/>
  <c r="D9" i="253"/>
  <c r="B10" i="253"/>
  <c r="BP6" i="253" l="1"/>
  <c r="E117" i="253"/>
  <c r="BP117" i="253" s="1"/>
  <c r="G280" i="253"/>
  <c r="J275" i="253"/>
  <c r="L275" i="253" s="1"/>
  <c r="F280" i="253"/>
  <c r="H280" i="253"/>
  <c r="J50" i="253"/>
  <c r="L50" i="253" s="1"/>
  <c r="BR51" i="253"/>
  <c r="BP51" i="253"/>
  <c r="K50" i="253"/>
  <c r="M50" i="253" s="1"/>
  <c r="BR7" i="253"/>
  <c r="BP7" i="253"/>
  <c r="BR279" i="253"/>
  <c r="BP279" i="253"/>
  <c r="B121" i="253"/>
  <c r="D120" i="253"/>
  <c r="E118" i="253"/>
  <c r="D54" i="253"/>
  <c r="B55" i="253"/>
  <c r="E8" i="253"/>
  <c r="I281" i="253"/>
  <c r="G281" i="253"/>
  <c r="F281" i="253"/>
  <c r="H281" i="253"/>
  <c r="D10" i="253"/>
  <c r="B11" i="253"/>
  <c r="H9" i="253"/>
  <c r="I9" i="253"/>
  <c r="G9" i="253"/>
  <c r="F9" i="253"/>
  <c r="B283" i="253"/>
  <c r="D282" i="253"/>
  <c r="E52" i="253"/>
  <c r="H53" i="253"/>
  <c r="G53" i="253"/>
  <c r="I53" i="253"/>
  <c r="F53" i="253"/>
  <c r="I119" i="253"/>
  <c r="F119" i="253"/>
  <c r="G119" i="253"/>
  <c r="H119" i="253"/>
  <c r="B5" i="251"/>
  <c r="P38" i="251"/>
  <c r="X38" i="251" s="1"/>
  <c r="N38" i="251"/>
  <c r="V38" i="251" s="1"/>
  <c r="P32" i="251"/>
  <c r="X32" i="251" s="1"/>
  <c r="N32" i="251"/>
  <c r="V32" i="251" s="1"/>
  <c r="P27" i="251"/>
  <c r="N27" i="251"/>
  <c r="B7" i="251"/>
  <c r="B84" i="251"/>
  <c r="B18" i="251"/>
  <c r="B54" i="251"/>
  <c r="B20" i="131"/>
  <c r="B19" i="131"/>
  <c r="B16" i="131"/>
  <c r="B15" i="131"/>
  <c r="B14" i="131"/>
  <c r="B13" i="131"/>
  <c r="B12" i="131"/>
  <c r="B11" i="131"/>
  <c r="B10" i="131"/>
  <c r="B9" i="131"/>
  <c r="B8" i="131"/>
  <c r="V27" i="251" l="1"/>
  <c r="N6" i="251"/>
  <c r="X27" i="251"/>
  <c r="P6" i="251"/>
  <c r="C17" i="131"/>
  <c r="C18" i="131"/>
  <c r="BR117" i="253"/>
  <c r="E280" i="253"/>
  <c r="BP280" i="253" s="1"/>
  <c r="BR8" i="253"/>
  <c r="BP8" i="253"/>
  <c r="BR52" i="253"/>
  <c r="BP52" i="253"/>
  <c r="BR118" i="253"/>
  <c r="BP118" i="253"/>
  <c r="E119" i="253"/>
  <c r="E53" i="253"/>
  <c r="E9" i="253"/>
  <c r="D11" i="253"/>
  <c r="B12" i="253"/>
  <c r="B122" i="253"/>
  <c r="D121" i="253"/>
  <c r="I282" i="253"/>
  <c r="F282" i="253"/>
  <c r="H282" i="253"/>
  <c r="G282" i="253"/>
  <c r="H10" i="253"/>
  <c r="I10" i="253"/>
  <c r="F10" i="253"/>
  <c r="G10" i="253"/>
  <c r="D55" i="253"/>
  <c r="B56" i="253"/>
  <c r="H54" i="253"/>
  <c r="I54" i="253"/>
  <c r="G54" i="253"/>
  <c r="F54" i="253"/>
  <c r="D283" i="253"/>
  <c r="B284" i="253"/>
  <c r="E281" i="253"/>
  <c r="I120" i="253"/>
  <c r="H120" i="253"/>
  <c r="G120" i="253"/>
  <c r="F120" i="253"/>
  <c r="B8" i="251"/>
  <c r="B12" i="251"/>
  <c r="B23" i="251"/>
  <c r="B27" i="251"/>
  <c r="B39" i="251"/>
  <c r="B48" i="251"/>
  <c r="B57" i="251"/>
  <c r="B61" i="251"/>
  <c r="B65" i="251"/>
  <c r="B73" i="251"/>
  <c r="B77" i="251"/>
  <c r="B89" i="251"/>
  <c r="B93" i="251"/>
  <c r="B105" i="251"/>
  <c r="B15" i="251"/>
  <c r="B51" i="251"/>
  <c r="B9" i="251"/>
  <c r="B32" i="251"/>
  <c r="B36" i="251"/>
  <c r="B49" i="251"/>
  <c r="B58" i="251"/>
  <c r="B82" i="251"/>
  <c r="B86" i="251"/>
  <c r="B94" i="251"/>
  <c r="B102" i="251"/>
  <c r="B21" i="251"/>
  <c r="B37" i="251"/>
  <c r="B81" i="251"/>
  <c r="B79" i="251"/>
  <c r="B91" i="251"/>
  <c r="B107" i="251"/>
  <c r="B63" i="251"/>
  <c r="B103" i="251"/>
  <c r="B68" i="251"/>
  <c r="B96" i="251"/>
  <c r="B76" i="251"/>
  <c r="B42" i="251"/>
  <c r="B26" i="251"/>
  <c r="B11" i="251"/>
  <c r="B33" i="251"/>
  <c r="B87" i="251"/>
  <c r="B98" i="251"/>
  <c r="B6" i="251"/>
  <c r="B95" i="251"/>
  <c r="B71" i="251"/>
  <c r="B16" i="251"/>
  <c r="B90" i="251"/>
  <c r="B75" i="251"/>
  <c r="B59" i="251"/>
  <c r="B53" i="251"/>
  <c r="B41" i="251"/>
  <c r="B25" i="251"/>
  <c r="B20" i="251"/>
  <c r="B10" i="251"/>
  <c r="B34" i="251"/>
  <c r="B55" i="251"/>
  <c r="B60" i="251"/>
  <c r="B100" i="251"/>
  <c r="B104" i="251"/>
  <c r="B99" i="251"/>
  <c r="B88" i="251"/>
  <c r="B83" i="251"/>
  <c r="B67" i="251"/>
  <c r="B50" i="251"/>
  <c r="B17" i="251"/>
  <c r="B108" i="251"/>
  <c r="B92" i="251"/>
  <c r="B80" i="251"/>
  <c r="B72" i="251"/>
  <c r="B64" i="251"/>
  <c r="B47" i="251"/>
  <c r="B38" i="251"/>
  <c r="B30" i="251"/>
  <c r="B22" i="251"/>
  <c r="B14" i="251"/>
  <c r="B28" i="251"/>
  <c r="B19" i="251"/>
  <c r="B31" i="251"/>
  <c r="B35" i="251"/>
  <c r="B44" i="251"/>
  <c r="B52" i="251"/>
  <c r="B69" i="251"/>
  <c r="B85" i="251"/>
  <c r="B97" i="251"/>
  <c r="B101" i="251"/>
  <c r="B24" i="251"/>
  <c r="B40" i="251"/>
  <c r="B66" i="251"/>
  <c r="B70" i="251"/>
  <c r="B74" i="251"/>
  <c r="B78" i="251"/>
  <c r="B106" i="251"/>
  <c r="N4" i="251" l="1"/>
  <c r="W6" i="251"/>
  <c r="P4" i="251"/>
  <c r="Y6" i="251"/>
  <c r="BR280" i="253"/>
  <c r="BP53" i="253"/>
  <c r="BR53" i="253"/>
  <c r="B589" i="253"/>
  <c r="BP281" i="253"/>
  <c r="BR281" i="253"/>
  <c r="BR119" i="253"/>
  <c r="BP119" i="253"/>
  <c r="BP9" i="253"/>
  <c r="BR9" i="253"/>
  <c r="E120" i="253"/>
  <c r="E54" i="253"/>
  <c r="B123" i="253"/>
  <c r="D122" i="253"/>
  <c r="H11" i="253"/>
  <c r="G11" i="253"/>
  <c r="I11" i="253"/>
  <c r="F11" i="253"/>
  <c r="B285" i="253"/>
  <c r="D284" i="253"/>
  <c r="H55" i="253"/>
  <c r="G55" i="253"/>
  <c r="F55" i="253"/>
  <c r="I55" i="253"/>
  <c r="E10" i="253"/>
  <c r="I283" i="253"/>
  <c r="G283" i="253"/>
  <c r="H283" i="253"/>
  <c r="F283" i="253"/>
  <c r="I121" i="253"/>
  <c r="G121" i="253"/>
  <c r="H121" i="253"/>
  <c r="F121" i="253"/>
  <c r="D56" i="253"/>
  <c r="B57" i="253"/>
  <c r="E282" i="253"/>
  <c r="D12" i="253"/>
  <c r="B13" i="253"/>
  <c r="B13" i="251"/>
  <c r="B45" i="251"/>
  <c r="B29" i="251"/>
  <c r="B62" i="251"/>
  <c r="B46" i="251"/>
  <c r="B555" i="253" l="1"/>
  <c r="D555" i="253" s="1"/>
  <c r="BR120" i="253"/>
  <c r="BP120" i="253"/>
  <c r="BR282" i="253"/>
  <c r="BP282" i="253"/>
  <c r="BR10" i="253"/>
  <c r="BP10" i="253"/>
  <c r="BR54" i="253"/>
  <c r="BP54" i="253"/>
  <c r="D589" i="253"/>
  <c r="B590" i="253"/>
  <c r="E121" i="253"/>
  <c r="E55" i="253"/>
  <c r="I284" i="253"/>
  <c r="H284" i="253"/>
  <c r="F284" i="253"/>
  <c r="G284" i="253"/>
  <c r="D123" i="253"/>
  <c r="B124" i="253"/>
  <c r="H12" i="253"/>
  <c r="F12" i="253"/>
  <c r="G12" i="253"/>
  <c r="I12" i="253"/>
  <c r="D57" i="253"/>
  <c r="B58" i="253"/>
  <c r="H56" i="253"/>
  <c r="F56" i="253"/>
  <c r="I56" i="253"/>
  <c r="G56" i="253"/>
  <c r="D285" i="253"/>
  <c r="B286" i="253"/>
  <c r="E11" i="253"/>
  <c r="I122" i="253"/>
  <c r="F122" i="253"/>
  <c r="G122" i="253"/>
  <c r="H122" i="253"/>
  <c r="D13" i="253"/>
  <c r="B14" i="253"/>
  <c r="E283" i="253"/>
  <c r="B556" i="253" l="1"/>
  <c r="D556" i="253" s="1"/>
  <c r="BR11" i="253"/>
  <c r="BP11" i="253"/>
  <c r="BR283" i="253"/>
  <c r="BP283" i="253"/>
  <c r="BR55" i="253"/>
  <c r="BP55" i="253"/>
  <c r="D590" i="253"/>
  <c r="B591" i="253"/>
  <c r="B557" i="253"/>
  <c r="E284" i="253"/>
  <c r="BP121" i="253"/>
  <c r="BR121" i="253"/>
  <c r="F589" i="253"/>
  <c r="G589" i="253"/>
  <c r="I589" i="253"/>
  <c r="H589" i="253"/>
  <c r="F555" i="253"/>
  <c r="G555" i="253"/>
  <c r="I555" i="253"/>
  <c r="H555" i="253"/>
  <c r="E122" i="253"/>
  <c r="I123" i="253"/>
  <c r="F123" i="253"/>
  <c r="G123" i="253"/>
  <c r="H123" i="253"/>
  <c r="H57" i="253"/>
  <c r="G57" i="253"/>
  <c r="I57" i="253"/>
  <c r="F57" i="253"/>
  <c r="D14" i="253"/>
  <c r="B15" i="253"/>
  <c r="I285" i="253"/>
  <c r="G285" i="253"/>
  <c r="F285" i="253"/>
  <c r="H285" i="253"/>
  <c r="B287" i="253"/>
  <c r="D286" i="253"/>
  <c r="E56" i="253"/>
  <c r="B125" i="253"/>
  <c r="D124" i="253"/>
  <c r="H13" i="253"/>
  <c r="I13" i="253"/>
  <c r="G13" i="253"/>
  <c r="F13" i="253"/>
  <c r="D58" i="253"/>
  <c r="B59" i="253"/>
  <c r="E12" i="253"/>
  <c r="B35" i="250"/>
  <c r="B34" i="250"/>
  <c r="B33" i="250"/>
  <c r="B32" i="250"/>
  <c r="B30" i="250"/>
  <c r="B29" i="250"/>
  <c r="K30" i="250"/>
  <c r="K29" i="250"/>
  <c r="K28" i="250"/>
  <c r="K27" i="250"/>
  <c r="K26" i="250"/>
  <c r="K25" i="250"/>
  <c r="K24" i="250"/>
  <c r="B24" i="250"/>
  <c r="B28" i="250"/>
  <c r="B27" i="250"/>
  <c r="B26" i="250"/>
  <c r="B25" i="250"/>
  <c r="B17" i="250"/>
  <c r="B16" i="250"/>
  <c r="B11" i="250"/>
  <c r="B10" i="250"/>
  <c r="HF34" i="135"/>
  <c r="HE34" i="135"/>
  <c r="HD34" i="135"/>
  <c r="HC34" i="135"/>
  <c r="HB34" i="135"/>
  <c r="HF16" i="135"/>
  <c r="HE16" i="135"/>
  <c r="HD16" i="135"/>
  <c r="HC16" i="135"/>
  <c r="HB16" i="135"/>
  <c r="HF11" i="135"/>
  <c r="HE11" i="135"/>
  <c r="HD11" i="135"/>
  <c r="HC11" i="135"/>
  <c r="HB11" i="135"/>
  <c r="L117" i="250" l="1"/>
  <c r="L222" i="250"/>
  <c r="L146" i="250"/>
  <c r="L96" i="250"/>
  <c r="BR12" i="253"/>
  <c r="BP12" i="253"/>
  <c r="BR122" i="253"/>
  <c r="BP122" i="253"/>
  <c r="D557" i="253"/>
  <c r="B558" i="253"/>
  <c r="BR56" i="253"/>
  <c r="BP56" i="253"/>
  <c r="F556" i="253"/>
  <c r="G556" i="253"/>
  <c r="I556" i="253"/>
  <c r="H556" i="253"/>
  <c r="D591" i="253"/>
  <c r="B592" i="253"/>
  <c r="E555" i="253"/>
  <c r="E589" i="253"/>
  <c r="BR284" i="253"/>
  <c r="BP284" i="253"/>
  <c r="F590" i="253"/>
  <c r="I590" i="253"/>
  <c r="H590" i="253"/>
  <c r="G590" i="253"/>
  <c r="H58" i="253"/>
  <c r="I58" i="253"/>
  <c r="G58" i="253"/>
  <c r="F58" i="253"/>
  <c r="D125" i="253"/>
  <c r="B126" i="253"/>
  <c r="E285" i="253"/>
  <c r="H14" i="253"/>
  <c r="I14" i="253"/>
  <c r="F14" i="253"/>
  <c r="G14" i="253"/>
  <c r="D59" i="253"/>
  <c r="B60" i="253"/>
  <c r="E13" i="253"/>
  <c r="D15" i="253"/>
  <c r="B16" i="253"/>
  <c r="E123" i="253"/>
  <c r="I286" i="253"/>
  <c r="F286" i="253"/>
  <c r="H286" i="253"/>
  <c r="G286" i="253"/>
  <c r="I124" i="253"/>
  <c r="H124" i="253"/>
  <c r="G124" i="253"/>
  <c r="F124" i="253"/>
  <c r="D287" i="253"/>
  <c r="B288" i="253"/>
  <c r="E57" i="253"/>
  <c r="B6" i="118"/>
  <c r="C53" i="135" s="1"/>
  <c r="C49" i="135" l="1"/>
  <c r="C96" i="135"/>
  <c r="C42" i="135"/>
  <c r="C39" i="135"/>
  <c r="C82" i="135"/>
  <c r="C75" i="135"/>
  <c r="C56" i="135"/>
  <c r="C45" i="135"/>
  <c r="C44" i="135"/>
  <c r="C41" i="135"/>
  <c r="C66" i="135"/>
  <c r="C94" i="135"/>
  <c r="C47" i="135"/>
  <c r="C74" i="135"/>
  <c r="C72" i="135"/>
  <c r="C46" i="135"/>
  <c r="C80" i="135"/>
  <c r="C79" i="135"/>
  <c r="C84" i="135"/>
  <c r="C85" i="135"/>
  <c r="C52" i="135"/>
  <c r="C59" i="135"/>
  <c r="C91" i="135"/>
  <c r="C54" i="135"/>
  <c r="C69" i="135"/>
  <c r="C95" i="135"/>
  <c r="C50" i="135"/>
  <c r="C77" i="135"/>
  <c r="C86" i="135"/>
  <c r="C73" i="135"/>
  <c r="C68" i="135"/>
  <c r="C71" i="135"/>
  <c r="C89" i="135"/>
  <c r="C48" i="135"/>
  <c r="C90" i="135"/>
  <c r="C92" i="135"/>
  <c r="C35" i="135"/>
  <c r="C43" i="135"/>
  <c r="C65" i="135"/>
  <c r="C93" i="135"/>
  <c r="C37" i="135"/>
  <c r="C60" i="135"/>
  <c r="C62" i="135"/>
  <c r="C36" i="135"/>
  <c r="C63" i="135"/>
  <c r="C81" i="135"/>
  <c r="C87" i="135"/>
  <c r="C76" i="135"/>
  <c r="C67" i="135"/>
  <c r="C70" i="135"/>
  <c r="C83" i="135"/>
  <c r="C88" i="135"/>
  <c r="C38" i="135"/>
  <c r="C78" i="135"/>
  <c r="C51" i="135"/>
  <c r="C57" i="135"/>
  <c r="C64" i="135"/>
  <c r="C97" i="135"/>
  <c r="C61" i="135"/>
  <c r="C40" i="135"/>
  <c r="C55" i="135"/>
  <c r="C58" i="135"/>
  <c r="K6" i="254"/>
  <c r="K28" i="254"/>
  <c r="K24" i="254"/>
  <c r="K20" i="254"/>
  <c r="K27" i="254"/>
  <c r="K15" i="254"/>
  <c r="K13" i="254"/>
  <c r="K12" i="254"/>
  <c r="K2" i="254"/>
  <c r="K4" i="254"/>
  <c r="K23" i="254"/>
  <c r="K5" i="254"/>
  <c r="K21" i="254"/>
  <c r="K18" i="254"/>
  <c r="K11" i="254"/>
  <c r="K19" i="254"/>
  <c r="K16" i="254"/>
  <c r="K7" i="254"/>
  <c r="K26" i="254"/>
  <c r="K25" i="254"/>
  <c r="K14" i="254"/>
  <c r="K9" i="254"/>
  <c r="K3" i="254"/>
  <c r="K22" i="254"/>
  <c r="K8" i="254"/>
  <c r="K10" i="254"/>
  <c r="K29" i="254"/>
  <c r="K17" i="254"/>
  <c r="E590" i="253"/>
  <c r="BR590" i="253" s="1"/>
  <c r="D558" i="253"/>
  <c r="B559" i="253"/>
  <c r="BP57" i="253"/>
  <c r="BR57" i="253"/>
  <c r="BR13" i="253"/>
  <c r="BP13" i="253"/>
  <c r="BR589" i="253"/>
  <c r="BP589" i="253"/>
  <c r="F557" i="253"/>
  <c r="G557" i="253"/>
  <c r="I557" i="253"/>
  <c r="H557" i="253"/>
  <c r="BR123" i="253"/>
  <c r="BP123" i="253"/>
  <c r="F591" i="253"/>
  <c r="G591" i="253"/>
  <c r="I591" i="253"/>
  <c r="H591" i="253"/>
  <c r="E556" i="253"/>
  <c r="BR285" i="253"/>
  <c r="BP285" i="253"/>
  <c r="BR555" i="253"/>
  <c r="BP555" i="253"/>
  <c r="D592" i="253"/>
  <c r="B593" i="253"/>
  <c r="E286" i="253"/>
  <c r="I287" i="253"/>
  <c r="G287" i="253"/>
  <c r="H287" i="253"/>
  <c r="F287" i="253"/>
  <c r="D16" i="253"/>
  <c r="B17" i="253"/>
  <c r="E124" i="253"/>
  <c r="B127" i="253"/>
  <c r="D126" i="253"/>
  <c r="E58" i="253"/>
  <c r="H15" i="253"/>
  <c r="G15" i="253"/>
  <c r="I15" i="253"/>
  <c r="F15" i="253"/>
  <c r="B289" i="253"/>
  <c r="D288" i="253"/>
  <c r="D60" i="253"/>
  <c r="B61" i="253"/>
  <c r="I125" i="253"/>
  <c r="G125" i="253"/>
  <c r="H125" i="253"/>
  <c r="F125" i="253"/>
  <c r="H59" i="253"/>
  <c r="G59" i="253"/>
  <c r="F59" i="253"/>
  <c r="I59" i="253"/>
  <c r="E14" i="253"/>
  <c r="CS11" i="135"/>
  <c r="CS16" i="135"/>
  <c r="CS34" i="135"/>
  <c r="CJ11" i="135"/>
  <c r="CJ16" i="135"/>
  <c r="CJ34" i="135"/>
  <c r="CI11" i="135"/>
  <c r="CI16" i="135"/>
  <c r="CI34" i="135"/>
  <c r="D593" i="253" l="1"/>
  <c r="I593" i="253" s="1"/>
  <c r="B594" i="253"/>
  <c r="D559" i="253"/>
  <c r="H559" i="253" s="1"/>
  <c r="B560" i="253"/>
  <c r="BP590" i="253"/>
  <c r="E557" i="253"/>
  <c r="BP557" i="253" s="1"/>
  <c r="F558" i="253"/>
  <c r="I558" i="253"/>
  <c r="H558" i="253"/>
  <c r="G558" i="253"/>
  <c r="BR14" i="253"/>
  <c r="BP14" i="253"/>
  <c r="BR58" i="253"/>
  <c r="BP58" i="253"/>
  <c r="BR286" i="253"/>
  <c r="BP286" i="253"/>
  <c r="F593" i="253"/>
  <c r="G593" i="253"/>
  <c r="H593" i="253"/>
  <c r="BR556" i="253"/>
  <c r="BP556" i="253"/>
  <c r="BR124" i="253"/>
  <c r="BP124" i="253"/>
  <c r="F592" i="253"/>
  <c r="G592" i="253"/>
  <c r="I592" i="253"/>
  <c r="H592" i="253"/>
  <c r="E591" i="253"/>
  <c r="E59" i="253"/>
  <c r="E15" i="253"/>
  <c r="E287" i="253"/>
  <c r="E125" i="253"/>
  <c r="D17" i="253"/>
  <c r="B18" i="253"/>
  <c r="H60" i="253"/>
  <c r="F60" i="253"/>
  <c r="I60" i="253"/>
  <c r="G60" i="253"/>
  <c r="I288" i="253"/>
  <c r="H288" i="253"/>
  <c r="F288" i="253"/>
  <c r="G288" i="253"/>
  <c r="D127" i="253"/>
  <c r="B128" i="253"/>
  <c r="D289" i="253"/>
  <c r="B290" i="253"/>
  <c r="D61" i="253"/>
  <c r="B62" i="253"/>
  <c r="I126" i="253"/>
  <c r="F126" i="253"/>
  <c r="G126" i="253"/>
  <c r="H126" i="253"/>
  <c r="H16" i="253"/>
  <c r="F16" i="253"/>
  <c r="G16" i="253"/>
  <c r="I16" i="253"/>
  <c r="B85" i="250"/>
  <c r="B84" i="250"/>
  <c r="B83" i="250"/>
  <c r="K84" i="250"/>
  <c r="K83" i="250"/>
  <c r="K77" i="250"/>
  <c r="K76" i="250"/>
  <c r="K75" i="250"/>
  <c r="K74" i="250"/>
  <c r="K73" i="250"/>
  <c r="K72" i="250"/>
  <c r="K71" i="250"/>
  <c r="K70" i="250"/>
  <c r="K69" i="250"/>
  <c r="K63" i="250"/>
  <c r="K62" i="250"/>
  <c r="K56" i="250"/>
  <c r="K55" i="250"/>
  <c r="K54" i="250"/>
  <c r="K53" i="250"/>
  <c r="K52" i="250"/>
  <c r="K51" i="250"/>
  <c r="K50" i="250"/>
  <c r="K49" i="250"/>
  <c r="K48" i="250"/>
  <c r="B78" i="250"/>
  <c r="B77" i="250"/>
  <c r="B76" i="250"/>
  <c r="B75" i="250"/>
  <c r="B74" i="250"/>
  <c r="B73" i="250"/>
  <c r="B72" i="250"/>
  <c r="B71" i="250"/>
  <c r="B70" i="250"/>
  <c r="B69" i="250"/>
  <c r="B64" i="250"/>
  <c r="B63" i="250"/>
  <c r="B62" i="250"/>
  <c r="B57" i="250"/>
  <c r="B56" i="250"/>
  <c r="B55" i="250"/>
  <c r="B54" i="250"/>
  <c r="B53" i="250"/>
  <c r="B52" i="250"/>
  <c r="B51" i="250"/>
  <c r="B50" i="250"/>
  <c r="B49" i="250"/>
  <c r="B48" i="250"/>
  <c r="K42" i="250"/>
  <c r="K41" i="250"/>
  <c r="B43" i="250"/>
  <c r="B42" i="250"/>
  <c r="B41" i="250"/>
  <c r="Y8" i="135"/>
  <c r="AC8" i="135" s="1"/>
  <c r="EZ9" i="135"/>
  <c r="G270" i="250"/>
  <c r="G271" i="250" s="1"/>
  <c r="G272" i="250" s="1"/>
  <c r="G273" i="250" s="1"/>
  <c r="G274" i="250" s="1"/>
  <c r="F264" i="250"/>
  <c r="F265" i="250" s="1"/>
  <c r="F270" i="250" s="1"/>
  <c r="F271" i="250" s="1"/>
  <c r="F272" i="250" s="1"/>
  <c r="F273" i="250" s="1"/>
  <c r="F274" i="250" s="1"/>
  <c r="E264" i="250"/>
  <c r="E265" i="250" s="1"/>
  <c r="E270" i="250" s="1"/>
  <c r="E271" i="250" s="1"/>
  <c r="E272" i="250" s="1"/>
  <c r="E273" i="250" s="1"/>
  <c r="E274" i="250" s="1"/>
  <c r="D263" i="250"/>
  <c r="B262" i="250"/>
  <c r="G251" i="250"/>
  <c r="G252" i="250" s="1"/>
  <c r="G253" i="250" s="1"/>
  <c r="G254" i="250" s="1"/>
  <c r="G255" i="250" s="1"/>
  <c r="F245" i="250"/>
  <c r="F246" i="250" s="1"/>
  <c r="F251" i="250" s="1"/>
  <c r="F252" i="250" s="1"/>
  <c r="F253" i="250" s="1"/>
  <c r="F254" i="250" s="1"/>
  <c r="F255" i="250" s="1"/>
  <c r="E245" i="250"/>
  <c r="E246" i="250" s="1"/>
  <c r="E251" i="250" s="1"/>
  <c r="E252" i="250" s="1"/>
  <c r="E253" i="250" s="1"/>
  <c r="E254" i="250" s="1"/>
  <c r="E255" i="250" s="1"/>
  <c r="D244" i="250"/>
  <c r="C244" i="250"/>
  <c r="B241" i="250"/>
  <c r="G229" i="250"/>
  <c r="G230" i="250" s="1"/>
  <c r="G231" i="250" s="1"/>
  <c r="G232" i="250" s="1"/>
  <c r="G233" i="250" s="1"/>
  <c r="D229" i="250"/>
  <c r="C229" i="250"/>
  <c r="C230" i="250" s="1"/>
  <c r="F229" i="250"/>
  <c r="F230" i="250" s="1"/>
  <c r="F231" i="250" s="1"/>
  <c r="F232" i="250" s="1"/>
  <c r="F233" i="250" s="1"/>
  <c r="E223" i="250"/>
  <c r="E224" i="250" s="1"/>
  <c r="B222" i="250"/>
  <c r="B221" i="250"/>
  <c r="G210" i="250"/>
  <c r="G211" i="250" s="1"/>
  <c r="G212" i="250" s="1"/>
  <c r="G213" i="250" s="1"/>
  <c r="G214" i="250" s="1"/>
  <c r="F204" i="250"/>
  <c r="F205" i="250" s="1"/>
  <c r="F210" i="250" s="1"/>
  <c r="F211" i="250" s="1"/>
  <c r="F212" i="250" s="1"/>
  <c r="F213" i="250" s="1"/>
  <c r="F214" i="250" s="1"/>
  <c r="E204" i="250"/>
  <c r="E205" i="250" s="1"/>
  <c r="E210" i="250" s="1"/>
  <c r="E211" i="250" s="1"/>
  <c r="E212" i="250" s="1"/>
  <c r="E213" i="250" s="1"/>
  <c r="E214" i="250" s="1"/>
  <c r="D203" i="250"/>
  <c r="C203" i="250"/>
  <c r="C204" i="250" s="1"/>
  <c r="C205" i="250" s="1"/>
  <c r="B202" i="250"/>
  <c r="G191" i="250"/>
  <c r="G192" i="250" s="1"/>
  <c r="G193" i="250" s="1"/>
  <c r="G194" i="250" s="1"/>
  <c r="G195" i="250" s="1"/>
  <c r="F185" i="250"/>
  <c r="F186" i="250" s="1"/>
  <c r="F191" i="250" s="1"/>
  <c r="F192" i="250" s="1"/>
  <c r="F193" i="250" s="1"/>
  <c r="F194" i="250" s="1"/>
  <c r="F195" i="250" s="1"/>
  <c r="E185" i="250"/>
  <c r="E186" i="250" s="1"/>
  <c r="E191" i="250" s="1"/>
  <c r="E192" i="250" s="1"/>
  <c r="E193" i="250" s="1"/>
  <c r="E194" i="250" s="1"/>
  <c r="E195" i="250" s="1"/>
  <c r="D184" i="250"/>
  <c r="L184" i="250" s="1"/>
  <c r="C184" i="250"/>
  <c r="C185" i="250" s="1"/>
  <c r="C186" i="250" s="1"/>
  <c r="B183" i="250"/>
  <c r="G172" i="250"/>
  <c r="G173" i="250" s="1"/>
  <c r="G174" i="250" s="1"/>
  <c r="G175" i="250" s="1"/>
  <c r="G176" i="250" s="1"/>
  <c r="F166" i="250"/>
  <c r="F167" i="250" s="1"/>
  <c r="F172" i="250" s="1"/>
  <c r="F173" i="250" s="1"/>
  <c r="F174" i="250" s="1"/>
  <c r="F175" i="250" s="1"/>
  <c r="F176" i="250" s="1"/>
  <c r="D165" i="250"/>
  <c r="C165" i="250"/>
  <c r="B164" i="250"/>
  <c r="G153" i="250"/>
  <c r="G154" i="250" s="1"/>
  <c r="G155" i="250" s="1"/>
  <c r="G156" i="250" s="1"/>
  <c r="G157" i="250" s="1"/>
  <c r="F148" i="250"/>
  <c r="F153" i="250" s="1"/>
  <c r="F154" i="250" s="1"/>
  <c r="F155" i="250" s="1"/>
  <c r="F156" i="250" s="1"/>
  <c r="F157" i="250" s="1"/>
  <c r="E148" i="250"/>
  <c r="E153" i="250" s="1"/>
  <c r="E154" i="250" s="1"/>
  <c r="E155" i="250" s="1"/>
  <c r="E156" i="250" s="1"/>
  <c r="E157" i="250" s="1"/>
  <c r="K136" i="250"/>
  <c r="L136" i="250" s="1"/>
  <c r="B136" i="250"/>
  <c r="G124" i="250"/>
  <c r="G125" i="250" s="1"/>
  <c r="G126" i="250" s="1"/>
  <c r="G127" i="250" s="1"/>
  <c r="G128" i="250" s="1"/>
  <c r="F124" i="250"/>
  <c r="F125" i="250" s="1"/>
  <c r="F126" i="250" s="1"/>
  <c r="F127" i="250" s="1"/>
  <c r="F128" i="250" s="1"/>
  <c r="E124" i="250"/>
  <c r="D124" i="250"/>
  <c r="D125" i="250" s="1"/>
  <c r="D126" i="250" s="1"/>
  <c r="D127" i="250" s="1"/>
  <c r="D128" i="250" s="1"/>
  <c r="C124" i="250"/>
  <c r="C125" i="250" s="1"/>
  <c r="B119" i="250"/>
  <c r="B118" i="250"/>
  <c r="B117" i="250"/>
  <c r="K116" i="250"/>
  <c r="B116" i="250"/>
  <c r="K115" i="250"/>
  <c r="B115" i="250"/>
  <c r="G104" i="250"/>
  <c r="G105" i="250" s="1"/>
  <c r="G106" i="250" s="1"/>
  <c r="G107" i="250" s="1"/>
  <c r="F104" i="250"/>
  <c r="F105" i="250" s="1"/>
  <c r="F106" i="250" s="1"/>
  <c r="F107" i="250" s="1"/>
  <c r="E104" i="250"/>
  <c r="E105" i="250" s="1"/>
  <c r="E106" i="250" s="1"/>
  <c r="E107" i="250" s="1"/>
  <c r="D104" i="250"/>
  <c r="D105" i="250" s="1"/>
  <c r="C104" i="250"/>
  <c r="C105" i="250" s="1"/>
  <c r="C106" i="250" s="1"/>
  <c r="B103" i="250"/>
  <c r="B98" i="250"/>
  <c r="B97" i="250"/>
  <c r="B96" i="250"/>
  <c r="K94" i="250"/>
  <c r="B94" i="250"/>
  <c r="K93" i="250"/>
  <c r="B93" i="250"/>
  <c r="B9" i="135"/>
  <c r="D264" i="250" l="1"/>
  <c r="L263" i="250"/>
  <c r="D245" i="250"/>
  <c r="L245" i="250" s="1"/>
  <c r="L244" i="250"/>
  <c r="L224" i="250"/>
  <c r="L98" i="250"/>
  <c r="L119" i="250"/>
  <c r="D166" i="250"/>
  <c r="L165" i="250"/>
  <c r="D204" i="250"/>
  <c r="L203" i="250"/>
  <c r="L118" i="250"/>
  <c r="L223" i="250"/>
  <c r="L147" i="250"/>
  <c r="L97" i="250"/>
  <c r="C28" i="118"/>
  <c r="C12" i="118"/>
  <c r="C19" i="118"/>
  <c r="C13" i="118"/>
  <c r="C14" i="118"/>
  <c r="C17" i="118"/>
  <c r="C36" i="118"/>
  <c r="C32" i="118"/>
  <c r="C69" i="118"/>
  <c r="C61" i="118"/>
  <c r="C39" i="118"/>
  <c r="C62" i="118"/>
  <c r="C45" i="118"/>
  <c r="C55" i="118"/>
  <c r="C67" i="118"/>
  <c r="C56" i="118"/>
  <c r="C48" i="118"/>
  <c r="C24" i="118"/>
  <c r="C8" i="118"/>
  <c r="C15" i="118"/>
  <c r="C26" i="118"/>
  <c r="C10" i="118"/>
  <c r="C9" i="118"/>
  <c r="C35" i="118"/>
  <c r="C31" i="118"/>
  <c r="C50" i="118"/>
  <c r="C52" i="118"/>
  <c r="C51" i="118"/>
  <c r="C54" i="118"/>
  <c r="C44" i="118"/>
  <c r="C64" i="118"/>
  <c r="C57" i="118"/>
  <c r="C53" i="118"/>
  <c r="C20" i="118"/>
  <c r="C27" i="118"/>
  <c r="C11" i="118"/>
  <c r="C22" i="118"/>
  <c r="C38" i="118"/>
  <c r="C34" i="118"/>
  <c r="C65" i="118"/>
  <c r="C43" i="118"/>
  <c r="C66" i="118"/>
  <c r="C47" i="118"/>
  <c r="C63" i="118"/>
  <c r="C42" i="118"/>
  <c r="C46" i="118"/>
  <c r="C16" i="118"/>
  <c r="C23" i="118"/>
  <c r="C7" i="118"/>
  <c r="C18" i="118"/>
  <c r="C21" i="118"/>
  <c r="C37" i="118"/>
  <c r="C33" i="118"/>
  <c r="C29" i="118"/>
  <c r="C58" i="118"/>
  <c r="C41" i="118"/>
  <c r="C59" i="118"/>
  <c r="C40" i="118"/>
  <c r="C68" i="118"/>
  <c r="C60" i="118"/>
  <c r="C49" i="118"/>
  <c r="FA9" i="135"/>
  <c r="I559" i="253"/>
  <c r="G559" i="253"/>
  <c r="F559" i="253"/>
  <c r="D560" i="253"/>
  <c r="B561" i="253"/>
  <c r="D594" i="253"/>
  <c r="B595" i="253"/>
  <c r="BR557" i="253"/>
  <c r="E592" i="253"/>
  <c r="BP592" i="253" s="1"/>
  <c r="E16" i="253"/>
  <c r="E126" i="253"/>
  <c r="E288" i="253"/>
  <c r="BR125" i="253"/>
  <c r="BP125" i="253"/>
  <c r="E558" i="253"/>
  <c r="BR287" i="253"/>
  <c r="BP287" i="253"/>
  <c r="BR15" i="253"/>
  <c r="BP15" i="253"/>
  <c r="BR59" i="253"/>
  <c r="BP59" i="253"/>
  <c r="BR591" i="253"/>
  <c r="BP591" i="253"/>
  <c r="E593" i="253"/>
  <c r="B263" i="250"/>
  <c r="H61" i="253"/>
  <c r="G61" i="253"/>
  <c r="I61" i="253"/>
  <c r="F61" i="253"/>
  <c r="I127" i="253"/>
  <c r="F127" i="253"/>
  <c r="H127" i="253"/>
  <c r="G127" i="253"/>
  <c r="B19" i="253"/>
  <c r="D18" i="253"/>
  <c r="E60" i="253"/>
  <c r="I17" i="253"/>
  <c r="H17" i="253"/>
  <c r="G17" i="253"/>
  <c r="F17" i="253"/>
  <c r="B291" i="253"/>
  <c r="D290" i="253"/>
  <c r="D62" i="253"/>
  <c r="B63" i="253"/>
  <c r="I289" i="253"/>
  <c r="G289" i="253"/>
  <c r="F289" i="253"/>
  <c r="H289" i="253"/>
  <c r="B129" i="253"/>
  <c r="D128" i="253"/>
  <c r="EZ7" i="135"/>
  <c r="Z8" i="135"/>
  <c r="Z9" i="135" s="1"/>
  <c r="AD9" i="135" s="1"/>
  <c r="B244" i="250"/>
  <c r="B223" i="250"/>
  <c r="C245" i="250"/>
  <c r="C246" i="250" s="1"/>
  <c r="C251" i="250" s="1"/>
  <c r="C252" i="250" s="1"/>
  <c r="B165" i="250"/>
  <c r="B124" i="250"/>
  <c r="E125" i="250"/>
  <c r="E126" i="250" s="1"/>
  <c r="E127" i="250" s="1"/>
  <c r="E128" i="250" s="1"/>
  <c r="B105" i="250"/>
  <c r="Y9" i="135"/>
  <c r="AC9" i="135" s="1"/>
  <c r="C126" i="250"/>
  <c r="C191" i="250"/>
  <c r="D148" i="250"/>
  <c r="C210" i="250"/>
  <c r="D106" i="250"/>
  <c r="D107" i="250" s="1"/>
  <c r="C107" i="250"/>
  <c r="B184" i="250"/>
  <c r="D185" i="250"/>
  <c r="L185" i="250" s="1"/>
  <c r="B203" i="250"/>
  <c r="C231" i="250"/>
  <c r="E229" i="250"/>
  <c r="E230" i="250" s="1"/>
  <c r="E231" i="250" s="1"/>
  <c r="E232" i="250" s="1"/>
  <c r="E233" i="250" s="1"/>
  <c r="B224" i="250"/>
  <c r="D230" i="250"/>
  <c r="D231" i="250" s="1"/>
  <c r="D232" i="250" s="1"/>
  <c r="D233" i="250" s="1"/>
  <c r="B104" i="250"/>
  <c r="B204" i="250"/>
  <c r="D246" i="250"/>
  <c r="L246" i="250" s="1"/>
  <c r="C166" i="250"/>
  <c r="D167" i="250" l="1"/>
  <c r="L166" i="250"/>
  <c r="D205" i="250"/>
  <c r="L204" i="250"/>
  <c r="D153" i="250"/>
  <c r="D154" i="250" s="1"/>
  <c r="D155" i="250" s="1"/>
  <c r="D156" i="250" s="1"/>
  <c r="D157" i="250" s="1"/>
  <c r="L148" i="250"/>
  <c r="D265" i="250"/>
  <c r="L264" i="250"/>
  <c r="FB9" i="135"/>
  <c r="E559" i="253"/>
  <c r="L78" i="250"/>
  <c r="B596" i="253"/>
  <c r="D595" i="253"/>
  <c r="F594" i="253"/>
  <c r="G594" i="253"/>
  <c r="H594" i="253"/>
  <c r="I594" i="253"/>
  <c r="B562" i="253"/>
  <c r="D561" i="253"/>
  <c r="F560" i="253"/>
  <c r="G560" i="253"/>
  <c r="H560" i="253"/>
  <c r="I560" i="253"/>
  <c r="AA8" i="135"/>
  <c r="AA9" i="135" s="1"/>
  <c r="AE9" i="135" s="1"/>
  <c r="BR592" i="253"/>
  <c r="BP593" i="253"/>
  <c r="BR593" i="253"/>
  <c r="BR558" i="253"/>
  <c r="BP558" i="253"/>
  <c r="BR126" i="253"/>
  <c r="BP126" i="253"/>
  <c r="BR16" i="253"/>
  <c r="BP16" i="253"/>
  <c r="BR60" i="253"/>
  <c r="BP60" i="253"/>
  <c r="BR559" i="253"/>
  <c r="BP559" i="253"/>
  <c r="BR288" i="253"/>
  <c r="BP288" i="253"/>
  <c r="E17" i="253"/>
  <c r="I290" i="253"/>
  <c r="F290" i="253"/>
  <c r="H290" i="253"/>
  <c r="G290" i="253"/>
  <c r="I18" i="253"/>
  <c r="G18" i="253"/>
  <c r="F18" i="253"/>
  <c r="H18" i="253"/>
  <c r="H62" i="253"/>
  <c r="I62" i="253"/>
  <c r="G62" i="253"/>
  <c r="F62" i="253"/>
  <c r="E289" i="253"/>
  <c r="I128" i="253"/>
  <c r="H128" i="253"/>
  <c r="F128" i="253"/>
  <c r="G128" i="253"/>
  <c r="D63" i="253"/>
  <c r="B64" i="253"/>
  <c r="D291" i="253"/>
  <c r="B292" i="253"/>
  <c r="D19" i="253"/>
  <c r="B20" i="253"/>
  <c r="E127" i="253"/>
  <c r="D129" i="253"/>
  <c r="B130" i="253"/>
  <c r="E61" i="253"/>
  <c r="B245" i="250"/>
  <c r="B107" i="250"/>
  <c r="B125" i="250"/>
  <c r="B229" i="250"/>
  <c r="B230" i="250"/>
  <c r="C127" i="250"/>
  <c r="B126" i="250"/>
  <c r="B166" i="250"/>
  <c r="C167" i="250"/>
  <c r="C211" i="250"/>
  <c r="B106" i="250"/>
  <c r="B246" i="250"/>
  <c r="D251" i="250"/>
  <c r="C232" i="250"/>
  <c r="B231" i="250"/>
  <c r="B185" i="250"/>
  <c r="D186" i="250"/>
  <c r="L186" i="250" s="1"/>
  <c r="C192" i="250"/>
  <c r="B264" i="250"/>
  <c r="C253" i="250"/>
  <c r="C148" i="250"/>
  <c r="B148" i="250" s="1"/>
  <c r="D270" i="250" l="1"/>
  <c r="D271" i="250" s="1"/>
  <c r="D272" i="250" s="1"/>
  <c r="D273" i="250" s="1"/>
  <c r="D274" i="250" s="1"/>
  <c r="L265" i="250"/>
  <c r="D210" i="250"/>
  <c r="L205" i="250"/>
  <c r="B205" i="250"/>
  <c r="D172" i="250"/>
  <c r="D173" i="250" s="1"/>
  <c r="D174" i="250" s="1"/>
  <c r="D175" i="250" s="1"/>
  <c r="D176" i="250" s="1"/>
  <c r="L167" i="250"/>
  <c r="FC9" i="135"/>
  <c r="I561" i="253"/>
  <c r="H561" i="253"/>
  <c r="F561" i="253"/>
  <c r="G561" i="253"/>
  <c r="D562" i="253"/>
  <c r="B563" i="253"/>
  <c r="E594" i="253"/>
  <c r="F595" i="253"/>
  <c r="G595" i="253"/>
  <c r="I595" i="253"/>
  <c r="H595" i="253"/>
  <c r="E560" i="253"/>
  <c r="D596" i="253"/>
  <c r="B597" i="253"/>
  <c r="BR61" i="253"/>
  <c r="BP61" i="253"/>
  <c r="BP17" i="253"/>
  <c r="BR17" i="253"/>
  <c r="BR127" i="253"/>
  <c r="BP127" i="253"/>
  <c r="BP289" i="253"/>
  <c r="BR289" i="253"/>
  <c r="E128" i="253"/>
  <c r="I129" i="253"/>
  <c r="G129" i="253"/>
  <c r="H129" i="253"/>
  <c r="F129" i="253"/>
  <c r="D20" i="253"/>
  <c r="B21" i="253"/>
  <c r="I291" i="253"/>
  <c r="G291" i="253"/>
  <c r="H291" i="253"/>
  <c r="F291" i="253"/>
  <c r="E62" i="253"/>
  <c r="E18" i="253"/>
  <c r="I19" i="253"/>
  <c r="F19" i="253"/>
  <c r="H19" i="253"/>
  <c r="G19" i="253"/>
  <c r="D64" i="253"/>
  <c r="B65" i="253"/>
  <c r="B131" i="253"/>
  <c r="D130" i="253"/>
  <c r="B293" i="253"/>
  <c r="D292" i="253"/>
  <c r="H63" i="253"/>
  <c r="G63" i="253"/>
  <c r="F63" i="253"/>
  <c r="I63" i="253"/>
  <c r="E290" i="253"/>
  <c r="D191" i="250"/>
  <c r="B186" i="250"/>
  <c r="B232" i="250"/>
  <c r="C233" i="250"/>
  <c r="B233" i="250" s="1"/>
  <c r="C254" i="250"/>
  <c r="D252" i="250"/>
  <c r="B251" i="250"/>
  <c r="C270" i="250"/>
  <c r="B265" i="250"/>
  <c r="C193" i="250"/>
  <c r="C212" i="250"/>
  <c r="C153" i="250"/>
  <c r="C172" i="250"/>
  <c r="B167" i="250"/>
  <c r="C128" i="250"/>
  <c r="B128" i="250" s="1"/>
  <c r="B127" i="250"/>
  <c r="D211" i="250" l="1"/>
  <c r="B210" i="250"/>
  <c r="FD9" i="135"/>
  <c r="E595" i="253"/>
  <c r="BP595" i="253" s="1"/>
  <c r="BP560" i="253"/>
  <c r="BR560" i="253"/>
  <c r="BR594" i="253"/>
  <c r="BP594" i="253"/>
  <c r="E561" i="253"/>
  <c r="B598" i="253"/>
  <c r="D597" i="253"/>
  <c r="D563" i="253"/>
  <c r="B564" i="253"/>
  <c r="G596" i="253"/>
  <c r="I596" i="253"/>
  <c r="F596" i="253"/>
  <c r="H596" i="253"/>
  <c r="F562" i="253"/>
  <c r="H562" i="253"/>
  <c r="G562" i="253"/>
  <c r="I562" i="253"/>
  <c r="BR62" i="253"/>
  <c r="BP62" i="253"/>
  <c r="B576" i="253"/>
  <c r="BR290" i="253"/>
  <c r="BP290" i="253"/>
  <c r="BR18" i="253"/>
  <c r="BP18" i="253"/>
  <c r="BR128" i="253"/>
  <c r="BP128" i="253"/>
  <c r="E129" i="253"/>
  <c r="I292" i="253"/>
  <c r="H292" i="253"/>
  <c r="F292" i="253"/>
  <c r="G292" i="253"/>
  <c r="D65" i="253"/>
  <c r="B66" i="253"/>
  <c r="E291" i="253"/>
  <c r="B22" i="253"/>
  <c r="D21" i="253"/>
  <c r="E63" i="253"/>
  <c r="D293" i="253"/>
  <c r="B294" i="253"/>
  <c r="D131" i="253"/>
  <c r="B132" i="253"/>
  <c r="H64" i="253"/>
  <c r="F64" i="253"/>
  <c r="I64" i="253"/>
  <c r="G64" i="253"/>
  <c r="I20" i="253"/>
  <c r="G20" i="253"/>
  <c r="H20" i="253"/>
  <c r="F20" i="253"/>
  <c r="I130" i="253"/>
  <c r="F130" i="253"/>
  <c r="G130" i="253"/>
  <c r="H130" i="253"/>
  <c r="E19" i="253"/>
  <c r="C213" i="250"/>
  <c r="B153" i="250"/>
  <c r="C154" i="250"/>
  <c r="B270" i="250"/>
  <c r="C271" i="250"/>
  <c r="D253" i="250"/>
  <c r="B252" i="250"/>
  <c r="C173" i="250"/>
  <c r="B172" i="250"/>
  <c r="C194" i="250"/>
  <c r="C255" i="250"/>
  <c r="D192" i="250"/>
  <c r="B191" i="250"/>
  <c r="D212" i="250" l="1"/>
  <c r="B211" i="250"/>
  <c r="FE9" i="135"/>
  <c r="BR595" i="253"/>
  <c r="E596" i="253"/>
  <c r="BP596" i="253" s="1"/>
  <c r="E562" i="253"/>
  <c r="B599" i="253"/>
  <c r="D598" i="253"/>
  <c r="D564" i="253"/>
  <c r="B565" i="253"/>
  <c r="BR561" i="253"/>
  <c r="BP561" i="253"/>
  <c r="BR596" i="253"/>
  <c r="F563" i="253"/>
  <c r="G563" i="253"/>
  <c r="I563" i="253"/>
  <c r="H563" i="253"/>
  <c r="H597" i="253"/>
  <c r="F597" i="253"/>
  <c r="G597" i="253"/>
  <c r="I597" i="253"/>
  <c r="BR63" i="253"/>
  <c r="BP63" i="253"/>
  <c r="BR19" i="253"/>
  <c r="BP19" i="253"/>
  <c r="BR291" i="253"/>
  <c r="BP291" i="253"/>
  <c r="B577" i="253"/>
  <c r="D576" i="253"/>
  <c r="E20" i="253"/>
  <c r="E64" i="253"/>
  <c r="BP129" i="253"/>
  <c r="BR129" i="253"/>
  <c r="D66" i="253"/>
  <c r="B67" i="253"/>
  <c r="I293" i="253"/>
  <c r="G293" i="253"/>
  <c r="F293" i="253"/>
  <c r="H293" i="253"/>
  <c r="I21" i="253"/>
  <c r="H21" i="253"/>
  <c r="G21" i="253"/>
  <c r="F21" i="253"/>
  <c r="E130" i="253"/>
  <c r="B133" i="253"/>
  <c r="D132" i="253"/>
  <c r="B23" i="253"/>
  <c r="D22" i="253"/>
  <c r="I131" i="253"/>
  <c r="F131" i="253"/>
  <c r="H131" i="253"/>
  <c r="G131" i="253"/>
  <c r="H65" i="253"/>
  <c r="G65" i="253"/>
  <c r="I65" i="253"/>
  <c r="F65" i="253"/>
  <c r="B295" i="253"/>
  <c r="D294" i="253"/>
  <c r="E292" i="253"/>
  <c r="D193" i="250"/>
  <c r="B192" i="250"/>
  <c r="C155" i="250"/>
  <c r="B154" i="250"/>
  <c r="C195" i="250"/>
  <c r="D254" i="250"/>
  <c r="B253" i="250"/>
  <c r="B271" i="250"/>
  <c r="C272" i="250"/>
  <c r="C174" i="250"/>
  <c r="B173" i="250"/>
  <c r="C214" i="250"/>
  <c r="A2" i="250"/>
  <c r="A1" i="250"/>
  <c r="D213" i="250" l="1"/>
  <c r="B212" i="250"/>
  <c r="FF9" i="135"/>
  <c r="E563" i="253"/>
  <c r="BP563" i="253" s="1"/>
  <c r="F598" i="253"/>
  <c r="I598" i="253"/>
  <c r="H598" i="253"/>
  <c r="G598" i="253"/>
  <c r="D565" i="253"/>
  <c r="B566" i="253"/>
  <c r="D599" i="253"/>
  <c r="B600" i="253"/>
  <c r="E597" i="253"/>
  <c r="G564" i="253"/>
  <c r="I564" i="253"/>
  <c r="H564" i="253"/>
  <c r="F564" i="253"/>
  <c r="BP562" i="253"/>
  <c r="BR562" i="253"/>
  <c r="F576" i="253"/>
  <c r="I576" i="253"/>
  <c r="G576" i="253"/>
  <c r="H576" i="253"/>
  <c r="BR130" i="253"/>
  <c r="BP130" i="253"/>
  <c r="D577" i="253"/>
  <c r="B578" i="253"/>
  <c r="BR292" i="253"/>
  <c r="BP292" i="253"/>
  <c r="BR64" i="253"/>
  <c r="BP64" i="253"/>
  <c r="BR20" i="253"/>
  <c r="BP20" i="253"/>
  <c r="E65" i="253"/>
  <c r="D23" i="253"/>
  <c r="B24" i="253"/>
  <c r="D133" i="253"/>
  <c r="B134" i="253"/>
  <c r="I294" i="253"/>
  <c r="F294" i="253"/>
  <c r="H294" i="253"/>
  <c r="G294" i="253"/>
  <c r="D67" i="253"/>
  <c r="B68" i="253"/>
  <c r="E131" i="253"/>
  <c r="E293" i="253"/>
  <c r="D295" i="253"/>
  <c r="B296" i="253"/>
  <c r="I22" i="253"/>
  <c r="G22" i="253"/>
  <c r="F22" i="253"/>
  <c r="H22" i="253"/>
  <c r="I132" i="253"/>
  <c r="H132" i="253"/>
  <c r="F132" i="253"/>
  <c r="G132" i="253"/>
  <c r="E21" i="253"/>
  <c r="H66" i="253"/>
  <c r="I66" i="253"/>
  <c r="G66" i="253"/>
  <c r="F66" i="253"/>
  <c r="C273" i="250"/>
  <c r="B272" i="250"/>
  <c r="C175" i="250"/>
  <c r="B174" i="250"/>
  <c r="D255" i="250"/>
  <c r="B255" i="250" s="1"/>
  <c r="B254" i="250"/>
  <c r="B155" i="250"/>
  <c r="C156" i="250"/>
  <c r="D194" i="250"/>
  <c r="B193" i="250"/>
  <c r="D214" i="250" l="1"/>
  <c r="B214" i="250" s="1"/>
  <c r="B213" i="250"/>
  <c r="FG9" i="135"/>
  <c r="BR563" i="253"/>
  <c r="B567" i="253"/>
  <c r="D566" i="253"/>
  <c r="E564" i="253"/>
  <c r="BP597" i="253"/>
  <c r="BR597" i="253"/>
  <c r="H565" i="253"/>
  <c r="F565" i="253"/>
  <c r="G565" i="253"/>
  <c r="I565" i="253"/>
  <c r="E598" i="253"/>
  <c r="D600" i="253"/>
  <c r="B601" i="253"/>
  <c r="I599" i="253"/>
  <c r="H599" i="253"/>
  <c r="F599" i="253"/>
  <c r="G599" i="253"/>
  <c r="F577" i="253"/>
  <c r="G577" i="253"/>
  <c r="I577" i="253"/>
  <c r="H577" i="253"/>
  <c r="BR131" i="253"/>
  <c r="BP131" i="253"/>
  <c r="BP293" i="253"/>
  <c r="BR293" i="253"/>
  <c r="BP21" i="253"/>
  <c r="BR21" i="253"/>
  <c r="BP65" i="253"/>
  <c r="BR65" i="253"/>
  <c r="D578" i="253"/>
  <c r="B579" i="253"/>
  <c r="E576" i="253"/>
  <c r="D68" i="253"/>
  <c r="B69" i="253"/>
  <c r="B297" i="253"/>
  <c r="D296" i="253"/>
  <c r="E294" i="253"/>
  <c r="D24" i="253"/>
  <c r="B25" i="253"/>
  <c r="E66" i="253"/>
  <c r="E132" i="253"/>
  <c r="E22" i="253"/>
  <c r="I295" i="253"/>
  <c r="G295" i="253"/>
  <c r="H295" i="253"/>
  <c r="F295" i="253"/>
  <c r="I23" i="253"/>
  <c r="F23" i="253"/>
  <c r="H23" i="253"/>
  <c r="G23" i="253"/>
  <c r="B135" i="253"/>
  <c r="D134" i="253"/>
  <c r="H67" i="253"/>
  <c r="G67" i="253"/>
  <c r="F67" i="253"/>
  <c r="I67" i="253"/>
  <c r="I133" i="253"/>
  <c r="G133" i="253"/>
  <c r="H133" i="253"/>
  <c r="F133" i="253"/>
  <c r="C157" i="250"/>
  <c r="B157" i="250" s="1"/>
  <c r="B156" i="250"/>
  <c r="B175" i="250"/>
  <c r="C176" i="250"/>
  <c r="B176" i="250" s="1"/>
  <c r="B273" i="250"/>
  <c r="C274" i="250"/>
  <c r="B274" i="250" s="1"/>
  <c r="D195" i="250"/>
  <c r="B195" i="250" s="1"/>
  <c r="B194" i="250"/>
  <c r="FH9" i="135" l="1"/>
  <c r="B602" i="253"/>
  <c r="D601" i="253"/>
  <c r="E599" i="253"/>
  <c r="G600" i="253"/>
  <c r="I600" i="253"/>
  <c r="H600" i="253"/>
  <c r="F600" i="253"/>
  <c r="E565" i="253"/>
  <c r="BR564" i="253"/>
  <c r="BP564" i="253"/>
  <c r="BR598" i="253"/>
  <c r="BP598" i="253"/>
  <c r="I566" i="253"/>
  <c r="H566" i="253"/>
  <c r="G566" i="253"/>
  <c r="F566" i="253"/>
  <c r="B568" i="253"/>
  <c r="D567" i="253"/>
  <c r="E577" i="253"/>
  <c r="BP577" i="253" s="1"/>
  <c r="D579" i="253"/>
  <c r="B580" i="253"/>
  <c r="BR22" i="253"/>
  <c r="BP22" i="253"/>
  <c r="F578" i="253"/>
  <c r="I578" i="253"/>
  <c r="G578" i="253"/>
  <c r="H578" i="253"/>
  <c r="BR132" i="253"/>
  <c r="BP132" i="253"/>
  <c r="BR294" i="253"/>
  <c r="BP294" i="253"/>
  <c r="BR576" i="253"/>
  <c r="BP576" i="253"/>
  <c r="BR66" i="253"/>
  <c r="BP66" i="253"/>
  <c r="E67" i="253"/>
  <c r="E23" i="253"/>
  <c r="E295" i="253"/>
  <c r="I24" i="253"/>
  <c r="G24" i="253"/>
  <c r="H24" i="253"/>
  <c r="F24" i="253"/>
  <c r="D69" i="253"/>
  <c r="B70" i="253"/>
  <c r="I296" i="253"/>
  <c r="H296" i="253"/>
  <c r="F296" i="253"/>
  <c r="G296" i="253"/>
  <c r="E133" i="253"/>
  <c r="I134" i="253"/>
  <c r="F134" i="253"/>
  <c r="G134" i="253"/>
  <c r="H134" i="253"/>
  <c r="H68" i="253"/>
  <c r="F68" i="253"/>
  <c r="I68" i="253"/>
  <c r="G68" i="253"/>
  <c r="D135" i="253"/>
  <c r="B136" i="253"/>
  <c r="B26" i="253"/>
  <c r="D25" i="253"/>
  <c r="D297" i="253"/>
  <c r="B298" i="253"/>
  <c r="C19" i="131"/>
  <c r="C13" i="131"/>
  <c r="C15" i="131"/>
  <c r="Q8" i="135"/>
  <c r="FI9" i="135" l="1"/>
  <c r="BR577" i="253"/>
  <c r="E566" i="253"/>
  <c r="BP565" i="253"/>
  <c r="BR565" i="253"/>
  <c r="E600" i="253"/>
  <c r="BP599" i="253"/>
  <c r="BR599" i="253"/>
  <c r="D580" i="253"/>
  <c r="I580" i="253" s="1"/>
  <c r="B581" i="253"/>
  <c r="G567" i="253"/>
  <c r="I567" i="253"/>
  <c r="H567" i="253"/>
  <c r="F567" i="253"/>
  <c r="H601" i="253"/>
  <c r="G601" i="253"/>
  <c r="I601" i="253"/>
  <c r="F601" i="253"/>
  <c r="D568" i="253"/>
  <c r="B569" i="253"/>
  <c r="B603" i="253"/>
  <c r="D602" i="253"/>
  <c r="E578" i="253"/>
  <c r="BR578" i="253" s="1"/>
  <c r="BP133" i="253"/>
  <c r="BR133" i="253"/>
  <c r="BR23" i="253"/>
  <c r="BP23" i="253"/>
  <c r="BR67" i="253"/>
  <c r="BP67" i="253"/>
  <c r="E24" i="253"/>
  <c r="BR295" i="253"/>
  <c r="BP295" i="253"/>
  <c r="F579" i="253"/>
  <c r="G579" i="253"/>
  <c r="H579" i="253"/>
  <c r="I579" i="253"/>
  <c r="B71" i="253"/>
  <c r="D70" i="253"/>
  <c r="B299" i="253"/>
  <c r="D298" i="253"/>
  <c r="I25" i="253"/>
  <c r="H25" i="253"/>
  <c r="G25" i="253"/>
  <c r="F25" i="253"/>
  <c r="I297" i="253"/>
  <c r="G297" i="253"/>
  <c r="F297" i="253"/>
  <c r="H297" i="253"/>
  <c r="B27" i="253"/>
  <c r="D26" i="253"/>
  <c r="B137" i="253"/>
  <c r="D136" i="253"/>
  <c r="E134" i="253"/>
  <c r="E296" i="253"/>
  <c r="I69" i="253"/>
  <c r="G69" i="253"/>
  <c r="H69" i="253"/>
  <c r="F69" i="253"/>
  <c r="I135" i="253"/>
  <c r="F135" i="253"/>
  <c r="H135" i="253"/>
  <c r="G135" i="253"/>
  <c r="E68" i="253"/>
  <c r="C20" i="131"/>
  <c r="CX7" i="135"/>
  <c r="C16" i="131"/>
  <c r="C14" i="131"/>
  <c r="C12" i="131"/>
  <c r="AY9" i="135"/>
  <c r="Q9" i="135"/>
  <c r="U9" i="135" s="1"/>
  <c r="R8" i="135"/>
  <c r="AI9" i="135"/>
  <c r="FJ9" i="135" l="1"/>
  <c r="H580" i="253"/>
  <c r="F580" i="253"/>
  <c r="G580" i="253"/>
  <c r="E601" i="253"/>
  <c r="BP601" i="253" s="1"/>
  <c r="E567" i="253"/>
  <c r="BR567" i="253" s="1"/>
  <c r="I602" i="253"/>
  <c r="G602" i="253"/>
  <c r="H602" i="253"/>
  <c r="F602" i="253"/>
  <c r="D581" i="253"/>
  <c r="B582" i="253"/>
  <c r="BP600" i="253"/>
  <c r="BR600" i="253"/>
  <c r="D603" i="253"/>
  <c r="B604" i="253"/>
  <c r="D569" i="253"/>
  <c r="B570" i="253"/>
  <c r="G568" i="253"/>
  <c r="H568" i="253"/>
  <c r="F568" i="253"/>
  <c r="I568" i="253"/>
  <c r="BR566" i="253"/>
  <c r="BP566" i="253"/>
  <c r="BP578" i="253"/>
  <c r="BR24" i="253"/>
  <c r="BP24" i="253"/>
  <c r="BR134" i="253"/>
  <c r="BP134" i="253"/>
  <c r="BR296" i="253"/>
  <c r="BP296" i="253"/>
  <c r="BR68" i="253"/>
  <c r="BP68" i="253"/>
  <c r="E579" i="253"/>
  <c r="E69" i="253"/>
  <c r="D299" i="253"/>
  <c r="B300" i="253"/>
  <c r="D137" i="253"/>
  <c r="B138" i="253"/>
  <c r="I26" i="253"/>
  <c r="G26" i="253"/>
  <c r="F26" i="253"/>
  <c r="H26" i="253"/>
  <c r="D71" i="253"/>
  <c r="B72" i="253"/>
  <c r="E135" i="253"/>
  <c r="D27" i="253"/>
  <c r="B28" i="253"/>
  <c r="E25" i="253"/>
  <c r="I298" i="253"/>
  <c r="F298" i="253"/>
  <c r="H298" i="253"/>
  <c r="G298" i="253"/>
  <c r="I136" i="253"/>
  <c r="H136" i="253"/>
  <c r="F136" i="253"/>
  <c r="G136" i="253"/>
  <c r="E297" i="253"/>
  <c r="I70" i="253"/>
  <c r="H70" i="253"/>
  <c r="F70" i="253"/>
  <c r="G70" i="253"/>
  <c r="S8" i="135"/>
  <c r="R9" i="135"/>
  <c r="V9" i="135" s="1"/>
  <c r="FK9" i="135" l="1"/>
  <c r="BR601" i="253"/>
  <c r="E580" i="253"/>
  <c r="BP580" i="253" s="1"/>
  <c r="BP567" i="253"/>
  <c r="B571" i="253"/>
  <c r="D570" i="253"/>
  <c r="E602" i="253"/>
  <c r="E568" i="253"/>
  <c r="G569" i="253"/>
  <c r="I569" i="253"/>
  <c r="H569" i="253"/>
  <c r="F569" i="253"/>
  <c r="D604" i="253"/>
  <c r="B605" i="253"/>
  <c r="D582" i="253"/>
  <c r="B583" i="253"/>
  <c r="F603" i="253"/>
  <c r="I603" i="253"/>
  <c r="G603" i="253"/>
  <c r="H603" i="253"/>
  <c r="F581" i="253"/>
  <c r="G581" i="253"/>
  <c r="H581" i="253"/>
  <c r="I581" i="253"/>
  <c r="BP297" i="253"/>
  <c r="BR297" i="253"/>
  <c r="BP69" i="253"/>
  <c r="BR69" i="253"/>
  <c r="BP25" i="253"/>
  <c r="BR25" i="253"/>
  <c r="BR135" i="253"/>
  <c r="BP135" i="253"/>
  <c r="BR579" i="253"/>
  <c r="BP579" i="253"/>
  <c r="BR580" i="253"/>
  <c r="E136" i="253"/>
  <c r="E298" i="253"/>
  <c r="B73" i="253"/>
  <c r="D72" i="253"/>
  <c r="I27" i="253"/>
  <c r="F27" i="253"/>
  <c r="H27" i="253"/>
  <c r="G27" i="253"/>
  <c r="E70" i="253"/>
  <c r="D28" i="253"/>
  <c r="B29" i="253"/>
  <c r="I71" i="253"/>
  <c r="G71" i="253"/>
  <c r="F71" i="253"/>
  <c r="H71" i="253"/>
  <c r="B139" i="253"/>
  <c r="D138" i="253"/>
  <c r="B301" i="253"/>
  <c r="D300" i="253"/>
  <c r="E26" i="253"/>
  <c r="I137" i="253"/>
  <c r="G137" i="253"/>
  <c r="H137" i="253"/>
  <c r="F137" i="253"/>
  <c r="I299" i="253"/>
  <c r="G299" i="253"/>
  <c r="H299" i="253"/>
  <c r="F299" i="253"/>
  <c r="AD8" i="135"/>
  <c r="AE8" i="135" s="1"/>
  <c r="U8" i="135"/>
  <c r="S9" i="135"/>
  <c r="W9" i="135" s="1"/>
  <c r="I34" i="109"/>
  <c r="I35" i="109"/>
  <c r="FL9" i="135" l="1"/>
  <c r="E569" i="253"/>
  <c r="B584" i="253"/>
  <c r="D583" i="253"/>
  <c r="BR568" i="253"/>
  <c r="BP568" i="253"/>
  <c r="G582" i="253"/>
  <c r="H582" i="253"/>
  <c r="I582" i="253"/>
  <c r="F582" i="253"/>
  <c r="BP602" i="253"/>
  <c r="BR602" i="253"/>
  <c r="BP569" i="253"/>
  <c r="BR569" i="253"/>
  <c r="B606" i="253"/>
  <c r="D605" i="253"/>
  <c r="H570" i="253"/>
  <c r="G570" i="253"/>
  <c r="F570" i="253"/>
  <c r="I570" i="253"/>
  <c r="E581" i="253"/>
  <c r="E603" i="253"/>
  <c r="F604" i="253"/>
  <c r="I604" i="253"/>
  <c r="G604" i="253"/>
  <c r="H604" i="253"/>
  <c r="B572" i="253"/>
  <c r="D571" i="253"/>
  <c r="BR26" i="253"/>
  <c r="BP26" i="253"/>
  <c r="BR298" i="253"/>
  <c r="BP298" i="253"/>
  <c r="BR136" i="253"/>
  <c r="BP136" i="253"/>
  <c r="BR70" i="253"/>
  <c r="BP70" i="253"/>
  <c r="E299" i="253"/>
  <c r="E137" i="253"/>
  <c r="D301" i="253"/>
  <c r="B302" i="253"/>
  <c r="E71" i="253"/>
  <c r="H28" i="253"/>
  <c r="I28" i="253"/>
  <c r="F28" i="253"/>
  <c r="G28" i="253"/>
  <c r="D73" i="253"/>
  <c r="B74" i="253"/>
  <c r="I300" i="253"/>
  <c r="H300" i="253"/>
  <c r="F300" i="253"/>
  <c r="G300" i="253"/>
  <c r="D29" i="253"/>
  <c r="B30" i="253"/>
  <c r="I72" i="253"/>
  <c r="F72" i="253"/>
  <c r="H72" i="253"/>
  <c r="G72" i="253"/>
  <c r="I138" i="253"/>
  <c r="F138" i="253"/>
  <c r="G138" i="253"/>
  <c r="H138" i="253"/>
  <c r="E27" i="253"/>
  <c r="D139" i="253"/>
  <c r="B140" i="253"/>
  <c r="V8" i="135"/>
  <c r="W8" i="135" s="1"/>
  <c r="C11" i="174"/>
  <c r="FM9" i="135" l="1"/>
  <c r="E582" i="253"/>
  <c r="BR582" i="253" s="1"/>
  <c r="BP603" i="253"/>
  <c r="BR603" i="253"/>
  <c r="BR581" i="253"/>
  <c r="BP581" i="253"/>
  <c r="F571" i="253"/>
  <c r="G571" i="253"/>
  <c r="I571" i="253"/>
  <c r="H571" i="253"/>
  <c r="H605" i="253"/>
  <c r="F605" i="253"/>
  <c r="G605" i="253"/>
  <c r="I605" i="253"/>
  <c r="F583" i="253"/>
  <c r="I583" i="253"/>
  <c r="G583" i="253"/>
  <c r="H583" i="253"/>
  <c r="D572" i="253"/>
  <c r="B573" i="253"/>
  <c r="E604" i="253"/>
  <c r="E570" i="253"/>
  <c r="D606" i="253"/>
  <c r="B607" i="253"/>
  <c r="B585" i="253"/>
  <c r="D584" i="253"/>
  <c r="BR299" i="253"/>
  <c r="BP299" i="253"/>
  <c r="BR27" i="253"/>
  <c r="BP27" i="253"/>
  <c r="BR71" i="253"/>
  <c r="BP71" i="253"/>
  <c r="BP137" i="253"/>
  <c r="BR137" i="253"/>
  <c r="E138" i="253"/>
  <c r="B141" i="253"/>
  <c r="D140" i="253"/>
  <c r="E300" i="253"/>
  <c r="I73" i="253"/>
  <c r="G73" i="253"/>
  <c r="H73" i="253"/>
  <c r="F73" i="253"/>
  <c r="I301" i="253"/>
  <c r="G301" i="253"/>
  <c r="F301" i="253"/>
  <c r="H301" i="253"/>
  <c r="I139" i="253"/>
  <c r="F139" i="253"/>
  <c r="H139" i="253"/>
  <c r="G139" i="253"/>
  <c r="D30" i="253"/>
  <c r="B31" i="253"/>
  <c r="H29" i="253"/>
  <c r="F29" i="253"/>
  <c r="G29" i="253"/>
  <c r="I29" i="253"/>
  <c r="E28" i="253"/>
  <c r="E72" i="253"/>
  <c r="B75" i="253"/>
  <c r="D74" i="253"/>
  <c r="B303" i="253"/>
  <c r="D302" i="253"/>
  <c r="B16" i="178"/>
  <c r="BP582" i="253" l="1"/>
  <c r="FN9" i="135"/>
  <c r="E605" i="253"/>
  <c r="BP605" i="253" s="1"/>
  <c r="G584" i="253"/>
  <c r="H584" i="253"/>
  <c r="F584" i="253"/>
  <c r="I584" i="253"/>
  <c r="BR570" i="253"/>
  <c r="BP570" i="253"/>
  <c r="B586" i="253"/>
  <c r="D585" i="253"/>
  <c r="BR604" i="253"/>
  <c r="BP604" i="253"/>
  <c r="B608" i="253"/>
  <c r="D607" i="253"/>
  <c r="B574" i="253"/>
  <c r="D573" i="253"/>
  <c r="H606" i="253"/>
  <c r="I606" i="253"/>
  <c r="G606" i="253"/>
  <c r="F606" i="253"/>
  <c r="G572" i="253"/>
  <c r="H572" i="253"/>
  <c r="F572" i="253"/>
  <c r="I572" i="253"/>
  <c r="E583" i="253"/>
  <c r="E571" i="253"/>
  <c r="BR300" i="253"/>
  <c r="BP300" i="253"/>
  <c r="BR72" i="253"/>
  <c r="BP72" i="253"/>
  <c r="BR28" i="253"/>
  <c r="BP28" i="253"/>
  <c r="E301" i="253"/>
  <c r="BR138" i="253"/>
  <c r="BP138" i="253"/>
  <c r="H30" i="253"/>
  <c r="I30" i="253"/>
  <c r="G30" i="253"/>
  <c r="F30" i="253"/>
  <c r="D75" i="253"/>
  <c r="B76" i="253"/>
  <c r="E139" i="253"/>
  <c r="I140" i="253"/>
  <c r="H140" i="253"/>
  <c r="F140" i="253"/>
  <c r="G140" i="253"/>
  <c r="I74" i="253"/>
  <c r="H74" i="253"/>
  <c r="F74" i="253"/>
  <c r="G74" i="253"/>
  <c r="I302" i="253"/>
  <c r="F302" i="253"/>
  <c r="H302" i="253"/>
  <c r="G302" i="253"/>
  <c r="E29" i="253"/>
  <c r="D141" i="253"/>
  <c r="B142" i="253"/>
  <c r="D303" i="253"/>
  <c r="B304" i="253"/>
  <c r="D31" i="253"/>
  <c r="B32" i="253"/>
  <c r="E73" i="253"/>
  <c r="C9" i="131"/>
  <c r="C10" i="131"/>
  <c r="C11" i="131"/>
  <c r="BR605" i="253" l="1"/>
  <c r="FO9" i="135"/>
  <c r="E572" i="253"/>
  <c r="B609" i="253"/>
  <c r="D608" i="253"/>
  <c r="I585" i="253"/>
  <c r="G585" i="253"/>
  <c r="H585" i="253"/>
  <c r="F585" i="253"/>
  <c r="BR571" i="253"/>
  <c r="BP571" i="253"/>
  <c r="G573" i="253"/>
  <c r="H573" i="253"/>
  <c r="F573" i="253"/>
  <c r="I573" i="253"/>
  <c r="B587" i="253"/>
  <c r="D586" i="253"/>
  <c r="E584" i="253"/>
  <c r="BR583" i="253"/>
  <c r="BP583" i="253"/>
  <c r="B575" i="253"/>
  <c r="D575" i="253" s="1"/>
  <c r="D574" i="253"/>
  <c r="E606" i="253"/>
  <c r="G607" i="253"/>
  <c r="I607" i="253"/>
  <c r="H607" i="253"/>
  <c r="F607" i="253"/>
  <c r="BR139" i="253"/>
  <c r="BP139" i="253"/>
  <c r="BP73" i="253"/>
  <c r="BR73" i="253"/>
  <c r="BR29" i="253"/>
  <c r="BP29" i="253"/>
  <c r="BR301" i="253"/>
  <c r="BP301" i="253"/>
  <c r="D32" i="253"/>
  <c r="B33" i="253"/>
  <c r="B305" i="253"/>
  <c r="D304" i="253"/>
  <c r="H31" i="253"/>
  <c r="G31" i="253"/>
  <c r="I31" i="253"/>
  <c r="F31" i="253"/>
  <c r="I303" i="253"/>
  <c r="G303" i="253"/>
  <c r="H303" i="253"/>
  <c r="F303" i="253"/>
  <c r="E302" i="253"/>
  <c r="E74" i="253"/>
  <c r="E140" i="253"/>
  <c r="B143" i="253"/>
  <c r="D142" i="253"/>
  <c r="B77" i="253"/>
  <c r="D76" i="253"/>
  <c r="E30" i="253"/>
  <c r="I141" i="253"/>
  <c r="G141" i="253"/>
  <c r="H141" i="253"/>
  <c r="F141" i="253"/>
  <c r="I75" i="253"/>
  <c r="G75" i="253"/>
  <c r="F75" i="253"/>
  <c r="H75" i="253"/>
  <c r="FP9" i="135" l="1"/>
  <c r="E573" i="253"/>
  <c r="BR573" i="253" s="1"/>
  <c r="H574" i="253"/>
  <c r="F574" i="253"/>
  <c r="I574" i="253"/>
  <c r="G574" i="253"/>
  <c r="BR584" i="253"/>
  <c r="BP584" i="253"/>
  <c r="BP573" i="253"/>
  <c r="H575" i="253"/>
  <c r="F575" i="253"/>
  <c r="G575" i="253"/>
  <c r="I575" i="253"/>
  <c r="G586" i="253"/>
  <c r="F586" i="253"/>
  <c r="I586" i="253"/>
  <c r="H586" i="253"/>
  <c r="E585" i="253"/>
  <c r="F608" i="253"/>
  <c r="I608" i="253"/>
  <c r="G608" i="253"/>
  <c r="H608" i="253"/>
  <c r="B588" i="253"/>
  <c r="D588" i="253" s="1"/>
  <c r="D587" i="253"/>
  <c r="B610" i="253"/>
  <c r="D609" i="253"/>
  <c r="E607" i="253"/>
  <c r="BR606" i="253"/>
  <c r="BP606" i="253"/>
  <c r="BR572" i="253"/>
  <c r="BP572" i="253"/>
  <c r="BR140" i="253"/>
  <c r="BP140" i="253"/>
  <c r="BR74" i="253"/>
  <c r="BP74" i="253"/>
  <c r="E141" i="253"/>
  <c r="BR30" i="253"/>
  <c r="BP30" i="253"/>
  <c r="BR302" i="253"/>
  <c r="BP302" i="253"/>
  <c r="E75" i="253"/>
  <c r="D305" i="253"/>
  <c r="B306" i="253"/>
  <c r="I142" i="253"/>
  <c r="F142" i="253"/>
  <c r="G142" i="253"/>
  <c r="H142" i="253"/>
  <c r="D33" i="253"/>
  <c r="B34" i="253"/>
  <c r="D77" i="253"/>
  <c r="B78" i="253"/>
  <c r="I76" i="253"/>
  <c r="F76" i="253"/>
  <c r="H76" i="253"/>
  <c r="G76" i="253"/>
  <c r="D143" i="253"/>
  <c r="E303" i="253"/>
  <c r="E31" i="253"/>
  <c r="H32" i="253"/>
  <c r="F32" i="253"/>
  <c r="G32" i="253"/>
  <c r="I32" i="253"/>
  <c r="I304" i="253"/>
  <c r="H304" i="253"/>
  <c r="F304" i="253"/>
  <c r="G304" i="253"/>
  <c r="FQ9" i="135" l="1"/>
  <c r="D610" i="253"/>
  <c r="B611" i="253"/>
  <c r="H587" i="253"/>
  <c r="F587" i="253"/>
  <c r="G587" i="253"/>
  <c r="I587" i="253"/>
  <c r="BP607" i="253"/>
  <c r="BR607" i="253"/>
  <c r="I588" i="253"/>
  <c r="G588" i="253"/>
  <c r="H588" i="253"/>
  <c r="F588" i="253"/>
  <c r="E608" i="253"/>
  <c r="E586" i="253"/>
  <c r="E575" i="253"/>
  <c r="E574" i="253"/>
  <c r="H609" i="253"/>
  <c r="F609" i="253"/>
  <c r="I609" i="253"/>
  <c r="G609" i="253"/>
  <c r="BR585" i="253"/>
  <c r="BP585" i="253"/>
  <c r="BR31" i="253"/>
  <c r="BP31" i="253"/>
  <c r="BR75" i="253"/>
  <c r="BP75" i="253"/>
  <c r="BR303" i="253"/>
  <c r="BP303" i="253"/>
  <c r="BR141" i="253"/>
  <c r="BP141" i="253"/>
  <c r="E32" i="253"/>
  <c r="I77" i="253"/>
  <c r="G77" i="253"/>
  <c r="H77" i="253"/>
  <c r="F77" i="253"/>
  <c r="E76" i="253"/>
  <c r="D34" i="253"/>
  <c r="B35" i="253"/>
  <c r="E304" i="253"/>
  <c r="I143" i="253"/>
  <c r="F143" i="253"/>
  <c r="H143" i="253"/>
  <c r="G143" i="253"/>
  <c r="H33" i="253"/>
  <c r="F33" i="253"/>
  <c r="G33" i="253"/>
  <c r="I33" i="253"/>
  <c r="B307" i="253"/>
  <c r="D306" i="253"/>
  <c r="B79" i="253"/>
  <c r="D78" i="253"/>
  <c r="E142" i="253"/>
  <c r="I305" i="253"/>
  <c r="G305" i="253"/>
  <c r="F305" i="253"/>
  <c r="H305" i="253"/>
  <c r="C10" i="174"/>
  <c r="C9" i="174"/>
  <c r="C8" i="174"/>
  <c r="C7" i="174"/>
  <c r="C6" i="174"/>
  <c r="FR9" i="135" l="1"/>
  <c r="E588" i="253"/>
  <c r="BR588" i="253" s="1"/>
  <c r="BR574" i="253"/>
  <c r="BP574" i="253"/>
  <c r="E587" i="253"/>
  <c r="BP575" i="253"/>
  <c r="BR575" i="253"/>
  <c r="E609" i="253"/>
  <c r="BP586" i="253"/>
  <c r="BR586" i="253"/>
  <c r="B612" i="253"/>
  <c r="D611" i="253"/>
  <c r="BR608" i="253"/>
  <c r="BP608" i="253"/>
  <c r="I610" i="253"/>
  <c r="F610" i="253"/>
  <c r="G610" i="253"/>
  <c r="H610" i="253"/>
  <c r="BR304" i="253"/>
  <c r="BP304" i="253"/>
  <c r="BR142" i="253"/>
  <c r="BP142" i="253"/>
  <c r="BR32" i="253"/>
  <c r="BP32" i="253"/>
  <c r="BR76" i="253"/>
  <c r="BP76" i="253"/>
  <c r="E305" i="253"/>
  <c r="D79" i="253"/>
  <c r="B80" i="253"/>
  <c r="D35" i="253"/>
  <c r="B36" i="253"/>
  <c r="I306" i="253"/>
  <c r="F306" i="253"/>
  <c r="H306" i="253"/>
  <c r="G306" i="253"/>
  <c r="H34" i="253"/>
  <c r="I34" i="253"/>
  <c r="G34" i="253"/>
  <c r="F34" i="253"/>
  <c r="E77" i="253"/>
  <c r="D307" i="253"/>
  <c r="B308" i="253"/>
  <c r="I78" i="253"/>
  <c r="H78" i="253"/>
  <c r="F78" i="253"/>
  <c r="G78" i="253"/>
  <c r="E33" i="253"/>
  <c r="E143" i="253"/>
  <c r="K39" i="109"/>
  <c r="BP588" i="253" l="1"/>
  <c r="FS9" i="135"/>
  <c r="E610" i="253"/>
  <c r="I611" i="253"/>
  <c r="H611" i="253"/>
  <c r="F611" i="253"/>
  <c r="G611" i="253"/>
  <c r="BP609" i="253"/>
  <c r="BR609" i="253"/>
  <c r="D612" i="253"/>
  <c r="B613" i="253"/>
  <c r="BR587" i="253"/>
  <c r="BP587" i="253"/>
  <c r="BR143" i="253"/>
  <c r="BP143" i="253"/>
  <c r="BR77" i="253"/>
  <c r="BP77" i="253"/>
  <c r="BP33" i="253"/>
  <c r="BR33" i="253"/>
  <c r="BP305" i="253"/>
  <c r="BR305" i="253"/>
  <c r="E306" i="253"/>
  <c r="I307" i="253"/>
  <c r="G307" i="253"/>
  <c r="H307" i="253"/>
  <c r="F307" i="253"/>
  <c r="D36" i="253"/>
  <c r="B37" i="253"/>
  <c r="B81" i="253"/>
  <c r="D80" i="253"/>
  <c r="E78" i="253"/>
  <c r="E34" i="253"/>
  <c r="H35" i="253"/>
  <c r="G35" i="253"/>
  <c r="I35" i="253"/>
  <c r="F35" i="253"/>
  <c r="I79" i="253"/>
  <c r="G79" i="253"/>
  <c r="F79" i="253"/>
  <c r="H79" i="253"/>
  <c r="B309" i="253"/>
  <c r="D308" i="253"/>
  <c r="L39" i="109"/>
  <c r="K40" i="109"/>
  <c r="FT9" i="135" l="1"/>
  <c r="F612" i="253"/>
  <c r="I612" i="253"/>
  <c r="G612" i="253"/>
  <c r="H612" i="253"/>
  <c r="E611" i="253"/>
  <c r="D613" i="253"/>
  <c r="B614" i="253"/>
  <c r="BR610" i="253"/>
  <c r="BP610" i="253"/>
  <c r="BR34" i="253"/>
  <c r="BP34" i="253"/>
  <c r="BR78" i="253"/>
  <c r="BP78" i="253"/>
  <c r="BR306" i="253"/>
  <c r="BP306" i="253"/>
  <c r="D37" i="253"/>
  <c r="B38" i="253"/>
  <c r="I308" i="253"/>
  <c r="H308" i="253"/>
  <c r="F308" i="253"/>
  <c r="G308" i="253"/>
  <c r="H36" i="253"/>
  <c r="F36" i="253"/>
  <c r="G36" i="253"/>
  <c r="I36" i="253"/>
  <c r="D309" i="253"/>
  <c r="B310" i="253"/>
  <c r="E79" i="253"/>
  <c r="E35" i="253"/>
  <c r="I80" i="253"/>
  <c r="F80" i="253"/>
  <c r="H80" i="253"/>
  <c r="G80" i="253"/>
  <c r="E307" i="253"/>
  <c r="D81" i="253"/>
  <c r="B82" i="253"/>
  <c r="L40" i="109"/>
  <c r="M39" i="109"/>
  <c r="FU9" i="135" l="1"/>
  <c r="B615" i="253"/>
  <c r="D614" i="253"/>
  <c r="H613" i="253"/>
  <c r="I613" i="253"/>
  <c r="F613" i="253"/>
  <c r="G613" i="253"/>
  <c r="BR611" i="253"/>
  <c r="BP611" i="253"/>
  <c r="E612" i="253"/>
  <c r="BP35" i="253"/>
  <c r="BR35" i="253"/>
  <c r="BR307" i="253"/>
  <c r="BP307" i="253"/>
  <c r="BR79" i="253"/>
  <c r="BP79" i="253"/>
  <c r="B83" i="253"/>
  <c r="D82" i="253"/>
  <c r="E80" i="253"/>
  <c r="B311" i="253"/>
  <c r="D310" i="253"/>
  <c r="H37" i="253"/>
  <c r="F37" i="253"/>
  <c r="G37" i="253"/>
  <c r="I37" i="253"/>
  <c r="I81" i="253"/>
  <c r="G81" i="253"/>
  <c r="H81" i="253"/>
  <c r="F81" i="253"/>
  <c r="I309" i="253"/>
  <c r="G309" i="253"/>
  <c r="F309" i="253"/>
  <c r="H309" i="253"/>
  <c r="E36" i="253"/>
  <c r="E308" i="253"/>
  <c r="D38" i="253"/>
  <c r="B39" i="253"/>
  <c r="M40" i="109"/>
  <c r="N39" i="109"/>
  <c r="FV9" i="135" l="1"/>
  <c r="F614" i="253"/>
  <c r="H614" i="253"/>
  <c r="I614" i="253"/>
  <c r="G614" i="253"/>
  <c r="BR612" i="253"/>
  <c r="BP612" i="253"/>
  <c r="E613" i="253"/>
  <c r="D615" i="253"/>
  <c r="B616" i="253"/>
  <c r="BR36" i="253"/>
  <c r="BP36" i="253"/>
  <c r="BR80" i="253"/>
  <c r="BP80" i="253"/>
  <c r="BR308" i="253"/>
  <c r="BP308" i="253"/>
  <c r="E309" i="253"/>
  <c r="I310" i="253"/>
  <c r="F310" i="253"/>
  <c r="H310" i="253"/>
  <c r="G310" i="253"/>
  <c r="I82" i="253"/>
  <c r="H82" i="253"/>
  <c r="F82" i="253"/>
  <c r="G82" i="253"/>
  <c r="H38" i="253"/>
  <c r="I38" i="253"/>
  <c r="G38" i="253"/>
  <c r="F38" i="253"/>
  <c r="D311" i="253"/>
  <c r="B312" i="253"/>
  <c r="E37" i="253"/>
  <c r="D39" i="253"/>
  <c r="B40" i="253"/>
  <c r="D83" i="253"/>
  <c r="B84" i="253"/>
  <c r="E81" i="253"/>
  <c r="N40" i="109"/>
  <c r="O39" i="109"/>
  <c r="FW9" i="135" l="1"/>
  <c r="F615" i="253"/>
  <c r="I615" i="253"/>
  <c r="H615" i="253"/>
  <c r="G615" i="253"/>
  <c r="BP613" i="253"/>
  <c r="BR613" i="253"/>
  <c r="B617" i="253"/>
  <c r="D616" i="253"/>
  <c r="E614" i="253"/>
  <c r="BP81" i="253"/>
  <c r="BR81" i="253"/>
  <c r="BP309" i="253"/>
  <c r="BR309" i="253"/>
  <c r="BP37" i="253"/>
  <c r="BR37" i="253"/>
  <c r="E82" i="253"/>
  <c r="D40" i="253"/>
  <c r="B41" i="253"/>
  <c r="B85" i="253"/>
  <c r="D84" i="253"/>
  <c r="H39" i="253"/>
  <c r="G39" i="253"/>
  <c r="I39" i="253"/>
  <c r="F39" i="253"/>
  <c r="B313" i="253"/>
  <c r="D312" i="253"/>
  <c r="E38" i="253"/>
  <c r="I311" i="253"/>
  <c r="G311" i="253"/>
  <c r="H311" i="253"/>
  <c r="F311" i="253"/>
  <c r="I83" i="253"/>
  <c r="G83" i="253"/>
  <c r="F83" i="253"/>
  <c r="H83" i="253"/>
  <c r="E310" i="253"/>
  <c r="O40" i="109"/>
  <c r="P39" i="109"/>
  <c r="FX9" i="135" l="1"/>
  <c r="H616" i="253"/>
  <c r="G616" i="253"/>
  <c r="I616" i="253"/>
  <c r="F616" i="253"/>
  <c r="D617" i="253"/>
  <c r="B618" i="253"/>
  <c r="BP614" i="253"/>
  <c r="BR614" i="253"/>
  <c r="E615" i="253"/>
  <c r="BR82" i="253"/>
  <c r="BP82" i="253"/>
  <c r="BR38" i="253"/>
  <c r="BP38" i="253"/>
  <c r="BR310" i="253"/>
  <c r="BP310" i="253"/>
  <c r="E311" i="253"/>
  <c r="I312" i="253"/>
  <c r="H312" i="253"/>
  <c r="F312" i="253"/>
  <c r="G312" i="253"/>
  <c r="D85" i="253"/>
  <c r="B86" i="253"/>
  <c r="H40" i="253"/>
  <c r="F40" i="253"/>
  <c r="G40" i="253"/>
  <c r="I40" i="253"/>
  <c r="D313" i="253"/>
  <c r="B314" i="253"/>
  <c r="E39" i="253"/>
  <c r="E83" i="253"/>
  <c r="I84" i="253"/>
  <c r="F84" i="253"/>
  <c r="H84" i="253"/>
  <c r="G84" i="253"/>
  <c r="D41" i="253"/>
  <c r="B42" i="253"/>
  <c r="P40" i="109"/>
  <c r="Q39" i="109"/>
  <c r="B17" i="178"/>
  <c r="FY9" i="135" l="1"/>
  <c r="E616" i="253"/>
  <c r="BP616" i="253" s="1"/>
  <c r="D618" i="253"/>
  <c r="B619" i="253"/>
  <c r="BR615" i="253"/>
  <c r="BP615" i="253"/>
  <c r="G617" i="253"/>
  <c r="H617" i="253"/>
  <c r="I617" i="253"/>
  <c r="F617" i="253"/>
  <c r="BR83" i="253"/>
  <c r="BP83" i="253"/>
  <c r="BR39" i="253"/>
  <c r="BP39" i="253"/>
  <c r="BR311" i="253"/>
  <c r="BP311" i="253"/>
  <c r="E84" i="253"/>
  <c r="E312" i="253"/>
  <c r="H41" i="253"/>
  <c r="F41" i="253"/>
  <c r="G41" i="253"/>
  <c r="I41" i="253"/>
  <c r="D42" i="253"/>
  <c r="B43" i="253"/>
  <c r="B315" i="253"/>
  <c r="D314" i="253"/>
  <c r="E40" i="253"/>
  <c r="B87" i="253"/>
  <c r="D86" i="253"/>
  <c r="I313" i="253"/>
  <c r="G313" i="253"/>
  <c r="F313" i="253"/>
  <c r="H313" i="253"/>
  <c r="I85" i="253"/>
  <c r="G85" i="253"/>
  <c r="H85" i="253"/>
  <c r="F85" i="253"/>
  <c r="Q40" i="109"/>
  <c r="R39" i="109"/>
  <c r="FZ9" i="135" l="1"/>
  <c r="BR616" i="253"/>
  <c r="E617" i="253"/>
  <c r="BR617" i="253" s="1"/>
  <c r="B620" i="253"/>
  <c r="D619" i="253"/>
  <c r="G618" i="253"/>
  <c r="F618" i="253"/>
  <c r="H618" i="253"/>
  <c r="I618" i="253"/>
  <c r="BR40" i="253"/>
  <c r="BP40" i="253"/>
  <c r="BR312" i="253"/>
  <c r="BP312" i="253"/>
  <c r="BR84" i="253"/>
  <c r="BP84" i="253"/>
  <c r="E85" i="253"/>
  <c r="I86" i="253"/>
  <c r="H86" i="253"/>
  <c r="F86" i="253"/>
  <c r="G86" i="253"/>
  <c r="E313" i="253"/>
  <c r="D87" i="253"/>
  <c r="B88" i="253"/>
  <c r="I314" i="253"/>
  <c r="F314" i="253"/>
  <c r="H314" i="253"/>
  <c r="G314" i="253"/>
  <c r="D43" i="253"/>
  <c r="B44" i="253"/>
  <c r="E41" i="253"/>
  <c r="D315" i="253"/>
  <c r="B316" i="253"/>
  <c r="H42" i="253"/>
  <c r="I42" i="253"/>
  <c r="G42" i="253"/>
  <c r="F42" i="253"/>
  <c r="R40" i="109"/>
  <c r="S39" i="109"/>
  <c r="BP617" i="253" l="1"/>
  <c r="GA9" i="135"/>
  <c r="E618" i="253"/>
  <c r="F619" i="253"/>
  <c r="H619" i="253"/>
  <c r="I619" i="253"/>
  <c r="G619" i="253"/>
  <c r="D620" i="253"/>
  <c r="B621" i="253"/>
  <c r="BP313" i="253"/>
  <c r="BR313" i="253"/>
  <c r="BP41" i="253"/>
  <c r="BR41" i="253"/>
  <c r="BP85" i="253"/>
  <c r="BR85" i="253"/>
  <c r="I87" i="253"/>
  <c r="G87" i="253"/>
  <c r="F87" i="253"/>
  <c r="H87" i="253"/>
  <c r="E86" i="253"/>
  <c r="I315" i="253"/>
  <c r="G315" i="253"/>
  <c r="H315" i="253"/>
  <c r="F315" i="253"/>
  <c r="D44" i="253"/>
  <c r="B45" i="253"/>
  <c r="E314" i="253"/>
  <c r="H43" i="253"/>
  <c r="G43" i="253"/>
  <c r="I43" i="253"/>
  <c r="F43" i="253"/>
  <c r="E42" i="253"/>
  <c r="B317" i="253"/>
  <c r="D316" i="253"/>
  <c r="B89" i="253"/>
  <c r="D88" i="253"/>
  <c r="S40" i="109"/>
  <c r="T39" i="109"/>
  <c r="GB9" i="135" l="1"/>
  <c r="E619" i="253"/>
  <c r="BP619" i="253" s="1"/>
  <c r="D621" i="253"/>
  <c r="B622" i="253"/>
  <c r="H620" i="253"/>
  <c r="F620" i="253"/>
  <c r="I620" i="253"/>
  <c r="G620" i="253"/>
  <c r="BR618" i="253"/>
  <c r="BP618" i="253"/>
  <c r="BR42" i="253"/>
  <c r="BP42" i="253"/>
  <c r="BR314" i="253"/>
  <c r="BP314" i="253"/>
  <c r="BR86" i="253"/>
  <c r="BP86" i="253"/>
  <c r="E315" i="253"/>
  <c r="E87" i="253"/>
  <c r="B90" i="253"/>
  <c r="D89" i="253"/>
  <c r="D317" i="253"/>
  <c r="B318" i="253"/>
  <c r="H44" i="253"/>
  <c r="F44" i="253"/>
  <c r="G44" i="253"/>
  <c r="I44" i="253"/>
  <c r="E43" i="253"/>
  <c r="I88" i="253"/>
  <c r="H88" i="253"/>
  <c r="G88" i="253"/>
  <c r="F88" i="253"/>
  <c r="I316" i="253"/>
  <c r="H316" i="253"/>
  <c r="F316" i="253"/>
  <c r="G316" i="253"/>
  <c r="D45" i="253"/>
  <c r="B46" i="253"/>
  <c r="T40" i="109"/>
  <c r="U39" i="109"/>
  <c r="BR619" i="253" l="1"/>
  <c r="GC9" i="135"/>
  <c r="E620" i="253"/>
  <c r="D622" i="253"/>
  <c r="B623" i="253"/>
  <c r="F621" i="253"/>
  <c r="H621" i="253"/>
  <c r="I621" i="253"/>
  <c r="G621" i="253"/>
  <c r="BR43" i="253"/>
  <c r="BP43" i="253"/>
  <c r="BR315" i="253"/>
  <c r="BP315" i="253"/>
  <c r="BR87" i="253"/>
  <c r="BP87" i="253"/>
  <c r="E88" i="253"/>
  <c r="E316" i="253"/>
  <c r="H45" i="253"/>
  <c r="F45" i="253"/>
  <c r="G45" i="253"/>
  <c r="I45" i="253"/>
  <c r="B91" i="253"/>
  <c r="D90" i="253"/>
  <c r="B319" i="253"/>
  <c r="D318" i="253"/>
  <c r="I317" i="253"/>
  <c r="G317" i="253"/>
  <c r="F317" i="253"/>
  <c r="H317" i="253"/>
  <c r="D46" i="253"/>
  <c r="B47" i="253"/>
  <c r="E44" i="253"/>
  <c r="I89" i="253"/>
  <c r="G89" i="253"/>
  <c r="H89" i="253"/>
  <c r="F89" i="253"/>
  <c r="U40" i="109"/>
  <c r="V39" i="109"/>
  <c r="B12" i="178"/>
  <c r="C8" i="131"/>
  <c r="P30" i="118" l="1"/>
  <c r="Q30" i="118" s="1"/>
  <c r="AI30" i="118" s="1"/>
  <c r="P25" i="118"/>
  <c r="Q25" i="118" s="1"/>
  <c r="AI25" i="118" s="1"/>
  <c r="AO12" i="135"/>
  <c r="AO15" i="135"/>
  <c r="AO13" i="135"/>
  <c r="AO14" i="135"/>
  <c r="AO10" i="135"/>
  <c r="P67" i="118"/>
  <c r="Q67" i="118" s="1"/>
  <c r="AI67" i="118" s="1"/>
  <c r="P63" i="118"/>
  <c r="Q63" i="118" s="1"/>
  <c r="AI63" i="118" s="1"/>
  <c r="P58" i="118"/>
  <c r="Q58" i="118" s="1"/>
  <c r="AI58" i="118" s="1"/>
  <c r="P50" i="118"/>
  <c r="Q50" i="118" s="1"/>
  <c r="AI50" i="118" s="1"/>
  <c r="P37" i="118"/>
  <c r="Q37" i="118" s="1"/>
  <c r="AI37" i="118" s="1"/>
  <c r="P35" i="118"/>
  <c r="Q35" i="118" s="1"/>
  <c r="AI35" i="118" s="1"/>
  <c r="P33" i="118"/>
  <c r="Q33" i="118" s="1"/>
  <c r="AI33" i="118" s="1"/>
  <c r="P31" i="118"/>
  <c r="Q31" i="118" s="1"/>
  <c r="AI31" i="118" s="1"/>
  <c r="P29" i="118"/>
  <c r="Q29" i="118" s="1"/>
  <c r="AI29" i="118" s="1"/>
  <c r="P26" i="118"/>
  <c r="AI26" i="118" s="1"/>
  <c r="P21" i="118"/>
  <c r="Q21" i="118" s="1"/>
  <c r="AI21" i="118" s="1"/>
  <c r="P18" i="118"/>
  <c r="Q18" i="118" s="1"/>
  <c r="AI18" i="118" s="1"/>
  <c r="P13" i="118"/>
  <c r="Q13" i="118" s="1"/>
  <c r="AI13" i="118" s="1"/>
  <c r="P9" i="118"/>
  <c r="Q9" i="118" s="1"/>
  <c r="AI9" i="118" s="1"/>
  <c r="P64" i="118"/>
  <c r="Q64" i="118" s="1"/>
  <c r="AI64" i="118" s="1"/>
  <c r="P28" i="118"/>
  <c r="Q28" i="118" s="1"/>
  <c r="AI28" i="118" s="1"/>
  <c r="P15" i="118"/>
  <c r="Q15" i="118" s="1"/>
  <c r="AI15" i="118" s="1"/>
  <c r="P66" i="118"/>
  <c r="Q66" i="118" s="1"/>
  <c r="AI66" i="118" s="1"/>
  <c r="P62" i="118"/>
  <c r="Q62" i="118" s="1"/>
  <c r="AI62" i="118" s="1"/>
  <c r="P56" i="118"/>
  <c r="Q56" i="118" s="1"/>
  <c r="AI56" i="118" s="1"/>
  <c r="P27" i="118"/>
  <c r="Q27" i="118" s="1"/>
  <c r="AI27" i="118" s="1"/>
  <c r="P24" i="118"/>
  <c r="Q24" i="118" s="1"/>
  <c r="AI24" i="118" s="1"/>
  <c r="P19" i="118"/>
  <c r="Q19" i="118" s="1"/>
  <c r="AI19" i="118" s="1"/>
  <c r="P16" i="118"/>
  <c r="Q16" i="118" s="1"/>
  <c r="AI16" i="118" s="1"/>
  <c r="P7" i="118"/>
  <c r="Q7" i="118" s="1"/>
  <c r="AI7" i="118" s="1"/>
  <c r="P68" i="118"/>
  <c r="Q68" i="118" s="1"/>
  <c r="AI68" i="118" s="1"/>
  <c r="P52" i="118"/>
  <c r="Q52" i="118" s="1"/>
  <c r="AI52" i="118" s="1"/>
  <c r="P20" i="118"/>
  <c r="Q20" i="118" s="1"/>
  <c r="AI20" i="118" s="1"/>
  <c r="P11" i="118"/>
  <c r="Q11" i="118" s="1"/>
  <c r="AI11" i="118" s="1"/>
  <c r="P65" i="118"/>
  <c r="Q65" i="118" s="1"/>
  <c r="AI65" i="118" s="1"/>
  <c r="P61" i="118"/>
  <c r="Q61" i="118" s="1"/>
  <c r="AI61" i="118" s="1"/>
  <c r="P54" i="118"/>
  <c r="Q54" i="118" s="1"/>
  <c r="AI54" i="118" s="1"/>
  <c r="P38" i="118"/>
  <c r="Q38" i="118" s="1"/>
  <c r="AI38" i="118" s="1"/>
  <c r="P36" i="118"/>
  <c r="Q36" i="118" s="1"/>
  <c r="AI36" i="118" s="1"/>
  <c r="P34" i="118"/>
  <c r="Q34" i="118" s="1"/>
  <c r="AI34" i="118" s="1"/>
  <c r="P32" i="118"/>
  <c r="Q32" i="118" s="1"/>
  <c r="AI32" i="118" s="1"/>
  <c r="P22" i="118"/>
  <c r="Q22" i="118" s="1"/>
  <c r="AI22" i="118" s="1"/>
  <c r="P17" i="118"/>
  <c r="Q17" i="118" s="1"/>
  <c r="AI17" i="118" s="1"/>
  <c r="P14" i="118"/>
  <c r="Q14" i="118" s="1"/>
  <c r="AI14" i="118" s="1"/>
  <c r="P10" i="118"/>
  <c r="Q10" i="118" s="1"/>
  <c r="AI10" i="118" s="1"/>
  <c r="P60" i="118"/>
  <c r="Q60" i="118" s="1"/>
  <c r="AI60" i="118" s="1"/>
  <c r="P23" i="118"/>
  <c r="Q23" i="118" s="1"/>
  <c r="AI23" i="118" s="1"/>
  <c r="P12" i="118"/>
  <c r="Q12" i="118" s="1"/>
  <c r="AI12" i="118" s="1"/>
  <c r="P8" i="118"/>
  <c r="Q8" i="118" s="1"/>
  <c r="AI8" i="118" s="1"/>
  <c r="P47" i="118"/>
  <c r="Q47" i="118" s="1"/>
  <c r="AI47" i="118" s="1"/>
  <c r="P39" i="118"/>
  <c r="Q39" i="118" s="1"/>
  <c r="AI39" i="118" s="1"/>
  <c r="P40" i="118"/>
  <c r="Q40" i="118" s="1"/>
  <c r="AI40" i="118" s="1"/>
  <c r="P41" i="118"/>
  <c r="Q41" i="118" s="1"/>
  <c r="AI41" i="118" s="1"/>
  <c r="P42" i="118"/>
  <c r="Q42" i="118" s="1"/>
  <c r="AI42" i="118" s="1"/>
  <c r="P43" i="118"/>
  <c r="Q43" i="118" s="1"/>
  <c r="AI43" i="118" s="1"/>
  <c r="P44" i="118"/>
  <c r="Q44" i="118" s="1"/>
  <c r="AI44" i="118" s="1"/>
  <c r="P46" i="118"/>
  <c r="Q46" i="118" s="1"/>
  <c r="AI46" i="118" s="1"/>
  <c r="P59" i="118"/>
  <c r="Q59" i="118" s="1"/>
  <c r="AI59" i="118" s="1"/>
  <c r="P49" i="118"/>
  <c r="Q49" i="118" s="1"/>
  <c r="AI49" i="118" s="1"/>
  <c r="P48" i="118"/>
  <c r="Q48" i="118" s="1"/>
  <c r="AI48" i="118" s="1"/>
  <c r="P51" i="118"/>
  <c r="Q51" i="118" s="1"/>
  <c r="AI51" i="118" s="1"/>
  <c r="P69" i="118"/>
  <c r="Q69" i="118" s="1"/>
  <c r="AI69" i="118" s="1"/>
  <c r="P45" i="118"/>
  <c r="Q45" i="118" s="1"/>
  <c r="AI45" i="118" s="1"/>
  <c r="P53" i="118"/>
  <c r="Q53" i="118" s="1"/>
  <c r="AI53" i="118" s="1"/>
  <c r="P55" i="118"/>
  <c r="Q55" i="118" s="1"/>
  <c r="AI55" i="118" s="1"/>
  <c r="P57" i="118"/>
  <c r="Q57" i="118" s="1"/>
  <c r="AI57" i="118" s="1"/>
  <c r="GD9" i="135"/>
  <c r="E621" i="253"/>
  <c r="D623" i="253"/>
  <c r="B624" i="253"/>
  <c r="H622" i="253"/>
  <c r="I622" i="253"/>
  <c r="F622" i="253"/>
  <c r="G622" i="253"/>
  <c r="BR620" i="253"/>
  <c r="BP620" i="253"/>
  <c r="BR316" i="253"/>
  <c r="BP316" i="253"/>
  <c r="BR44" i="253"/>
  <c r="BP44" i="253"/>
  <c r="BR88" i="253"/>
  <c r="BP88" i="253"/>
  <c r="D47" i="253"/>
  <c r="B48" i="253"/>
  <c r="E317" i="253"/>
  <c r="D319" i="253"/>
  <c r="B320" i="253"/>
  <c r="H46" i="253"/>
  <c r="I46" i="253"/>
  <c r="G46" i="253"/>
  <c r="F46" i="253"/>
  <c r="I90" i="253"/>
  <c r="F90" i="253"/>
  <c r="G90" i="253"/>
  <c r="H90" i="253"/>
  <c r="E45" i="253"/>
  <c r="E89" i="253"/>
  <c r="D91" i="253"/>
  <c r="B92" i="253"/>
  <c r="I318" i="253"/>
  <c r="F318" i="253"/>
  <c r="H318" i="253"/>
  <c r="G318" i="253"/>
  <c r="V40" i="109"/>
  <c r="W39" i="109"/>
  <c r="B4" i="178"/>
  <c r="D4" i="178" s="1"/>
  <c r="GE9" i="135" l="1"/>
  <c r="E622" i="253"/>
  <c r="BR622" i="253" s="1"/>
  <c r="B625" i="253"/>
  <c r="D624" i="253"/>
  <c r="I623" i="253"/>
  <c r="H623" i="253"/>
  <c r="F623" i="253"/>
  <c r="G623" i="253"/>
  <c r="BP621" i="253"/>
  <c r="BR621" i="253"/>
  <c r="BR317" i="253"/>
  <c r="BP317" i="253"/>
  <c r="BP89" i="253"/>
  <c r="BR89" i="253"/>
  <c r="BR45" i="253"/>
  <c r="BP45" i="253"/>
  <c r="I91" i="253"/>
  <c r="F91" i="253"/>
  <c r="G91" i="253"/>
  <c r="H91" i="253"/>
  <c r="I319" i="253"/>
  <c r="G319" i="253"/>
  <c r="H319" i="253"/>
  <c r="F319" i="253"/>
  <c r="D48" i="253"/>
  <c r="B49" i="253"/>
  <c r="D49" i="253" s="1"/>
  <c r="H47" i="253"/>
  <c r="G47" i="253"/>
  <c r="I47" i="253"/>
  <c r="F47" i="253"/>
  <c r="E90" i="253"/>
  <c r="E318" i="253"/>
  <c r="B93" i="253"/>
  <c r="D92" i="253"/>
  <c r="E46" i="253"/>
  <c r="D320" i="253"/>
  <c r="B321" i="253"/>
  <c r="W40" i="109"/>
  <c r="X39" i="109"/>
  <c r="BP622" i="253" l="1"/>
  <c r="GF9" i="135"/>
  <c r="E623" i="253"/>
  <c r="G624" i="253"/>
  <c r="H624" i="253"/>
  <c r="I624" i="253"/>
  <c r="F624" i="253"/>
  <c r="D625" i="253"/>
  <c r="B626" i="253"/>
  <c r="BR46" i="253"/>
  <c r="BP46" i="253"/>
  <c r="BR90" i="253"/>
  <c r="BP90" i="253"/>
  <c r="E319" i="253"/>
  <c r="BR318" i="253"/>
  <c r="BP318" i="253"/>
  <c r="E47" i="253"/>
  <c r="H48" i="253"/>
  <c r="F48" i="253"/>
  <c r="G48" i="253"/>
  <c r="I48" i="253"/>
  <c r="D321" i="253"/>
  <c r="B322" i="253"/>
  <c r="I320" i="253"/>
  <c r="G320" i="253"/>
  <c r="H320" i="253"/>
  <c r="F320" i="253"/>
  <c r="I92" i="253"/>
  <c r="H92" i="253"/>
  <c r="G92" i="253"/>
  <c r="F92" i="253"/>
  <c r="E91" i="253"/>
  <c r="B94" i="253"/>
  <c r="D93" i="253"/>
  <c r="H49" i="253"/>
  <c r="F49" i="253"/>
  <c r="G49" i="253"/>
  <c r="I49" i="253"/>
  <c r="X40" i="109"/>
  <c r="Y39" i="109"/>
  <c r="GG9" i="135" l="1"/>
  <c r="D626" i="253"/>
  <c r="B627" i="253"/>
  <c r="H625" i="253"/>
  <c r="F625" i="253"/>
  <c r="I625" i="253"/>
  <c r="G625" i="253"/>
  <c r="E624" i="253"/>
  <c r="BR623" i="253"/>
  <c r="BP623" i="253"/>
  <c r="BP91" i="253"/>
  <c r="BR91" i="253"/>
  <c r="BR47" i="253"/>
  <c r="BP47" i="253"/>
  <c r="BR319" i="253"/>
  <c r="BP319" i="253"/>
  <c r="E49" i="253"/>
  <c r="I93" i="253"/>
  <c r="G93" i="253"/>
  <c r="H93" i="253"/>
  <c r="F93" i="253"/>
  <c r="E92" i="253"/>
  <c r="E320" i="253"/>
  <c r="I321" i="253"/>
  <c r="G321" i="253"/>
  <c r="H321" i="253"/>
  <c r="F321" i="253"/>
  <c r="B95" i="253"/>
  <c r="D94" i="253"/>
  <c r="D322" i="253"/>
  <c r="B323" i="253"/>
  <c r="E48" i="253"/>
  <c r="Y40" i="109"/>
  <c r="Z39" i="109"/>
  <c r="GH9" i="135" l="1"/>
  <c r="E625" i="253"/>
  <c r="BR624" i="253"/>
  <c r="BP624" i="253"/>
  <c r="D627" i="253"/>
  <c r="B628" i="253"/>
  <c r="F626" i="253"/>
  <c r="G626" i="253"/>
  <c r="I626" i="253"/>
  <c r="H626" i="253"/>
  <c r="BR48" i="253"/>
  <c r="BP48" i="253"/>
  <c r="BR320" i="253"/>
  <c r="BP320" i="253"/>
  <c r="BP49" i="253"/>
  <c r="BR49" i="253"/>
  <c r="BR92" i="253"/>
  <c r="BP92" i="253"/>
  <c r="E93" i="253"/>
  <c r="D95" i="253"/>
  <c r="B96" i="253"/>
  <c r="E321" i="253"/>
  <c r="D323" i="253"/>
  <c r="B324" i="253"/>
  <c r="I322" i="253"/>
  <c r="G322" i="253"/>
  <c r="H322" i="253"/>
  <c r="F322" i="253"/>
  <c r="I94" i="253"/>
  <c r="F94" i="253"/>
  <c r="G94" i="253"/>
  <c r="H94" i="253"/>
  <c r="Z40" i="109"/>
  <c r="AA39" i="109"/>
  <c r="GI9" i="135" l="1"/>
  <c r="E626" i="253"/>
  <c r="BR626" i="253" s="1"/>
  <c r="G627" i="253"/>
  <c r="H627" i="253"/>
  <c r="I627" i="253"/>
  <c r="F627" i="253"/>
  <c r="D628" i="253"/>
  <c r="B629" i="253"/>
  <c r="BP625" i="253"/>
  <c r="BR625" i="253"/>
  <c r="BP321" i="253"/>
  <c r="BR321" i="253"/>
  <c r="BR93" i="253"/>
  <c r="BP93" i="253"/>
  <c r="E94" i="253"/>
  <c r="B97" i="253"/>
  <c r="D96" i="253"/>
  <c r="E322" i="253"/>
  <c r="D324" i="253"/>
  <c r="B325" i="253"/>
  <c r="I95" i="253"/>
  <c r="F95" i="253"/>
  <c r="G95" i="253"/>
  <c r="H95" i="253"/>
  <c r="I323" i="253"/>
  <c r="G323" i="253"/>
  <c r="H323" i="253"/>
  <c r="F323" i="253"/>
  <c r="AA40" i="109"/>
  <c r="AB39" i="109"/>
  <c r="BP626" i="253" l="1"/>
  <c r="GJ9" i="135"/>
  <c r="B630" i="253"/>
  <c r="D629" i="253"/>
  <c r="E627" i="253"/>
  <c r="I628" i="253"/>
  <c r="F628" i="253"/>
  <c r="H628" i="253"/>
  <c r="G628" i="253"/>
  <c r="E95" i="253"/>
  <c r="BR94" i="253"/>
  <c r="BP94" i="253"/>
  <c r="BR322" i="253"/>
  <c r="BP322" i="253"/>
  <c r="I96" i="253"/>
  <c r="H96" i="253"/>
  <c r="G96" i="253"/>
  <c r="F96" i="253"/>
  <c r="E323" i="253"/>
  <c r="D325" i="253"/>
  <c r="B326" i="253"/>
  <c r="B98" i="253"/>
  <c r="D97" i="253"/>
  <c r="I324" i="253"/>
  <c r="G324" i="253"/>
  <c r="H324" i="253"/>
  <c r="F324" i="253"/>
  <c r="AB40" i="109"/>
  <c r="AC39" i="109"/>
  <c r="GK9" i="135" l="1"/>
  <c r="BP627" i="253"/>
  <c r="BR627" i="253"/>
  <c r="H629" i="253"/>
  <c r="I629" i="253"/>
  <c r="F629" i="253"/>
  <c r="G629" i="253"/>
  <c r="E628" i="253"/>
  <c r="B631" i="253"/>
  <c r="D630" i="253"/>
  <c r="BR323" i="253"/>
  <c r="BP323" i="253"/>
  <c r="BR95" i="253"/>
  <c r="BP95" i="253"/>
  <c r="B99" i="253"/>
  <c r="D98" i="253"/>
  <c r="E324" i="253"/>
  <c r="D326" i="253"/>
  <c r="B327" i="253"/>
  <c r="I325" i="253"/>
  <c r="G325" i="253"/>
  <c r="H325" i="253"/>
  <c r="F325" i="253"/>
  <c r="E96" i="253"/>
  <c r="I97" i="253"/>
  <c r="G97" i="253"/>
  <c r="H97" i="253"/>
  <c r="F97" i="253"/>
  <c r="AC40" i="109"/>
  <c r="AD39" i="109"/>
  <c r="GL9" i="135" l="1"/>
  <c r="D631" i="253"/>
  <c r="B632" i="253"/>
  <c r="BP628" i="253"/>
  <c r="BR628" i="253"/>
  <c r="I630" i="253"/>
  <c r="G630" i="253"/>
  <c r="H630" i="253"/>
  <c r="F630" i="253"/>
  <c r="E629" i="253"/>
  <c r="BR324" i="253"/>
  <c r="BP324" i="253"/>
  <c r="BR96" i="253"/>
  <c r="BP96" i="253"/>
  <c r="E97" i="253"/>
  <c r="D327" i="253"/>
  <c r="B328" i="253"/>
  <c r="I326" i="253"/>
  <c r="G326" i="253"/>
  <c r="H326" i="253"/>
  <c r="F326" i="253"/>
  <c r="I98" i="253"/>
  <c r="F98" i="253"/>
  <c r="G98" i="253"/>
  <c r="H98" i="253"/>
  <c r="E325" i="253"/>
  <c r="D99" i="253"/>
  <c r="B100" i="253"/>
  <c r="AD40" i="109"/>
  <c r="AE39" i="109"/>
  <c r="GM9" i="135" l="1"/>
  <c r="E630" i="253"/>
  <c r="BR630" i="253" s="1"/>
  <c r="B633" i="253"/>
  <c r="D632" i="253"/>
  <c r="BP629" i="253"/>
  <c r="BR629" i="253"/>
  <c r="F631" i="253"/>
  <c r="I631" i="253"/>
  <c r="H631" i="253"/>
  <c r="G631" i="253"/>
  <c r="BP97" i="253"/>
  <c r="BR97" i="253"/>
  <c r="BP325" i="253"/>
  <c r="BR325" i="253"/>
  <c r="E326" i="253"/>
  <c r="D328" i="253"/>
  <c r="B329" i="253"/>
  <c r="B101" i="253"/>
  <c r="D100" i="253"/>
  <c r="E98" i="253"/>
  <c r="I99" i="253"/>
  <c r="F99" i="253"/>
  <c r="G99" i="253"/>
  <c r="H99" i="253"/>
  <c r="I327" i="253"/>
  <c r="G327" i="253"/>
  <c r="H327" i="253"/>
  <c r="F327" i="253"/>
  <c r="AE40" i="109"/>
  <c r="AF39" i="109"/>
  <c r="GN9" i="135" l="1"/>
  <c r="BP630" i="253"/>
  <c r="I632" i="253"/>
  <c r="G632" i="253"/>
  <c r="H632" i="253"/>
  <c r="F632" i="253"/>
  <c r="E631" i="253"/>
  <c r="B634" i="253"/>
  <c r="D633" i="253"/>
  <c r="BR98" i="253"/>
  <c r="BP98" i="253"/>
  <c r="BR326" i="253"/>
  <c r="BP326" i="253"/>
  <c r="E99" i="253"/>
  <c r="E327" i="253"/>
  <c r="I100" i="253"/>
  <c r="H100" i="253"/>
  <c r="G100" i="253"/>
  <c r="F100" i="253"/>
  <c r="D329" i="253"/>
  <c r="B330" i="253"/>
  <c r="B102" i="253"/>
  <c r="D101" i="253"/>
  <c r="G328" i="253"/>
  <c r="H328" i="253"/>
  <c r="F328" i="253"/>
  <c r="I328" i="253"/>
  <c r="AF40" i="109"/>
  <c r="AG39" i="109"/>
  <c r="GO9" i="135" l="1"/>
  <c r="E632" i="253"/>
  <c r="BP632" i="253" s="1"/>
  <c r="I633" i="253"/>
  <c r="F633" i="253"/>
  <c r="G633" i="253"/>
  <c r="H633" i="253"/>
  <c r="D634" i="253"/>
  <c r="B635" i="253"/>
  <c r="BP631" i="253"/>
  <c r="BR631" i="253"/>
  <c r="BR99" i="253"/>
  <c r="BP99" i="253"/>
  <c r="BR327" i="253"/>
  <c r="BP327" i="253"/>
  <c r="G329" i="253"/>
  <c r="H329" i="253"/>
  <c r="F329" i="253"/>
  <c r="I329" i="253"/>
  <c r="I101" i="253"/>
  <c r="G101" i="253"/>
  <c r="H101" i="253"/>
  <c r="F101" i="253"/>
  <c r="E100" i="253"/>
  <c r="E328" i="253"/>
  <c r="B103" i="253"/>
  <c r="D102" i="253"/>
  <c r="D330" i="253"/>
  <c r="B331" i="253"/>
  <c r="AG40" i="109"/>
  <c r="AH39" i="109"/>
  <c r="GP9" i="135" l="1"/>
  <c r="BR632" i="253"/>
  <c r="B636" i="253"/>
  <c r="D635" i="253"/>
  <c r="E633" i="253"/>
  <c r="I634" i="253"/>
  <c r="H634" i="253"/>
  <c r="F634" i="253"/>
  <c r="G634" i="253"/>
  <c r="BR100" i="253"/>
  <c r="BP100" i="253"/>
  <c r="BR328" i="253"/>
  <c r="BP328" i="253"/>
  <c r="D331" i="253"/>
  <c r="B332" i="253"/>
  <c r="G330" i="253"/>
  <c r="H330" i="253"/>
  <c r="F330" i="253"/>
  <c r="I330" i="253"/>
  <c r="I102" i="253"/>
  <c r="F102" i="253"/>
  <c r="G102" i="253"/>
  <c r="H102" i="253"/>
  <c r="E101" i="253"/>
  <c r="D103" i="253"/>
  <c r="B104" i="253"/>
  <c r="E329" i="253"/>
  <c r="AH40" i="109"/>
  <c r="AI39" i="109"/>
  <c r="GQ9" i="135" l="1"/>
  <c r="E634" i="253"/>
  <c r="BP634" i="253" s="1"/>
  <c r="BP633" i="253"/>
  <c r="BR633" i="253"/>
  <c r="I635" i="253"/>
  <c r="F635" i="253"/>
  <c r="H635" i="253"/>
  <c r="G635" i="253"/>
  <c r="B637" i="253"/>
  <c r="D636" i="253"/>
  <c r="BP329" i="253"/>
  <c r="BR329" i="253"/>
  <c r="BP101" i="253"/>
  <c r="BR101" i="253"/>
  <c r="E330" i="253"/>
  <c r="I103" i="253"/>
  <c r="F103" i="253"/>
  <c r="G103" i="253"/>
  <c r="H103" i="253"/>
  <c r="E102" i="253"/>
  <c r="D332" i="253"/>
  <c r="B333" i="253"/>
  <c r="B105" i="253"/>
  <c r="D104" i="253"/>
  <c r="G331" i="253"/>
  <c r="H331" i="253"/>
  <c r="F331" i="253"/>
  <c r="I331" i="253"/>
  <c r="AI40" i="109"/>
  <c r="AJ39" i="109"/>
  <c r="GR9" i="135" l="1"/>
  <c r="BR634" i="253"/>
  <c r="E635" i="253"/>
  <c r="BP635" i="253" s="1"/>
  <c r="F636" i="253"/>
  <c r="I636" i="253"/>
  <c r="H636" i="253"/>
  <c r="G636" i="253"/>
  <c r="B638" i="253"/>
  <c r="D637" i="253"/>
  <c r="BR330" i="253"/>
  <c r="BP330" i="253"/>
  <c r="BR102" i="253"/>
  <c r="BP102" i="253"/>
  <c r="G332" i="253"/>
  <c r="H332" i="253"/>
  <c r="F332" i="253"/>
  <c r="I332" i="253"/>
  <c r="I104" i="253"/>
  <c r="H104" i="253"/>
  <c r="G104" i="253"/>
  <c r="F104" i="253"/>
  <c r="E331" i="253"/>
  <c r="B106" i="253"/>
  <c r="D105" i="253"/>
  <c r="E103" i="253"/>
  <c r="B334" i="253"/>
  <c r="D333" i="253"/>
  <c r="AJ40" i="109"/>
  <c r="AK39" i="109"/>
  <c r="AL39" i="109" s="1"/>
  <c r="AM39" i="109" s="1"/>
  <c r="AN39" i="109" s="1"/>
  <c r="AO39" i="109" s="1"/>
  <c r="AP39" i="109" s="1"/>
  <c r="AQ39" i="109" s="1"/>
  <c r="AR39" i="109" s="1"/>
  <c r="AS39" i="109" s="1"/>
  <c r="AT39" i="109" s="1"/>
  <c r="AU39" i="109" s="1"/>
  <c r="AV39" i="109" s="1"/>
  <c r="AW39" i="109" s="1"/>
  <c r="AX39" i="109" s="1"/>
  <c r="AY39" i="109" s="1"/>
  <c r="AZ39" i="109" s="1"/>
  <c r="BA39" i="109" s="1"/>
  <c r="BB39" i="109" s="1"/>
  <c r="BC39" i="109" s="1"/>
  <c r="BD39" i="109" s="1"/>
  <c r="BE39" i="109" s="1"/>
  <c r="BF39" i="109" s="1"/>
  <c r="BG39" i="109" s="1"/>
  <c r="BH39" i="109" s="1"/>
  <c r="BI39" i="109" s="1"/>
  <c r="BJ39" i="109" s="1"/>
  <c r="BK39" i="109" s="1"/>
  <c r="GS9" i="135" l="1"/>
  <c r="BR635" i="253"/>
  <c r="I637" i="253"/>
  <c r="H637" i="253"/>
  <c r="F637" i="253"/>
  <c r="G637" i="253"/>
  <c r="D334" i="253"/>
  <c r="H334" i="253" s="1"/>
  <c r="B335" i="253"/>
  <c r="B639" i="253"/>
  <c r="D638" i="253"/>
  <c r="E636" i="253"/>
  <c r="E104" i="253"/>
  <c r="BR104" i="253" s="1"/>
  <c r="BR103" i="253"/>
  <c r="BP103" i="253"/>
  <c r="BR331" i="253"/>
  <c r="BP331" i="253"/>
  <c r="B107" i="253"/>
  <c r="D106" i="253"/>
  <c r="G334" i="253"/>
  <c r="I105" i="253"/>
  <c r="G105" i="253"/>
  <c r="H105" i="253"/>
  <c r="F105" i="253"/>
  <c r="G333" i="253"/>
  <c r="H333" i="253"/>
  <c r="F333" i="253"/>
  <c r="I333" i="253"/>
  <c r="E332" i="253"/>
  <c r="AK40" i="109"/>
  <c r="AL40" i="109" s="1"/>
  <c r="AM40" i="109" s="1"/>
  <c r="AN40" i="109" s="1"/>
  <c r="AO40" i="109" s="1"/>
  <c r="AP40" i="109" s="1"/>
  <c r="AQ40" i="109" s="1"/>
  <c r="AR40" i="109" s="1"/>
  <c r="AS40" i="109" s="1"/>
  <c r="AT40" i="109" s="1"/>
  <c r="AU40" i="109" s="1"/>
  <c r="AV40" i="109" s="1"/>
  <c r="AW40" i="109" s="1"/>
  <c r="AX40" i="109" s="1"/>
  <c r="AY40" i="109" s="1"/>
  <c r="AZ40" i="109" s="1"/>
  <c r="BA40" i="109" s="1"/>
  <c r="BB40" i="109" s="1"/>
  <c r="BC40" i="109" s="1"/>
  <c r="BD40" i="109" s="1"/>
  <c r="BE40" i="109" s="1"/>
  <c r="BF40" i="109" s="1"/>
  <c r="BG40" i="109" s="1"/>
  <c r="BH40" i="109" s="1"/>
  <c r="BI40" i="109" s="1"/>
  <c r="BJ40" i="109" s="1"/>
  <c r="BK40" i="109" s="1"/>
  <c r="GT9" i="135" l="1"/>
  <c r="I334" i="253"/>
  <c r="F334" i="253"/>
  <c r="G638" i="253"/>
  <c r="H638" i="253"/>
  <c r="I638" i="253"/>
  <c r="F638" i="253"/>
  <c r="B640" i="253"/>
  <c r="D639" i="253"/>
  <c r="E637" i="253"/>
  <c r="D335" i="253"/>
  <c r="B336" i="253"/>
  <c r="BR636" i="253"/>
  <c r="BP636" i="253"/>
  <c r="BP104" i="253"/>
  <c r="BR332" i="253"/>
  <c r="BP332" i="253"/>
  <c r="D107" i="253"/>
  <c r="B108" i="253"/>
  <c r="E333" i="253"/>
  <c r="E105" i="253"/>
  <c r="I106" i="253"/>
  <c r="F106" i="253"/>
  <c r="G106" i="253"/>
  <c r="H106" i="253"/>
  <c r="CX9" i="135"/>
  <c r="GU9" i="135" l="1"/>
  <c r="E334" i="253"/>
  <c r="G335" i="253"/>
  <c r="H335" i="253"/>
  <c r="F335" i="253"/>
  <c r="I335" i="253"/>
  <c r="E638" i="253"/>
  <c r="BP637" i="253"/>
  <c r="BR637" i="253"/>
  <c r="G639" i="253"/>
  <c r="H639" i="253"/>
  <c r="F639" i="253"/>
  <c r="I639" i="253"/>
  <c r="D336" i="253"/>
  <c r="B337" i="253"/>
  <c r="D640" i="253"/>
  <c r="B641" i="253"/>
  <c r="E106" i="253"/>
  <c r="BP105" i="253"/>
  <c r="BR105" i="253"/>
  <c r="BR334" i="253"/>
  <c r="BP334" i="253"/>
  <c r="BR333" i="253"/>
  <c r="BP333" i="253"/>
  <c r="B109" i="253"/>
  <c r="D108" i="253"/>
  <c r="I107" i="253"/>
  <c r="F107" i="253"/>
  <c r="G107" i="253"/>
  <c r="H107" i="253"/>
  <c r="CY9" i="135"/>
  <c r="GV9" i="135" l="1"/>
  <c r="E639" i="253"/>
  <c r="G336" i="253"/>
  <c r="H336" i="253"/>
  <c r="F336" i="253"/>
  <c r="I336" i="253"/>
  <c r="B642" i="253"/>
  <c r="D641" i="253"/>
  <c r="E335" i="253"/>
  <c r="F640" i="253"/>
  <c r="I640" i="253"/>
  <c r="G640" i="253"/>
  <c r="H640" i="253"/>
  <c r="BR639" i="253"/>
  <c r="BP639" i="253"/>
  <c r="D337" i="253"/>
  <c r="B338" i="253"/>
  <c r="BR638" i="253"/>
  <c r="BP638" i="253"/>
  <c r="BP106" i="253"/>
  <c r="BR106" i="253"/>
  <c r="E107" i="253"/>
  <c r="I108" i="253"/>
  <c r="H108" i="253"/>
  <c r="G108" i="253"/>
  <c r="F108" i="253"/>
  <c r="B110" i="253"/>
  <c r="D109" i="253"/>
  <c r="CZ9" i="135"/>
  <c r="GW9" i="135" l="1"/>
  <c r="E640" i="253"/>
  <c r="D338" i="253"/>
  <c r="B339" i="253"/>
  <c r="BP335" i="253"/>
  <c r="BR335" i="253"/>
  <c r="E336" i="253"/>
  <c r="H337" i="253"/>
  <c r="F337" i="253"/>
  <c r="G337" i="253"/>
  <c r="I337" i="253"/>
  <c r="F641" i="253"/>
  <c r="I641" i="253"/>
  <c r="H641" i="253"/>
  <c r="G641" i="253"/>
  <c r="B643" i="253"/>
  <c r="D642" i="253"/>
  <c r="BR107" i="253"/>
  <c r="BP107" i="253"/>
  <c r="I109" i="253"/>
  <c r="G109" i="253"/>
  <c r="H109" i="253"/>
  <c r="F109" i="253"/>
  <c r="E108" i="253"/>
  <c r="B111" i="253"/>
  <c r="D110" i="253"/>
  <c r="DA9" i="135"/>
  <c r="GX9" i="135" l="1"/>
  <c r="BR336" i="253"/>
  <c r="BP336" i="253"/>
  <c r="D339" i="253"/>
  <c r="B340" i="253"/>
  <c r="I642" i="253"/>
  <c r="G642" i="253"/>
  <c r="H642" i="253"/>
  <c r="F642" i="253"/>
  <c r="E337" i="253"/>
  <c r="H338" i="253"/>
  <c r="F338" i="253"/>
  <c r="I338" i="253"/>
  <c r="G338" i="253"/>
  <c r="D643" i="253"/>
  <c r="B644" i="253"/>
  <c r="E641" i="253"/>
  <c r="BR640" i="253"/>
  <c r="BP640" i="253"/>
  <c r="BR108" i="253"/>
  <c r="BP108" i="253"/>
  <c r="E109" i="253"/>
  <c r="I110" i="253"/>
  <c r="F110" i="253"/>
  <c r="G110" i="253"/>
  <c r="H110" i="253"/>
  <c r="D111" i="253"/>
  <c r="B112" i="253"/>
  <c r="DB9" i="135"/>
  <c r="GY9" i="135" l="1"/>
  <c r="D644" i="253"/>
  <c r="B645" i="253"/>
  <c r="E338" i="253"/>
  <c r="F339" i="253"/>
  <c r="I339" i="253"/>
  <c r="G339" i="253"/>
  <c r="H339" i="253"/>
  <c r="F643" i="253"/>
  <c r="I643" i="253"/>
  <c r="G643" i="253"/>
  <c r="H643" i="253"/>
  <c r="BR337" i="253"/>
  <c r="BP337" i="253"/>
  <c r="BP641" i="253"/>
  <c r="BR641" i="253"/>
  <c r="E642" i="253"/>
  <c r="D340" i="253"/>
  <c r="B341" i="253"/>
  <c r="BR109" i="253"/>
  <c r="BP109" i="253"/>
  <c r="I111" i="253"/>
  <c r="F111" i="253"/>
  <c r="G111" i="253"/>
  <c r="H111" i="253"/>
  <c r="B113" i="253"/>
  <c r="D112" i="253"/>
  <c r="E110" i="253"/>
  <c r="DC9" i="135"/>
  <c r="GZ9" i="135" l="1"/>
  <c r="BP642" i="253"/>
  <c r="BR642" i="253"/>
  <c r="E643" i="253"/>
  <c r="E339" i="253"/>
  <c r="BR338" i="253"/>
  <c r="BP338" i="253"/>
  <c r="D341" i="253"/>
  <c r="B342" i="253"/>
  <c r="B646" i="253"/>
  <c r="D645" i="253"/>
  <c r="H340" i="253"/>
  <c r="F340" i="253"/>
  <c r="I340" i="253"/>
  <c r="G340" i="253"/>
  <c r="G644" i="253"/>
  <c r="F644" i="253"/>
  <c r="H644" i="253"/>
  <c r="I644" i="253"/>
  <c r="BR110" i="253"/>
  <c r="BP110" i="253"/>
  <c r="E111" i="253"/>
  <c r="I112" i="253"/>
  <c r="H112" i="253"/>
  <c r="G112" i="253"/>
  <c r="F112" i="253"/>
  <c r="B114" i="253"/>
  <c r="D114" i="253" s="1"/>
  <c r="D113" i="253"/>
  <c r="DD9" i="135"/>
  <c r="E644" i="253" l="1"/>
  <c r="E340" i="253"/>
  <c r="D342" i="253"/>
  <c r="B343" i="253"/>
  <c r="BP339" i="253"/>
  <c r="BR339" i="253"/>
  <c r="G341" i="253"/>
  <c r="H341" i="253"/>
  <c r="F341" i="253"/>
  <c r="I341" i="253"/>
  <c r="BR643" i="253"/>
  <c r="BP643" i="253"/>
  <c r="F645" i="253"/>
  <c r="G645" i="253"/>
  <c r="H645" i="253"/>
  <c r="I645" i="253"/>
  <c r="B647" i="253"/>
  <c r="D646" i="253"/>
  <c r="BR111" i="253"/>
  <c r="BP111" i="253"/>
  <c r="E112" i="253"/>
  <c r="I114" i="253"/>
  <c r="F114" i="253"/>
  <c r="G114" i="253"/>
  <c r="H114" i="253"/>
  <c r="I113" i="253"/>
  <c r="G113" i="253"/>
  <c r="H113" i="253"/>
  <c r="F113" i="253"/>
  <c r="DE9" i="135"/>
  <c r="D343" i="253" l="1"/>
  <c r="B344" i="253"/>
  <c r="H342" i="253"/>
  <c r="F342" i="253"/>
  <c r="G342" i="253"/>
  <c r="I342" i="253"/>
  <c r="I646" i="253"/>
  <c r="G646" i="253"/>
  <c r="H646" i="253"/>
  <c r="F646" i="253"/>
  <c r="BR340" i="253"/>
  <c r="BP340" i="253"/>
  <c r="B648" i="253"/>
  <c r="D647" i="253"/>
  <c r="E645" i="253"/>
  <c r="E341" i="253"/>
  <c r="BP644" i="253"/>
  <c r="BR644" i="253"/>
  <c r="E114" i="253"/>
  <c r="BR114" i="253" s="1"/>
  <c r="BR112" i="253"/>
  <c r="BP112" i="253"/>
  <c r="E113" i="253"/>
  <c r="DF9" i="135"/>
  <c r="E646" i="253" l="1"/>
  <c r="BR646" i="253" s="1"/>
  <c r="BP341" i="253"/>
  <c r="BR341" i="253"/>
  <c r="E342" i="253"/>
  <c r="BP645" i="253"/>
  <c r="BR645" i="253"/>
  <c r="G647" i="253"/>
  <c r="I647" i="253"/>
  <c r="H647" i="253"/>
  <c r="F647" i="253"/>
  <c r="D344" i="253"/>
  <c r="B345" i="253"/>
  <c r="D648" i="253"/>
  <c r="B649" i="253"/>
  <c r="I343" i="253"/>
  <c r="G343" i="253"/>
  <c r="H343" i="253"/>
  <c r="F343" i="253"/>
  <c r="BP114" i="253"/>
  <c r="BP113" i="253"/>
  <c r="BR113" i="253"/>
  <c r="DG9" i="135"/>
  <c r="BP646" i="253" l="1"/>
  <c r="I344" i="253"/>
  <c r="G344" i="253"/>
  <c r="H344" i="253"/>
  <c r="F344" i="253"/>
  <c r="E343" i="253"/>
  <c r="D649" i="253"/>
  <c r="B650" i="253"/>
  <c r="BP342" i="253"/>
  <c r="BR342" i="253"/>
  <c r="F648" i="253"/>
  <c r="I648" i="253"/>
  <c r="G648" i="253"/>
  <c r="H648" i="253"/>
  <c r="B346" i="253"/>
  <c r="D345" i="253"/>
  <c r="E647" i="253"/>
  <c r="DH9" i="135"/>
  <c r="E344" i="253" l="1"/>
  <c r="BR344" i="253" s="1"/>
  <c r="BP647" i="253"/>
  <c r="BR647" i="253"/>
  <c r="G345" i="253"/>
  <c r="H345" i="253"/>
  <c r="F345" i="253"/>
  <c r="I345" i="253"/>
  <c r="D650" i="253"/>
  <c r="B651" i="253"/>
  <c r="D346" i="253"/>
  <c r="B347" i="253"/>
  <c r="E648" i="253"/>
  <c r="H649" i="253"/>
  <c r="F649" i="253"/>
  <c r="G649" i="253"/>
  <c r="I649" i="253"/>
  <c r="BP343" i="253"/>
  <c r="BR343" i="253"/>
  <c r="DI9" i="135"/>
  <c r="BP344" i="253" l="1"/>
  <c r="B348" i="253"/>
  <c r="D347" i="253"/>
  <c r="E649" i="253"/>
  <c r="G346" i="253"/>
  <c r="H346" i="253"/>
  <c r="F346" i="253"/>
  <c r="I346" i="253"/>
  <c r="E345" i="253"/>
  <c r="B652" i="253"/>
  <c r="D651" i="253"/>
  <c r="BR648" i="253"/>
  <c r="BP648" i="253"/>
  <c r="H650" i="253"/>
  <c r="I650" i="253"/>
  <c r="F650" i="253"/>
  <c r="G650" i="253"/>
  <c r="DJ9" i="135"/>
  <c r="B15" i="178"/>
  <c r="B14" i="178"/>
  <c r="BP345" i="253" l="1"/>
  <c r="BR345" i="253"/>
  <c r="E650" i="253"/>
  <c r="BP649" i="253"/>
  <c r="BR649" i="253"/>
  <c r="F651" i="253"/>
  <c r="G651" i="253"/>
  <c r="I651" i="253"/>
  <c r="H651" i="253"/>
  <c r="E346" i="253"/>
  <c r="F347" i="253"/>
  <c r="I347" i="253"/>
  <c r="G347" i="253"/>
  <c r="H347" i="253"/>
  <c r="B653" i="253"/>
  <c r="D652" i="253"/>
  <c r="D348" i="253"/>
  <c r="B349" i="253"/>
  <c r="DK9" i="135"/>
  <c r="G652" i="253" l="1"/>
  <c r="F652" i="253"/>
  <c r="H652" i="253"/>
  <c r="I652" i="253"/>
  <c r="B654" i="253"/>
  <c r="D653" i="253"/>
  <c r="E347" i="253"/>
  <c r="BR650" i="253"/>
  <c r="BP650" i="253"/>
  <c r="D349" i="253"/>
  <c r="B350" i="253"/>
  <c r="BR346" i="253"/>
  <c r="BP346" i="253"/>
  <c r="E651" i="253"/>
  <c r="F348" i="253"/>
  <c r="I348" i="253"/>
  <c r="H348" i="253"/>
  <c r="G348" i="253"/>
  <c r="DL9" i="135"/>
  <c r="E348" i="253" l="1"/>
  <c r="B351" i="253"/>
  <c r="D350" i="253"/>
  <c r="BR347" i="253"/>
  <c r="BP347" i="253"/>
  <c r="BP651" i="253"/>
  <c r="BR651" i="253"/>
  <c r="I349" i="253"/>
  <c r="G349" i="253"/>
  <c r="H349" i="253"/>
  <c r="F349" i="253"/>
  <c r="G653" i="253"/>
  <c r="I653" i="253"/>
  <c r="F653" i="253"/>
  <c r="H653" i="253"/>
  <c r="E652" i="253"/>
  <c r="B655" i="253"/>
  <c r="D654" i="253"/>
  <c r="DM9" i="135"/>
  <c r="BP652" i="253" l="1"/>
  <c r="BR652" i="253"/>
  <c r="E349" i="253"/>
  <c r="G350" i="253"/>
  <c r="H350" i="253"/>
  <c r="F350" i="253"/>
  <c r="I350" i="253"/>
  <c r="F654" i="253"/>
  <c r="I654" i="253"/>
  <c r="G654" i="253"/>
  <c r="H654" i="253"/>
  <c r="E653" i="253"/>
  <c r="D351" i="253"/>
  <c r="B352" i="253"/>
  <c r="B656" i="253"/>
  <c r="D655" i="253"/>
  <c r="BP348" i="253"/>
  <c r="BR348" i="253"/>
  <c r="DN9" i="135"/>
  <c r="E654" i="253" l="1"/>
  <c r="BR654" i="253" s="1"/>
  <c r="F655" i="253"/>
  <c r="G655" i="253"/>
  <c r="H655" i="253"/>
  <c r="I655" i="253"/>
  <c r="BP653" i="253"/>
  <c r="BR653" i="253"/>
  <c r="D656" i="253"/>
  <c r="B657" i="253"/>
  <c r="BR349" i="253"/>
  <c r="BP349" i="253"/>
  <c r="D352" i="253"/>
  <c r="B353" i="253"/>
  <c r="E350" i="253"/>
  <c r="F351" i="253"/>
  <c r="I351" i="253"/>
  <c r="G351" i="253"/>
  <c r="H351" i="253"/>
  <c r="DO9" i="135"/>
  <c r="BP654" i="253" l="1"/>
  <c r="E351" i="253"/>
  <c r="BP350" i="253"/>
  <c r="BR350" i="253"/>
  <c r="B354" i="253"/>
  <c r="D353" i="253"/>
  <c r="D657" i="253"/>
  <c r="B658" i="253"/>
  <c r="F352" i="253"/>
  <c r="I352" i="253"/>
  <c r="G352" i="253"/>
  <c r="H352" i="253"/>
  <c r="F656" i="253"/>
  <c r="I656" i="253"/>
  <c r="H656" i="253"/>
  <c r="G656" i="253"/>
  <c r="E655" i="253"/>
  <c r="DP9" i="135"/>
  <c r="BP655" i="253" l="1"/>
  <c r="BR655" i="253"/>
  <c r="E656" i="253"/>
  <c r="E352" i="253"/>
  <c r="D354" i="253"/>
  <c r="B355" i="253"/>
  <c r="B659" i="253"/>
  <c r="D658" i="253"/>
  <c r="H657" i="253"/>
  <c r="I657" i="253"/>
  <c r="G657" i="253"/>
  <c r="F657" i="253"/>
  <c r="H353" i="253"/>
  <c r="F353" i="253"/>
  <c r="I353" i="253"/>
  <c r="G353" i="253"/>
  <c r="BR351" i="253"/>
  <c r="BP351" i="253"/>
  <c r="DQ9" i="135"/>
  <c r="A4" i="135"/>
  <c r="A2" i="109"/>
  <c r="A3" i="131"/>
  <c r="A2" i="118"/>
  <c r="E353" i="253" l="1"/>
  <c r="BP353" i="253" s="1"/>
  <c r="B356" i="253"/>
  <c r="D355" i="253"/>
  <c r="E657" i="253"/>
  <c r="I658" i="253"/>
  <c r="H658" i="253"/>
  <c r="F658" i="253"/>
  <c r="G658" i="253"/>
  <c r="BR352" i="253"/>
  <c r="BP352" i="253"/>
  <c r="B660" i="253"/>
  <c r="D659" i="253"/>
  <c r="BR656" i="253"/>
  <c r="BP656" i="253"/>
  <c r="I354" i="253"/>
  <c r="G354" i="253"/>
  <c r="H354" i="253"/>
  <c r="F354" i="253"/>
  <c r="DR9" i="135"/>
  <c r="A1" i="109"/>
  <c r="BR353" i="253" l="1"/>
  <c r="E354" i="253"/>
  <c r="H659" i="253"/>
  <c r="I659" i="253"/>
  <c r="G659" i="253"/>
  <c r="F659" i="253"/>
  <c r="BR657" i="253"/>
  <c r="BP657" i="253"/>
  <c r="D660" i="253"/>
  <c r="B661" i="253"/>
  <c r="E658" i="253"/>
  <c r="F355" i="253"/>
  <c r="I355" i="253"/>
  <c r="G355" i="253"/>
  <c r="H355" i="253"/>
  <c r="B357" i="253"/>
  <c r="D356" i="253"/>
  <c r="DS9" i="135"/>
  <c r="K26" i="109"/>
  <c r="H660" i="253" l="1"/>
  <c r="F660" i="253"/>
  <c r="G660" i="253"/>
  <c r="I660" i="253"/>
  <c r="E355" i="253"/>
  <c r="BR658" i="253"/>
  <c r="BP658" i="253"/>
  <c r="F356" i="253"/>
  <c r="I356" i="253"/>
  <c r="G356" i="253"/>
  <c r="H356" i="253"/>
  <c r="B358" i="253"/>
  <c r="D357" i="253"/>
  <c r="D661" i="253"/>
  <c r="B662" i="253"/>
  <c r="E659" i="253"/>
  <c r="BP354" i="253"/>
  <c r="BR354" i="253"/>
  <c r="DT9" i="135"/>
  <c r="K22" i="109"/>
  <c r="K33" i="109"/>
  <c r="E356" i="253" l="1"/>
  <c r="BP356" i="253" s="1"/>
  <c r="BP659" i="253"/>
  <c r="BR659" i="253"/>
  <c r="B663" i="253"/>
  <c r="D662" i="253"/>
  <c r="F661" i="253"/>
  <c r="G661" i="253"/>
  <c r="I661" i="253"/>
  <c r="H661" i="253"/>
  <c r="E660" i="253"/>
  <c r="D358" i="253"/>
  <c r="B359" i="253"/>
  <c r="I357" i="253"/>
  <c r="G357" i="253"/>
  <c r="F357" i="253"/>
  <c r="H357" i="253"/>
  <c r="BP355" i="253"/>
  <c r="BR355" i="253"/>
  <c r="DU9" i="135"/>
  <c r="L26" i="109"/>
  <c r="BR356" i="253" l="1"/>
  <c r="E357" i="253"/>
  <c r="H358" i="253"/>
  <c r="F358" i="253"/>
  <c r="I358" i="253"/>
  <c r="G358" i="253"/>
  <c r="BR660" i="253"/>
  <c r="BP660" i="253"/>
  <c r="E661" i="253"/>
  <c r="G662" i="253"/>
  <c r="H662" i="253"/>
  <c r="F662" i="253"/>
  <c r="I662" i="253"/>
  <c r="D359" i="253"/>
  <c r="B360" i="253"/>
  <c r="D663" i="253"/>
  <c r="B664" i="253"/>
  <c r="DV9" i="135"/>
  <c r="L22" i="109"/>
  <c r="L33" i="109"/>
  <c r="M26" i="109"/>
  <c r="BP661" i="253" l="1"/>
  <c r="BR661" i="253"/>
  <c r="H663" i="253"/>
  <c r="F663" i="253"/>
  <c r="I663" i="253"/>
  <c r="G663" i="253"/>
  <c r="E662" i="253"/>
  <c r="E358" i="253"/>
  <c r="D360" i="253"/>
  <c r="B361" i="253"/>
  <c r="D664" i="253"/>
  <c r="B665" i="253"/>
  <c r="F359" i="253"/>
  <c r="I359" i="253"/>
  <c r="G359" i="253"/>
  <c r="H359" i="253"/>
  <c r="BP357" i="253"/>
  <c r="BR357" i="253"/>
  <c r="DW9" i="135"/>
  <c r="M22" i="109"/>
  <c r="M33" i="109"/>
  <c r="N26" i="109"/>
  <c r="B666" i="253" l="1"/>
  <c r="D665" i="253"/>
  <c r="BR358" i="253"/>
  <c r="BP358" i="253"/>
  <c r="E663" i="253"/>
  <c r="H664" i="253"/>
  <c r="F664" i="253"/>
  <c r="I664" i="253"/>
  <c r="G664" i="253"/>
  <c r="BR662" i="253"/>
  <c r="BP662" i="253"/>
  <c r="B362" i="253"/>
  <c r="D361" i="253"/>
  <c r="E359" i="253"/>
  <c r="H360" i="253"/>
  <c r="F360" i="253"/>
  <c r="I360" i="253"/>
  <c r="G360" i="253"/>
  <c r="DX9" i="135"/>
  <c r="N22" i="109"/>
  <c r="N33" i="109"/>
  <c r="O26" i="109"/>
  <c r="BR359" i="253" l="1"/>
  <c r="BP359" i="253"/>
  <c r="H361" i="253"/>
  <c r="F361" i="253"/>
  <c r="G361" i="253"/>
  <c r="I361" i="253"/>
  <c r="E360" i="253"/>
  <c r="B363" i="253"/>
  <c r="D362" i="253"/>
  <c r="E664" i="253"/>
  <c r="I665" i="253"/>
  <c r="F665" i="253"/>
  <c r="G665" i="253"/>
  <c r="H665" i="253"/>
  <c r="BR663" i="253"/>
  <c r="BP663" i="253"/>
  <c r="B667" i="253"/>
  <c r="D667" i="253" s="1"/>
  <c r="D666" i="253"/>
  <c r="DY9" i="135"/>
  <c r="O22" i="109"/>
  <c r="O33" i="109"/>
  <c r="P26" i="109"/>
  <c r="F666" i="253" l="1"/>
  <c r="G666" i="253"/>
  <c r="H666" i="253"/>
  <c r="I666" i="253"/>
  <c r="E665" i="253"/>
  <c r="B364" i="253"/>
  <c r="D363" i="253"/>
  <c r="E361" i="253"/>
  <c r="BP360" i="253"/>
  <c r="BR360" i="253"/>
  <c r="BP664" i="253"/>
  <c r="BR664" i="253"/>
  <c r="F667" i="253"/>
  <c r="I667" i="253"/>
  <c r="H667" i="253"/>
  <c r="G667" i="253"/>
  <c r="I362" i="253"/>
  <c r="G362" i="253"/>
  <c r="H362" i="253"/>
  <c r="F362" i="253"/>
  <c r="DZ9" i="135"/>
  <c r="P22" i="109"/>
  <c r="P33" i="109"/>
  <c r="Q26" i="109"/>
  <c r="D364" i="253" l="1"/>
  <c r="B365" i="253"/>
  <c r="E362" i="253"/>
  <c r="BR361" i="253"/>
  <c r="BP361" i="253"/>
  <c r="G363" i="253"/>
  <c r="H363" i="253"/>
  <c r="F363" i="253"/>
  <c r="I363" i="253"/>
  <c r="E667" i="253"/>
  <c r="BR665" i="253"/>
  <c r="BP665" i="253"/>
  <c r="E666" i="253"/>
  <c r="EA9" i="135"/>
  <c r="Q22" i="109"/>
  <c r="Q33" i="109"/>
  <c r="R26" i="109"/>
  <c r="D365" i="253" l="1"/>
  <c r="B366" i="253"/>
  <c r="E363" i="253"/>
  <c r="BR362" i="253"/>
  <c r="BP362" i="253"/>
  <c r="BR667" i="253"/>
  <c r="BP667" i="253"/>
  <c r="BP666" i="253"/>
  <c r="BR666" i="253"/>
  <c r="G364" i="253"/>
  <c r="H364" i="253"/>
  <c r="F364" i="253"/>
  <c r="I364" i="253"/>
  <c r="EB9" i="135"/>
  <c r="R22" i="109"/>
  <c r="R33" i="109"/>
  <c r="S26" i="109"/>
  <c r="E364" i="253" l="1"/>
  <c r="BR363" i="253"/>
  <c r="BP363" i="253"/>
  <c r="B367" i="253"/>
  <c r="D366" i="253"/>
  <c r="I365" i="253"/>
  <c r="H365" i="253"/>
  <c r="F365" i="253"/>
  <c r="G365" i="253"/>
  <c r="EC9" i="135"/>
  <c r="S22" i="109"/>
  <c r="S33" i="109"/>
  <c r="T26" i="109"/>
  <c r="E365" i="253" l="1"/>
  <c r="D367" i="253"/>
  <c r="B368" i="253"/>
  <c r="F366" i="253"/>
  <c r="I366" i="253"/>
  <c r="G366" i="253"/>
  <c r="H366" i="253"/>
  <c r="BR364" i="253"/>
  <c r="BP364" i="253"/>
  <c r="ED9" i="135"/>
  <c r="T22" i="109"/>
  <c r="T33" i="109"/>
  <c r="U26" i="109"/>
  <c r="E366" i="253" l="1"/>
  <c r="BR366" i="253" s="1"/>
  <c r="B369" i="253"/>
  <c r="D368" i="253"/>
  <c r="I367" i="253"/>
  <c r="G367" i="253"/>
  <c r="H367" i="253"/>
  <c r="F367" i="253"/>
  <c r="BR365" i="253"/>
  <c r="BP365" i="253"/>
  <c r="EE9" i="135"/>
  <c r="U22" i="109"/>
  <c r="U33" i="109"/>
  <c r="V26" i="109"/>
  <c r="BP366" i="253" l="1"/>
  <c r="E367" i="253"/>
  <c r="G368" i="253"/>
  <c r="H368" i="253"/>
  <c r="F368" i="253"/>
  <c r="I368" i="253"/>
  <c r="D369" i="253"/>
  <c r="B370" i="253"/>
  <c r="EF9" i="135"/>
  <c r="V22" i="109"/>
  <c r="V33" i="109"/>
  <c r="W26" i="109"/>
  <c r="E368" i="253" l="1"/>
  <c r="BR368" i="253" s="1"/>
  <c r="D370" i="253"/>
  <c r="B371" i="253"/>
  <c r="G369" i="253"/>
  <c r="H369" i="253"/>
  <c r="F369" i="253"/>
  <c r="I369" i="253"/>
  <c r="BR367" i="253"/>
  <c r="BP367" i="253"/>
  <c r="EG9" i="135"/>
  <c r="W22" i="109"/>
  <c r="W33" i="109"/>
  <c r="X26" i="109"/>
  <c r="BP368" i="253" l="1"/>
  <c r="B372" i="253"/>
  <c r="D371" i="253"/>
  <c r="E369" i="253"/>
  <c r="F370" i="253"/>
  <c r="I370" i="253"/>
  <c r="H370" i="253"/>
  <c r="G370" i="253"/>
  <c r="EH9" i="135"/>
  <c r="X22" i="109"/>
  <c r="X33" i="109"/>
  <c r="Y26" i="109"/>
  <c r="E370" i="253" l="1"/>
  <c r="BR369" i="253"/>
  <c r="BP369" i="253"/>
  <c r="H371" i="253"/>
  <c r="F371" i="253"/>
  <c r="I371" i="253"/>
  <c r="G371" i="253"/>
  <c r="D372" i="253"/>
  <c r="B373" i="253"/>
  <c r="EI9" i="135"/>
  <c r="Y22" i="109"/>
  <c r="Y33" i="109"/>
  <c r="Z26" i="109"/>
  <c r="H372" i="253" l="1"/>
  <c r="F372" i="253"/>
  <c r="I372" i="253"/>
  <c r="G372" i="253"/>
  <c r="B374" i="253"/>
  <c r="D373" i="253"/>
  <c r="E371" i="253"/>
  <c r="BR370" i="253"/>
  <c r="BP370" i="253"/>
  <c r="EJ9" i="135"/>
  <c r="Z22" i="109"/>
  <c r="Z33" i="109"/>
  <c r="AA26" i="109"/>
  <c r="D374" i="253" l="1"/>
  <c r="B375" i="253"/>
  <c r="BR371" i="253"/>
  <c r="BP371" i="253"/>
  <c r="F373" i="253"/>
  <c r="I373" i="253"/>
  <c r="G373" i="253"/>
  <c r="H373" i="253"/>
  <c r="E372" i="253"/>
  <c r="EK9" i="135"/>
  <c r="AA22" i="109"/>
  <c r="AA33" i="109"/>
  <c r="AB26" i="109"/>
  <c r="B376" i="253" l="1"/>
  <c r="D375" i="253"/>
  <c r="BR372" i="253"/>
  <c r="BP372" i="253"/>
  <c r="E373" i="253"/>
  <c r="F374" i="253"/>
  <c r="I374" i="253"/>
  <c r="G374" i="253"/>
  <c r="H374" i="253"/>
  <c r="B144" i="253"/>
  <c r="EL9" i="135"/>
  <c r="AB22" i="109"/>
  <c r="AB33" i="109"/>
  <c r="AC26" i="109"/>
  <c r="E374" i="253" l="1"/>
  <c r="G375" i="253"/>
  <c r="H375" i="253"/>
  <c r="F375" i="253"/>
  <c r="I375" i="253"/>
  <c r="BP373" i="253"/>
  <c r="BR373" i="253"/>
  <c r="B377" i="253"/>
  <c r="D376" i="253"/>
  <c r="D144" i="253"/>
  <c r="EM9" i="135"/>
  <c r="AC22" i="109"/>
  <c r="AC33" i="109"/>
  <c r="AD26" i="109"/>
  <c r="E375" i="253" l="1"/>
  <c r="BP375" i="253" s="1"/>
  <c r="D377" i="253"/>
  <c r="B378" i="253"/>
  <c r="G376" i="253"/>
  <c r="H376" i="253"/>
  <c r="F376" i="253"/>
  <c r="I376" i="253"/>
  <c r="BR374" i="253"/>
  <c r="BP374" i="253"/>
  <c r="G144" i="253"/>
  <c r="F144" i="253"/>
  <c r="H144" i="253"/>
  <c r="I144" i="253"/>
  <c r="EN9" i="135"/>
  <c r="AD22" i="109"/>
  <c r="AD33" i="109"/>
  <c r="AE26" i="109"/>
  <c r="BR375" i="253" l="1"/>
  <c r="B379" i="253"/>
  <c r="D378" i="253"/>
  <c r="E376" i="253"/>
  <c r="I377" i="253"/>
  <c r="G377" i="253"/>
  <c r="H377" i="253"/>
  <c r="F377" i="253"/>
  <c r="E144" i="253"/>
  <c r="EO9" i="135"/>
  <c r="AE22" i="109"/>
  <c r="AE33" i="109"/>
  <c r="AF26" i="109"/>
  <c r="E377" i="253" l="1"/>
  <c r="BR376" i="253"/>
  <c r="BP376" i="253"/>
  <c r="I378" i="253"/>
  <c r="G378" i="253"/>
  <c r="H378" i="253"/>
  <c r="F378" i="253"/>
  <c r="B380" i="253"/>
  <c r="D379" i="253"/>
  <c r="BR144" i="253"/>
  <c r="BP144" i="253"/>
  <c r="EP9" i="135"/>
  <c r="AF22" i="109"/>
  <c r="AF33" i="109"/>
  <c r="AG26" i="109"/>
  <c r="E378" i="253" l="1"/>
  <c r="D380" i="253"/>
  <c r="B381" i="253"/>
  <c r="G379" i="253"/>
  <c r="H379" i="253"/>
  <c r="F379" i="253"/>
  <c r="I379" i="253"/>
  <c r="BP377" i="253"/>
  <c r="BR377" i="253"/>
  <c r="EQ9" i="135"/>
  <c r="AG22" i="109"/>
  <c r="AG33" i="109"/>
  <c r="AH26" i="109"/>
  <c r="E379" i="253" l="1"/>
  <c r="BP379" i="253" s="1"/>
  <c r="D381" i="253"/>
  <c r="B382" i="253"/>
  <c r="F380" i="253"/>
  <c r="I380" i="253"/>
  <c r="G380" i="253"/>
  <c r="H380" i="253"/>
  <c r="BR378" i="253"/>
  <c r="BP378" i="253"/>
  <c r="ER9" i="135"/>
  <c r="AH22" i="109"/>
  <c r="AH33" i="109"/>
  <c r="AI26" i="109"/>
  <c r="BR379" i="253" l="1"/>
  <c r="D382" i="253"/>
  <c r="B383" i="253"/>
  <c r="E380" i="253"/>
  <c r="H381" i="253"/>
  <c r="F381" i="253"/>
  <c r="I381" i="253"/>
  <c r="G381" i="253"/>
  <c r="ES9" i="135"/>
  <c r="AI22" i="109"/>
  <c r="AI33" i="109"/>
  <c r="AJ26" i="109"/>
  <c r="BR380" i="253" l="1"/>
  <c r="BP380" i="253"/>
  <c r="D383" i="253"/>
  <c r="B384" i="253"/>
  <c r="E381" i="253"/>
  <c r="H382" i="253"/>
  <c r="F382" i="253"/>
  <c r="I382" i="253"/>
  <c r="G382" i="253"/>
  <c r="ET9" i="135"/>
  <c r="AJ22" i="109"/>
  <c r="AJ33" i="109"/>
  <c r="AK26" i="109"/>
  <c r="B385" i="253" l="1"/>
  <c r="D384" i="253"/>
  <c r="E382" i="253"/>
  <c r="I383" i="253"/>
  <c r="G383" i="253"/>
  <c r="H383" i="253"/>
  <c r="F383" i="253"/>
  <c r="BR381" i="253"/>
  <c r="BP381" i="253"/>
  <c r="EU9" i="135"/>
  <c r="AK22" i="109"/>
  <c r="AL26" i="109"/>
  <c r="AK33" i="109"/>
  <c r="E383" i="253" l="1"/>
  <c r="BP382" i="253"/>
  <c r="BR382" i="253"/>
  <c r="I384" i="253"/>
  <c r="G384" i="253"/>
  <c r="H384" i="253"/>
  <c r="F384" i="253"/>
  <c r="D385" i="253"/>
  <c r="B386" i="253"/>
  <c r="EV9" i="135"/>
  <c r="AL22" i="109"/>
  <c r="AL33" i="109"/>
  <c r="AM26" i="109"/>
  <c r="D386" i="253" l="1"/>
  <c r="B387" i="253"/>
  <c r="F385" i="253"/>
  <c r="I385" i="253"/>
  <c r="G385" i="253"/>
  <c r="H385" i="253"/>
  <c r="E384" i="253"/>
  <c r="BP383" i="253"/>
  <c r="BR383" i="253"/>
  <c r="EW9" i="135"/>
  <c r="AN26" i="109"/>
  <c r="AM33" i="109"/>
  <c r="AM22" i="109"/>
  <c r="B13" i="178"/>
  <c r="BR384" i="253" l="1"/>
  <c r="BP384" i="253"/>
  <c r="E385" i="253"/>
  <c r="D387" i="253"/>
  <c r="B388" i="253"/>
  <c r="G386" i="253"/>
  <c r="H386" i="253"/>
  <c r="F386" i="253"/>
  <c r="I386" i="253"/>
  <c r="EX9" i="135"/>
  <c r="AU10" i="135" s="1"/>
  <c r="AO26" i="109"/>
  <c r="AN33" i="109"/>
  <c r="AN22" i="109"/>
  <c r="CK10" i="135" l="1"/>
  <c r="BQ10" i="135"/>
  <c r="CV10" i="135"/>
  <c r="BG10" i="135"/>
  <c r="AU14" i="135"/>
  <c r="AU15" i="135"/>
  <c r="AU12" i="135"/>
  <c r="AU13" i="135"/>
  <c r="AU29" i="135"/>
  <c r="AU28" i="135"/>
  <c r="AU20" i="135"/>
  <c r="AU21" i="135"/>
  <c r="AU27" i="135"/>
  <c r="AU22" i="135"/>
  <c r="AU25" i="135"/>
  <c r="AU26" i="135"/>
  <c r="AU19" i="135"/>
  <c r="AU23" i="135"/>
  <c r="AU24" i="135"/>
  <c r="AU18" i="135"/>
  <c r="AU17" i="135"/>
  <c r="AU57" i="135"/>
  <c r="AU39" i="135"/>
  <c r="AU89" i="135"/>
  <c r="AU53" i="135"/>
  <c r="AU82" i="135"/>
  <c r="AU91" i="135"/>
  <c r="AU55" i="135"/>
  <c r="AU51" i="135"/>
  <c r="AU38" i="135"/>
  <c r="AU40" i="135"/>
  <c r="AU67" i="135"/>
  <c r="AU65" i="135"/>
  <c r="AU59" i="135"/>
  <c r="AU58" i="135"/>
  <c r="AU45" i="135"/>
  <c r="AU66" i="135"/>
  <c r="AU94" i="135"/>
  <c r="AU86" i="135"/>
  <c r="AU62" i="135"/>
  <c r="AU79" i="135"/>
  <c r="AU90" i="135"/>
  <c r="AU87" i="135"/>
  <c r="AU97" i="135"/>
  <c r="AU72" i="135"/>
  <c r="AU88" i="135"/>
  <c r="AU93" i="135"/>
  <c r="AU75" i="135"/>
  <c r="AU44" i="135"/>
  <c r="AU50" i="135"/>
  <c r="AU54" i="135"/>
  <c r="AU56" i="135"/>
  <c r="AU85" i="135"/>
  <c r="AU48" i="135"/>
  <c r="AU95" i="135"/>
  <c r="AU83" i="135"/>
  <c r="AU60" i="135"/>
  <c r="AU35" i="135"/>
  <c r="AU36" i="135"/>
  <c r="AU74" i="135"/>
  <c r="AU42" i="135"/>
  <c r="AU96" i="135"/>
  <c r="AU63" i="135"/>
  <c r="AU71" i="135"/>
  <c r="AU76" i="135"/>
  <c r="AU61" i="135"/>
  <c r="AU47" i="135"/>
  <c r="AU64" i="135"/>
  <c r="AU78" i="135"/>
  <c r="AU70" i="135"/>
  <c r="AU52" i="135"/>
  <c r="AU80" i="135"/>
  <c r="AU43" i="135"/>
  <c r="AU84" i="135"/>
  <c r="AU37" i="135"/>
  <c r="AU77" i="135"/>
  <c r="AU69" i="135"/>
  <c r="AU46" i="135"/>
  <c r="AU92" i="135"/>
  <c r="AU41" i="135"/>
  <c r="AU49" i="135"/>
  <c r="AU73" i="135"/>
  <c r="AU68" i="135"/>
  <c r="AU81" i="135"/>
  <c r="E386" i="253"/>
  <c r="F387" i="253"/>
  <c r="G387" i="253"/>
  <c r="H387" i="253"/>
  <c r="I387" i="253"/>
  <c r="BR385" i="253"/>
  <c r="BP385" i="253"/>
  <c r="D388" i="253"/>
  <c r="B389" i="253"/>
  <c r="AU33" i="135"/>
  <c r="AU32" i="135"/>
  <c r="AU31" i="135"/>
  <c r="AO33" i="109"/>
  <c r="AP26" i="109"/>
  <c r="AO22" i="109"/>
  <c r="B11" i="178"/>
  <c r="R17" i="131" l="1"/>
  <c r="S17" i="131" s="1"/>
  <c r="R18" i="131"/>
  <c r="S18" i="131" s="1"/>
  <c r="R19" i="131"/>
  <c r="S19" i="131" s="1"/>
  <c r="R20" i="131"/>
  <c r="S20" i="131" s="1"/>
  <c r="BG13" i="135"/>
  <c r="CV13" i="135"/>
  <c r="BQ13" i="135"/>
  <c r="CK13" i="135"/>
  <c r="CK12" i="135"/>
  <c r="BG12" i="135"/>
  <c r="BQ12" i="135"/>
  <c r="CV12" i="135"/>
  <c r="BG15" i="135"/>
  <c r="CV15" i="135"/>
  <c r="BQ15" i="135"/>
  <c r="CK15" i="135"/>
  <c r="BG14" i="135"/>
  <c r="CK14" i="135"/>
  <c r="BQ14" i="135"/>
  <c r="CV14" i="135"/>
  <c r="CK24" i="135"/>
  <c r="CV24" i="135"/>
  <c r="BQ24" i="135"/>
  <c r="BG24" i="135"/>
  <c r="BQ25" i="135"/>
  <c r="CV25" i="135"/>
  <c r="CK25" i="135"/>
  <c r="BG25" i="135"/>
  <c r="CK20" i="135"/>
  <c r="CV20" i="135"/>
  <c r="BG20" i="135"/>
  <c r="BQ20" i="135"/>
  <c r="CK23" i="135"/>
  <c r="BG23" i="135"/>
  <c r="BQ23" i="135"/>
  <c r="CV23" i="135"/>
  <c r="CK22" i="135"/>
  <c r="BG22" i="135"/>
  <c r="CV22" i="135"/>
  <c r="BQ22" i="135"/>
  <c r="CK28" i="135"/>
  <c r="BG28" i="135"/>
  <c r="CV28" i="135"/>
  <c r="BQ28" i="135"/>
  <c r="BQ17" i="135"/>
  <c r="BG17" i="135"/>
  <c r="CK17" i="135"/>
  <c r="CV17" i="135"/>
  <c r="BQ19" i="135"/>
  <c r="CK19" i="135"/>
  <c r="CV19" i="135"/>
  <c r="BG19" i="135"/>
  <c r="CK27" i="135"/>
  <c r="BQ27" i="135"/>
  <c r="CV27" i="135"/>
  <c r="BG27" i="135"/>
  <c r="CK29" i="135"/>
  <c r="BQ29" i="135"/>
  <c r="BG29" i="135"/>
  <c r="CV29" i="135"/>
  <c r="BQ18" i="135"/>
  <c r="CV18" i="135"/>
  <c r="BG18" i="135"/>
  <c r="CK18" i="135"/>
  <c r="BQ26" i="135"/>
  <c r="CK26" i="135"/>
  <c r="BG26" i="135"/>
  <c r="CV26" i="135"/>
  <c r="CK21" i="135"/>
  <c r="CV21" i="135"/>
  <c r="BG21" i="135"/>
  <c r="BQ21" i="135"/>
  <c r="O65" i="135"/>
  <c r="N90" i="135"/>
  <c r="AH90" i="135"/>
  <c r="AG95" i="135"/>
  <c r="N87" i="135"/>
  <c r="AH87" i="135"/>
  <c r="AG92" i="135"/>
  <c r="AG83" i="135"/>
  <c r="AG84" i="135"/>
  <c r="AH80" i="135"/>
  <c r="AG74" i="135"/>
  <c r="K81" i="135"/>
  <c r="O77" i="135"/>
  <c r="AG75" i="135"/>
  <c r="K82" i="135"/>
  <c r="AH78" i="135"/>
  <c r="O69" i="135"/>
  <c r="N71" i="135"/>
  <c r="K72" i="135"/>
  <c r="AG62" i="135"/>
  <c r="AH65" i="135"/>
  <c r="N93" i="135"/>
  <c r="K90" i="135"/>
  <c r="N95" i="135"/>
  <c r="AH95" i="135"/>
  <c r="K87" i="135"/>
  <c r="N92" i="135"/>
  <c r="AH92" i="135"/>
  <c r="O73" i="135"/>
  <c r="N80" i="135"/>
  <c r="N74" i="135"/>
  <c r="AH74" i="135"/>
  <c r="O81" i="135"/>
  <c r="N75" i="135"/>
  <c r="AH75" i="135"/>
  <c r="O82" i="135"/>
  <c r="AH69" i="135"/>
  <c r="AG69" i="135"/>
  <c r="O66" i="135"/>
  <c r="O72" i="135"/>
  <c r="AH93" i="135"/>
  <c r="K95" i="135"/>
  <c r="O87" i="135"/>
  <c r="K88" i="135"/>
  <c r="O80" i="135"/>
  <c r="K75" i="135"/>
  <c r="AG82" i="135"/>
  <c r="AH70" i="135"/>
  <c r="AG72" i="135"/>
  <c r="N63" i="135"/>
  <c r="AH58" i="135"/>
  <c r="AG65" i="135"/>
  <c r="N64" i="135"/>
  <c r="AH60" i="135"/>
  <c r="K65" i="135"/>
  <c r="K61" i="135"/>
  <c r="N57" i="135"/>
  <c r="O55" i="135"/>
  <c r="AH52" i="135"/>
  <c r="O44" i="135"/>
  <c r="K41" i="135"/>
  <c r="AG46" i="135"/>
  <c r="O39" i="135"/>
  <c r="O95" i="135"/>
  <c r="AG39" i="135"/>
  <c r="O46" i="135"/>
  <c r="K89" i="135"/>
  <c r="AG87" i="135"/>
  <c r="AG80" i="135"/>
  <c r="N81" i="135"/>
  <c r="AH82" i="135"/>
  <c r="AG70" i="135"/>
  <c r="K63" i="135"/>
  <c r="N65" i="135"/>
  <c r="N60" i="135"/>
  <c r="O61" i="135"/>
  <c r="O90" i="135"/>
  <c r="N91" i="135"/>
  <c r="K92" i="135"/>
  <c r="K74" i="135"/>
  <c r="AG81" i="135"/>
  <c r="N69" i="135"/>
  <c r="AH72" i="135"/>
  <c r="AG63" i="135"/>
  <c r="O63" i="135"/>
  <c r="K58" i="135"/>
  <c r="AG64" i="135"/>
  <c r="O64" i="135"/>
  <c r="K60" i="135"/>
  <c r="AH61" i="135"/>
  <c r="AG57" i="135"/>
  <c r="O57" i="135"/>
  <c r="K52" i="135"/>
  <c r="N52" i="135"/>
  <c r="AH39" i="135"/>
  <c r="AG90" i="135"/>
  <c r="AH91" i="135"/>
  <c r="O92" i="135"/>
  <c r="O74" i="135"/>
  <c r="AH81" i="135"/>
  <c r="N82" i="135"/>
  <c r="K69" i="135"/>
  <c r="N72" i="135"/>
  <c r="AH63" i="135"/>
  <c r="AG58" i="135"/>
  <c r="N58" i="135"/>
  <c r="AH64" i="135"/>
  <c r="AG60" i="135"/>
  <c r="O60" i="135"/>
  <c r="N61" i="135"/>
  <c r="AH57" i="135"/>
  <c r="AG55" i="135"/>
  <c r="O52" i="135"/>
  <c r="AG41" i="135"/>
  <c r="K46" i="135"/>
  <c r="N39" i="135"/>
  <c r="O75" i="135"/>
  <c r="K68" i="135"/>
  <c r="O58" i="135"/>
  <c r="K64" i="135"/>
  <c r="AG61" i="135"/>
  <c r="K57" i="135"/>
  <c r="AG52" i="135"/>
  <c r="AH46" i="135"/>
  <c r="K39" i="135"/>
  <c r="AH62" i="135"/>
  <c r="AH56" i="135"/>
  <c r="AH66" i="135"/>
  <c r="AG73" i="135"/>
  <c r="O68" i="135"/>
  <c r="N67" i="135"/>
  <c r="AG67" i="135"/>
  <c r="K73" i="135"/>
  <c r="AG91" i="135"/>
  <c r="AG68" i="135"/>
  <c r="AH77" i="135"/>
  <c r="N73" i="135"/>
  <c r="O93" i="135"/>
  <c r="K55" i="135"/>
  <c r="AG71" i="135"/>
  <c r="N55" i="135"/>
  <c r="O79" i="135"/>
  <c r="AG66" i="135"/>
  <c r="AH94" i="135"/>
  <c r="K62" i="135"/>
  <c r="O96" i="135"/>
  <c r="O97" i="135"/>
  <c r="N62" i="135"/>
  <c r="N79" i="135"/>
  <c r="K97" i="135"/>
  <c r="K54" i="135"/>
  <c r="N85" i="135"/>
  <c r="AH85" i="135"/>
  <c r="O38" i="135"/>
  <c r="K40" i="135"/>
  <c r="AH47" i="135"/>
  <c r="AG43" i="135"/>
  <c r="K43" i="135"/>
  <c r="AH35" i="135"/>
  <c r="AG36" i="135"/>
  <c r="K50" i="135"/>
  <c r="N48" i="135"/>
  <c r="AH48" i="135"/>
  <c r="K37" i="135"/>
  <c r="K86" i="135"/>
  <c r="N46" i="135"/>
  <c r="K59" i="135"/>
  <c r="AG79" i="135"/>
  <c r="K78" i="135"/>
  <c r="K71" i="135"/>
  <c r="N70" i="135"/>
  <c r="N83" i="135"/>
  <c r="O88" i="135"/>
  <c r="O41" i="135"/>
  <c r="O70" i="135"/>
  <c r="O83" i="135"/>
  <c r="AG93" i="135"/>
  <c r="AH68" i="135"/>
  <c r="N77" i="135"/>
  <c r="K83" i="135"/>
  <c r="K44" i="135"/>
  <c r="N59" i="135"/>
  <c r="AH71" i="135"/>
  <c r="N66" i="135"/>
  <c r="AG97" i="135"/>
  <c r="AG96" i="135"/>
  <c r="N94" i="135"/>
  <c r="AG78" i="135"/>
  <c r="AG94" i="135"/>
  <c r="N56" i="135"/>
  <c r="O78" i="135"/>
  <c r="K96" i="135"/>
  <c r="AH96" i="135"/>
  <c r="O54" i="135"/>
  <c r="K85" i="135"/>
  <c r="AG38" i="135"/>
  <c r="N38" i="135"/>
  <c r="N40" i="135"/>
  <c r="N47" i="135"/>
  <c r="AH43" i="135"/>
  <c r="K35" i="135"/>
  <c r="N35" i="135"/>
  <c r="AH36" i="135"/>
  <c r="O50" i="135"/>
  <c r="K48" i="135"/>
  <c r="N49" i="135"/>
  <c r="AH49" i="135"/>
  <c r="N42" i="135"/>
  <c r="AG51" i="135"/>
  <c r="O37" i="135"/>
  <c r="AG45" i="135"/>
  <c r="O45" i="135"/>
  <c r="AG53" i="135"/>
  <c r="O86" i="135"/>
  <c r="AH44" i="135"/>
  <c r="K77" i="135"/>
  <c r="N41" i="135"/>
  <c r="K84" i="135"/>
  <c r="AH84" i="135"/>
  <c r="N78" i="135"/>
  <c r="AG56" i="135"/>
  <c r="K56" i="135"/>
  <c r="AG76" i="135"/>
  <c r="O59" i="135"/>
  <c r="O94" i="135"/>
  <c r="AG54" i="135"/>
  <c r="AH38" i="135"/>
  <c r="AG40" i="135"/>
  <c r="K47" i="135"/>
  <c r="O35" i="135"/>
  <c r="N36" i="135"/>
  <c r="O48" i="135"/>
  <c r="K49" i="135"/>
  <c r="O42" i="135"/>
  <c r="AG37" i="135"/>
  <c r="K53" i="135"/>
  <c r="AH53" i="135"/>
  <c r="AG85" i="135"/>
  <c r="AG47" i="135"/>
  <c r="AG35" i="135"/>
  <c r="AH50" i="135"/>
  <c r="AH42" i="135"/>
  <c r="N37" i="135"/>
  <c r="N86" i="135"/>
  <c r="K42" i="135"/>
  <c r="K45" i="135"/>
  <c r="K76" i="135"/>
  <c r="O89" i="135"/>
  <c r="N96" i="135"/>
  <c r="K80" i="135"/>
  <c r="N84" i="135"/>
  <c r="K93" i="135"/>
  <c r="AG77" i="135"/>
  <c r="AH88" i="135"/>
  <c r="AH67" i="135"/>
  <c r="AG88" i="135"/>
  <c r="K66" i="135"/>
  <c r="K67" i="135"/>
  <c r="AH76" i="135"/>
  <c r="AH89" i="135"/>
  <c r="O76" i="135"/>
  <c r="AH97" i="135"/>
  <c r="O85" i="135"/>
  <c r="O40" i="135"/>
  <c r="N43" i="135"/>
  <c r="K36" i="135"/>
  <c r="AG50" i="135"/>
  <c r="AG42" i="135"/>
  <c r="N51" i="135"/>
  <c r="AH45" i="135"/>
  <c r="AG86" i="135"/>
  <c r="K38" i="135"/>
  <c r="O43" i="135"/>
  <c r="N50" i="135"/>
  <c r="O49" i="135"/>
  <c r="K51" i="135"/>
  <c r="N45" i="135"/>
  <c r="AH86" i="135"/>
  <c r="O51" i="135"/>
  <c r="N53" i="135"/>
  <c r="K94" i="135"/>
  <c r="N97" i="135"/>
  <c r="AH55" i="135"/>
  <c r="N44" i="135"/>
  <c r="AH41" i="135"/>
  <c r="K91" i="135"/>
  <c r="N68" i="135"/>
  <c r="O84" i="135"/>
  <c r="N88" i="135"/>
  <c r="AG44" i="135"/>
  <c r="K70" i="135"/>
  <c r="AH73" i="135"/>
  <c r="O91" i="135"/>
  <c r="AH83" i="135"/>
  <c r="O67" i="135"/>
  <c r="O56" i="135"/>
  <c r="O71" i="135"/>
  <c r="O62" i="135"/>
  <c r="N76" i="135"/>
  <c r="AH59" i="135"/>
  <c r="K79" i="135"/>
  <c r="N89" i="135"/>
  <c r="AG59" i="135"/>
  <c r="AH79" i="135"/>
  <c r="AG89" i="135"/>
  <c r="N54" i="135"/>
  <c r="AH54" i="135"/>
  <c r="AH40" i="135"/>
  <c r="O47" i="135"/>
  <c r="O36" i="135"/>
  <c r="AG48" i="135"/>
  <c r="AH51" i="135"/>
  <c r="O53" i="135"/>
  <c r="AG49" i="135"/>
  <c r="AH37" i="135"/>
  <c r="L95" i="135"/>
  <c r="AM95" i="135" s="1"/>
  <c r="L97" i="135"/>
  <c r="U97" i="135" s="1"/>
  <c r="L96" i="135"/>
  <c r="Y96" i="135" s="1"/>
  <c r="L78" i="135"/>
  <c r="Y78" i="135" s="1"/>
  <c r="L39" i="135"/>
  <c r="L84" i="135"/>
  <c r="AN84" i="135" s="1"/>
  <c r="L59" i="135"/>
  <c r="AN59" i="135" s="1"/>
  <c r="L72" i="135"/>
  <c r="Y72" i="135" s="1"/>
  <c r="Z72" i="135" s="1"/>
  <c r="L50" i="135"/>
  <c r="L68" i="135"/>
  <c r="AN68" i="135" s="1"/>
  <c r="L53" i="135"/>
  <c r="AC53" i="135" s="1"/>
  <c r="L57" i="135"/>
  <c r="AN57" i="135" s="1"/>
  <c r="L44" i="135"/>
  <c r="L85" i="135"/>
  <c r="Y85" i="135" s="1"/>
  <c r="L61" i="135"/>
  <c r="Y61" i="135" s="1"/>
  <c r="Z61" i="135" s="1"/>
  <c r="L35" i="135"/>
  <c r="Q35" i="135" s="1"/>
  <c r="L91" i="135"/>
  <c r="AC91" i="135" s="1"/>
  <c r="L94" i="135"/>
  <c r="U94" i="135" s="1"/>
  <c r="L93" i="135"/>
  <c r="AM93" i="135" s="1"/>
  <c r="L92" i="135"/>
  <c r="U92" i="135" s="1"/>
  <c r="V92" i="135" s="1"/>
  <c r="L62" i="135"/>
  <c r="L63" i="135"/>
  <c r="L41" i="135"/>
  <c r="Y41" i="135" s="1"/>
  <c r="L45" i="135"/>
  <c r="AN45" i="135" s="1"/>
  <c r="L51" i="135"/>
  <c r="L40" i="135"/>
  <c r="Y40" i="135" s="1"/>
  <c r="L66" i="135"/>
  <c r="AN66" i="135" s="1"/>
  <c r="L79" i="135"/>
  <c r="AN79" i="135" s="1"/>
  <c r="L42" i="135"/>
  <c r="L37" i="135"/>
  <c r="Y37" i="135" s="1"/>
  <c r="L69" i="135"/>
  <c r="L60" i="135"/>
  <c r="AN60" i="135" s="1"/>
  <c r="L58" i="135"/>
  <c r="L64" i="135"/>
  <c r="AC64" i="135" s="1"/>
  <c r="AD64" i="135" s="1"/>
  <c r="L52" i="135"/>
  <c r="U52" i="135" s="1"/>
  <c r="V52" i="135" s="1"/>
  <c r="L83" i="135"/>
  <c r="Y83" i="135" s="1"/>
  <c r="L75" i="135"/>
  <c r="L71" i="135"/>
  <c r="L80" i="135"/>
  <c r="U80" i="135" s="1"/>
  <c r="V80" i="135" s="1"/>
  <c r="L38" i="135"/>
  <c r="AC38" i="135" s="1"/>
  <c r="L87" i="135"/>
  <c r="L90" i="135"/>
  <c r="L89" i="135"/>
  <c r="AN89" i="135" s="1"/>
  <c r="L88" i="135"/>
  <c r="Y88" i="135" s="1"/>
  <c r="L82" i="135"/>
  <c r="L70" i="135"/>
  <c r="L43" i="135"/>
  <c r="AN43" i="135" s="1"/>
  <c r="L49" i="135"/>
  <c r="L36" i="135"/>
  <c r="Y36" i="135" s="1"/>
  <c r="L55" i="135"/>
  <c r="L48" i="135"/>
  <c r="Y48" i="135" s="1"/>
  <c r="Z48" i="135" s="1"/>
  <c r="L81" i="135"/>
  <c r="Y81" i="135" s="1"/>
  <c r="L76" i="135"/>
  <c r="AN76" i="135" s="1"/>
  <c r="L54" i="135"/>
  <c r="Y54" i="135" s="1"/>
  <c r="L47" i="135"/>
  <c r="U47" i="135" s="1"/>
  <c r="L74" i="135"/>
  <c r="AJ74" i="135" s="1"/>
  <c r="L73" i="135"/>
  <c r="L56" i="135"/>
  <c r="AC56" i="135" s="1"/>
  <c r="L67" i="135"/>
  <c r="U67" i="135" s="1"/>
  <c r="L86" i="135"/>
  <c r="Y86" i="135" s="1"/>
  <c r="L65" i="135"/>
  <c r="L77" i="135"/>
  <c r="AL93" i="135"/>
  <c r="Y60" i="135"/>
  <c r="Z60" i="135" s="1"/>
  <c r="L46" i="135"/>
  <c r="CK81" i="135"/>
  <c r="BG81" i="135"/>
  <c r="CV81" i="135"/>
  <c r="BQ81" i="135"/>
  <c r="CK68" i="135"/>
  <c r="BG68" i="135"/>
  <c r="CV68" i="135"/>
  <c r="BQ68" i="135"/>
  <c r="CK77" i="135"/>
  <c r="BG77" i="135"/>
  <c r="CV77" i="135"/>
  <c r="BQ77" i="135"/>
  <c r="BQ43" i="135"/>
  <c r="BG43" i="135"/>
  <c r="CK43" i="135"/>
  <c r="CV43" i="135"/>
  <c r="BQ64" i="135"/>
  <c r="CK64" i="135"/>
  <c r="BG64" i="135"/>
  <c r="CV64" i="135"/>
  <c r="CK71" i="135"/>
  <c r="BG71" i="135"/>
  <c r="CV71" i="135"/>
  <c r="BQ71" i="135"/>
  <c r="BQ60" i="135"/>
  <c r="CK60" i="135"/>
  <c r="BG60" i="135"/>
  <c r="CV60" i="135"/>
  <c r="CK83" i="135"/>
  <c r="BG83" i="135"/>
  <c r="CV83" i="135"/>
  <c r="BQ83" i="135"/>
  <c r="CK85" i="135"/>
  <c r="BG85" i="135"/>
  <c r="CV85" i="135"/>
  <c r="BQ85" i="135"/>
  <c r="BG50" i="135"/>
  <c r="CV50" i="135"/>
  <c r="CK50" i="135"/>
  <c r="BQ50" i="135"/>
  <c r="CK75" i="135"/>
  <c r="BG75" i="135"/>
  <c r="CV75" i="135"/>
  <c r="BQ75" i="135"/>
  <c r="CK94" i="135"/>
  <c r="BG94" i="135"/>
  <c r="CV94" i="135"/>
  <c r="BQ94" i="135"/>
  <c r="BQ45" i="135"/>
  <c r="BG45" i="135"/>
  <c r="CK45" i="135"/>
  <c r="CV45" i="135"/>
  <c r="CK67" i="135"/>
  <c r="BG67" i="135"/>
  <c r="CV67" i="135"/>
  <c r="BQ67" i="135"/>
  <c r="BQ38" i="135"/>
  <c r="BG38" i="135"/>
  <c r="CK38" i="135"/>
  <c r="CV38" i="135"/>
  <c r="CK53" i="135"/>
  <c r="BG53" i="135"/>
  <c r="CV53" i="135"/>
  <c r="BQ53" i="135"/>
  <c r="CK89" i="135"/>
  <c r="BG89" i="135"/>
  <c r="CV89" i="135"/>
  <c r="BQ89" i="135"/>
  <c r="BQ57" i="135"/>
  <c r="CK57" i="135"/>
  <c r="BG57" i="135"/>
  <c r="CV57" i="135"/>
  <c r="CK73" i="135"/>
  <c r="BG73" i="135"/>
  <c r="CV73" i="135"/>
  <c r="BQ73" i="135"/>
  <c r="CK92" i="135"/>
  <c r="BG92" i="135"/>
  <c r="CV92" i="135"/>
  <c r="BQ92" i="135"/>
  <c r="BQ46" i="135"/>
  <c r="CV46" i="135"/>
  <c r="CK46" i="135"/>
  <c r="BG46" i="135"/>
  <c r="BG37" i="135"/>
  <c r="CV37" i="135"/>
  <c r="BQ37" i="135"/>
  <c r="CK37" i="135"/>
  <c r="CK80" i="135"/>
  <c r="BG80" i="135"/>
  <c r="CV80" i="135"/>
  <c r="BQ80" i="135"/>
  <c r="CK70" i="135"/>
  <c r="BG70" i="135"/>
  <c r="CV70" i="135"/>
  <c r="BQ70" i="135"/>
  <c r="BQ63" i="135"/>
  <c r="CK63" i="135"/>
  <c r="BG63" i="135"/>
  <c r="CV63" i="135"/>
  <c r="BQ42" i="135"/>
  <c r="CV42" i="135"/>
  <c r="BG42" i="135"/>
  <c r="CK42" i="135"/>
  <c r="CK95" i="135"/>
  <c r="BG95" i="135"/>
  <c r="CV95" i="135"/>
  <c r="BQ95" i="135"/>
  <c r="BQ56" i="135"/>
  <c r="CK56" i="135"/>
  <c r="BG56" i="135"/>
  <c r="CV56" i="135"/>
  <c r="BQ44" i="135"/>
  <c r="CV44" i="135"/>
  <c r="BG44" i="135"/>
  <c r="CK44" i="135"/>
  <c r="CK93" i="135"/>
  <c r="BG93" i="135"/>
  <c r="CV93" i="135"/>
  <c r="BQ93" i="135"/>
  <c r="CK97" i="135"/>
  <c r="BG97" i="135"/>
  <c r="CV97" i="135"/>
  <c r="BQ97" i="135"/>
  <c r="CK79" i="135"/>
  <c r="BG79" i="135"/>
  <c r="CV79" i="135"/>
  <c r="BQ79" i="135"/>
  <c r="CK66" i="135"/>
  <c r="BG66" i="135"/>
  <c r="CV66" i="135"/>
  <c r="BQ66" i="135"/>
  <c r="BQ58" i="135"/>
  <c r="CK58" i="135"/>
  <c r="BG58" i="135"/>
  <c r="CV58" i="135"/>
  <c r="BQ39" i="135"/>
  <c r="CK39" i="135"/>
  <c r="CV39" i="135"/>
  <c r="BG39" i="135"/>
  <c r="CK49" i="135"/>
  <c r="BG49" i="135"/>
  <c r="CV49" i="135"/>
  <c r="BQ49" i="135"/>
  <c r="BG52" i="135"/>
  <c r="CV52" i="135"/>
  <c r="BQ52" i="135"/>
  <c r="CK52" i="135"/>
  <c r="CK78" i="135"/>
  <c r="BG78" i="135"/>
  <c r="CV78" i="135"/>
  <c r="BQ78" i="135"/>
  <c r="BQ47" i="135"/>
  <c r="CV47" i="135"/>
  <c r="BG47" i="135"/>
  <c r="CK47" i="135"/>
  <c r="CK76" i="135"/>
  <c r="BG76" i="135"/>
  <c r="CV76" i="135"/>
  <c r="BQ76" i="135"/>
  <c r="CK74" i="135"/>
  <c r="BG74" i="135"/>
  <c r="CV74" i="135"/>
  <c r="BQ74" i="135"/>
  <c r="BG36" i="135"/>
  <c r="CV36" i="135"/>
  <c r="BQ36" i="135"/>
  <c r="CK36" i="135"/>
  <c r="BQ54" i="135"/>
  <c r="CK54" i="135"/>
  <c r="BG54" i="135"/>
  <c r="CV54" i="135"/>
  <c r="CK88" i="135"/>
  <c r="BG88" i="135"/>
  <c r="CV88" i="135"/>
  <c r="BQ88" i="135"/>
  <c r="CK87" i="135"/>
  <c r="BG87" i="135"/>
  <c r="CV87" i="135"/>
  <c r="BQ87" i="135"/>
  <c r="BQ62" i="135"/>
  <c r="CK62" i="135"/>
  <c r="BG62" i="135"/>
  <c r="CV62" i="135"/>
  <c r="BG51" i="135"/>
  <c r="CV51" i="135"/>
  <c r="BQ51" i="135"/>
  <c r="CK51" i="135"/>
  <c r="BQ55" i="135"/>
  <c r="CK55" i="135"/>
  <c r="BG55" i="135"/>
  <c r="CV55" i="135"/>
  <c r="BQ41" i="135"/>
  <c r="CK41" i="135"/>
  <c r="CV41" i="135"/>
  <c r="BG41" i="135"/>
  <c r="CK69" i="135"/>
  <c r="BG69" i="135"/>
  <c r="CV69" i="135"/>
  <c r="BQ69" i="135"/>
  <c r="CK84" i="135"/>
  <c r="BG84" i="135"/>
  <c r="CV84" i="135"/>
  <c r="BQ84" i="135"/>
  <c r="BQ61" i="135"/>
  <c r="CK61" i="135"/>
  <c r="BG61" i="135"/>
  <c r="CV61" i="135"/>
  <c r="CK96" i="135"/>
  <c r="BG96" i="135"/>
  <c r="CV96" i="135"/>
  <c r="BQ96" i="135"/>
  <c r="BG35" i="135"/>
  <c r="CV35" i="135"/>
  <c r="BQ35" i="135"/>
  <c r="CK35" i="135"/>
  <c r="CK48" i="135"/>
  <c r="BG48" i="135"/>
  <c r="CV48" i="135"/>
  <c r="BQ48" i="135"/>
  <c r="BG72" i="135"/>
  <c r="CK72" i="135"/>
  <c r="CV72" i="135"/>
  <c r="BQ72" i="135"/>
  <c r="CK90" i="135"/>
  <c r="BG90" i="135"/>
  <c r="CV90" i="135"/>
  <c r="BQ90" i="135"/>
  <c r="BG86" i="135"/>
  <c r="CK86" i="135"/>
  <c r="BQ86" i="135"/>
  <c r="CV86" i="135"/>
  <c r="BQ59" i="135"/>
  <c r="CK59" i="135"/>
  <c r="BG59" i="135"/>
  <c r="CV59" i="135"/>
  <c r="CK65" i="135"/>
  <c r="BG65" i="135"/>
  <c r="CV65" i="135"/>
  <c r="BQ65" i="135"/>
  <c r="BQ40" i="135"/>
  <c r="CV40" i="135"/>
  <c r="BG40" i="135"/>
  <c r="CK40" i="135"/>
  <c r="CK91" i="135"/>
  <c r="BG91" i="135"/>
  <c r="CV91" i="135"/>
  <c r="BQ91" i="135"/>
  <c r="CK82" i="135"/>
  <c r="BG82" i="135"/>
  <c r="CV82" i="135"/>
  <c r="BQ82" i="135"/>
  <c r="E387" i="253"/>
  <c r="BR387" i="253" s="1"/>
  <c r="I388" i="253"/>
  <c r="G388" i="253"/>
  <c r="H388" i="253"/>
  <c r="F388" i="253"/>
  <c r="D389" i="253"/>
  <c r="B390" i="253"/>
  <c r="BR386" i="253"/>
  <c r="BP386" i="253"/>
  <c r="CV31" i="135"/>
  <c r="BG31" i="135"/>
  <c r="CK31" i="135"/>
  <c r="BQ31" i="135"/>
  <c r="CK32" i="135"/>
  <c r="BQ32" i="135"/>
  <c r="BG32" i="135"/>
  <c r="CV32" i="135"/>
  <c r="CK33" i="135"/>
  <c r="BQ33" i="135"/>
  <c r="BG33" i="135"/>
  <c r="CV33" i="135"/>
  <c r="AQ26" i="109"/>
  <c r="AP33" i="109"/>
  <c r="AP22" i="109"/>
  <c r="B10" i="178"/>
  <c r="B3" i="178"/>
  <c r="D3" i="178" s="1"/>
  <c r="AA60" i="135" l="1"/>
  <c r="W80" i="135"/>
  <c r="AK69" i="135"/>
  <c r="AM44" i="135"/>
  <c r="AC96" i="135"/>
  <c r="AC61" i="135"/>
  <c r="AD61" i="135" s="1"/>
  <c r="AE61" i="135" s="1"/>
  <c r="W92" i="135"/>
  <c r="Q52" i="135"/>
  <c r="R52" i="135" s="1"/>
  <c r="S52" i="135" s="1"/>
  <c r="CX52" i="135" s="1"/>
  <c r="AJ55" i="135"/>
  <c r="AM90" i="135"/>
  <c r="AM71" i="135"/>
  <c r="AL63" i="135"/>
  <c r="AN69" i="135"/>
  <c r="AP69" i="135" s="1"/>
  <c r="U53" i="135"/>
  <c r="U20" i="135" s="1"/>
  <c r="AC59" i="135"/>
  <c r="AD59" i="135" s="1"/>
  <c r="AE59" i="135" s="1"/>
  <c r="Q61" i="135"/>
  <c r="R61" i="135" s="1"/>
  <c r="S61" i="135" s="1"/>
  <c r="CX61" i="135" s="1"/>
  <c r="Y53" i="135"/>
  <c r="R35" i="135"/>
  <c r="S35" i="135" s="1"/>
  <c r="CX35" i="135" s="1"/>
  <c r="AC66" i="135"/>
  <c r="AD66" i="135" s="1"/>
  <c r="AE66" i="135" s="1"/>
  <c r="Y59" i="135"/>
  <c r="Z59" i="135" s="1"/>
  <c r="AA59" i="135" s="1"/>
  <c r="FF59" i="135" s="1"/>
  <c r="AC72" i="135"/>
  <c r="AD72" i="135" s="1"/>
  <c r="Q78" i="135"/>
  <c r="R78" i="135" s="1"/>
  <c r="S78" i="135" s="1"/>
  <c r="DA78" i="135" s="1"/>
  <c r="U35" i="135"/>
  <c r="V35" i="135" s="1"/>
  <c r="W35" i="135" s="1"/>
  <c r="U57" i="135"/>
  <c r="V57" i="135" s="1"/>
  <c r="W57" i="135" s="1"/>
  <c r="AC78" i="135"/>
  <c r="AD78" i="135" s="1"/>
  <c r="AE78" i="135" s="1"/>
  <c r="AC43" i="135"/>
  <c r="AD43" i="135" s="1"/>
  <c r="AE43" i="135" s="1"/>
  <c r="M93" i="250"/>
  <c r="AC37" i="135"/>
  <c r="AD37" i="135" s="1"/>
  <c r="AE37" i="135" s="1"/>
  <c r="AD96" i="135"/>
  <c r="AE96" i="135" s="1"/>
  <c r="U43" i="135"/>
  <c r="V43" i="135" s="1"/>
  <c r="W43" i="135" s="1"/>
  <c r="AC83" i="135"/>
  <c r="AD83" i="135" s="1"/>
  <c r="AE83" i="135" s="1"/>
  <c r="Q60" i="135"/>
  <c r="R60" i="135" s="1"/>
  <c r="S60" i="135" s="1"/>
  <c r="CZ60" i="135" s="1"/>
  <c r="AC35" i="135"/>
  <c r="AD35" i="135" s="1"/>
  <c r="AE35" i="135" s="1"/>
  <c r="Q72" i="135"/>
  <c r="R72" i="135" s="1"/>
  <c r="S72" i="135" s="1"/>
  <c r="CX72" i="135" s="1"/>
  <c r="U78" i="135"/>
  <c r="V78" i="135" s="1"/>
  <c r="W78" i="135" s="1"/>
  <c r="AN78" i="135"/>
  <c r="AP78" i="135" s="1"/>
  <c r="Z36" i="135"/>
  <c r="AA36" i="135" s="1"/>
  <c r="AJ39" i="135"/>
  <c r="AC57" i="135"/>
  <c r="AD57" i="135" s="1"/>
  <c r="AE57" i="135" s="1"/>
  <c r="U72" i="135"/>
  <c r="V72" i="135" s="1"/>
  <c r="W72" i="135" s="1"/>
  <c r="Q45" i="135"/>
  <c r="R45" i="135" s="1"/>
  <c r="S45" i="135" s="1"/>
  <c r="V94" i="135"/>
  <c r="W94" i="135" s="1"/>
  <c r="Q89" i="135"/>
  <c r="R89" i="135" s="1"/>
  <c r="S89" i="135" s="1"/>
  <c r="DA89" i="135" s="1"/>
  <c r="AM35" i="135"/>
  <c r="M136" i="250"/>
  <c r="Q93" i="135"/>
  <c r="R93" i="135" s="1"/>
  <c r="S93" i="135" s="1"/>
  <c r="CY93" i="135" s="1"/>
  <c r="Q69" i="135"/>
  <c r="R69" i="135" s="1"/>
  <c r="S69" i="135" s="1"/>
  <c r="CY69" i="135" s="1"/>
  <c r="Q43" i="135"/>
  <c r="R43" i="135" s="1"/>
  <c r="S43" i="135" s="1"/>
  <c r="CZ43" i="135" s="1"/>
  <c r="Q66" i="135"/>
  <c r="R66" i="135" s="1"/>
  <c r="S66" i="135" s="1"/>
  <c r="DA66" i="135" s="1"/>
  <c r="AC69" i="135"/>
  <c r="AD69" i="135" s="1"/>
  <c r="AE69" i="135" s="1"/>
  <c r="Q47" i="135"/>
  <c r="R47" i="135" s="1"/>
  <c r="S47" i="135" s="1"/>
  <c r="AC52" i="135"/>
  <c r="AD52" i="135" s="1"/>
  <c r="AE52" i="135" s="1"/>
  <c r="U41" i="135"/>
  <c r="Y80" i="135"/>
  <c r="Z80" i="135" s="1"/>
  <c r="AA80" i="135" s="1"/>
  <c r="FJ80" i="135" s="1"/>
  <c r="AN53" i="135"/>
  <c r="AP53" i="135" s="1"/>
  <c r="AN80" i="135"/>
  <c r="AP80" i="135" s="1"/>
  <c r="AK93" i="135"/>
  <c r="AK58" i="135"/>
  <c r="AD91" i="135"/>
  <c r="AE91" i="135" s="1"/>
  <c r="AK46" i="135"/>
  <c r="M138" i="250"/>
  <c r="U89" i="135"/>
  <c r="V89" i="135" s="1"/>
  <c r="W89" i="135" s="1"/>
  <c r="Q80" i="135"/>
  <c r="R80" i="135" s="1"/>
  <c r="S80" i="135" s="1"/>
  <c r="CX80" i="135" s="1"/>
  <c r="Q48" i="135"/>
  <c r="R48" i="135" s="1"/>
  <c r="S48" i="135" s="1"/>
  <c r="CY48" i="135" s="1"/>
  <c r="AC80" i="135"/>
  <c r="AD80" i="135" s="1"/>
  <c r="AE80" i="135" s="1"/>
  <c r="AC89" i="135"/>
  <c r="AD89" i="135" s="1"/>
  <c r="AE89" i="135" s="1"/>
  <c r="AC93" i="135"/>
  <c r="AD93" i="135" s="1"/>
  <c r="AE93" i="135" s="1"/>
  <c r="AC67" i="135"/>
  <c r="AD67" i="135" s="1"/>
  <c r="AE67" i="135" s="1"/>
  <c r="Q67" i="135"/>
  <c r="R67" i="135" s="1"/>
  <c r="S67" i="135" s="1"/>
  <c r="U61" i="135"/>
  <c r="V61" i="135" s="1"/>
  <c r="W61" i="135" s="1"/>
  <c r="Q53" i="135"/>
  <c r="R53" i="135" s="1"/>
  <c r="Y69" i="135"/>
  <c r="Z69" i="135" s="1"/>
  <c r="AA69" i="135" s="1"/>
  <c r="FN69" i="135" s="1"/>
  <c r="AN61" i="135"/>
  <c r="Y43" i="135"/>
  <c r="Z43" i="135" s="1"/>
  <c r="AA43" i="135" s="1"/>
  <c r="FB43" i="135" s="1"/>
  <c r="Z81" i="135"/>
  <c r="AA81" i="135" s="1"/>
  <c r="EZ81" i="135" s="1"/>
  <c r="AM49" i="135"/>
  <c r="AK92" i="135"/>
  <c r="U59" i="135"/>
  <c r="V59" i="135" s="1"/>
  <c r="W59" i="135" s="1"/>
  <c r="AC48" i="135"/>
  <c r="AD48" i="135" s="1"/>
  <c r="AE48" i="135" s="1"/>
  <c r="U66" i="135"/>
  <c r="V66" i="135" s="1"/>
  <c r="W66" i="135" s="1"/>
  <c r="U69" i="135"/>
  <c r="V69" i="135" s="1"/>
  <c r="W69" i="135" s="1"/>
  <c r="U48" i="135"/>
  <c r="V48" i="135" s="1"/>
  <c r="W48" i="135" s="1"/>
  <c r="Q59" i="135"/>
  <c r="R59" i="135" s="1"/>
  <c r="S59" i="135" s="1"/>
  <c r="DF59" i="135" s="1"/>
  <c r="AC47" i="135"/>
  <c r="AD47" i="135" s="1"/>
  <c r="AE47" i="135" s="1"/>
  <c r="Q96" i="135"/>
  <c r="R96" i="135" s="1"/>
  <c r="S96" i="135" s="1"/>
  <c r="U93" i="135"/>
  <c r="V93" i="135" s="1"/>
  <c r="W93" i="135" s="1"/>
  <c r="U96" i="135"/>
  <c r="V96" i="135" s="1"/>
  <c r="W96" i="135" s="1"/>
  <c r="AC41" i="135"/>
  <c r="AD41" i="135" s="1"/>
  <c r="AE41" i="135" s="1"/>
  <c r="Q41" i="135"/>
  <c r="AN41" i="135"/>
  <c r="AT41" i="135" s="1"/>
  <c r="AD56" i="135"/>
  <c r="AE56" i="135" s="1"/>
  <c r="AE22" i="135" s="1"/>
  <c r="AM42" i="135"/>
  <c r="AJ62" i="135"/>
  <c r="AK50" i="135"/>
  <c r="Y66" i="135"/>
  <c r="Z66" i="135" s="1"/>
  <c r="AA66" i="135" s="1"/>
  <c r="FD66" i="135" s="1"/>
  <c r="AN93" i="135"/>
  <c r="AP93" i="135" s="1"/>
  <c r="Y89" i="135"/>
  <c r="Z89" i="135" s="1"/>
  <c r="AL35" i="135"/>
  <c r="AN48" i="135"/>
  <c r="AP48" i="135" s="1"/>
  <c r="Z54" i="135"/>
  <c r="AA54" i="135" s="1"/>
  <c r="FD54" i="135" s="1"/>
  <c r="Z40" i="135"/>
  <c r="V97" i="135"/>
  <c r="W97" i="135" s="1"/>
  <c r="W25" i="135" s="1"/>
  <c r="AC63" i="135"/>
  <c r="AD63" i="135" s="1"/>
  <c r="AE63" i="135" s="1"/>
  <c r="U63" i="135"/>
  <c r="V63" i="135" s="1"/>
  <c r="W63" i="135" s="1"/>
  <c r="AC81" i="135"/>
  <c r="AD81" i="135" s="1"/>
  <c r="AE81" i="135" s="1"/>
  <c r="Q81" i="135"/>
  <c r="R81" i="135" s="1"/>
  <c r="S81" i="135" s="1"/>
  <c r="DC81" i="135" s="1"/>
  <c r="U88" i="135"/>
  <c r="V88" i="135" s="1"/>
  <c r="W88" i="135" s="1"/>
  <c r="Y79" i="135"/>
  <c r="Z79" i="135" s="1"/>
  <c r="AA79" i="135" s="1"/>
  <c r="Y84" i="135"/>
  <c r="Z84" i="135" s="1"/>
  <c r="U37" i="135"/>
  <c r="V37" i="135" s="1"/>
  <c r="W37" i="135" s="1"/>
  <c r="U60" i="135"/>
  <c r="V60" i="135" s="1"/>
  <c r="W60" i="135" s="1"/>
  <c r="U86" i="135"/>
  <c r="V86" i="135" s="1"/>
  <c r="W86" i="135" s="1"/>
  <c r="U85" i="135"/>
  <c r="V85" i="135" s="1"/>
  <c r="W85" i="135" s="1"/>
  <c r="Q55" i="135"/>
  <c r="R55" i="135" s="1"/>
  <c r="S55" i="135" s="1"/>
  <c r="CX55" i="135" s="1"/>
  <c r="AC55" i="135"/>
  <c r="AD55" i="135" s="1"/>
  <c r="AE55" i="135" s="1"/>
  <c r="U84" i="135"/>
  <c r="V84" i="135" s="1"/>
  <c r="W84" i="135" s="1"/>
  <c r="Q64" i="135"/>
  <c r="R64" i="135" s="1"/>
  <c r="Q94" i="135"/>
  <c r="R94" i="135" s="1"/>
  <c r="S94" i="135" s="1"/>
  <c r="DA94" i="135" s="1"/>
  <c r="Q84" i="135"/>
  <c r="R84" i="135" s="1"/>
  <c r="S84" i="135" s="1"/>
  <c r="AN64" i="135"/>
  <c r="AP64" i="135" s="1"/>
  <c r="Q85" i="135"/>
  <c r="AC71" i="135"/>
  <c r="AD71" i="135" s="1"/>
  <c r="AE71" i="135" s="1"/>
  <c r="M142" i="250"/>
  <c r="N142" i="250" s="1"/>
  <c r="AC84" i="135"/>
  <c r="AD84" i="135" s="1"/>
  <c r="AE84" i="135" s="1"/>
  <c r="AC49" i="135"/>
  <c r="AD49" i="135" s="1"/>
  <c r="AE49" i="135" s="1"/>
  <c r="Q86" i="135"/>
  <c r="R86" i="135" s="1"/>
  <c r="S86" i="135" s="1"/>
  <c r="AC85" i="135"/>
  <c r="AD85" i="135" s="1"/>
  <c r="AE85" i="135" s="1"/>
  <c r="U49" i="135"/>
  <c r="V49" i="135" s="1"/>
  <c r="W49" i="135" s="1"/>
  <c r="Q63" i="135"/>
  <c r="R63" i="135" s="1"/>
  <c r="S63" i="135" s="1"/>
  <c r="AC60" i="135"/>
  <c r="AD60" i="135" s="1"/>
  <c r="AE60" i="135" s="1"/>
  <c r="Q83" i="135"/>
  <c r="R83" i="135" s="1"/>
  <c r="S83" i="135" s="1"/>
  <c r="DA83" i="135" s="1"/>
  <c r="V47" i="135"/>
  <c r="W47" i="135" s="1"/>
  <c r="U79" i="135"/>
  <c r="V79" i="135" s="1"/>
  <c r="W79" i="135" s="1"/>
  <c r="AN38" i="135"/>
  <c r="AP38" i="135" s="1"/>
  <c r="AK35" i="135"/>
  <c r="AN88" i="135"/>
  <c r="AP88" i="135" s="1"/>
  <c r="AC88" i="135"/>
  <c r="AD88" i="135" s="1"/>
  <c r="AE88" i="135" s="1"/>
  <c r="AC92" i="135"/>
  <c r="AD92" i="135" s="1"/>
  <c r="AE92" i="135" s="1"/>
  <c r="V67" i="135"/>
  <c r="W67" i="135" s="1"/>
  <c r="AC45" i="135"/>
  <c r="AD45" i="135" s="1"/>
  <c r="AE45" i="135" s="1"/>
  <c r="Q88" i="135"/>
  <c r="R88" i="135" s="1"/>
  <c r="S88" i="135" s="1"/>
  <c r="Q38" i="135"/>
  <c r="R38" i="135" s="1"/>
  <c r="S38" i="135" s="1"/>
  <c r="CX38" i="135" s="1"/>
  <c r="Y35" i="135"/>
  <c r="Z35" i="135" s="1"/>
  <c r="AA35" i="135" s="1"/>
  <c r="FC35" i="135" s="1"/>
  <c r="AM92" i="135"/>
  <c r="Q49" i="135"/>
  <c r="R49" i="135" s="1"/>
  <c r="S49" i="135" s="1"/>
  <c r="AC74" i="135"/>
  <c r="AD74" i="135" s="1"/>
  <c r="AE74" i="135" s="1"/>
  <c r="Q57" i="135"/>
  <c r="R57" i="135" s="1"/>
  <c r="S57" i="135" s="1"/>
  <c r="CZ57" i="135" s="1"/>
  <c r="Q74" i="135"/>
  <c r="R74" i="135" s="1"/>
  <c r="S74" i="135" s="1"/>
  <c r="CY74" i="135" s="1"/>
  <c r="AC86" i="135"/>
  <c r="Q79" i="135"/>
  <c r="R79" i="135" s="1"/>
  <c r="S79" i="135" s="1"/>
  <c r="CX79" i="135" s="1"/>
  <c r="U74" i="135"/>
  <c r="V74" i="135" s="1"/>
  <c r="W74" i="135" s="1"/>
  <c r="U38" i="135"/>
  <c r="V38" i="135" s="1"/>
  <c r="W38" i="135" s="1"/>
  <c r="U45" i="135"/>
  <c r="AN35" i="135"/>
  <c r="AT35" i="135" s="1"/>
  <c r="Y38" i="135"/>
  <c r="Z38" i="135" s="1"/>
  <c r="AA38" i="135" s="1"/>
  <c r="FG38" i="135" s="1"/>
  <c r="AN72" i="135"/>
  <c r="AP72" i="135" s="1"/>
  <c r="AN81" i="135"/>
  <c r="AJ92" i="135"/>
  <c r="Q95" i="135"/>
  <c r="R95" i="135" s="1"/>
  <c r="S95" i="135" s="1"/>
  <c r="DA95" i="135" s="1"/>
  <c r="U81" i="135"/>
  <c r="V81" i="135" s="1"/>
  <c r="W81" i="135" s="1"/>
  <c r="U83" i="135"/>
  <c r="AC79" i="135"/>
  <c r="AD79" i="135" s="1"/>
  <c r="AE79" i="135" s="1"/>
  <c r="Q92" i="135"/>
  <c r="R92" i="135" s="1"/>
  <c r="S92" i="135" s="1"/>
  <c r="CX92" i="135" s="1"/>
  <c r="Z37" i="135"/>
  <c r="AA37" i="135" s="1"/>
  <c r="EZ37" i="135" s="1"/>
  <c r="Y45" i="135"/>
  <c r="AN49" i="135"/>
  <c r="AT49" i="135" s="1"/>
  <c r="AN83" i="135"/>
  <c r="AP83" i="135" s="1"/>
  <c r="AL49" i="135"/>
  <c r="AN74" i="135"/>
  <c r="AL92" i="135"/>
  <c r="Y49" i="135"/>
  <c r="Z49" i="135" s="1"/>
  <c r="AA49" i="135" s="1"/>
  <c r="FH49" i="135" s="1"/>
  <c r="AJ77" i="135"/>
  <c r="AL70" i="135"/>
  <c r="AK37" i="135"/>
  <c r="AL94" i="135"/>
  <c r="AC42" i="135"/>
  <c r="AD42" i="135" s="1"/>
  <c r="AE42" i="135" s="1"/>
  <c r="FP42" i="135" s="1"/>
  <c r="Y92" i="135"/>
  <c r="Z92" i="135" s="1"/>
  <c r="AA92" i="135" s="1"/>
  <c r="AN92" i="135"/>
  <c r="AT92" i="135" s="1"/>
  <c r="AK67" i="135"/>
  <c r="AK41" i="135"/>
  <c r="Q77" i="135"/>
  <c r="R77" i="135" s="1"/>
  <c r="S77" i="135" s="1"/>
  <c r="AL97" i="135"/>
  <c r="AL25" i="135" s="1"/>
  <c r="AM38" i="135"/>
  <c r="Y63" i="135"/>
  <c r="Z63" i="135" s="1"/>
  <c r="AA63" i="135" s="1"/>
  <c r="FA63" i="135" s="1"/>
  <c r="Y68" i="135"/>
  <c r="Z68" i="135" s="1"/>
  <c r="AA68" i="135" s="1"/>
  <c r="Y97" i="135"/>
  <c r="Z97" i="135" s="1"/>
  <c r="AA97" i="135" s="1"/>
  <c r="AA25" i="135" s="1"/>
  <c r="AN71" i="135"/>
  <c r="AP71" i="135" s="1"/>
  <c r="AL88" i="135"/>
  <c r="AL96" i="135"/>
  <c r="AL79" i="135"/>
  <c r="AJ60" i="135"/>
  <c r="AK80" i="135"/>
  <c r="AM69" i="135"/>
  <c r="Q56" i="135"/>
  <c r="R56" i="135" s="1"/>
  <c r="R22" i="135" s="1"/>
  <c r="Y71" i="135"/>
  <c r="Z71" i="135" s="1"/>
  <c r="AA71" i="135" s="1"/>
  <c r="FH71" i="135" s="1"/>
  <c r="AN56" i="135"/>
  <c r="R13" i="131" s="1"/>
  <c r="S13" i="131" s="1"/>
  <c r="AL55" i="135"/>
  <c r="Y77" i="135"/>
  <c r="Z77" i="135" s="1"/>
  <c r="AA77" i="135" s="1"/>
  <c r="FE77" i="135" s="1"/>
  <c r="GW15" i="135"/>
  <c r="GS15" i="135"/>
  <c r="GO15" i="135"/>
  <c r="GK15" i="135"/>
  <c r="GG15" i="135"/>
  <c r="GC15" i="135"/>
  <c r="FY15" i="135"/>
  <c r="FU15" i="135"/>
  <c r="FQ15" i="135"/>
  <c r="FM15" i="135"/>
  <c r="FI15" i="135"/>
  <c r="FE15" i="135"/>
  <c r="FA15" i="135"/>
  <c r="EV15" i="135"/>
  <c r="ER15" i="135"/>
  <c r="EN15" i="135"/>
  <c r="EJ15" i="135"/>
  <c r="EF15" i="135"/>
  <c r="EB15" i="135"/>
  <c r="DX15" i="135"/>
  <c r="DT15" i="135"/>
  <c r="DP15" i="135"/>
  <c r="DL15" i="135"/>
  <c r="DH15" i="135"/>
  <c r="DD15" i="135"/>
  <c r="CZ15" i="135"/>
  <c r="AW15" i="135"/>
  <c r="AS15" i="135"/>
  <c r="BP15" i="135" s="1"/>
  <c r="AN15" i="135"/>
  <c r="AP15" i="135" s="1"/>
  <c r="AJ15" i="135"/>
  <c r="AC15" i="135"/>
  <c r="W15" i="135"/>
  <c r="R15" i="135"/>
  <c r="GZ14" i="135"/>
  <c r="GV14" i="135"/>
  <c r="GR14" i="135"/>
  <c r="GN14" i="135"/>
  <c r="GJ14" i="135"/>
  <c r="GF14" i="135"/>
  <c r="GB14" i="135"/>
  <c r="FX14" i="135"/>
  <c r="FT14" i="135"/>
  <c r="FP14" i="135"/>
  <c r="FL14" i="135"/>
  <c r="FH14" i="135"/>
  <c r="FD14" i="135"/>
  <c r="EZ14" i="135"/>
  <c r="EU14" i="135"/>
  <c r="EQ14" i="135"/>
  <c r="EM14" i="135"/>
  <c r="EI14" i="135"/>
  <c r="EE14" i="135"/>
  <c r="EA14" i="135"/>
  <c r="DW14" i="135"/>
  <c r="DS14" i="135"/>
  <c r="DO14" i="135"/>
  <c r="DK14" i="135"/>
  <c r="DG14" i="135"/>
  <c r="DC14" i="135"/>
  <c r="CY14" i="135"/>
  <c r="GZ15" i="135"/>
  <c r="GV15" i="135"/>
  <c r="GR15" i="135"/>
  <c r="GN15" i="135"/>
  <c r="GJ15" i="135"/>
  <c r="GF15" i="135"/>
  <c r="GB15" i="135"/>
  <c r="FX15" i="135"/>
  <c r="FT15" i="135"/>
  <c r="FP15" i="135"/>
  <c r="FL15" i="135"/>
  <c r="FH15" i="135"/>
  <c r="FD15" i="135"/>
  <c r="EZ15" i="135"/>
  <c r="EU15" i="135"/>
  <c r="EQ15" i="135"/>
  <c r="EM15" i="135"/>
  <c r="EI15" i="135"/>
  <c r="EE15" i="135"/>
  <c r="EA15" i="135"/>
  <c r="DW15" i="135"/>
  <c r="DS15" i="135"/>
  <c r="DO15" i="135"/>
  <c r="DK15" i="135"/>
  <c r="DG15" i="135"/>
  <c r="DC15" i="135"/>
  <c r="CY15" i="135"/>
  <c r="AV15" i="135"/>
  <c r="AR15" i="135"/>
  <c r="AM15" i="135"/>
  <c r="AI15" i="135"/>
  <c r="AA15" i="135"/>
  <c r="V15" i="135"/>
  <c r="Q15" i="135"/>
  <c r="GY14" i="135"/>
  <c r="GU14" i="135"/>
  <c r="GQ14" i="135"/>
  <c r="GM14" i="135"/>
  <c r="GI14" i="135"/>
  <c r="GE14" i="135"/>
  <c r="GA14" i="135"/>
  <c r="FW14" i="135"/>
  <c r="FS14" i="135"/>
  <c r="FO14" i="135"/>
  <c r="FK14" i="135"/>
  <c r="FG14" i="135"/>
  <c r="FC14" i="135"/>
  <c r="EX14" i="135"/>
  <c r="ET14" i="135"/>
  <c r="EP14" i="135"/>
  <c r="EL14" i="135"/>
  <c r="EH14" i="135"/>
  <c r="ED14" i="135"/>
  <c r="DZ14" i="135"/>
  <c r="DV14" i="135"/>
  <c r="DR14" i="135"/>
  <c r="DN14" i="135"/>
  <c r="DJ14" i="135"/>
  <c r="DF14" i="135"/>
  <c r="DB14" i="135"/>
  <c r="CX14" i="135"/>
  <c r="AY14" i="135"/>
  <c r="GY15" i="135"/>
  <c r="GU15" i="135"/>
  <c r="GQ15" i="135"/>
  <c r="GM15" i="135"/>
  <c r="GI15" i="135"/>
  <c r="GE15" i="135"/>
  <c r="GA15" i="135"/>
  <c r="FW15" i="135"/>
  <c r="FS15" i="135"/>
  <c r="FO15" i="135"/>
  <c r="FK15" i="135"/>
  <c r="FG15" i="135"/>
  <c r="FC15" i="135"/>
  <c r="EX15" i="135"/>
  <c r="ET15" i="135"/>
  <c r="EP15" i="135"/>
  <c r="EL15" i="135"/>
  <c r="EH15" i="135"/>
  <c r="ED15" i="135"/>
  <c r="DZ15" i="135"/>
  <c r="DV15" i="135"/>
  <c r="DR15" i="135"/>
  <c r="DN15" i="135"/>
  <c r="DJ15" i="135"/>
  <c r="DF15" i="135"/>
  <c r="DB15" i="135"/>
  <c r="CX15" i="135"/>
  <c r="AY15" i="135"/>
  <c r="AL15" i="135"/>
  <c r="AE15" i="135"/>
  <c r="Z15" i="135"/>
  <c r="U15" i="135"/>
  <c r="GX14" i="135"/>
  <c r="GT14" i="135"/>
  <c r="GP14" i="135"/>
  <c r="GL14" i="135"/>
  <c r="GH14" i="135"/>
  <c r="GD14" i="135"/>
  <c r="FZ14" i="135"/>
  <c r="FV14" i="135"/>
  <c r="FR14" i="135"/>
  <c r="FN14" i="135"/>
  <c r="FJ14" i="135"/>
  <c r="FF14" i="135"/>
  <c r="FB14" i="135"/>
  <c r="EW14" i="135"/>
  <c r="GL15" i="135"/>
  <c r="FV15" i="135"/>
  <c r="FF15" i="135"/>
  <c r="EO15" i="135"/>
  <c r="DY15" i="135"/>
  <c r="DI15" i="135"/>
  <c r="S15" i="135"/>
  <c r="GW14" i="135"/>
  <c r="GG14" i="135"/>
  <c r="FQ14" i="135"/>
  <c r="FA14" i="135"/>
  <c r="EO14" i="135"/>
  <c r="EG14" i="135"/>
  <c r="DY14" i="135"/>
  <c r="DQ14" i="135"/>
  <c r="DI14" i="135"/>
  <c r="DA14" i="135"/>
  <c r="AX14" i="135"/>
  <c r="AT14" i="135"/>
  <c r="GX15" i="135"/>
  <c r="GH15" i="135"/>
  <c r="FR15" i="135"/>
  <c r="FB15" i="135"/>
  <c r="EK15" i="135"/>
  <c r="DU15" i="135"/>
  <c r="DE15" i="135"/>
  <c r="AK15" i="135"/>
  <c r="GS14" i="135"/>
  <c r="GC14" i="135"/>
  <c r="FM14" i="135"/>
  <c r="EV14" i="135"/>
  <c r="EN14" i="135"/>
  <c r="EF14" i="135"/>
  <c r="DX14" i="135"/>
  <c r="DP14" i="135"/>
  <c r="DH14" i="135"/>
  <c r="CZ14" i="135"/>
  <c r="AW14" i="135"/>
  <c r="AS14" i="135"/>
  <c r="BP14" i="135" s="1"/>
  <c r="AN14" i="135"/>
  <c r="AP14" i="135" s="1"/>
  <c r="AJ14" i="135"/>
  <c r="AC14" i="135"/>
  <c r="W14" i="135"/>
  <c r="R14" i="135"/>
  <c r="GT15" i="135"/>
  <c r="GD15" i="135"/>
  <c r="FN15" i="135"/>
  <c r="EW15" i="135"/>
  <c r="EG15" i="135"/>
  <c r="DQ15" i="135"/>
  <c r="DA15" i="135"/>
  <c r="AX15" i="135"/>
  <c r="AD15" i="135"/>
  <c r="GO14" i="135"/>
  <c r="FY14" i="135"/>
  <c r="FI14" i="135"/>
  <c r="ES14" i="135"/>
  <c r="EK14" i="135"/>
  <c r="EC14" i="135"/>
  <c r="DU14" i="135"/>
  <c r="DM14" i="135"/>
  <c r="DE14" i="135"/>
  <c r="AV14" i="135"/>
  <c r="AR14" i="135"/>
  <c r="AM14" i="135"/>
  <c r="AI14" i="135"/>
  <c r="AA14" i="135"/>
  <c r="V14" i="135"/>
  <c r="Q14" i="135"/>
  <c r="GP15" i="135"/>
  <c r="EC15" i="135"/>
  <c r="FE14" i="135"/>
  <c r="DT14" i="135"/>
  <c r="AK14" i="135"/>
  <c r="Y14" i="135"/>
  <c r="FZ15" i="135"/>
  <c r="DM15" i="135"/>
  <c r="AT15" i="135"/>
  <c r="ER14" i="135"/>
  <c r="DL14" i="135"/>
  <c r="AE14" i="135"/>
  <c r="U14" i="135"/>
  <c r="FJ15" i="135"/>
  <c r="GK14" i="135"/>
  <c r="EJ14" i="135"/>
  <c r="DD14" i="135"/>
  <c r="AD14" i="135"/>
  <c r="S14" i="135"/>
  <c r="ES15" i="135"/>
  <c r="Y15" i="135"/>
  <c r="FU14" i="135"/>
  <c r="EB14" i="135"/>
  <c r="AL14" i="135"/>
  <c r="Z14" i="135"/>
  <c r="U56" i="135"/>
  <c r="V56" i="135" s="1"/>
  <c r="V22" i="135" s="1"/>
  <c r="AC90" i="135"/>
  <c r="AD90" i="135" s="1"/>
  <c r="AE90" i="135" s="1"/>
  <c r="U64" i="135"/>
  <c r="V64" i="135" s="1"/>
  <c r="W64" i="135" s="1"/>
  <c r="U55" i="135"/>
  <c r="V55" i="135" s="1"/>
  <c r="W55" i="135" s="1"/>
  <c r="Q97" i="135"/>
  <c r="R97" i="135" s="1"/>
  <c r="S97" i="135" s="1"/>
  <c r="CY97" i="135" s="1"/>
  <c r="CY25" i="135" s="1"/>
  <c r="U90" i="135"/>
  <c r="V90" i="135" s="1"/>
  <c r="W90" i="135" s="1"/>
  <c r="AC70" i="135"/>
  <c r="AD70" i="135" s="1"/>
  <c r="AE70" i="135" s="1"/>
  <c r="U70" i="135"/>
  <c r="V70" i="135" s="1"/>
  <c r="W70" i="135" s="1"/>
  <c r="AC97" i="135"/>
  <c r="AD97" i="135" s="1"/>
  <c r="AE97" i="135" s="1"/>
  <c r="AE25" i="135" s="1"/>
  <c r="Q54" i="135"/>
  <c r="R54" i="135" s="1"/>
  <c r="S54" i="135" s="1"/>
  <c r="CX54" i="135" s="1"/>
  <c r="W52" i="135"/>
  <c r="V41" i="135"/>
  <c r="W41" i="135" s="1"/>
  <c r="AD38" i="135"/>
  <c r="AE38" i="135" s="1"/>
  <c r="Q68" i="135"/>
  <c r="R68" i="135" s="1"/>
  <c r="S68" i="135" s="1"/>
  <c r="CX68" i="135" s="1"/>
  <c r="AN85" i="135"/>
  <c r="AT85" i="135" s="1"/>
  <c r="Y64" i="135"/>
  <c r="Z64" i="135" s="1"/>
  <c r="AA64" i="135" s="1"/>
  <c r="FD64" i="135" s="1"/>
  <c r="Y56" i="135"/>
  <c r="Z56" i="135" s="1"/>
  <c r="Z22" i="135" s="1"/>
  <c r="Z41" i="135"/>
  <c r="AA41" i="135" s="1"/>
  <c r="FL41" i="135" s="1"/>
  <c r="Y70" i="135"/>
  <c r="Z70" i="135" s="1"/>
  <c r="AA70" i="135" s="1"/>
  <c r="FC70" i="135" s="1"/>
  <c r="AJ71" i="135"/>
  <c r="AM65" i="135"/>
  <c r="AL73" i="135"/>
  <c r="AM82" i="135"/>
  <c r="AM87" i="135"/>
  <c r="AK75" i="135"/>
  <c r="AJ51" i="135"/>
  <c r="AM91" i="135"/>
  <c r="U71" i="135"/>
  <c r="V71" i="135" s="1"/>
  <c r="W71" i="135" s="1"/>
  <c r="U54" i="135"/>
  <c r="V54" i="135" s="1"/>
  <c r="W54" i="135" s="1"/>
  <c r="U77" i="135"/>
  <c r="V77" i="135" s="1"/>
  <c r="W77" i="135" s="1"/>
  <c r="U68" i="135"/>
  <c r="V68" i="135" s="1"/>
  <c r="W68" i="135" s="1"/>
  <c r="Q40" i="135"/>
  <c r="R40" i="135" s="1"/>
  <c r="S40" i="135" s="1"/>
  <c r="DC40" i="135" s="1"/>
  <c r="AC54" i="135"/>
  <c r="AD54" i="135" s="1"/>
  <c r="AE54" i="135" s="1"/>
  <c r="AC77" i="135"/>
  <c r="AD77" i="135" s="1"/>
  <c r="AE77" i="135" s="1"/>
  <c r="AC68" i="135"/>
  <c r="AD68" i="135" s="1"/>
  <c r="AE68" i="135" s="1"/>
  <c r="AN55" i="135"/>
  <c r="AT55" i="135" s="1"/>
  <c r="AN77" i="135"/>
  <c r="AT77" i="135" s="1"/>
  <c r="AN54" i="135"/>
  <c r="AP54" i="135" s="1"/>
  <c r="AN37" i="135"/>
  <c r="AP37" i="135" s="1"/>
  <c r="AN70" i="135"/>
  <c r="AP70" i="135" s="1"/>
  <c r="AN97" i="135"/>
  <c r="R16" i="131" s="1"/>
  <c r="S16" i="131" s="1"/>
  <c r="AK68" i="135"/>
  <c r="AK63" i="135"/>
  <c r="AM81" i="135"/>
  <c r="AK60" i="135"/>
  <c r="Q37" i="135"/>
  <c r="R37" i="135" s="1"/>
  <c r="S37" i="135" s="1"/>
  <c r="CX37" i="135" s="1"/>
  <c r="AC94" i="135"/>
  <c r="AD94" i="135" s="1"/>
  <c r="AE94" i="135" s="1"/>
  <c r="AC40" i="135"/>
  <c r="AD40" i="135" s="1"/>
  <c r="AE40" i="135" s="1"/>
  <c r="Q70" i="135"/>
  <c r="R70" i="135" s="1"/>
  <c r="S70" i="135" s="1"/>
  <c r="DB70" i="135" s="1"/>
  <c r="U40" i="135"/>
  <c r="V40" i="135" s="1"/>
  <c r="W40" i="135" s="1"/>
  <c r="R41" i="135"/>
  <c r="S41" i="135" s="1"/>
  <c r="CY41" i="135" s="1"/>
  <c r="Q90" i="135"/>
  <c r="R90" i="135" s="1"/>
  <c r="S90" i="135" s="1"/>
  <c r="CZ90" i="135" s="1"/>
  <c r="Q71" i="135"/>
  <c r="R71" i="135" s="1"/>
  <c r="S71" i="135" s="1"/>
  <c r="CX71" i="135" s="1"/>
  <c r="V45" i="135"/>
  <c r="W45" i="135" s="1"/>
  <c r="AN63" i="135"/>
  <c r="AP63" i="135" s="1"/>
  <c r="Z45" i="135"/>
  <c r="AA45" i="135" s="1"/>
  <c r="FB45" i="135" s="1"/>
  <c r="Y74" i="135"/>
  <c r="Z74" i="135" s="1"/>
  <c r="AA74" i="135" s="1"/>
  <c r="FE74" i="135" s="1"/>
  <c r="AK77" i="135"/>
  <c r="AK70" i="135"/>
  <c r="AL47" i="135"/>
  <c r="AK43" i="135"/>
  <c r="AM80" i="135"/>
  <c r="AM52" i="135"/>
  <c r="AJ69" i="135"/>
  <c r="AM41" i="135"/>
  <c r="Z96" i="135"/>
  <c r="AA96" i="135" s="1"/>
  <c r="EZ96" i="135" s="1"/>
  <c r="GW29" i="135"/>
  <c r="GS29" i="135"/>
  <c r="GO29" i="135"/>
  <c r="GK29" i="135"/>
  <c r="GG29" i="135"/>
  <c r="GC29" i="135"/>
  <c r="FY29" i="135"/>
  <c r="FU29" i="135"/>
  <c r="FQ29" i="135"/>
  <c r="FM29" i="135"/>
  <c r="FI29" i="135"/>
  <c r="FE29" i="135"/>
  <c r="FA29" i="135"/>
  <c r="EV29" i="135"/>
  <c r="ER29" i="135"/>
  <c r="EN29" i="135"/>
  <c r="EJ29" i="135"/>
  <c r="EF29" i="135"/>
  <c r="EB29" i="135"/>
  <c r="DX29" i="135"/>
  <c r="DT29" i="135"/>
  <c r="DP29" i="135"/>
  <c r="DL29" i="135"/>
  <c r="DH29" i="135"/>
  <c r="DD29" i="135"/>
  <c r="CZ29" i="135"/>
  <c r="AW29" i="135"/>
  <c r="AS29" i="135"/>
  <c r="BP29" i="135" s="1"/>
  <c r="AN29" i="135"/>
  <c r="AP29" i="135" s="1"/>
  <c r="AJ29" i="135"/>
  <c r="AC29" i="135"/>
  <c r="W29" i="135"/>
  <c r="R29" i="135"/>
  <c r="GW28" i="135"/>
  <c r="GS28" i="135"/>
  <c r="GO28" i="135"/>
  <c r="GK28" i="135"/>
  <c r="GG28" i="135"/>
  <c r="GC28" i="135"/>
  <c r="FY28" i="135"/>
  <c r="FU28" i="135"/>
  <c r="FQ28" i="135"/>
  <c r="FM28" i="135"/>
  <c r="FI28" i="135"/>
  <c r="FE28" i="135"/>
  <c r="FA28" i="135"/>
  <c r="EV28" i="135"/>
  <c r="ER28" i="135"/>
  <c r="EN28" i="135"/>
  <c r="EJ28" i="135"/>
  <c r="EF28" i="135"/>
  <c r="EB28" i="135"/>
  <c r="DX28" i="135"/>
  <c r="DT28" i="135"/>
  <c r="DP28" i="135"/>
  <c r="DL28" i="135"/>
  <c r="DH28" i="135"/>
  <c r="DD28" i="135"/>
  <c r="CZ28" i="135"/>
  <c r="GY29" i="135"/>
  <c r="GT29" i="135"/>
  <c r="GN29" i="135"/>
  <c r="GI29" i="135"/>
  <c r="GD29" i="135"/>
  <c r="FX29" i="135"/>
  <c r="FS29" i="135"/>
  <c r="FN29" i="135"/>
  <c r="FH29" i="135"/>
  <c r="FC29" i="135"/>
  <c r="EW29" i="135"/>
  <c r="EQ29" i="135"/>
  <c r="EL29" i="135"/>
  <c r="EG29" i="135"/>
  <c r="EA29" i="135"/>
  <c r="DV29" i="135"/>
  <c r="DQ29" i="135"/>
  <c r="DK29" i="135"/>
  <c r="DF29" i="135"/>
  <c r="DA29" i="135"/>
  <c r="AX29" i="135"/>
  <c r="AR29" i="135"/>
  <c r="AL29" i="135"/>
  <c r="AD29" i="135"/>
  <c r="V29" i="135"/>
  <c r="L29" i="135"/>
  <c r="GV28" i="135"/>
  <c r="GQ28" i="135"/>
  <c r="GL28" i="135"/>
  <c r="GF28" i="135"/>
  <c r="GA28" i="135"/>
  <c r="FV28" i="135"/>
  <c r="FP28" i="135"/>
  <c r="FK28" i="135"/>
  <c r="FF28" i="135"/>
  <c r="EZ28" i="135"/>
  <c r="ET28" i="135"/>
  <c r="EO28" i="135"/>
  <c r="EI28" i="135"/>
  <c r="ED28" i="135"/>
  <c r="DY28" i="135"/>
  <c r="DS28" i="135"/>
  <c r="DN28" i="135"/>
  <c r="DI28" i="135"/>
  <c r="DC28" i="135"/>
  <c r="CX28" i="135"/>
  <c r="AV28" i="135"/>
  <c r="AR28" i="135"/>
  <c r="AM28" i="135"/>
  <c r="AI28" i="135"/>
  <c r="AA28" i="135"/>
  <c r="V28" i="135"/>
  <c r="Q28" i="135"/>
  <c r="GZ27" i="135"/>
  <c r="GV27" i="135"/>
  <c r="GR27" i="135"/>
  <c r="GN27" i="135"/>
  <c r="GJ27" i="135"/>
  <c r="GF27" i="135"/>
  <c r="GB27" i="135"/>
  <c r="FX27" i="135"/>
  <c r="FT27" i="135"/>
  <c r="FP27" i="135"/>
  <c r="FL27" i="135"/>
  <c r="FH27" i="135"/>
  <c r="FD27" i="135"/>
  <c r="EZ27" i="135"/>
  <c r="EU27" i="135"/>
  <c r="EQ27" i="135"/>
  <c r="EM27" i="135"/>
  <c r="EI27" i="135"/>
  <c r="EE27" i="135"/>
  <c r="EA27" i="135"/>
  <c r="DW27" i="135"/>
  <c r="DS27" i="135"/>
  <c r="DO27" i="135"/>
  <c r="DK27" i="135"/>
  <c r="DG27" i="135"/>
  <c r="DC27" i="135"/>
  <c r="CY27" i="135"/>
  <c r="AV27" i="135"/>
  <c r="AR27" i="135"/>
  <c r="AM27" i="135"/>
  <c r="AI27" i="135"/>
  <c r="AA27" i="135"/>
  <c r="V27" i="135"/>
  <c r="Q27" i="135"/>
  <c r="GZ26" i="135"/>
  <c r="GV26" i="135"/>
  <c r="GR26" i="135"/>
  <c r="GN26" i="135"/>
  <c r="GJ26" i="135"/>
  <c r="GF26" i="135"/>
  <c r="GB26" i="135"/>
  <c r="FX26" i="135"/>
  <c r="FT26" i="135"/>
  <c r="FP26" i="135"/>
  <c r="FL26" i="135"/>
  <c r="FH26" i="135"/>
  <c r="FD26" i="135"/>
  <c r="EZ26" i="135"/>
  <c r="EU26" i="135"/>
  <c r="EQ26" i="135"/>
  <c r="EM26" i="135"/>
  <c r="GX29" i="135"/>
  <c r="GR29" i="135"/>
  <c r="GM29" i="135"/>
  <c r="GH29" i="135"/>
  <c r="GB29" i="135"/>
  <c r="FW29" i="135"/>
  <c r="FR29" i="135"/>
  <c r="FL29" i="135"/>
  <c r="FG29" i="135"/>
  <c r="FB29" i="135"/>
  <c r="EU29" i="135"/>
  <c r="EP29" i="135"/>
  <c r="EK29" i="135"/>
  <c r="EE29" i="135"/>
  <c r="DZ29" i="135"/>
  <c r="DU29" i="135"/>
  <c r="DO29" i="135"/>
  <c r="DJ29" i="135"/>
  <c r="DE29" i="135"/>
  <c r="CY29" i="135"/>
  <c r="AV29" i="135"/>
  <c r="AK29" i="135"/>
  <c r="AA29" i="135"/>
  <c r="U29" i="135"/>
  <c r="GZ28" i="135"/>
  <c r="GU28" i="135"/>
  <c r="GP28" i="135"/>
  <c r="GJ28" i="135"/>
  <c r="GE28" i="135"/>
  <c r="FZ28" i="135"/>
  <c r="FT28" i="135"/>
  <c r="FO28" i="135"/>
  <c r="FJ28" i="135"/>
  <c r="FD28" i="135"/>
  <c r="EX28" i="135"/>
  <c r="ES28" i="135"/>
  <c r="EM28" i="135"/>
  <c r="EH28" i="135"/>
  <c r="EC28" i="135"/>
  <c r="DW28" i="135"/>
  <c r="DR28" i="135"/>
  <c r="DM28" i="135"/>
  <c r="DG28" i="135"/>
  <c r="DB28" i="135"/>
  <c r="AY28" i="135"/>
  <c r="AL28" i="135"/>
  <c r="AE28" i="135"/>
  <c r="Z28" i="135"/>
  <c r="U28" i="135"/>
  <c r="L28" i="135"/>
  <c r="GY27" i="135"/>
  <c r="GU27" i="135"/>
  <c r="GQ27" i="135"/>
  <c r="GM27" i="135"/>
  <c r="GI27" i="135"/>
  <c r="GE27" i="135"/>
  <c r="GA27" i="135"/>
  <c r="FW27" i="135"/>
  <c r="FS27" i="135"/>
  <c r="FO27" i="135"/>
  <c r="FK27" i="135"/>
  <c r="FG27" i="135"/>
  <c r="FC27" i="135"/>
  <c r="EX27" i="135"/>
  <c r="GQ29" i="135"/>
  <c r="GF29" i="135"/>
  <c r="FV29" i="135"/>
  <c r="FK29" i="135"/>
  <c r="EZ29" i="135"/>
  <c r="EO29" i="135"/>
  <c r="ED29" i="135"/>
  <c r="DS29" i="135"/>
  <c r="DI29" i="135"/>
  <c r="CX29" i="135"/>
  <c r="Z29" i="135"/>
  <c r="GX28" i="135"/>
  <c r="GM28" i="135"/>
  <c r="GB28" i="135"/>
  <c r="FR28" i="135"/>
  <c r="FG28" i="135"/>
  <c r="EU28" i="135"/>
  <c r="EK28" i="135"/>
  <c r="DZ28" i="135"/>
  <c r="DO28" i="135"/>
  <c r="DE28" i="135"/>
  <c r="AW28" i="135"/>
  <c r="AN28" i="135"/>
  <c r="AP28" i="135" s="1"/>
  <c r="AC28" i="135"/>
  <c r="R28" i="135"/>
  <c r="GS27" i="135"/>
  <c r="GK27" i="135"/>
  <c r="GC27" i="135"/>
  <c r="FU27" i="135"/>
  <c r="FM27" i="135"/>
  <c r="FE27" i="135"/>
  <c r="EV27" i="135"/>
  <c r="EP27" i="135"/>
  <c r="EK27" i="135"/>
  <c r="EF27" i="135"/>
  <c r="DZ27" i="135"/>
  <c r="DU27" i="135"/>
  <c r="DP27" i="135"/>
  <c r="DJ27" i="135"/>
  <c r="DE27" i="135"/>
  <c r="CZ27" i="135"/>
  <c r="AW27" i="135"/>
  <c r="AK27" i="135"/>
  <c r="AC27" i="135"/>
  <c r="U27" i="135"/>
  <c r="GU26" i="135"/>
  <c r="GP26" i="135"/>
  <c r="GK26" i="135"/>
  <c r="GE26" i="135"/>
  <c r="FZ26" i="135"/>
  <c r="FU26" i="135"/>
  <c r="FO26" i="135"/>
  <c r="FJ26" i="135"/>
  <c r="FE26" i="135"/>
  <c r="EX26" i="135"/>
  <c r="ES26" i="135"/>
  <c r="EN26" i="135"/>
  <c r="EI26" i="135"/>
  <c r="EE26" i="135"/>
  <c r="EA26" i="135"/>
  <c r="DW26" i="135"/>
  <c r="DS26" i="135"/>
  <c r="DO26" i="135"/>
  <c r="DK26" i="135"/>
  <c r="DG26" i="135"/>
  <c r="DC26" i="135"/>
  <c r="CY26" i="135"/>
  <c r="AV26" i="135"/>
  <c r="AR26" i="135"/>
  <c r="AM26" i="135"/>
  <c r="AI26" i="135"/>
  <c r="AA26" i="135"/>
  <c r="V26" i="135"/>
  <c r="Q26" i="135"/>
  <c r="GZ29" i="135"/>
  <c r="GP29" i="135"/>
  <c r="GE29" i="135"/>
  <c r="FT29" i="135"/>
  <c r="FJ29" i="135"/>
  <c r="EX29" i="135"/>
  <c r="EM29" i="135"/>
  <c r="EC29" i="135"/>
  <c r="DR29" i="135"/>
  <c r="DG29" i="135"/>
  <c r="AY29" i="135"/>
  <c r="AM29" i="135"/>
  <c r="Y29" i="135"/>
  <c r="GT28" i="135"/>
  <c r="GI28" i="135"/>
  <c r="FX28" i="135"/>
  <c r="FN28" i="135"/>
  <c r="FC28" i="135"/>
  <c r="EQ28" i="135"/>
  <c r="EG28" i="135"/>
  <c r="DV28" i="135"/>
  <c r="DK28" i="135"/>
  <c r="DA28" i="135"/>
  <c r="AT28" i="135"/>
  <c r="AK28" i="135"/>
  <c r="Y28" i="135"/>
  <c r="GX27" i="135"/>
  <c r="GP27" i="135"/>
  <c r="GH27" i="135"/>
  <c r="FZ27" i="135"/>
  <c r="FR27" i="135"/>
  <c r="FJ27" i="135"/>
  <c r="FB27" i="135"/>
  <c r="ET27" i="135"/>
  <c r="EO27" i="135"/>
  <c r="EJ27" i="135"/>
  <c r="ED27" i="135"/>
  <c r="DY27" i="135"/>
  <c r="DT27" i="135"/>
  <c r="DN27" i="135"/>
  <c r="DI27" i="135"/>
  <c r="DD27" i="135"/>
  <c r="CX27" i="135"/>
  <c r="AJ27" i="135"/>
  <c r="Z27" i="135"/>
  <c r="S27" i="135"/>
  <c r="GY26" i="135"/>
  <c r="GT26" i="135"/>
  <c r="GO26" i="135"/>
  <c r="GI26" i="135"/>
  <c r="GD26" i="135"/>
  <c r="FY26" i="135"/>
  <c r="FS26" i="135"/>
  <c r="FN26" i="135"/>
  <c r="FI26" i="135"/>
  <c r="FC26" i="135"/>
  <c r="EW26" i="135"/>
  <c r="ER26" i="135"/>
  <c r="EL26" i="135"/>
  <c r="EH26" i="135"/>
  <c r="ED26" i="135"/>
  <c r="DZ26" i="135"/>
  <c r="DV26" i="135"/>
  <c r="DR26" i="135"/>
  <c r="DN26" i="135"/>
  <c r="DJ26" i="135"/>
  <c r="DF26" i="135"/>
  <c r="DB26" i="135"/>
  <c r="CX26" i="135"/>
  <c r="AY26" i="135"/>
  <c r="AL26" i="135"/>
  <c r="AE26" i="135"/>
  <c r="Z26" i="135"/>
  <c r="U26" i="135"/>
  <c r="L26" i="135"/>
  <c r="U25" i="135"/>
  <c r="L25" i="135"/>
  <c r="GV29" i="135"/>
  <c r="GL29" i="135"/>
  <c r="GA29" i="135"/>
  <c r="FP29" i="135"/>
  <c r="FF29" i="135"/>
  <c r="ET29" i="135"/>
  <c r="EI29" i="135"/>
  <c r="DY29" i="135"/>
  <c r="DN29" i="135"/>
  <c r="DC29" i="135"/>
  <c r="AI29" i="135"/>
  <c r="S29" i="135"/>
  <c r="GR28" i="135"/>
  <c r="GH28" i="135"/>
  <c r="FW28" i="135"/>
  <c r="FL28" i="135"/>
  <c r="FB28" i="135"/>
  <c r="EP28" i="135"/>
  <c r="EE28" i="135"/>
  <c r="DU28" i="135"/>
  <c r="DJ28" i="135"/>
  <c r="CY28" i="135"/>
  <c r="AS28" i="135"/>
  <c r="BP28" i="135" s="1"/>
  <c r="AJ28" i="135"/>
  <c r="GU29" i="135"/>
  <c r="FD29" i="135"/>
  <c r="DM29" i="135"/>
  <c r="GY28" i="135"/>
  <c r="FH28" i="135"/>
  <c r="DQ28" i="135"/>
  <c r="AD28" i="135"/>
  <c r="GO27" i="135"/>
  <c r="FY27" i="135"/>
  <c r="FI27" i="135"/>
  <c r="ES27" i="135"/>
  <c r="EH27" i="135"/>
  <c r="DX27" i="135"/>
  <c r="DM27" i="135"/>
  <c r="DB27" i="135"/>
  <c r="AT27" i="135"/>
  <c r="AE27" i="135"/>
  <c r="R27" i="135"/>
  <c r="GQ26" i="135"/>
  <c r="GG26" i="135"/>
  <c r="FV26" i="135"/>
  <c r="FK26" i="135"/>
  <c r="FA26" i="135"/>
  <c r="EO26" i="135"/>
  <c r="EF26" i="135"/>
  <c r="DX26" i="135"/>
  <c r="DP26" i="135"/>
  <c r="DH26" i="135"/>
  <c r="CZ26" i="135"/>
  <c r="AW26" i="135"/>
  <c r="AN26" i="135"/>
  <c r="AP26" i="135" s="1"/>
  <c r="AC26" i="135"/>
  <c r="R26" i="135"/>
  <c r="GJ29" i="135"/>
  <c r="ES29" i="135"/>
  <c r="DB29" i="135"/>
  <c r="AE29" i="135"/>
  <c r="GN28" i="135"/>
  <c r="EW28" i="135"/>
  <c r="DF28" i="135"/>
  <c r="W28" i="135"/>
  <c r="GL27" i="135"/>
  <c r="FV27" i="135"/>
  <c r="FF27" i="135"/>
  <c r="ER27" i="135"/>
  <c r="EG27" i="135"/>
  <c r="DV27" i="135"/>
  <c r="DL27" i="135"/>
  <c r="DA27" i="135"/>
  <c r="AS27" i="135"/>
  <c r="BP27" i="135" s="1"/>
  <c r="AD27" i="135"/>
  <c r="L27" i="135"/>
  <c r="GX26" i="135"/>
  <c r="GM26" i="135"/>
  <c r="GC26" i="135"/>
  <c r="FR26" i="135"/>
  <c r="FG26" i="135"/>
  <c r="EV26" i="135"/>
  <c r="EK26" i="135"/>
  <c r="EC26" i="135"/>
  <c r="DU26" i="135"/>
  <c r="DM26" i="135"/>
  <c r="DE26" i="135"/>
  <c r="AT26" i="135"/>
  <c r="AK26" i="135"/>
  <c r="Y26" i="135"/>
  <c r="FZ29" i="135"/>
  <c r="EH29" i="135"/>
  <c r="Q29" i="135"/>
  <c r="GD28" i="135"/>
  <c r="EL28" i="135"/>
  <c r="AX28" i="135"/>
  <c r="S28" i="135"/>
  <c r="GW27" i="135"/>
  <c r="GG27" i="135"/>
  <c r="FQ27" i="135"/>
  <c r="FA27" i="135"/>
  <c r="EN27" i="135"/>
  <c r="EC27" i="135"/>
  <c r="DR27" i="135"/>
  <c r="DH27" i="135"/>
  <c r="AY27" i="135"/>
  <c r="AN27" i="135"/>
  <c r="AP27" i="135" s="1"/>
  <c r="Y27" i="135"/>
  <c r="GW26" i="135"/>
  <c r="GL26" i="135"/>
  <c r="GA26" i="135"/>
  <c r="FQ26" i="135"/>
  <c r="FF26" i="135"/>
  <c r="ET26" i="135"/>
  <c r="EJ26" i="135"/>
  <c r="EB26" i="135"/>
  <c r="DT26" i="135"/>
  <c r="DL26" i="135"/>
  <c r="DD26" i="135"/>
  <c r="AS26" i="135"/>
  <c r="BP26" i="135" s="1"/>
  <c r="AJ26" i="135"/>
  <c r="W26" i="135"/>
  <c r="FO29" i="135"/>
  <c r="FS28" i="135"/>
  <c r="EW27" i="135"/>
  <c r="DF27" i="135"/>
  <c r="FW26" i="135"/>
  <c r="EG26" i="135"/>
  <c r="DA26" i="135"/>
  <c r="AD26" i="135"/>
  <c r="AC22" i="135"/>
  <c r="DW29" i="135"/>
  <c r="AT29" i="135"/>
  <c r="EA28" i="135"/>
  <c r="GT27" i="135"/>
  <c r="EL27" i="135"/>
  <c r="AX27" i="135"/>
  <c r="FM26" i="135"/>
  <c r="DY26" i="135"/>
  <c r="S26" i="135"/>
  <c r="GD27" i="135"/>
  <c r="EB27" i="135"/>
  <c r="AL27" i="135"/>
  <c r="GS26" i="135"/>
  <c r="FB26" i="135"/>
  <c r="DQ26" i="135"/>
  <c r="AX26" i="135"/>
  <c r="L24" i="135"/>
  <c r="L23" i="135"/>
  <c r="EP26" i="135"/>
  <c r="W27" i="135"/>
  <c r="DI26" i="135"/>
  <c r="FN27" i="135"/>
  <c r="L22" i="135"/>
  <c r="GH26" i="135"/>
  <c r="L18" i="135"/>
  <c r="L17" i="135"/>
  <c r="L19" i="135"/>
  <c r="DQ27" i="135"/>
  <c r="L20" i="135"/>
  <c r="L21" i="135"/>
  <c r="M183" i="250" s="1"/>
  <c r="AC51" i="135"/>
  <c r="AD51" i="135" s="1"/>
  <c r="AE51" i="135" s="1"/>
  <c r="FJ51" i="135" s="1"/>
  <c r="U73" i="135"/>
  <c r="V73" i="135" s="1"/>
  <c r="W73" i="135" s="1"/>
  <c r="AK94" i="135"/>
  <c r="AK90" i="135"/>
  <c r="AM63" i="135"/>
  <c r="M140" i="250"/>
  <c r="N140" i="250" s="1"/>
  <c r="Q42" i="135"/>
  <c r="AC39" i="135"/>
  <c r="AD39" i="135" s="1"/>
  <c r="AE39" i="135" s="1"/>
  <c r="U44" i="135"/>
  <c r="V44" i="135" s="1"/>
  <c r="W44" i="135" s="1"/>
  <c r="AN40" i="135"/>
  <c r="AT40" i="135" s="1"/>
  <c r="Y55" i="135"/>
  <c r="AL37" i="135"/>
  <c r="AK71" i="135"/>
  <c r="AN94" i="135"/>
  <c r="AP94" i="135" s="1"/>
  <c r="AK81" i="135"/>
  <c r="AL67" i="135"/>
  <c r="AC75" i="135"/>
  <c r="AD75" i="135" s="1"/>
  <c r="AE75" i="135" s="1"/>
  <c r="U82" i="135"/>
  <c r="V82" i="135" s="1"/>
  <c r="W82" i="135" s="1"/>
  <c r="Q62" i="135"/>
  <c r="U51" i="135"/>
  <c r="V51" i="135" s="1"/>
  <c r="W51" i="135" s="1"/>
  <c r="DL51" i="135" s="1"/>
  <c r="AC73" i="135"/>
  <c r="R85" i="135"/>
  <c r="S85" i="135" s="1"/>
  <c r="DF85" i="135" s="1"/>
  <c r="U39" i="135"/>
  <c r="V39" i="135" s="1"/>
  <c r="W39" i="135" s="1"/>
  <c r="U50" i="135"/>
  <c r="V50" i="135" s="1"/>
  <c r="W50" i="135" s="1"/>
  <c r="U75" i="135"/>
  <c r="V75" i="135" s="1"/>
  <c r="W75" i="135" s="1"/>
  <c r="Q73" i="135"/>
  <c r="R73" i="135" s="1"/>
  <c r="S73" i="135" s="1"/>
  <c r="DA73" i="135" s="1"/>
  <c r="Q39" i="135"/>
  <c r="R39" i="135" s="1"/>
  <c r="S39" i="135" s="1"/>
  <c r="AC82" i="135"/>
  <c r="AD82" i="135" s="1"/>
  <c r="AE82" i="135" s="1"/>
  <c r="U95" i="135"/>
  <c r="V95" i="135" s="1"/>
  <c r="W95" i="135" s="1"/>
  <c r="AC58" i="135"/>
  <c r="AL74" i="135"/>
  <c r="Q87" i="135"/>
  <c r="R87" i="135" s="1"/>
  <c r="S87" i="135" s="1"/>
  <c r="CX87" i="135" s="1"/>
  <c r="Q51" i="135"/>
  <c r="R51" i="135" s="1"/>
  <c r="S51" i="135" s="1"/>
  <c r="CX51" i="135" s="1"/>
  <c r="U42" i="135"/>
  <c r="V42" i="135" s="1"/>
  <c r="AE72" i="135"/>
  <c r="AE64" i="135"/>
  <c r="AN86" i="135"/>
  <c r="AP86" i="135" s="1"/>
  <c r="AK49" i="135"/>
  <c r="AK74" i="135"/>
  <c r="AR74" i="135" s="1"/>
  <c r="AK61" i="135"/>
  <c r="Y47" i="135"/>
  <c r="Z47" i="135" s="1"/>
  <c r="AA47" i="135" s="1"/>
  <c r="M137" i="250"/>
  <c r="N137" i="250" s="1"/>
  <c r="AC62" i="135"/>
  <c r="AC65" i="135"/>
  <c r="AD65" i="135" s="1"/>
  <c r="AE65" i="135" s="1"/>
  <c r="Q82" i="135"/>
  <c r="R82" i="135" s="1"/>
  <c r="S82" i="135" s="1"/>
  <c r="DC82" i="135" s="1"/>
  <c r="U62" i="135"/>
  <c r="Q50" i="135"/>
  <c r="R50" i="135" s="1"/>
  <c r="S50" i="135" s="1"/>
  <c r="DA50" i="135" s="1"/>
  <c r="S64" i="135"/>
  <c r="CZ64" i="135" s="1"/>
  <c r="AC50" i="135"/>
  <c r="AD50" i="135" s="1"/>
  <c r="AE50" i="135" s="1"/>
  <c r="U65" i="135"/>
  <c r="V65" i="135" s="1"/>
  <c r="W65" i="135" s="1"/>
  <c r="Q65" i="135"/>
  <c r="R65" i="135" s="1"/>
  <c r="S65" i="135" s="1"/>
  <c r="CZ65" i="135" s="1"/>
  <c r="Q36" i="135"/>
  <c r="AN67" i="135"/>
  <c r="AP67" i="135" s="1"/>
  <c r="AN47" i="135"/>
  <c r="AP47" i="135" s="1"/>
  <c r="Y52" i="135"/>
  <c r="AJ96" i="135"/>
  <c r="AL69" i="135"/>
  <c r="AK47" i="135"/>
  <c r="AJ67" i="135"/>
  <c r="Q91" i="135"/>
  <c r="R91" i="135" s="1"/>
  <c r="S91" i="135" s="1"/>
  <c r="CY91" i="135" s="1"/>
  <c r="AC44" i="135"/>
  <c r="AD86" i="135"/>
  <c r="AE86" i="135" s="1"/>
  <c r="U58" i="135"/>
  <c r="V58" i="135" s="1"/>
  <c r="V83" i="135"/>
  <c r="W83" i="135" s="1"/>
  <c r="Z53" i="135"/>
  <c r="AA53" i="135" s="1"/>
  <c r="FI53" i="135" s="1"/>
  <c r="Q75" i="135"/>
  <c r="R75" i="135" s="1"/>
  <c r="S75" i="135" s="1"/>
  <c r="CX75" i="135" s="1"/>
  <c r="AC95" i="135"/>
  <c r="AD95" i="135" s="1"/>
  <c r="AE95" i="135" s="1"/>
  <c r="AN52" i="135"/>
  <c r="AP52" i="135" s="1"/>
  <c r="Y67" i="135"/>
  <c r="Z67" i="135" s="1"/>
  <c r="AA67" i="135" s="1"/>
  <c r="FI67" i="135" s="1"/>
  <c r="Y93" i="135"/>
  <c r="Z93" i="135" s="1"/>
  <c r="AA93" i="135" s="1"/>
  <c r="FA93" i="135" s="1"/>
  <c r="AL80" i="135"/>
  <c r="AN96" i="135"/>
  <c r="AJ93" i="135"/>
  <c r="AN44" i="135"/>
  <c r="AP44" i="135" s="1"/>
  <c r="Z78" i="135"/>
  <c r="AA78" i="135" s="1"/>
  <c r="FD78" i="135" s="1"/>
  <c r="AA48" i="135"/>
  <c r="FL48" i="135" s="1"/>
  <c r="AC76" i="135"/>
  <c r="AD76" i="135" s="1"/>
  <c r="AE76" i="135" s="1"/>
  <c r="U36" i="135"/>
  <c r="AK39" i="135"/>
  <c r="AJ53" i="135"/>
  <c r="AJ78" i="135"/>
  <c r="AJ66" i="135"/>
  <c r="AJ57" i="135"/>
  <c r="AL72" i="135"/>
  <c r="Q76" i="135"/>
  <c r="R76" i="135" s="1"/>
  <c r="S76" i="135" s="1"/>
  <c r="CZ76" i="135" s="1"/>
  <c r="U87" i="135"/>
  <c r="V87" i="135" s="1"/>
  <c r="W87" i="135" s="1"/>
  <c r="AA61" i="135"/>
  <c r="FG61" i="135" s="1"/>
  <c r="AN51" i="135"/>
  <c r="AP51" i="135" s="1"/>
  <c r="AA84" i="135"/>
  <c r="FC84" i="135" s="1"/>
  <c r="AK95" i="135"/>
  <c r="AK72" i="135"/>
  <c r="AK73" i="135"/>
  <c r="Y87" i="135"/>
  <c r="Z87" i="135" s="1"/>
  <c r="AA87" i="135" s="1"/>
  <c r="FC87" i="135" s="1"/>
  <c r="Q58" i="135"/>
  <c r="AC87" i="135"/>
  <c r="AD87" i="135" s="1"/>
  <c r="AE87" i="135" s="1"/>
  <c r="U91" i="135"/>
  <c r="V91" i="135" s="1"/>
  <c r="W91" i="135" s="1"/>
  <c r="AC36" i="135"/>
  <c r="Q44" i="135"/>
  <c r="R44" i="135" s="1"/>
  <c r="S44" i="135" s="1"/>
  <c r="CY44" i="135" s="1"/>
  <c r="AD53" i="135"/>
  <c r="Z85" i="135"/>
  <c r="AA85" i="135" s="1"/>
  <c r="FG85" i="135" s="1"/>
  <c r="AN62" i="135"/>
  <c r="AT62" i="135" s="1"/>
  <c r="Y51" i="135"/>
  <c r="Z51" i="135" s="1"/>
  <c r="AA51" i="135" s="1"/>
  <c r="FB51" i="135" s="1"/>
  <c r="AL81" i="135"/>
  <c r="U76" i="135"/>
  <c r="V76" i="135" s="1"/>
  <c r="W76" i="135" s="1"/>
  <c r="Y65" i="135"/>
  <c r="Z65" i="135" s="1"/>
  <c r="AA65" i="135" s="1"/>
  <c r="FD65" i="135" s="1"/>
  <c r="Y76" i="135"/>
  <c r="Z76" i="135" s="1"/>
  <c r="AA76" i="135" s="1"/>
  <c r="EZ76" i="135" s="1"/>
  <c r="Y62" i="135"/>
  <c r="AA72" i="135"/>
  <c r="FC72" i="135" s="1"/>
  <c r="AL87" i="135"/>
  <c r="AM68" i="135"/>
  <c r="AK89" i="135"/>
  <c r="AK78" i="135"/>
  <c r="AM66" i="135"/>
  <c r="AL76" i="135"/>
  <c r="Y42" i="135"/>
  <c r="AJ44" i="135"/>
  <c r="AK44" i="135"/>
  <c r="AM50" i="135"/>
  <c r="AM39" i="135"/>
  <c r="AK42" i="135"/>
  <c r="AJ35" i="135"/>
  <c r="AL50" i="135"/>
  <c r="Y39" i="135"/>
  <c r="Z39" i="135" s="1"/>
  <c r="AA39" i="135" s="1"/>
  <c r="AJ91" i="135"/>
  <c r="Y95" i="135"/>
  <c r="Z95" i="135" s="1"/>
  <c r="AA95" i="135" s="1"/>
  <c r="FL95" i="135" s="1"/>
  <c r="AN65" i="135"/>
  <c r="AP65" i="135" s="1"/>
  <c r="AN73" i="135"/>
  <c r="AP73" i="135" s="1"/>
  <c r="AN42" i="135"/>
  <c r="AP42" i="135" s="1"/>
  <c r="Y44" i="135"/>
  <c r="Z44" i="135" s="1"/>
  <c r="AA44" i="135" s="1"/>
  <c r="FK44" i="135" s="1"/>
  <c r="AL36" i="135"/>
  <c r="AJ80" i="135"/>
  <c r="AM56" i="135"/>
  <c r="AM22" i="135" s="1"/>
  <c r="AJ54" i="135"/>
  <c r="AK97" i="135"/>
  <c r="AK25" i="135" s="1"/>
  <c r="AK84" i="135"/>
  <c r="AK53" i="135"/>
  <c r="AL40" i="135"/>
  <c r="AJ89" i="135"/>
  <c r="AM86" i="135"/>
  <c r="AL48" i="135"/>
  <c r="AM59" i="135"/>
  <c r="AL78" i="135"/>
  <c r="AJ45" i="135"/>
  <c r="AL66" i="135"/>
  <c r="AJ83" i="135"/>
  <c r="AK85" i="135"/>
  <c r="AM57" i="135"/>
  <c r="AK64" i="135"/>
  <c r="AJ61" i="135"/>
  <c r="AM72" i="135"/>
  <c r="AL65" i="135"/>
  <c r="AL51" i="135"/>
  <c r="AL54" i="135"/>
  <c r="AL21" i="135" s="1"/>
  <c r="AJ65" i="135"/>
  <c r="AN75" i="135"/>
  <c r="AT75" i="135" s="1"/>
  <c r="Y73" i="135"/>
  <c r="Z73" i="135" s="1"/>
  <c r="AA73" i="135" s="1"/>
  <c r="FB73" i="135" s="1"/>
  <c r="Y75" i="135"/>
  <c r="Z75" i="135" s="1"/>
  <c r="AA75" i="135" s="1"/>
  <c r="EZ75" i="135" s="1"/>
  <c r="AN50" i="135"/>
  <c r="AP50" i="135" s="1"/>
  <c r="AN36" i="135"/>
  <c r="AP36" i="135" s="1"/>
  <c r="AN82" i="135"/>
  <c r="AP82" i="135" s="1"/>
  <c r="AN39" i="135"/>
  <c r="Y82" i="135"/>
  <c r="Z82" i="135" s="1"/>
  <c r="AA82" i="135" s="1"/>
  <c r="FC82" i="135" s="1"/>
  <c r="AN58" i="135"/>
  <c r="AT58" i="135" s="1"/>
  <c r="Z83" i="135"/>
  <c r="AA83" i="135" s="1"/>
  <c r="FM83" i="135" s="1"/>
  <c r="Y58" i="135"/>
  <c r="Z58" i="135" s="1"/>
  <c r="AA58" i="135" s="1"/>
  <c r="FF58" i="135" s="1"/>
  <c r="Y50" i="135"/>
  <c r="Z50" i="135" s="1"/>
  <c r="AA50" i="135" s="1"/>
  <c r="FM50" i="135" s="1"/>
  <c r="AN87" i="135"/>
  <c r="AT87" i="135" s="1"/>
  <c r="AL84" i="135"/>
  <c r="AM36" i="135"/>
  <c r="AL58" i="135"/>
  <c r="AK83" i="135"/>
  <c r="AA89" i="135"/>
  <c r="FF89" i="135" s="1"/>
  <c r="AJ50" i="135"/>
  <c r="AL61" i="135"/>
  <c r="AL62" i="135"/>
  <c r="AL42" i="135"/>
  <c r="AL89" i="135"/>
  <c r="AK36" i="135"/>
  <c r="AM58" i="135"/>
  <c r="AL83" i="135"/>
  <c r="AL39" i="135"/>
  <c r="AK57" i="135"/>
  <c r="AK66" i="135"/>
  <c r="AJ87" i="135"/>
  <c r="AM48" i="135"/>
  <c r="AL44" i="135"/>
  <c r="AM62" i="135"/>
  <c r="AK86" i="135"/>
  <c r="AM83" i="135"/>
  <c r="AL57" i="135"/>
  <c r="AJ72" i="135"/>
  <c r="AM78" i="135"/>
  <c r="AA40" i="135"/>
  <c r="FA40" i="135" s="1"/>
  <c r="AJ59" i="135"/>
  <c r="AL53" i="135"/>
  <c r="AJ42" i="135"/>
  <c r="AK87" i="135"/>
  <c r="AL82" i="135"/>
  <c r="AK65" i="135"/>
  <c r="Y91" i="135"/>
  <c r="Z91" i="135" s="1"/>
  <c r="AA91" i="135" s="1"/>
  <c r="Z86" i="135"/>
  <c r="AA86" i="135" s="1"/>
  <c r="FC86" i="135" s="1"/>
  <c r="AL91" i="135"/>
  <c r="AJ82" i="135"/>
  <c r="AJ48" i="135"/>
  <c r="AK54" i="135"/>
  <c r="AN95" i="135"/>
  <c r="AT95" i="135" s="1"/>
  <c r="AK59" i="135"/>
  <c r="AJ58" i="135"/>
  <c r="AJ75" i="135"/>
  <c r="AL59" i="135"/>
  <c r="AM61" i="135"/>
  <c r="AK82" i="135"/>
  <c r="AK48" i="135"/>
  <c r="AM89" i="135"/>
  <c r="AN91" i="135"/>
  <c r="AP91" i="135" s="1"/>
  <c r="AK62" i="135"/>
  <c r="AR62" i="135" s="1"/>
  <c r="AL86" i="135"/>
  <c r="AL95" i="135"/>
  <c r="AJ95" i="135"/>
  <c r="AK56" i="135"/>
  <c r="AK22" i="135" s="1"/>
  <c r="AM64" i="135"/>
  <c r="AJ40" i="135"/>
  <c r="AJ85" i="135"/>
  <c r="AJ84" i="135"/>
  <c r="AM53" i="135"/>
  <c r="AM47" i="135"/>
  <c r="AK91" i="135"/>
  <c r="AM88" i="135"/>
  <c r="AM45" i="135"/>
  <c r="AM51" i="135"/>
  <c r="AL43" i="135"/>
  <c r="AK76" i="135"/>
  <c r="AK96" i="135"/>
  <c r="AJ41" i="135"/>
  <c r="AJ38" i="135"/>
  <c r="AM79" i="135"/>
  <c r="AJ73" i="135"/>
  <c r="AL75" i="135"/>
  <c r="AJ52" i="135"/>
  <c r="AM60" i="135"/>
  <c r="AJ43" i="135"/>
  <c r="AM54" i="135"/>
  <c r="AL77" i="135"/>
  <c r="AK45" i="135"/>
  <c r="AJ79" i="135"/>
  <c r="AJ88" i="135"/>
  <c r="AL71" i="135"/>
  <c r="AM97" i="135"/>
  <c r="AM25" i="135" s="1"/>
  <c r="AM84" i="135"/>
  <c r="AJ68" i="135"/>
  <c r="AM85" i="135"/>
  <c r="AJ94" i="135"/>
  <c r="AJ63" i="135"/>
  <c r="AM40" i="135"/>
  <c r="AJ37" i="135"/>
  <c r="AJ90" i="135"/>
  <c r="AJ70" i="135"/>
  <c r="AM55" i="135"/>
  <c r="AJ56" i="135"/>
  <c r="AJ64" i="135"/>
  <c r="Y94" i="135"/>
  <c r="Z94" i="135" s="1"/>
  <c r="AA94" i="135" s="1"/>
  <c r="FN94" i="135" s="1"/>
  <c r="AJ97" i="135"/>
  <c r="AM94" i="135"/>
  <c r="AL41" i="135"/>
  <c r="AM37" i="135"/>
  <c r="AK55" i="135"/>
  <c r="AR55" i="135" s="1"/>
  <c r="AK52" i="135"/>
  <c r="AM73" i="135"/>
  <c r="AL56" i="135"/>
  <c r="AL22" i="135" s="1"/>
  <c r="Y90" i="135"/>
  <c r="Z90" i="135" s="1"/>
  <c r="AA90" i="135" s="1"/>
  <c r="FL90" i="135" s="1"/>
  <c r="AM96" i="135"/>
  <c r="AL85" i="135"/>
  <c r="AK40" i="135"/>
  <c r="AM76" i="135"/>
  <c r="AM75" i="135"/>
  <c r="AL38" i="135"/>
  <c r="Z88" i="135"/>
  <c r="AA88" i="135" s="1"/>
  <c r="FG88" i="135" s="1"/>
  <c r="AK38" i="135"/>
  <c r="AL60" i="135"/>
  <c r="AK79" i="135"/>
  <c r="AL45" i="135"/>
  <c r="AL68" i="135"/>
  <c r="AL90" i="135"/>
  <c r="AL52" i="135"/>
  <c r="AL64" i="135"/>
  <c r="AJ49" i="135"/>
  <c r="AJ81" i="135"/>
  <c r="AN90" i="135"/>
  <c r="AT90" i="135" s="1"/>
  <c r="AM43" i="135"/>
  <c r="AJ76" i="135"/>
  <c r="AK51" i="135"/>
  <c r="AJ36" i="135"/>
  <c r="AM77" i="135"/>
  <c r="AM70" i="135"/>
  <c r="AJ86" i="135"/>
  <c r="Y57" i="135"/>
  <c r="Z57" i="135" s="1"/>
  <c r="AM74" i="135"/>
  <c r="AK88" i="135"/>
  <c r="AM67" i="135"/>
  <c r="AJ47" i="135"/>
  <c r="U46" i="135"/>
  <c r="V46" i="135" s="1"/>
  <c r="W46" i="135" s="1"/>
  <c r="AC46" i="135"/>
  <c r="AD46" i="135" s="1"/>
  <c r="AE46" i="135" s="1"/>
  <c r="Q46" i="135"/>
  <c r="R46" i="135" s="1"/>
  <c r="S46" i="135" s="1"/>
  <c r="CY46" i="135" s="1"/>
  <c r="AL46" i="135"/>
  <c r="Y46" i="135"/>
  <c r="Z46" i="135" s="1"/>
  <c r="AA46" i="135" s="1"/>
  <c r="FF46" i="135" s="1"/>
  <c r="AP66" i="135"/>
  <c r="AT66" i="135"/>
  <c r="AP79" i="135"/>
  <c r="AT79" i="135"/>
  <c r="AP74" i="135"/>
  <c r="AT74" i="135"/>
  <c r="AP81" i="135"/>
  <c r="AT81" i="135"/>
  <c r="FO48" i="135"/>
  <c r="FP48" i="135"/>
  <c r="FQ48" i="135"/>
  <c r="FR48" i="135"/>
  <c r="FS48" i="135"/>
  <c r="FT48" i="135"/>
  <c r="FU48" i="135"/>
  <c r="FV48" i="135"/>
  <c r="FW48" i="135"/>
  <c r="FX48" i="135"/>
  <c r="FY48" i="135"/>
  <c r="FZ48" i="135"/>
  <c r="GA48" i="135"/>
  <c r="GB48" i="135"/>
  <c r="GC48" i="135"/>
  <c r="GD48" i="135"/>
  <c r="GE48" i="135"/>
  <c r="GF48" i="135"/>
  <c r="GG48" i="135"/>
  <c r="GH48" i="135"/>
  <c r="GI48" i="135"/>
  <c r="GJ48" i="135"/>
  <c r="GK48" i="135"/>
  <c r="GL48" i="135"/>
  <c r="GM48" i="135"/>
  <c r="GN48" i="135"/>
  <c r="GO48" i="135"/>
  <c r="GP48" i="135"/>
  <c r="GQ48" i="135"/>
  <c r="GR48" i="135"/>
  <c r="GS48" i="135"/>
  <c r="GT48" i="135"/>
  <c r="GU48" i="135"/>
  <c r="GV48" i="135"/>
  <c r="GW48" i="135"/>
  <c r="GX48" i="135"/>
  <c r="GY48" i="135"/>
  <c r="GZ48" i="135"/>
  <c r="DM48" i="135"/>
  <c r="DN48" i="135"/>
  <c r="DO48" i="135"/>
  <c r="DP48" i="135"/>
  <c r="DQ48" i="135"/>
  <c r="DR48" i="135"/>
  <c r="DS48" i="135"/>
  <c r="DT48" i="135"/>
  <c r="DU48" i="135"/>
  <c r="DV48" i="135"/>
  <c r="DW48" i="135"/>
  <c r="DX48" i="135"/>
  <c r="DY48" i="135"/>
  <c r="DZ48" i="135"/>
  <c r="EA48" i="135"/>
  <c r="EB48" i="135"/>
  <c r="EC48" i="135"/>
  <c r="ED48" i="135"/>
  <c r="EE48" i="135"/>
  <c r="EF48" i="135"/>
  <c r="EG48" i="135"/>
  <c r="EH48" i="135"/>
  <c r="EI48" i="135"/>
  <c r="EJ48" i="135"/>
  <c r="EK48" i="135"/>
  <c r="EL48" i="135"/>
  <c r="EM48" i="135"/>
  <c r="EN48" i="135"/>
  <c r="EO48" i="135"/>
  <c r="EP48" i="135"/>
  <c r="EQ48" i="135"/>
  <c r="ER48" i="135"/>
  <c r="ES48" i="135"/>
  <c r="ET48" i="135"/>
  <c r="EU48" i="135"/>
  <c r="EV48" i="135"/>
  <c r="EW48" i="135"/>
  <c r="EX48" i="135"/>
  <c r="FO59" i="135"/>
  <c r="FP59" i="135"/>
  <c r="FQ59" i="135"/>
  <c r="FR59" i="135"/>
  <c r="FS59" i="135"/>
  <c r="FT59" i="135"/>
  <c r="FU59" i="135"/>
  <c r="FV59" i="135"/>
  <c r="FW59" i="135"/>
  <c r="FX59" i="135"/>
  <c r="FY59" i="135"/>
  <c r="FZ59" i="135"/>
  <c r="GA59" i="135"/>
  <c r="GB59" i="135"/>
  <c r="GC59" i="135"/>
  <c r="GD59" i="135"/>
  <c r="GE59" i="135"/>
  <c r="GF59" i="135"/>
  <c r="GG59" i="135"/>
  <c r="GH59" i="135"/>
  <c r="GI59" i="135"/>
  <c r="GJ59" i="135"/>
  <c r="GK59" i="135"/>
  <c r="GL59" i="135"/>
  <c r="GM59" i="135"/>
  <c r="GN59" i="135"/>
  <c r="GO59" i="135"/>
  <c r="GP59" i="135"/>
  <c r="GQ59" i="135"/>
  <c r="GR59" i="135"/>
  <c r="GS59" i="135"/>
  <c r="GT59" i="135"/>
  <c r="GU59" i="135"/>
  <c r="GV59" i="135"/>
  <c r="GW59" i="135"/>
  <c r="GX59" i="135"/>
  <c r="GY59" i="135"/>
  <c r="GZ59" i="135"/>
  <c r="DM59" i="135"/>
  <c r="DN59" i="135"/>
  <c r="DO59" i="135"/>
  <c r="DP59" i="135"/>
  <c r="DQ59" i="135"/>
  <c r="DR59" i="135"/>
  <c r="DS59" i="135"/>
  <c r="DT59" i="135"/>
  <c r="DU59" i="135"/>
  <c r="DV59" i="135"/>
  <c r="DW59" i="135"/>
  <c r="DX59" i="135"/>
  <c r="DY59" i="135"/>
  <c r="DZ59" i="135"/>
  <c r="EA59" i="135"/>
  <c r="EB59" i="135"/>
  <c r="EC59" i="135"/>
  <c r="ED59" i="135"/>
  <c r="EE59" i="135"/>
  <c r="EF59" i="135"/>
  <c r="EG59" i="135"/>
  <c r="EH59" i="135"/>
  <c r="EI59" i="135"/>
  <c r="EJ59" i="135"/>
  <c r="EK59" i="135"/>
  <c r="EL59" i="135"/>
  <c r="EM59" i="135"/>
  <c r="EN59" i="135"/>
  <c r="EO59" i="135"/>
  <c r="EP59" i="135"/>
  <c r="EQ59" i="135"/>
  <c r="ER59" i="135"/>
  <c r="ES59" i="135"/>
  <c r="ET59" i="135"/>
  <c r="EU59" i="135"/>
  <c r="EV59" i="135"/>
  <c r="EW59" i="135"/>
  <c r="EX59" i="135"/>
  <c r="FP86" i="135"/>
  <c r="FQ86" i="135"/>
  <c r="FR86" i="135"/>
  <c r="FS86" i="135"/>
  <c r="FT86" i="135"/>
  <c r="FU86" i="135"/>
  <c r="FV86" i="135"/>
  <c r="FW86" i="135"/>
  <c r="FX86" i="135"/>
  <c r="FY86" i="135"/>
  <c r="FZ86" i="135"/>
  <c r="GA86" i="135"/>
  <c r="GB86" i="135"/>
  <c r="GC86" i="135"/>
  <c r="GD86" i="135"/>
  <c r="GE86" i="135"/>
  <c r="GF86" i="135"/>
  <c r="GG86" i="135"/>
  <c r="GH86" i="135"/>
  <c r="GI86" i="135"/>
  <c r="GJ86" i="135"/>
  <c r="GK86" i="135"/>
  <c r="GL86" i="135"/>
  <c r="GM86" i="135"/>
  <c r="GN86" i="135"/>
  <c r="GO86" i="135"/>
  <c r="GP86" i="135"/>
  <c r="GQ86" i="135"/>
  <c r="GR86" i="135"/>
  <c r="GS86" i="135"/>
  <c r="GT86" i="135"/>
  <c r="GU86" i="135"/>
  <c r="GV86" i="135"/>
  <c r="GW86" i="135"/>
  <c r="GX86" i="135"/>
  <c r="GY86" i="135"/>
  <c r="GZ86" i="135"/>
  <c r="DN86" i="135"/>
  <c r="DO86" i="135"/>
  <c r="DP86" i="135"/>
  <c r="DQ86" i="135"/>
  <c r="DR86" i="135"/>
  <c r="DS86" i="135"/>
  <c r="DT86" i="135"/>
  <c r="DU86" i="135"/>
  <c r="DV86" i="135"/>
  <c r="DW86" i="135"/>
  <c r="DX86" i="135"/>
  <c r="DY86" i="135"/>
  <c r="DZ86" i="135"/>
  <c r="EA86" i="135"/>
  <c r="EB86" i="135"/>
  <c r="EC86" i="135"/>
  <c r="ED86" i="135"/>
  <c r="EE86" i="135"/>
  <c r="EF86" i="135"/>
  <c r="EG86" i="135"/>
  <c r="EH86" i="135"/>
  <c r="EI86" i="135"/>
  <c r="EJ86" i="135"/>
  <c r="EK86" i="135"/>
  <c r="EL86" i="135"/>
  <c r="EM86" i="135"/>
  <c r="EN86" i="135"/>
  <c r="EO86" i="135"/>
  <c r="EP86" i="135"/>
  <c r="EQ86" i="135"/>
  <c r="ER86" i="135"/>
  <c r="ES86" i="135"/>
  <c r="ET86" i="135"/>
  <c r="EU86" i="135"/>
  <c r="EV86" i="135"/>
  <c r="EW86" i="135"/>
  <c r="EX86" i="135"/>
  <c r="FY50" i="135"/>
  <c r="FZ50" i="135"/>
  <c r="GA50" i="135"/>
  <c r="GB50" i="135"/>
  <c r="GC50" i="135"/>
  <c r="GD50" i="135"/>
  <c r="GE50" i="135"/>
  <c r="GF50" i="135"/>
  <c r="GG50" i="135"/>
  <c r="GH50" i="135"/>
  <c r="GI50" i="135"/>
  <c r="GJ50" i="135"/>
  <c r="GK50" i="135"/>
  <c r="GL50" i="135"/>
  <c r="GM50" i="135"/>
  <c r="GN50" i="135"/>
  <c r="GO50" i="135"/>
  <c r="GP50" i="135"/>
  <c r="GQ50" i="135"/>
  <c r="GR50" i="135"/>
  <c r="GS50" i="135"/>
  <c r="GT50" i="135"/>
  <c r="GU50" i="135"/>
  <c r="GV50" i="135"/>
  <c r="GW50" i="135"/>
  <c r="GX50" i="135"/>
  <c r="GY50" i="135"/>
  <c r="GZ50" i="135"/>
  <c r="DW50" i="135"/>
  <c r="DX50" i="135"/>
  <c r="DY50" i="135"/>
  <c r="DZ50" i="135"/>
  <c r="EA50" i="135"/>
  <c r="EB50" i="135"/>
  <c r="EC50" i="135"/>
  <c r="ED50" i="135"/>
  <c r="EE50" i="135"/>
  <c r="EF50" i="135"/>
  <c r="EG50" i="135"/>
  <c r="EH50" i="135"/>
  <c r="EI50" i="135"/>
  <c r="EJ50" i="135"/>
  <c r="EK50" i="135"/>
  <c r="EL50" i="135"/>
  <c r="EM50" i="135"/>
  <c r="EN50" i="135"/>
  <c r="EO50" i="135"/>
  <c r="EP50" i="135"/>
  <c r="EQ50" i="135"/>
  <c r="ER50" i="135"/>
  <c r="ES50" i="135"/>
  <c r="ET50" i="135"/>
  <c r="EU50" i="135"/>
  <c r="EV50" i="135"/>
  <c r="EW50" i="135"/>
  <c r="EX50" i="135"/>
  <c r="FO47" i="135"/>
  <c r="FP47" i="135"/>
  <c r="FQ47" i="135"/>
  <c r="FR47" i="135"/>
  <c r="FS47" i="135"/>
  <c r="FT47" i="135"/>
  <c r="FU47" i="135"/>
  <c r="FV47" i="135"/>
  <c r="FW47" i="135"/>
  <c r="FX47" i="135"/>
  <c r="FY47" i="135"/>
  <c r="FZ47" i="135"/>
  <c r="GA47" i="135"/>
  <c r="GB47" i="135"/>
  <c r="GC47" i="135"/>
  <c r="GD47" i="135"/>
  <c r="GE47" i="135"/>
  <c r="GF47" i="135"/>
  <c r="GG47" i="135"/>
  <c r="GH47" i="135"/>
  <c r="GI47" i="135"/>
  <c r="GJ47" i="135"/>
  <c r="GK47" i="135"/>
  <c r="GL47" i="135"/>
  <c r="GM47" i="135"/>
  <c r="GN47" i="135"/>
  <c r="GO47" i="135"/>
  <c r="GP47" i="135"/>
  <c r="GQ47" i="135"/>
  <c r="GR47" i="135"/>
  <c r="GS47" i="135"/>
  <c r="GT47" i="135"/>
  <c r="GU47" i="135"/>
  <c r="GV47" i="135"/>
  <c r="GW47" i="135"/>
  <c r="GX47" i="135"/>
  <c r="GY47" i="135"/>
  <c r="GZ47" i="135"/>
  <c r="DM47" i="135"/>
  <c r="DN47" i="135"/>
  <c r="DO47" i="135"/>
  <c r="DP47" i="135"/>
  <c r="DQ47" i="135"/>
  <c r="DR47" i="135"/>
  <c r="DS47" i="135"/>
  <c r="DT47" i="135"/>
  <c r="DU47" i="135"/>
  <c r="DV47" i="135"/>
  <c r="DW47" i="135"/>
  <c r="DX47" i="135"/>
  <c r="DY47" i="135"/>
  <c r="DZ47" i="135"/>
  <c r="EA47" i="135"/>
  <c r="EB47" i="135"/>
  <c r="EC47" i="135"/>
  <c r="ED47" i="135"/>
  <c r="EE47" i="135"/>
  <c r="EF47" i="135"/>
  <c r="EG47" i="135"/>
  <c r="EH47" i="135"/>
  <c r="EI47" i="135"/>
  <c r="EJ47" i="135"/>
  <c r="EK47" i="135"/>
  <c r="EL47" i="135"/>
  <c r="EM47" i="135"/>
  <c r="EN47" i="135"/>
  <c r="EO47" i="135"/>
  <c r="EP47" i="135"/>
  <c r="EQ47" i="135"/>
  <c r="ER47" i="135"/>
  <c r="ES47" i="135"/>
  <c r="ET47" i="135"/>
  <c r="EU47" i="135"/>
  <c r="EV47" i="135"/>
  <c r="EW47" i="135"/>
  <c r="EX47" i="135"/>
  <c r="FJ37" i="135"/>
  <c r="FK37" i="135"/>
  <c r="FL37" i="135"/>
  <c r="FM37" i="135"/>
  <c r="FN37" i="135"/>
  <c r="FO37" i="135"/>
  <c r="FP37" i="135"/>
  <c r="FQ37" i="135"/>
  <c r="FR37" i="135"/>
  <c r="FS37" i="135"/>
  <c r="FT37" i="135"/>
  <c r="FU37" i="135"/>
  <c r="FV37" i="135"/>
  <c r="FW37" i="135"/>
  <c r="FX37" i="135"/>
  <c r="FY37" i="135"/>
  <c r="FZ37" i="135"/>
  <c r="GA37" i="135"/>
  <c r="GB37" i="135"/>
  <c r="GC37" i="135"/>
  <c r="GD37" i="135"/>
  <c r="GE37" i="135"/>
  <c r="GF37" i="135"/>
  <c r="GG37" i="135"/>
  <c r="GH37" i="135"/>
  <c r="GI37" i="135"/>
  <c r="GJ37" i="135"/>
  <c r="GK37" i="135"/>
  <c r="GL37" i="135"/>
  <c r="GM37" i="135"/>
  <c r="GN37" i="135"/>
  <c r="GO37" i="135"/>
  <c r="GP37" i="135"/>
  <c r="GQ37" i="135"/>
  <c r="GR37" i="135"/>
  <c r="GS37" i="135"/>
  <c r="GT37" i="135"/>
  <c r="GU37" i="135"/>
  <c r="GV37" i="135"/>
  <c r="GW37" i="135"/>
  <c r="GX37" i="135"/>
  <c r="GY37" i="135"/>
  <c r="GZ37" i="135"/>
  <c r="DH37" i="135"/>
  <c r="DI37" i="135"/>
  <c r="DJ37" i="135"/>
  <c r="DK37" i="135"/>
  <c r="DL37" i="135"/>
  <c r="DM37" i="135"/>
  <c r="DN37" i="135"/>
  <c r="DO37" i="135"/>
  <c r="DP37" i="135"/>
  <c r="DQ37" i="135"/>
  <c r="DR37" i="135"/>
  <c r="DS37" i="135"/>
  <c r="DT37" i="135"/>
  <c r="DU37" i="135"/>
  <c r="DV37" i="135"/>
  <c r="DW37" i="135"/>
  <c r="DX37" i="135"/>
  <c r="DY37" i="135"/>
  <c r="DZ37" i="135"/>
  <c r="EA37" i="135"/>
  <c r="EB37" i="135"/>
  <c r="EC37" i="135"/>
  <c r="ED37" i="135"/>
  <c r="EE37" i="135"/>
  <c r="EF37" i="135"/>
  <c r="EG37" i="135"/>
  <c r="EH37" i="135"/>
  <c r="EI37" i="135"/>
  <c r="EJ37" i="135"/>
  <c r="EK37" i="135"/>
  <c r="EL37" i="135"/>
  <c r="EM37" i="135"/>
  <c r="EN37" i="135"/>
  <c r="EO37" i="135"/>
  <c r="EP37" i="135"/>
  <c r="EQ37" i="135"/>
  <c r="ER37" i="135"/>
  <c r="ES37" i="135"/>
  <c r="ET37" i="135"/>
  <c r="EU37" i="135"/>
  <c r="EV37" i="135"/>
  <c r="EW37" i="135"/>
  <c r="EX37" i="135"/>
  <c r="FO76" i="135"/>
  <c r="FP76" i="135"/>
  <c r="FQ76" i="135"/>
  <c r="FR76" i="135"/>
  <c r="FS76" i="135"/>
  <c r="FT76" i="135"/>
  <c r="FU76" i="135"/>
  <c r="FV76" i="135"/>
  <c r="FW76" i="135"/>
  <c r="FX76" i="135"/>
  <c r="FY76" i="135"/>
  <c r="FZ76" i="135"/>
  <c r="GA76" i="135"/>
  <c r="GB76" i="135"/>
  <c r="GC76" i="135"/>
  <c r="GD76" i="135"/>
  <c r="GE76" i="135"/>
  <c r="GF76" i="135"/>
  <c r="GG76" i="135"/>
  <c r="GH76" i="135"/>
  <c r="GI76" i="135"/>
  <c r="GJ76" i="135"/>
  <c r="GK76" i="135"/>
  <c r="GL76" i="135"/>
  <c r="GM76" i="135"/>
  <c r="GN76" i="135"/>
  <c r="GO76" i="135"/>
  <c r="GP76" i="135"/>
  <c r="GQ76" i="135"/>
  <c r="GR76" i="135"/>
  <c r="GS76" i="135"/>
  <c r="GT76" i="135"/>
  <c r="GU76" i="135"/>
  <c r="GV76" i="135"/>
  <c r="GW76" i="135"/>
  <c r="GX76" i="135"/>
  <c r="GY76" i="135"/>
  <c r="GZ76" i="135"/>
  <c r="DM76" i="135"/>
  <c r="DN76" i="135"/>
  <c r="DO76" i="135"/>
  <c r="DP76" i="135"/>
  <c r="DQ76" i="135"/>
  <c r="DR76" i="135"/>
  <c r="DS76" i="135"/>
  <c r="DT76" i="135"/>
  <c r="DU76" i="135"/>
  <c r="DV76" i="135"/>
  <c r="DW76" i="135"/>
  <c r="DX76" i="135"/>
  <c r="DY76" i="135"/>
  <c r="DZ76" i="135"/>
  <c r="EA76" i="135"/>
  <c r="EB76" i="135"/>
  <c r="EC76" i="135"/>
  <c r="ED76" i="135"/>
  <c r="EE76" i="135"/>
  <c r="EF76" i="135"/>
  <c r="EG76" i="135"/>
  <c r="EH76" i="135"/>
  <c r="EI76" i="135"/>
  <c r="EJ76" i="135"/>
  <c r="EK76" i="135"/>
  <c r="EL76" i="135"/>
  <c r="EM76" i="135"/>
  <c r="EN76" i="135"/>
  <c r="EO76" i="135"/>
  <c r="EP76" i="135"/>
  <c r="EQ76" i="135"/>
  <c r="ER76" i="135"/>
  <c r="ES76" i="135"/>
  <c r="ET76" i="135"/>
  <c r="EU76" i="135"/>
  <c r="EV76" i="135"/>
  <c r="EW76" i="135"/>
  <c r="EX76" i="135"/>
  <c r="FR45" i="135"/>
  <c r="FS45" i="135"/>
  <c r="FT45" i="135"/>
  <c r="FU45" i="135"/>
  <c r="FV45" i="135"/>
  <c r="FW45" i="135"/>
  <c r="FX45" i="135"/>
  <c r="FY45" i="135"/>
  <c r="FZ45" i="135"/>
  <c r="GA45" i="135"/>
  <c r="GB45" i="135"/>
  <c r="GC45" i="135"/>
  <c r="GD45" i="135"/>
  <c r="GE45" i="135"/>
  <c r="GF45" i="135"/>
  <c r="GG45" i="135"/>
  <c r="GH45" i="135"/>
  <c r="GI45" i="135"/>
  <c r="GJ45" i="135"/>
  <c r="GK45" i="135"/>
  <c r="GL45" i="135"/>
  <c r="GM45" i="135"/>
  <c r="GN45" i="135"/>
  <c r="GO45" i="135"/>
  <c r="GP45" i="135"/>
  <c r="GQ45" i="135"/>
  <c r="GR45" i="135"/>
  <c r="GS45" i="135"/>
  <c r="GT45" i="135"/>
  <c r="GU45" i="135"/>
  <c r="GV45" i="135"/>
  <c r="GW45" i="135"/>
  <c r="GX45" i="135"/>
  <c r="GY45" i="135"/>
  <c r="GZ45" i="135"/>
  <c r="DP45" i="135"/>
  <c r="DQ45" i="135"/>
  <c r="DR45" i="135"/>
  <c r="DS45" i="135"/>
  <c r="DT45" i="135"/>
  <c r="DU45" i="135"/>
  <c r="DV45" i="135"/>
  <c r="DW45" i="135"/>
  <c r="DX45" i="135"/>
  <c r="DY45" i="135"/>
  <c r="DZ45" i="135"/>
  <c r="EA45" i="135"/>
  <c r="EB45" i="135"/>
  <c r="EC45" i="135"/>
  <c r="ED45" i="135"/>
  <c r="EE45" i="135"/>
  <c r="EF45" i="135"/>
  <c r="EG45" i="135"/>
  <c r="EH45" i="135"/>
  <c r="EI45" i="135"/>
  <c r="EJ45" i="135"/>
  <c r="EK45" i="135"/>
  <c r="EL45" i="135"/>
  <c r="EM45" i="135"/>
  <c r="EN45" i="135"/>
  <c r="EO45" i="135"/>
  <c r="EP45" i="135"/>
  <c r="EQ45" i="135"/>
  <c r="ER45" i="135"/>
  <c r="ES45" i="135"/>
  <c r="ET45" i="135"/>
  <c r="EU45" i="135"/>
  <c r="EV45" i="135"/>
  <c r="EW45" i="135"/>
  <c r="EX45" i="135"/>
  <c r="FM66" i="135"/>
  <c r="FN66" i="135"/>
  <c r="FO66" i="135"/>
  <c r="FP66" i="135"/>
  <c r="FQ66" i="135"/>
  <c r="FR66" i="135"/>
  <c r="FS66" i="135"/>
  <c r="FT66" i="135"/>
  <c r="FU66" i="135"/>
  <c r="FV66" i="135"/>
  <c r="FW66" i="135"/>
  <c r="FX66" i="135"/>
  <c r="FY66" i="135"/>
  <c r="FZ66" i="135"/>
  <c r="GA66" i="135"/>
  <c r="GB66" i="135"/>
  <c r="GC66" i="135"/>
  <c r="GD66" i="135"/>
  <c r="GE66" i="135"/>
  <c r="GF66" i="135"/>
  <c r="GG66" i="135"/>
  <c r="GH66" i="135"/>
  <c r="GI66" i="135"/>
  <c r="GJ66" i="135"/>
  <c r="GK66" i="135"/>
  <c r="GL66" i="135"/>
  <c r="GM66" i="135"/>
  <c r="GN66" i="135"/>
  <c r="GO66" i="135"/>
  <c r="GP66" i="135"/>
  <c r="GQ66" i="135"/>
  <c r="GR66" i="135"/>
  <c r="GS66" i="135"/>
  <c r="GT66" i="135"/>
  <c r="GU66" i="135"/>
  <c r="GV66" i="135"/>
  <c r="GW66" i="135"/>
  <c r="GX66" i="135"/>
  <c r="GY66" i="135"/>
  <c r="GZ66" i="135"/>
  <c r="DK66" i="135"/>
  <c r="DL66" i="135"/>
  <c r="DM66" i="135"/>
  <c r="DN66" i="135"/>
  <c r="DO66" i="135"/>
  <c r="DP66" i="135"/>
  <c r="DQ66" i="135"/>
  <c r="DR66" i="135"/>
  <c r="DS66" i="135"/>
  <c r="DT66" i="135"/>
  <c r="DU66" i="135"/>
  <c r="DV66" i="135"/>
  <c r="DW66" i="135"/>
  <c r="DX66" i="135"/>
  <c r="DY66" i="135"/>
  <c r="DZ66" i="135"/>
  <c r="EA66" i="135"/>
  <c r="EB66" i="135"/>
  <c r="EC66" i="135"/>
  <c r="ED66" i="135"/>
  <c r="EE66" i="135"/>
  <c r="EF66" i="135"/>
  <c r="EG66" i="135"/>
  <c r="EH66" i="135"/>
  <c r="EI66" i="135"/>
  <c r="EJ66" i="135"/>
  <c r="EK66" i="135"/>
  <c r="EL66" i="135"/>
  <c r="EM66" i="135"/>
  <c r="EN66" i="135"/>
  <c r="EO66" i="135"/>
  <c r="EP66" i="135"/>
  <c r="EQ66" i="135"/>
  <c r="ER66" i="135"/>
  <c r="ES66" i="135"/>
  <c r="ET66" i="135"/>
  <c r="EU66" i="135"/>
  <c r="EV66" i="135"/>
  <c r="EW66" i="135"/>
  <c r="EX66" i="135"/>
  <c r="FO68" i="135"/>
  <c r="FP68" i="135"/>
  <c r="FQ68" i="135"/>
  <c r="FR68" i="135"/>
  <c r="FS68" i="135"/>
  <c r="FT68" i="135"/>
  <c r="FU68" i="135"/>
  <c r="FV68" i="135"/>
  <c r="FW68" i="135"/>
  <c r="FX68" i="135"/>
  <c r="FY68" i="135"/>
  <c r="FZ68" i="135"/>
  <c r="GA68" i="135"/>
  <c r="GB68" i="135"/>
  <c r="GC68" i="135"/>
  <c r="GD68" i="135"/>
  <c r="FC68" i="135"/>
  <c r="FG68" i="135"/>
  <c r="FK68" i="135"/>
  <c r="EZ68" i="135"/>
  <c r="FD68" i="135"/>
  <c r="FH68" i="135"/>
  <c r="FL68" i="135"/>
  <c r="FA68" i="135"/>
  <c r="FE68" i="135"/>
  <c r="FI68" i="135"/>
  <c r="FM68" i="135"/>
  <c r="GE68" i="135"/>
  <c r="FB68" i="135"/>
  <c r="FF68" i="135"/>
  <c r="FJ68" i="135"/>
  <c r="FN68" i="135"/>
  <c r="GF68" i="135"/>
  <c r="GG68" i="135"/>
  <c r="GH68" i="135"/>
  <c r="GI68" i="135"/>
  <c r="GJ68" i="135"/>
  <c r="GK68" i="135"/>
  <c r="GL68" i="135"/>
  <c r="GM68" i="135"/>
  <c r="GN68" i="135"/>
  <c r="GO68" i="135"/>
  <c r="GP68" i="135"/>
  <c r="GQ68" i="135"/>
  <c r="GR68" i="135"/>
  <c r="GS68" i="135"/>
  <c r="GT68" i="135"/>
  <c r="GU68" i="135"/>
  <c r="GV68" i="135"/>
  <c r="GW68" i="135"/>
  <c r="GX68" i="135"/>
  <c r="GY68" i="135"/>
  <c r="GZ68" i="135"/>
  <c r="DM68" i="135"/>
  <c r="DN68" i="135"/>
  <c r="DO68" i="135"/>
  <c r="DP68" i="135"/>
  <c r="DQ68" i="135"/>
  <c r="DR68" i="135"/>
  <c r="DS68" i="135"/>
  <c r="DT68" i="135"/>
  <c r="DU68" i="135"/>
  <c r="DV68" i="135"/>
  <c r="DW68" i="135"/>
  <c r="DX68" i="135"/>
  <c r="DY68" i="135"/>
  <c r="DZ68" i="135"/>
  <c r="EA68" i="135"/>
  <c r="EB68" i="135"/>
  <c r="EC68" i="135"/>
  <c r="ED68" i="135"/>
  <c r="EE68" i="135"/>
  <c r="EF68" i="135"/>
  <c r="EG68" i="135"/>
  <c r="EH68" i="135"/>
  <c r="EI68" i="135"/>
  <c r="EJ68" i="135"/>
  <c r="EK68" i="135"/>
  <c r="EL68" i="135"/>
  <c r="EM68" i="135"/>
  <c r="EN68" i="135"/>
  <c r="EO68" i="135"/>
  <c r="EP68" i="135"/>
  <c r="EQ68" i="135"/>
  <c r="ER68" i="135"/>
  <c r="ES68" i="135"/>
  <c r="ET68" i="135"/>
  <c r="EU68" i="135"/>
  <c r="EV68" i="135"/>
  <c r="EW68" i="135"/>
  <c r="EX68" i="135"/>
  <c r="FM52" i="135"/>
  <c r="FN52" i="135"/>
  <c r="FO52" i="135"/>
  <c r="FP52" i="135"/>
  <c r="FQ52" i="135"/>
  <c r="FR52" i="135"/>
  <c r="FS52" i="135"/>
  <c r="FT52" i="135"/>
  <c r="FU52" i="135"/>
  <c r="FV52" i="135"/>
  <c r="FW52" i="135"/>
  <c r="FX52" i="135"/>
  <c r="FY52" i="135"/>
  <c r="FZ52" i="135"/>
  <c r="GA52" i="135"/>
  <c r="GB52" i="135"/>
  <c r="GC52" i="135"/>
  <c r="GD52" i="135"/>
  <c r="GE52" i="135"/>
  <c r="GF52" i="135"/>
  <c r="GG52" i="135"/>
  <c r="GH52" i="135"/>
  <c r="GI52" i="135"/>
  <c r="GJ52" i="135"/>
  <c r="GK52" i="135"/>
  <c r="GL52" i="135"/>
  <c r="GM52" i="135"/>
  <c r="GN52" i="135"/>
  <c r="GO52" i="135"/>
  <c r="GP52" i="135"/>
  <c r="GQ52" i="135"/>
  <c r="GR52" i="135"/>
  <c r="GS52" i="135"/>
  <c r="GT52" i="135"/>
  <c r="GU52" i="135"/>
  <c r="GV52" i="135"/>
  <c r="GW52" i="135"/>
  <c r="GX52" i="135"/>
  <c r="GY52" i="135"/>
  <c r="GZ52" i="135"/>
  <c r="DK52" i="135"/>
  <c r="DL52" i="135"/>
  <c r="DM52" i="135"/>
  <c r="DN52" i="135"/>
  <c r="DO52" i="135"/>
  <c r="DP52" i="135"/>
  <c r="DQ52" i="135"/>
  <c r="DR52" i="135"/>
  <c r="DS52" i="135"/>
  <c r="DT52" i="135"/>
  <c r="DU52" i="135"/>
  <c r="DV52" i="135"/>
  <c r="DW52" i="135"/>
  <c r="DX52" i="135"/>
  <c r="DY52" i="135"/>
  <c r="DZ52" i="135"/>
  <c r="EA52" i="135"/>
  <c r="EB52" i="135"/>
  <c r="EC52" i="135"/>
  <c r="ED52" i="135"/>
  <c r="EE52" i="135"/>
  <c r="EF52" i="135"/>
  <c r="EG52" i="135"/>
  <c r="EH52" i="135"/>
  <c r="EI52" i="135"/>
  <c r="EJ52" i="135"/>
  <c r="EK52" i="135"/>
  <c r="EL52" i="135"/>
  <c r="EM52" i="135"/>
  <c r="EN52" i="135"/>
  <c r="EO52" i="135"/>
  <c r="EP52" i="135"/>
  <c r="EQ52" i="135"/>
  <c r="ER52" i="135"/>
  <c r="ES52" i="135"/>
  <c r="ET52" i="135"/>
  <c r="EU52" i="135"/>
  <c r="EV52" i="135"/>
  <c r="EW52" i="135"/>
  <c r="EX52" i="135"/>
  <c r="FN57" i="135"/>
  <c r="FO57" i="135"/>
  <c r="FP57" i="135"/>
  <c r="FQ57" i="135"/>
  <c r="FR57" i="135"/>
  <c r="FS57" i="135"/>
  <c r="FT57" i="135"/>
  <c r="FU57" i="135"/>
  <c r="FV57" i="135"/>
  <c r="FW57" i="135"/>
  <c r="FX57" i="135"/>
  <c r="FY57" i="135"/>
  <c r="FZ57" i="135"/>
  <c r="GA57" i="135"/>
  <c r="GB57" i="135"/>
  <c r="GC57" i="135"/>
  <c r="GD57" i="135"/>
  <c r="GE57" i="135"/>
  <c r="GF57" i="135"/>
  <c r="GG57" i="135"/>
  <c r="GH57" i="135"/>
  <c r="GI57" i="135"/>
  <c r="GJ57" i="135"/>
  <c r="GK57" i="135"/>
  <c r="GL57" i="135"/>
  <c r="GM57" i="135"/>
  <c r="GN57" i="135"/>
  <c r="GO57" i="135"/>
  <c r="GP57" i="135"/>
  <c r="GQ57" i="135"/>
  <c r="GR57" i="135"/>
  <c r="GS57" i="135"/>
  <c r="GT57" i="135"/>
  <c r="GU57" i="135"/>
  <c r="GV57" i="135"/>
  <c r="GW57" i="135"/>
  <c r="GX57" i="135"/>
  <c r="GY57" i="135"/>
  <c r="GZ57" i="135"/>
  <c r="DL57" i="135"/>
  <c r="DM57" i="135"/>
  <c r="DN57" i="135"/>
  <c r="DO57" i="135"/>
  <c r="DP57" i="135"/>
  <c r="DQ57" i="135"/>
  <c r="DR57" i="135"/>
  <c r="DS57" i="135"/>
  <c r="DT57" i="135"/>
  <c r="DU57" i="135"/>
  <c r="DV57" i="135"/>
  <c r="DW57" i="135"/>
  <c r="DX57" i="135"/>
  <c r="DY57" i="135"/>
  <c r="DZ57" i="135"/>
  <c r="EA57" i="135"/>
  <c r="EB57" i="135"/>
  <c r="EC57" i="135"/>
  <c r="ED57" i="135"/>
  <c r="EE57" i="135"/>
  <c r="EF57" i="135"/>
  <c r="EG57" i="135"/>
  <c r="EH57" i="135"/>
  <c r="EI57" i="135"/>
  <c r="EJ57" i="135"/>
  <c r="EK57" i="135"/>
  <c r="EL57" i="135"/>
  <c r="EM57" i="135"/>
  <c r="EN57" i="135"/>
  <c r="EO57" i="135"/>
  <c r="EP57" i="135"/>
  <c r="EQ57" i="135"/>
  <c r="ER57" i="135"/>
  <c r="ES57" i="135"/>
  <c r="ET57" i="135"/>
  <c r="EU57" i="135"/>
  <c r="EV57" i="135"/>
  <c r="EW57" i="135"/>
  <c r="EX57" i="135"/>
  <c r="FH64" i="135"/>
  <c r="FI64" i="135"/>
  <c r="FJ64" i="135"/>
  <c r="FK64" i="135"/>
  <c r="FL64" i="135"/>
  <c r="FM64" i="135"/>
  <c r="FN64" i="135"/>
  <c r="FO64" i="135"/>
  <c r="FP64" i="135"/>
  <c r="FQ64" i="135"/>
  <c r="FR64" i="135"/>
  <c r="FS64" i="135"/>
  <c r="FT64" i="135"/>
  <c r="FU64" i="135"/>
  <c r="FV64" i="135"/>
  <c r="FW64" i="135"/>
  <c r="FX64" i="135"/>
  <c r="FY64" i="135"/>
  <c r="FZ64" i="135"/>
  <c r="GA64" i="135"/>
  <c r="GB64" i="135"/>
  <c r="GC64" i="135"/>
  <c r="GD64" i="135"/>
  <c r="GE64" i="135"/>
  <c r="GF64" i="135"/>
  <c r="GG64" i="135"/>
  <c r="GH64" i="135"/>
  <c r="GI64" i="135"/>
  <c r="GJ64" i="135"/>
  <c r="GK64" i="135"/>
  <c r="GL64" i="135"/>
  <c r="GM64" i="135"/>
  <c r="GN64" i="135"/>
  <c r="GO64" i="135"/>
  <c r="GP64" i="135"/>
  <c r="GQ64" i="135"/>
  <c r="GR64" i="135"/>
  <c r="GS64" i="135"/>
  <c r="GT64" i="135"/>
  <c r="GU64" i="135"/>
  <c r="GV64" i="135"/>
  <c r="GW64" i="135"/>
  <c r="GX64" i="135"/>
  <c r="GY64" i="135"/>
  <c r="GZ64" i="135"/>
  <c r="DF64" i="135"/>
  <c r="DG64" i="135"/>
  <c r="DH64" i="135"/>
  <c r="DI64" i="135"/>
  <c r="DJ64" i="135"/>
  <c r="DK64" i="135"/>
  <c r="DL64" i="135"/>
  <c r="DM64" i="135"/>
  <c r="DN64" i="135"/>
  <c r="DO64" i="135"/>
  <c r="DP64" i="135"/>
  <c r="DQ64" i="135"/>
  <c r="DR64" i="135"/>
  <c r="DS64" i="135"/>
  <c r="DT64" i="135"/>
  <c r="DU64" i="135"/>
  <c r="DV64" i="135"/>
  <c r="DW64" i="135"/>
  <c r="DX64" i="135"/>
  <c r="DY64" i="135"/>
  <c r="DZ64" i="135"/>
  <c r="EA64" i="135"/>
  <c r="EB64" i="135"/>
  <c r="EC64" i="135"/>
  <c r="ED64" i="135"/>
  <c r="EE64" i="135"/>
  <c r="EF64" i="135"/>
  <c r="EG64" i="135"/>
  <c r="EH64" i="135"/>
  <c r="EI64" i="135"/>
  <c r="EJ64" i="135"/>
  <c r="EK64" i="135"/>
  <c r="EL64" i="135"/>
  <c r="EM64" i="135"/>
  <c r="EN64" i="135"/>
  <c r="EO64" i="135"/>
  <c r="EP64" i="135"/>
  <c r="EQ64" i="135"/>
  <c r="ER64" i="135"/>
  <c r="ES64" i="135"/>
  <c r="ET64" i="135"/>
  <c r="EU64" i="135"/>
  <c r="EV64" i="135"/>
  <c r="EW64" i="135"/>
  <c r="EX64" i="135"/>
  <c r="FR82" i="135"/>
  <c r="FS82" i="135"/>
  <c r="FT82" i="135"/>
  <c r="FU82" i="135"/>
  <c r="FV82" i="135"/>
  <c r="FW82" i="135"/>
  <c r="FX82" i="135"/>
  <c r="FY82" i="135"/>
  <c r="FZ82" i="135"/>
  <c r="GA82" i="135"/>
  <c r="GB82" i="135"/>
  <c r="GC82" i="135"/>
  <c r="GD82" i="135"/>
  <c r="GE82" i="135"/>
  <c r="GF82" i="135"/>
  <c r="GG82" i="135"/>
  <c r="GH82" i="135"/>
  <c r="GI82" i="135"/>
  <c r="GJ82" i="135"/>
  <c r="GK82" i="135"/>
  <c r="GL82" i="135"/>
  <c r="GM82" i="135"/>
  <c r="GN82" i="135"/>
  <c r="GO82" i="135"/>
  <c r="GP82" i="135"/>
  <c r="GQ82" i="135"/>
  <c r="GR82" i="135"/>
  <c r="GS82" i="135"/>
  <c r="GT82" i="135"/>
  <c r="GU82" i="135"/>
  <c r="GV82" i="135"/>
  <c r="GW82" i="135"/>
  <c r="GX82" i="135"/>
  <c r="GY82" i="135"/>
  <c r="GZ82" i="135"/>
  <c r="DP82" i="135"/>
  <c r="DQ82" i="135"/>
  <c r="DR82" i="135"/>
  <c r="DS82" i="135"/>
  <c r="DT82" i="135"/>
  <c r="DU82" i="135"/>
  <c r="DV82" i="135"/>
  <c r="DW82" i="135"/>
  <c r="DX82" i="135"/>
  <c r="DY82" i="135"/>
  <c r="DZ82" i="135"/>
  <c r="EA82" i="135"/>
  <c r="EB82" i="135"/>
  <c r="EC82" i="135"/>
  <c r="ED82" i="135"/>
  <c r="EE82" i="135"/>
  <c r="EF82" i="135"/>
  <c r="EG82" i="135"/>
  <c r="EH82" i="135"/>
  <c r="EI82" i="135"/>
  <c r="EJ82" i="135"/>
  <c r="EK82" i="135"/>
  <c r="EL82" i="135"/>
  <c r="EM82" i="135"/>
  <c r="EN82" i="135"/>
  <c r="EO82" i="135"/>
  <c r="EP82" i="135"/>
  <c r="EQ82" i="135"/>
  <c r="ER82" i="135"/>
  <c r="ES82" i="135"/>
  <c r="ET82" i="135"/>
  <c r="EU82" i="135"/>
  <c r="EV82" i="135"/>
  <c r="EW82" i="135"/>
  <c r="EX82" i="135"/>
  <c r="FH74" i="135"/>
  <c r="FI74" i="135"/>
  <c r="FJ74" i="135"/>
  <c r="FK74" i="135"/>
  <c r="FL74" i="135"/>
  <c r="FM74" i="135"/>
  <c r="FN74" i="135"/>
  <c r="FO74" i="135"/>
  <c r="FP74" i="135"/>
  <c r="FQ74" i="135"/>
  <c r="FR74" i="135"/>
  <c r="FS74" i="135"/>
  <c r="FT74" i="135"/>
  <c r="FU74" i="135"/>
  <c r="FV74" i="135"/>
  <c r="FW74" i="135"/>
  <c r="FX74" i="135"/>
  <c r="FY74" i="135"/>
  <c r="FZ74" i="135"/>
  <c r="GA74" i="135"/>
  <c r="GB74" i="135"/>
  <c r="GC74" i="135"/>
  <c r="GD74" i="135"/>
  <c r="GE74" i="135"/>
  <c r="GF74" i="135"/>
  <c r="GG74" i="135"/>
  <c r="GH74" i="135"/>
  <c r="GI74" i="135"/>
  <c r="GJ74" i="135"/>
  <c r="GK74" i="135"/>
  <c r="GL74" i="135"/>
  <c r="GM74" i="135"/>
  <c r="GN74" i="135"/>
  <c r="GO74" i="135"/>
  <c r="GP74" i="135"/>
  <c r="GQ74" i="135"/>
  <c r="GR74" i="135"/>
  <c r="GS74" i="135"/>
  <c r="GT74" i="135"/>
  <c r="GU74" i="135"/>
  <c r="GV74" i="135"/>
  <c r="GW74" i="135"/>
  <c r="GX74" i="135"/>
  <c r="GY74" i="135"/>
  <c r="GZ74" i="135"/>
  <c r="DF74" i="135"/>
  <c r="DG74" i="135"/>
  <c r="DH74" i="135"/>
  <c r="DI74" i="135"/>
  <c r="DJ74" i="135"/>
  <c r="DK74" i="135"/>
  <c r="DL74" i="135"/>
  <c r="DM74" i="135"/>
  <c r="DN74" i="135"/>
  <c r="DO74" i="135"/>
  <c r="DP74" i="135"/>
  <c r="DQ74" i="135"/>
  <c r="DR74" i="135"/>
  <c r="DS74" i="135"/>
  <c r="DT74" i="135"/>
  <c r="DU74" i="135"/>
  <c r="DV74" i="135"/>
  <c r="DW74" i="135"/>
  <c r="DX74" i="135"/>
  <c r="DY74" i="135"/>
  <c r="DZ74" i="135"/>
  <c r="EA74" i="135"/>
  <c r="EB74" i="135"/>
  <c r="EC74" i="135"/>
  <c r="ED74" i="135"/>
  <c r="EE74" i="135"/>
  <c r="EF74" i="135"/>
  <c r="EG74" i="135"/>
  <c r="EH74" i="135"/>
  <c r="EI74" i="135"/>
  <c r="EJ74" i="135"/>
  <c r="EK74" i="135"/>
  <c r="EL74" i="135"/>
  <c r="EM74" i="135"/>
  <c r="EN74" i="135"/>
  <c r="EO74" i="135"/>
  <c r="EP74" i="135"/>
  <c r="EQ74" i="135"/>
  <c r="ER74" i="135"/>
  <c r="ES74" i="135"/>
  <c r="ET74" i="135"/>
  <c r="EU74" i="135"/>
  <c r="EV74" i="135"/>
  <c r="EW74" i="135"/>
  <c r="EX74" i="135"/>
  <c r="FO92" i="135"/>
  <c r="FP92" i="135"/>
  <c r="FQ92" i="135"/>
  <c r="FR92" i="135"/>
  <c r="FS92" i="135"/>
  <c r="FT92" i="135"/>
  <c r="FU92" i="135"/>
  <c r="FV92" i="135"/>
  <c r="FW92" i="135"/>
  <c r="FX92" i="135"/>
  <c r="FY92" i="135"/>
  <c r="FZ92" i="135"/>
  <c r="GA92" i="135"/>
  <c r="GB92" i="135"/>
  <c r="GC92" i="135"/>
  <c r="GD92" i="135"/>
  <c r="FB92" i="135"/>
  <c r="FF92" i="135"/>
  <c r="FJ92" i="135"/>
  <c r="FN92" i="135"/>
  <c r="FC92" i="135"/>
  <c r="FG92" i="135"/>
  <c r="FK92" i="135"/>
  <c r="GE92" i="135"/>
  <c r="EZ92" i="135"/>
  <c r="FD92" i="135"/>
  <c r="FH92" i="135"/>
  <c r="FL92" i="135"/>
  <c r="FA92" i="135"/>
  <c r="FE92" i="135"/>
  <c r="FI92" i="135"/>
  <c r="FM92" i="135"/>
  <c r="GF92" i="135"/>
  <c r="GG92" i="135"/>
  <c r="GH92" i="135"/>
  <c r="GI92" i="135"/>
  <c r="GJ92" i="135"/>
  <c r="GK92" i="135"/>
  <c r="GL92" i="135"/>
  <c r="GM92" i="135"/>
  <c r="GN92" i="135"/>
  <c r="GO92" i="135"/>
  <c r="GP92" i="135"/>
  <c r="GQ92" i="135"/>
  <c r="GR92" i="135"/>
  <c r="GS92" i="135"/>
  <c r="GT92" i="135"/>
  <c r="GU92" i="135"/>
  <c r="GV92" i="135"/>
  <c r="GW92" i="135"/>
  <c r="GX92" i="135"/>
  <c r="GY92" i="135"/>
  <c r="GZ92" i="135"/>
  <c r="DM92" i="135"/>
  <c r="DN92" i="135"/>
  <c r="DO92" i="135"/>
  <c r="DP92" i="135"/>
  <c r="DQ92" i="135"/>
  <c r="DR92" i="135"/>
  <c r="DS92" i="135"/>
  <c r="DT92" i="135"/>
  <c r="DU92" i="135"/>
  <c r="DV92" i="135"/>
  <c r="DW92" i="135"/>
  <c r="DX92" i="135"/>
  <c r="DY92" i="135"/>
  <c r="DZ92" i="135"/>
  <c r="EA92" i="135"/>
  <c r="EB92" i="135"/>
  <c r="EC92" i="135"/>
  <c r="ED92" i="135"/>
  <c r="EE92" i="135"/>
  <c r="EF92" i="135"/>
  <c r="EG92" i="135"/>
  <c r="EH92" i="135"/>
  <c r="EI92" i="135"/>
  <c r="EJ92" i="135"/>
  <c r="EK92" i="135"/>
  <c r="EL92" i="135"/>
  <c r="EM92" i="135"/>
  <c r="EN92" i="135"/>
  <c r="EO92" i="135"/>
  <c r="EP92" i="135"/>
  <c r="EQ92" i="135"/>
  <c r="ER92" i="135"/>
  <c r="ES92" i="135"/>
  <c r="ET92" i="135"/>
  <c r="EU92" i="135"/>
  <c r="EV92" i="135"/>
  <c r="EW92" i="135"/>
  <c r="EX92" i="135"/>
  <c r="AM46" i="135"/>
  <c r="AP45" i="135"/>
  <c r="AT45" i="135"/>
  <c r="AP61" i="135"/>
  <c r="AT61" i="135"/>
  <c r="AP57" i="135"/>
  <c r="AT57" i="135"/>
  <c r="FO49" i="135"/>
  <c r="FP49" i="135"/>
  <c r="FQ49" i="135"/>
  <c r="FR49" i="135"/>
  <c r="FS49" i="135"/>
  <c r="FT49" i="135"/>
  <c r="FU49" i="135"/>
  <c r="FV49" i="135"/>
  <c r="FW49" i="135"/>
  <c r="FX49" i="135"/>
  <c r="FY49" i="135"/>
  <c r="FZ49" i="135"/>
  <c r="GA49" i="135"/>
  <c r="GB49" i="135"/>
  <c r="GC49" i="135"/>
  <c r="GD49" i="135"/>
  <c r="GE49" i="135"/>
  <c r="GF49" i="135"/>
  <c r="GG49" i="135"/>
  <c r="GH49" i="135"/>
  <c r="GI49" i="135"/>
  <c r="GJ49" i="135"/>
  <c r="GK49" i="135"/>
  <c r="GL49" i="135"/>
  <c r="GM49" i="135"/>
  <c r="GN49" i="135"/>
  <c r="GO49" i="135"/>
  <c r="GP49" i="135"/>
  <c r="GQ49" i="135"/>
  <c r="GR49" i="135"/>
  <c r="GS49" i="135"/>
  <c r="GT49" i="135"/>
  <c r="CX49" i="135"/>
  <c r="GU49" i="135"/>
  <c r="CY49" i="135"/>
  <c r="GV49" i="135"/>
  <c r="CZ49" i="135"/>
  <c r="DA49" i="135"/>
  <c r="GW49" i="135"/>
  <c r="GX49" i="135"/>
  <c r="DB49" i="135"/>
  <c r="DC49" i="135"/>
  <c r="GY49" i="135"/>
  <c r="GZ49" i="135"/>
  <c r="DD49" i="135"/>
  <c r="DE49" i="135"/>
  <c r="DF49" i="135"/>
  <c r="DG49" i="135"/>
  <c r="DH49" i="135"/>
  <c r="DI49" i="135"/>
  <c r="DJ49" i="135"/>
  <c r="DK49" i="135"/>
  <c r="DL49" i="135"/>
  <c r="DM49" i="135"/>
  <c r="DN49" i="135"/>
  <c r="DO49" i="135"/>
  <c r="DP49" i="135"/>
  <c r="DQ49" i="135"/>
  <c r="DR49" i="135"/>
  <c r="DS49" i="135"/>
  <c r="DT49" i="135"/>
  <c r="DU49" i="135"/>
  <c r="DV49" i="135"/>
  <c r="DW49" i="135"/>
  <c r="DX49" i="135"/>
  <c r="DY49" i="135"/>
  <c r="DZ49" i="135"/>
  <c r="EA49" i="135"/>
  <c r="EB49" i="135"/>
  <c r="EC49" i="135"/>
  <c r="ED49" i="135"/>
  <c r="EE49" i="135"/>
  <c r="EF49" i="135"/>
  <c r="EG49" i="135"/>
  <c r="EH49" i="135"/>
  <c r="EI49" i="135"/>
  <c r="EJ49" i="135"/>
  <c r="EK49" i="135"/>
  <c r="EL49" i="135"/>
  <c r="EM49" i="135"/>
  <c r="EN49" i="135"/>
  <c r="EO49" i="135"/>
  <c r="EP49" i="135"/>
  <c r="EQ49" i="135"/>
  <c r="ER49" i="135"/>
  <c r="ES49" i="135"/>
  <c r="ET49" i="135"/>
  <c r="EU49" i="135"/>
  <c r="EV49" i="135"/>
  <c r="EW49" i="135"/>
  <c r="EX49" i="135"/>
  <c r="FR44" i="135"/>
  <c r="FS44" i="135"/>
  <c r="FT44" i="135"/>
  <c r="FU44" i="135"/>
  <c r="FV44" i="135"/>
  <c r="FW44" i="135"/>
  <c r="FX44" i="135"/>
  <c r="FY44" i="135"/>
  <c r="FZ44" i="135"/>
  <c r="GA44" i="135"/>
  <c r="GB44" i="135"/>
  <c r="GC44" i="135"/>
  <c r="GD44" i="135"/>
  <c r="GE44" i="135"/>
  <c r="GF44" i="135"/>
  <c r="GG44" i="135"/>
  <c r="GH44" i="135"/>
  <c r="GI44" i="135"/>
  <c r="GJ44" i="135"/>
  <c r="GK44" i="135"/>
  <c r="GL44" i="135"/>
  <c r="GM44" i="135"/>
  <c r="GN44" i="135"/>
  <c r="GO44" i="135"/>
  <c r="GP44" i="135"/>
  <c r="GQ44" i="135"/>
  <c r="GR44" i="135"/>
  <c r="GS44" i="135"/>
  <c r="GT44" i="135"/>
  <c r="GU44" i="135"/>
  <c r="GV44" i="135"/>
  <c r="GW44" i="135"/>
  <c r="GX44" i="135"/>
  <c r="GY44" i="135"/>
  <c r="GZ44" i="135"/>
  <c r="DP44" i="135"/>
  <c r="DQ44" i="135"/>
  <c r="DR44" i="135"/>
  <c r="DS44" i="135"/>
  <c r="DT44" i="135"/>
  <c r="DU44" i="135"/>
  <c r="DV44" i="135"/>
  <c r="DW44" i="135"/>
  <c r="DX44" i="135"/>
  <c r="DY44" i="135"/>
  <c r="DZ44" i="135"/>
  <c r="EA44" i="135"/>
  <c r="EB44" i="135"/>
  <c r="EC44" i="135"/>
  <c r="ED44" i="135"/>
  <c r="EE44" i="135"/>
  <c r="EF44" i="135"/>
  <c r="EG44" i="135"/>
  <c r="EH44" i="135"/>
  <c r="EI44" i="135"/>
  <c r="EJ44" i="135"/>
  <c r="EK44" i="135"/>
  <c r="EL44" i="135"/>
  <c r="EM44" i="135"/>
  <c r="EN44" i="135"/>
  <c r="EO44" i="135"/>
  <c r="EP44" i="135"/>
  <c r="EQ44" i="135"/>
  <c r="ER44" i="135"/>
  <c r="ES44" i="135"/>
  <c r="ET44" i="135"/>
  <c r="EU44" i="135"/>
  <c r="EV44" i="135"/>
  <c r="EW44" i="135"/>
  <c r="EX44" i="135"/>
  <c r="FP85" i="135"/>
  <c r="FQ85" i="135"/>
  <c r="FR85" i="135"/>
  <c r="FS85" i="135"/>
  <c r="FT85" i="135"/>
  <c r="FU85" i="135"/>
  <c r="FV85" i="135"/>
  <c r="FW85" i="135"/>
  <c r="FX85" i="135"/>
  <c r="FY85" i="135"/>
  <c r="FZ85" i="135"/>
  <c r="GA85" i="135"/>
  <c r="GB85" i="135"/>
  <c r="GC85" i="135"/>
  <c r="GD85" i="135"/>
  <c r="GE85" i="135"/>
  <c r="GF85" i="135"/>
  <c r="GG85" i="135"/>
  <c r="GH85" i="135"/>
  <c r="GI85" i="135"/>
  <c r="GJ85" i="135"/>
  <c r="GK85" i="135"/>
  <c r="GL85" i="135"/>
  <c r="GM85" i="135"/>
  <c r="GN85" i="135"/>
  <c r="GO85" i="135"/>
  <c r="GP85" i="135"/>
  <c r="GQ85" i="135"/>
  <c r="GR85" i="135"/>
  <c r="GS85" i="135"/>
  <c r="GT85" i="135"/>
  <c r="GU85" i="135"/>
  <c r="GV85" i="135"/>
  <c r="GW85" i="135"/>
  <c r="GX85" i="135"/>
  <c r="GY85" i="135"/>
  <c r="GZ85" i="135"/>
  <c r="DN85" i="135"/>
  <c r="DO85" i="135"/>
  <c r="DP85" i="135"/>
  <c r="DQ85" i="135"/>
  <c r="DR85" i="135"/>
  <c r="DS85" i="135"/>
  <c r="DT85" i="135"/>
  <c r="DU85" i="135"/>
  <c r="DV85" i="135"/>
  <c r="DW85" i="135"/>
  <c r="DX85" i="135"/>
  <c r="DY85" i="135"/>
  <c r="DZ85" i="135"/>
  <c r="EA85" i="135"/>
  <c r="EB85" i="135"/>
  <c r="EC85" i="135"/>
  <c r="ED85" i="135"/>
  <c r="EE85" i="135"/>
  <c r="EF85" i="135"/>
  <c r="EG85" i="135"/>
  <c r="EH85" i="135"/>
  <c r="EI85" i="135"/>
  <c r="EJ85" i="135"/>
  <c r="EK85" i="135"/>
  <c r="EL85" i="135"/>
  <c r="EM85" i="135"/>
  <c r="EN85" i="135"/>
  <c r="EO85" i="135"/>
  <c r="EP85" i="135"/>
  <c r="EQ85" i="135"/>
  <c r="ER85" i="135"/>
  <c r="ES85" i="135"/>
  <c r="ET85" i="135"/>
  <c r="EU85" i="135"/>
  <c r="EV85" i="135"/>
  <c r="EW85" i="135"/>
  <c r="EX85" i="135"/>
  <c r="FJ54" i="135"/>
  <c r="FK54" i="135"/>
  <c r="FL54" i="135"/>
  <c r="FM54" i="135"/>
  <c r="FN54" i="135"/>
  <c r="FO54" i="135"/>
  <c r="FP54" i="135"/>
  <c r="FQ54" i="135"/>
  <c r="FR54" i="135"/>
  <c r="FS54" i="135"/>
  <c r="FT54" i="135"/>
  <c r="FU54" i="135"/>
  <c r="FV54" i="135"/>
  <c r="FW54" i="135"/>
  <c r="FX54" i="135"/>
  <c r="FY54" i="135"/>
  <c r="FZ54" i="135"/>
  <c r="GA54" i="135"/>
  <c r="GB54" i="135"/>
  <c r="GC54" i="135"/>
  <c r="GD54" i="135"/>
  <c r="GE54" i="135"/>
  <c r="GF54" i="135"/>
  <c r="GG54" i="135"/>
  <c r="GH54" i="135"/>
  <c r="GI54" i="135"/>
  <c r="GJ54" i="135"/>
  <c r="GK54" i="135"/>
  <c r="GL54" i="135"/>
  <c r="GM54" i="135"/>
  <c r="GN54" i="135"/>
  <c r="GO54" i="135"/>
  <c r="GP54" i="135"/>
  <c r="GQ54" i="135"/>
  <c r="GR54" i="135"/>
  <c r="GS54" i="135"/>
  <c r="GT54" i="135"/>
  <c r="GU54" i="135"/>
  <c r="GV54" i="135"/>
  <c r="GW54" i="135"/>
  <c r="GX54" i="135"/>
  <c r="GY54" i="135"/>
  <c r="GZ54" i="135"/>
  <c r="DH54" i="135"/>
  <c r="DI54" i="135"/>
  <c r="DJ54" i="135"/>
  <c r="DK54" i="135"/>
  <c r="DL54" i="135"/>
  <c r="DM54" i="135"/>
  <c r="DN54" i="135"/>
  <c r="DO54" i="135"/>
  <c r="DP54" i="135"/>
  <c r="DQ54" i="135"/>
  <c r="DR54" i="135"/>
  <c r="DS54" i="135"/>
  <c r="DT54" i="135"/>
  <c r="DU54" i="135"/>
  <c r="DV54" i="135"/>
  <c r="DW54" i="135"/>
  <c r="DX54" i="135"/>
  <c r="DY54" i="135"/>
  <c r="DZ54" i="135"/>
  <c r="EA54" i="135"/>
  <c r="EB54" i="135"/>
  <c r="EC54" i="135"/>
  <c r="ED54" i="135"/>
  <c r="EE54" i="135"/>
  <c r="EF54" i="135"/>
  <c r="EG54" i="135"/>
  <c r="EH54" i="135"/>
  <c r="EI54" i="135"/>
  <c r="EJ54" i="135"/>
  <c r="EK54" i="135"/>
  <c r="EL54" i="135"/>
  <c r="EM54" i="135"/>
  <c r="EN54" i="135"/>
  <c r="EO54" i="135"/>
  <c r="EP54" i="135"/>
  <c r="EQ54" i="135"/>
  <c r="ER54" i="135"/>
  <c r="ES54" i="135"/>
  <c r="ET54" i="135"/>
  <c r="EU54" i="135"/>
  <c r="EV54" i="135"/>
  <c r="EW54" i="135"/>
  <c r="EX54" i="135"/>
  <c r="FO96" i="135"/>
  <c r="FP96" i="135"/>
  <c r="FQ96" i="135"/>
  <c r="FR96" i="135"/>
  <c r="FS96" i="135"/>
  <c r="FT96" i="135"/>
  <c r="FU96" i="135"/>
  <c r="FV96" i="135"/>
  <c r="FW96" i="135"/>
  <c r="FX96" i="135"/>
  <c r="FY96" i="135"/>
  <c r="FZ96" i="135"/>
  <c r="GA96" i="135"/>
  <c r="GB96" i="135"/>
  <c r="GC96" i="135"/>
  <c r="GD96" i="135"/>
  <c r="GE96" i="135"/>
  <c r="GF96" i="135"/>
  <c r="GG96" i="135"/>
  <c r="GH96" i="135"/>
  <c r="GI96" i="135"/>
  <c r="GJ96" i="135"/>
  <c r="GK96" i="135"/>
  <c r="GL96" i="135"/>
  <c r="GM96" i="135"/>
  <c r="GN96" i="135"/>
  <c r="GO96" i="135"/>
  <c r="GP96" i="135"/>
  <c r="GQ96" i="135"/>
  <c r="GR96" i="135"/>
  <c r="GS96" i="135"/>
  <c r="CX96" i="135"/>
  <c r="GT96" i="135"/>
  <c r="GU96" i="135"/>
  <c r="CY96" i="135"/>
  <c r="GV96" i="135"/>
  <c r="CZ96" i="135"/>
  <c r="DA96" i="135"/>
  <c r="GW96" i="135"/>
  <c r="GX96" i="135"/>
  <c r="DB96" i="135"/>
  <c r="GY96" i="135"/>
  <c r="DC96" i="135"/>
  <c r="GZ96" i="135"/>
  <c r="DD96" i="135"/>
  <c r="DE96" i="135"/>
  <c r="DF96" i="135"/>
  <c r="DG96" i="135"/>
  <c r="DH96" i="135"/>
  <c r="DI96" i="135"/>
  <c r="DJ96" i="135"/>
  <c r="DK96" i="135"/>
  <c r="DL96" i="135"/>
  <c r="DM96" i="135"/>
  <c r="DN96" i="135"/>
  <c r="DO96" i="135"/>
  <c r="DP96" i="135"/>
  <c r="DQ96" i="135"/>
  <c r="DR96" i="135"/>
  <c r="DS96" i="135"/>
  <c r="DT96" i="135"/>
  <c r="DU96" i="135"/>
  <c r="DV96" i="135"/>
  <c r="DW96" i="135"/>
  <c r="DX96" i="135"/>
  <c r="DY96" i="135"/>
  <c r="DZ96" i="135"/>
  <c r="EA96" i="135"/>
  <c r="EB96" i="135"/>
  <c r="EC96" i="135"/>
  <c r="ED96" i="135"/>
  <c r="EE96" i="135"/>
  <c r="EF96" i="135"/>
  <c r="EG96" i="135"/>
  <c r="EH96" i="135"/>
  <c r="EI96" i="135"/>
  <c r="EJ96" i="135"/>
  <c r="EK96" i="135"/>
  <c r="EL96" i="135"/>
  <c r="EM96" i="135"/>
  <c r="EN96" i="135"/>
  <c r="EO96" i="135"/>
  <c r="EP96" i="135"/>
  <c r="EQ96" i="135"/>
  <c r="ER96" i="135"/>
  <c r="ES96" i="135"/>
  <c r="ET96" i="135"/>
  <c r="EU96" i="135"/>
  <c r="EV96" i="135"/>
  <c r="EW96" i="135"/>
  <c r="EX96" i="135"/>
  <c r="FO91" i="135"/>
  <c r="FP91" i="135"/>
  <c r="FQ91" i="135"/>
  <c r="FR91" i="135"/>
  <c r="FS91" i="135"/>
  <c r="FT91" i="135"/>
  <c r="FU91" i="135"/>
  <c r="FV91" i="135"/>
  <c r="FW91" i="135"/>
  <c r="FX91" i="135"/>
  <c r="FY91" i="135"/>
  <c r="FZ91" i="135"/>
  <c r="GA91" i="135"/>
  <c r="GB91" i="135"/>
  <c r="GC91" i="135"/>
  <c r="GD91" i="135"/>
  <c r="GE91" i="135"/>
  <c r="GF91" i="135"/>
  <c r="GG91" i="135"/>
  <c r="GH91" i="135"/>
  <c r="GI91" i="135"/>
  <c r="GJ91" i="135"/>
  <c r="GK91" i="135"/>
  <c r="GL91" i="135"/>
  <c r="GM91" i="135"/>
  <c r="GN91" i="135"/>
  <c r="GO91" i="135"/>
  <c r="GP91" i="135"/>
  <c r="GQ91" i="135"/>
  <c r="GR91" i="135"/>
  <c r="GS91" i="135"/>
  <c r="GT91" i="135"/>
  <c r="GU91" i="135"/>
  <c r="GV91" i="135"/>
  <c r="GW91" i="135"/>
  <c r="GX91" i="135"/>
  <c r="GY91" i="135"/>
  <c r="GZ91" i="135"/>
  <c r="DM91" i="135"/>
  <c r="DN91" i="135"/>
  <c r="DO91" i="135"/>
  <c r="DP91" i="135"/>
  <c r="DQ91" i="135"/>
  <c r="DR91" i="135"/>
  <c r="DS91" i="135"/>
  <c r="DT91" i="135"/>
  <c r="DU91" i="135"/>
  <c r="DV91" i="135"/>
  <c r="DW91" i="135"/>
  <c r="DX91" i="135"/>
  <c r="DY91" i="135"/>
  <c r="DZ91" i="135"/>
  <c r="EA91" i="135"/>
  <c r="EB91" i="135"/>
  <c r="EC91" i="135"/>
  <c r="ED91" i="135"/>
  <c r="EE91" i="135"/>
  <c r="EF91" i="135"/>
  <c r="EG91" i="135"/>
  <c r="EH91" i="135"/>
  <c r="EI91" i="135"/>
  <c r="EJ91" i="135"/>
  <c r="EK91" i="135"/>
  <c r="EL91" i="135"/>
  <c r="EM91" i="135"/>
  <c r="EN91" i="135"/>
  <c r="EO91" i="135"/>
  <c r="EP91" i="135"/>
  <c r="EQ91" i="135"/>
  <c r="ER91" i="135"/>
  <c r="ES91" i="135"/>
  <c r="ET91" i="135"/>
  <c r="EU91" i="135"/>
  <c r="EV91" i="135"/>
  <c r="EW91" i="135"/>
  <c r="EX91" i="135"/>
  <c r="FR41" i="135"/>
  <c r="FS41" i="135"/>
  <c r="FT41" i="135"/>
  <c r="FU41" i="135"/>
  <c r="FV41" i="135"/>
  <c r="FW41" i="135"/>
  <c r="FX41" i="135"/>
  <c r="FY41" i="135"/>
  <c r="FZ41" i="135"/>
  <c r="GA41" i="135"/>
  <c r="GB41" i="135"/>
  <c r="GC41" i="135"/>
  <c r="GD41" i="135"/>
  <c r="GE41" i="135"/>
  <c r="GF41" i="135"/>
  <c r="GG41" i="135"/>
  <c r="GH41" i="135"/>
  <c r="GI41" i="135"/>
  <c r="GJ41" i="135"/>
  <c r="GK41" i="135"/>
  <c r="GL41" i="135"/>
  <c r="GM41" i="135"/>
  <c r="GN41" i="135"/>
  <c r="GO41" i="135"/>
  <c r="GP41" i="135"/>
  <c r="GQ41" i="135"/>
  <c r="GR41" i="135"/>
  <c r="GS41" i="135"/>
  <c r="GT41" i="135"/>
  <c r="GU41" i="135"/>
  <c r="GV41" i="135"/>
  <c r="GW41" i="135"/>
  <c r="GX41" i="135"/>
  <c r="GY41" i="135"/>
  <c r="GZ41" i="135"/>
  <c r="DP41" i="135"/>
  <c r="DQ41" i="135"/>
  <c r="DR41" i="135"/>
  <c r="DS41" i="135"/>
  <c r="DT41" i="135"/>
  <c r="DU41" i="135"/>
  <c r="DV41" i="135"/>
  <c r="DW41" i="135"/>
  <c r="DX41" i="135"/>
  <c r="DY41" i="135"/>
  <c r="DZ41" i="135"/>
  <c r="EA41" i="135"/>
  <c r="EB41" i="135"/>
  <c r="EC41" i="135"/>
  <c r="ED41" i="135"/>
  <c r="EE41" i="135"/>
  <c r="EF41" i="135"/>
  <c r="EG41" i="135"/>
  <c r="EH41" i="135"/>
  <c r="EI41" i="135"/>
  <c r="EJ41" i="135"/>
  <c r="EK41" i="135"/>
  <c r="EL41" i="135"/>
  <c r="EM41" i="135"/>
  <c r="EN41" i="135"/>
  <c r="EO41" i="135"/>
  <c r="EP41" i="135"/>
  <c r="EQ41" i="135"/>
  <c r="ER41" i="135"/>
  <c r="ES41" i="135"/>
  <c r="ET41" i="135"/>
  <c r="EU41" i="135"/>
  <c r="EV41" i="135"/>
  <c r="EW41" i="135"/>
  <c r="EX41" i="135"/>
  <c r="FR46" i="135"/>
  <c r="FS46" i="135"/>
  <c r="FT46" i="135"/>
  <c r="FU46" i="135"/>
  <c r="FV46" i="135"/>
  <c r="FW46" i="135"/>
  <c r="FX46" i="135"/>
  <c r="FY46" i="135"/>
  <c r="FZ46" i="135"/>
  <c r="GA46" i="135"/>
  <c r="GB46" i="135"/>
  <c r="GC46" i="135"/>
  <c r="GD46" i="135"/>
  <c r="GE46" i="135"/>
  <c r="GF46" i="135"/>
  <c r="GG46" i="135"/>
  <c r="GH46" i="135"/>
  <c r="GI46" i="135"/>
  <c r="GJ46" i="135"/>
  <c r="GK46" i="135"/>
  <c r="GL46" i="135"/>
  <c r="GM46" i="135"/>
  <c r="GN46" i="135"/>
  <c r="GO46" i="135"/>
  <c r="GP46" i="135"/>
  <c r="GQ46" i="135"/>
  <c r="GR46" i="135"/>
  <c r="GS46" i="135"/>
  <c r="GT46" i="135"/>
  <c r="GU46" i="135"/>
  <c r="GV46" i="135"/>
  <c r="GW46" i="135"/>
  <c r="GX46" i="135"/>
  <c r="GY46" i="135"/>
  <c r="GZ46" i="135"/>
  <c r="DP46" i="135"/>
  <c r="DQ46" i="135"/>
  <c r="DR46" i="135"/>
  <c r="DS46" i="135"/>
  <c r="DT46" i="135"/>
  <c r="DU46" i="135"/>
  <c r="DV46" i="135"/>
  <c r="DW46" i="135"/>
  <c r="DX46" i="135"/>
  <c r="DY46" i="135"/>
  <c r="DZ46" i="135"/>
  <c r="EA46" i="135"/>
  <c r="EB46" i="135"/>
  <c r="EC46" i="135"/>
  <c r="ED46" i="135"/>
  <c r="EE46" i="135"/>
  <c r="EF46" i="135"/>
  <c r="EG46" i="135"/>
  <c r="EH46" i="135"/>
  <c r="EI46" i="135"/>
  <c r="EJ46" i="135"/>
  <c r="EK46" i="135"/>
  <c r="EL46" i="135"/>
  <c r="EM46" i="135"/>
  <c r="EN46" i="135"/>
  <c r="EO46" i="135"/>
  <c r="EP46" i="135"/>
  <c r="EQ46" i="135"/>
  <c r="ER46" i="135"/>
  <c r="ES46" i="135"/>
  <c r="ET46" i="135"/>
  <c r="EU46" i="135"/>
  <c r="EV46" i="135"/>
  <c r="EW46" i="135"/>
  <c r="EX46" i="135"/>
  <c r="FO69" i="135"/>
  <c r="FP69" i="135"/>
  <c r="FQ69" i="135"/>
  <c r="FR69" i="135"/>
  <c r="FS69" i="135"/>
  <c r="FT69" i="135"/>
  <c r="FU69" i="135"/>
  <c r="FV69" i="135"/>
  <c r="FW69" i="135"/>
  <c r="FX69" i="135"/>
  <c r="FY69" i="135"/>
  <c r="FZ69" i="135"/>
  <c r="GA69" i="135"/>
  <c r="GB69" i="135"/>
  <c r="GC69" i="135"/>
  <c r="GD69" i="135"/>
  <c r="GE69" i="135"/>
  <c r="GF69" i="135"/>
  <c r="GG69" i="135"/>
  <c r="GH69" i="135"/>
  <c r="GI69" i="135"/>
  <c r="GJ69" i="135"/>
  <c r="GK69" i="135"/>
  <c r="GL69" i="135"/>
  <c r="GM69" i="135"/>
  <c r="GN69" i="135"/>
  <c r="GO69" i="135"/>
  <c r="GP69" i="135"/>
  <c r="GQ69" i="135"/>
  <c r="GR69" i="135"/>
  <c r="GS69" i="135"/>
  <c r="GT69" i="135"/>
  <c r="GU69" i="135"/>
  <c r="GV69" i="135"/>
  <c r="GW69" i="135"/>
  <c r="GX69" i="135"/>
  <c r="GY69" i="135"/>
  <c r="GZ69" i="135"/>
  <c r="DM69" i="135"/>
  <c r="DN69" i="135"/>
  <c r="DO69" i="135"/>
  <c r="DP69" i="135"/>
  <c r="DQ69" i="135"/>
  <c r="DR69" i="135"/>
  <c r="DS69" i="135"/>
  <c r="DT69" i="135"/>
  <c r="DU69" i="135"/>
  <c r="DV69" i="135"/>
  <c r="DW69" i="135"/>
  <c r="DX69" i="135"/>
  <c r="DY69" i="135"/>
  <c r="DZ69" i="135"/>
  <c r="EA69" i="135"/>
  <c r="EB69" i="135"/>
  <c r="EC69" i="135"/>
  <c r="ED69" i="135"/>
  <c r="EE69" i="135"/>
  <c r="EF69" i="135"/>
  <c r="EG69" i="135"/>
  <c r="EH69" i="135"/>
  <c r="EI69" i="135"/>
  <c r="EJ69" i="135"/>
  <c r="EK69" i="135"/>
  <c r="EL69" i="135"/>
  <c r="EM69" i="135"/>
  <c r="EN69" i="135"/>
  <c r="EO69" i="135"/>
  <c r="EP69" i="135"/>
  <c r="EQ69" i="135"/>
  <c r="ER69" i="135"/>
  <c r="ES69" i="135"/>
  <c r="ET69" i="135"/>
  <c r="EU69" i="135"/>
  <c r="EV69" i="135"/>
  <c r="EW69" i="135"/>
  <c r="EX69" i="135"/>
  <c r="FO75" i="135"/>
  <c r="FP75" i="135"/>
  <c r="FQ75" i="135"/>
  <c r="FR75" i="135"/>
  <c r="FS75" i="135"/>
  <c r="FT75" i="135"/>
  <c r="FU75" i="135"/>
  <c r="FV75" i="135"/>
  <c r="FW75" i="135"/>
  <c r="FX75" i="135"/>
  <c r="FY75" i="135"/>
  <c r="FZ75" i="135"/>
  <c r="GA75" i="135"/>
  <c r="GB75" i="135"/>
  <c r="GC75" i="135"/>
  <c r="GD75" i="135"/>
  <c r="GE75" i="135"/>
  <c r="GF75" i="135"/>
  <c r="GG75" i="135"/>
  <c r="GH75" i="135"/>
  <c r="GI75" i="135"/>
  <c r="GJ75" i="135"/>
  <c r="GK75" i="135"/>
  <c r="GL75" i="135"/>
  <c r="GM75" i="135"/>
  <c r="GN75" i="135"/>
  <c r="GO75" i="135"/>
  <c r="GP75" i="135"/>
  <c r="GQ75" i="135"/>
  <c r="GR75" i="135"/>
  <c r="GS75" i="135"/>
  <c r="GT75" i="135"/>
  <c r="GU75" i="135"/>
  <c r="GV75" i="135"/>
  <c r="GW75" i="135"/>
  <c r="GX75" i="135"/>
  <c r="GY75" i="135"/>
  <c r="GZ75" i="135"/>
  <c r="DM75" i="135"/>
  <c r="DN75" i="135"/>
  <c r="DO75" i="135"/>
  <c r="DP75" i="135"/>
  <c r="DQ75" i="135"/>
  <c r="DR75" i="135"/>
  <c r="DS75" i="135"/>
  <c r="DT75" i="135"/>
  <c r="DU75" i="135"/>
  <c r="DV75" i="135"/>
  <c r="DW75" i="135"/>
  <c r="DX75" i="135"/>
  <c r="DY75" i="135"/>
  <c r="DZ75" i="135"/>
  <c r="EA75" i="135"/>
  <c r="EB75" i="135"/>
  <c r="EC75" i="135"/>
  <c r="ED75" i="135"/>
  <c r="EE75" i="135"/>
  <c r="EF75" i="135"/>
  <c r="EG75" i="135"/>
  <c r="EH75" i="135"/>
  <c r="EI75" i="135"/>
  <c r="EJ75" i="135"/>
  <c r="EK75" i="135"/>
  <c r="EL75" i="135"/>
  <c r="EM75" i="135"/>
  <c r="EN75" i="135"/>
  <c r="EO75" i="135"/>
  <c r="EP75" i="135"/>
  <c r="EQ75" i="135"/>
  <c r="ER75" i="135"/>
  <c r="ES75" i="135"/>
  <c r="ET75" i="135"/>
  <c r="EU75" i="135"/>
  <c r="EV75" i="135"/>
  <c r="EW75" i="135"/>
  <c r="EX75" i="135"/>
  <c r="AJ46" i="135"/>
  <c r="AN46" i="135"/>
  <c r="AP84" i="135"/>
  <c r="AT84" i="135"/>
  <c r="AP59" i="135"/>
  <c r="AT59" i="135"/>
  <c r="FH89" i="135"/>
  <c r="FI89" i="135"/>
  <c r="FJ89" i="135"/>
  <c r="FK89" i="135"/>
  <c r="FL89" i="135"/>
  <c r="FM89" i="135"/>
  <c r="FN89" i="135"/>
  <c r="FO89" i="135"/>
  <c r="FP89" i="135"/>
  <c r="FQ89" i="135"/>
  <c r="FR89" i="135"/>
  <c r="FS89" i="135"/>
  <c r="FT89" i="135"/>
  <c r="FU89" i="135"/>
  <c r="FV89" i="135"/>
  <c r="FW89" i="135"/>
  <c r="FX89" i="135"/>
  <c r="FY89" i="135"/>
  <c r="FZ89" i="135"/>
  <c r="GA89" i="135"/>
  <c r="GB89" i="135"/>
  <c r="GC89" i="135"/>
  <c r="GD89" i="135"/>
  <c r="GE89" i="135"/>
  <c r="GF89" i="135"/>
  <c r="GG89" i="135"/>
  <c r="GH89" i="135"/>
  <c r="GI89" i="135"/>
  <c r="GJ89" i="135"/>
  <c r="GK89" i="135"/>
  <c r="GL89" i="135"/>
  <c r="GM89" i="135"/>
  <c r="GN89" i="135"/>
  <c r="GO89" i="135"/>
  <c r="GP89" i="135"/>
  <c r="GQ89" i="135"/>
  <c r="GR89" i="135"/>
  <c r="GS89" i="135"/>
  <c r="GT89" i="135"/>
  <c r="GU89" i="135"/>
  <c r="GV89" i="135"/>
  <c r="GW89" i="135"/>
  <c r="GX89" i="135"/>
  <c r="GY89" i="135"/>
  <c r="GZ89" i="135"/>
  <c r="DF89" i="135"/>
  <c r="DG89" i="135"/>
  <c r="DH89" i="135"/>
  <c r="DI89" i="135"/>
  <c r="DJ89" i="135"/>
  <c r="DK89" i="135"/>
  <c r="DL89" i="135"/>
  <c r="DM89" i="135"/>
  <c r="DN89" i="135"/>
  <c r="DO89" i="135"/>
  <c r="DP89" i="135"/>
  <c r="DQ89" i="135"/>
  <c r="DR89" i="135"/>
  <c r="DS89" i="135"/>
  <c r="DT89" i="135"/>
  <c r="DU89" i="135"/>
  <c r="DV89" i="135"/>
  <c r="DW89" i="135"/>
  <c r="DX89" i="135"/>
  <c r="DY89" i="135"/>
  <c r="DZ89" i="135"/>
  <c r="EA89" i="135"/>
  <c r="EB89" i="135"/>
  <c r="EC89" i="135"/>
  <c r="ED89" i="135"/>
  <c r="EE89" i="135"/>
  <c r="EF89" i="135"/>
  <c r="EG89" i="135"/>
  <c r="EH89" i="135"/>
  <c r="EI89" i="135"/>
  <c r="EJ89" i="135"/>
  <c r="EK89" i="135"/>
  <c r="EL89" i="135"/>
  <c r="EM89" i="135"/>
  <c r="EN89" i="135"/>
  <c r="EO89" i="135"/>
  <c r="EP89" i="135"/>
  <c r="EQ89" i="135"/>
  <c r="ER89" i="135"/>
  <c r="ES89" i="135"/>
  <c r="ET89" i="135"/>
  <c r="EU89" i="135"/>
  <c r="EV89" i="135"/>
  <c r="EW89" i="135"/>
  <c r="EX89" i="135"/>
  <c r="FP77" i="135"/>
  <c r="FQ77" i="135"/>
  <c r="FR77" i="135"/>
  <c r="FS77" i="135"/>
  <c r="FT77" i="135"/>
  <c r="FU77" i="135"/>
  <c r="FV77" i="135"/>
  <c r="FW77" i="135"/>
  <c r="FX77" i="135"/>
  <c r="FY77" i="135"/>
  <c r="FZ77" i="135"/>
  <c r="GA77" i="135"/>
  <c r="GB77" i="135"/>
  <c r="GC77" i="135"/>
  <c r="GD77" i="135"/>
  <c r="GE77" i="135"/>
  <c r="GF77" i="135"/>
  <c r="GG77" i="135"/>
  <c r="GH77" i="135"/>
  <c r="GI77" i="135"/>
  <c r="GJ77" i="135"/>
  <c r="GK77" i="135"/>
  <c r="GL77" i="135"/>
  <c r="GM77" i="135"/>
  <c r="GN77" i="135"/>
  <c r="GO77" i="135"/>
  <c r="GP77" i="135"/>
  <c r="GQ77" i="135"/>
  <c r="GR77" i="135"/>
  <c r="GS77" i="135"/>
  <c r="GT77" i="135"/>
  <c r="CX77" i="135"/>
  <c r="GU77" i="135"/>
  <c r="CY77" i="135"/>
  <c r="GV77" i="135"/>
  <c r="CZ77" i="135"/>
  <c r="GW77" i="135"/>
  <c r="DA77" i="135"/>
  <c r="GX77" i="135"/>
  <c r="DB77" i="135"/>
  <c r="DC77" i="135"/>
  <c r="GY77" i="135"/>
  <c r="GZ77" i="135"/>
  <c r="DD77" i="135"/>
  <c r="DE77" i="135"/>
  <c r="DF77" i="135"/>
  <c r="DG77" i="135"/>
  <c r="DH77" i="135"/>
  <c r="DI77" i="135"/>
  <c r="DJ77" i="135"/>
  <c r="DK77" i="135"/>
  <c r="DL77" i="135"/>
  <c r="DM77" i="135"/>
  <c r="DN77" i="135"/>
  <c r="DO77" i="135"/>
  <c r="DP77" i="135"/>
  <c r="DQ77" i="135"/>
  <c r="DR77" i="135"/>
  <c r="DS77" i="135"/>
  <c r="DT77" i="135"/>
  <c r="DU77" i="135"/>
  <c r="DV77" i="135"/>
  <c r="DW77" i="135"/>
  <c r="DX77" i="135"/>
  <c r="DY77" i="135"/>
  <c r="DZ77" i="135"/>
  <c r="EA77" i="135"/>
  <c r="EB77" i="135"/>
  <c r="EC77" i="135"/>
  <c r="ED77" i="135"/>
  <c r="EE77" i="135"/>
  <c r="EF77" i="135"/>
  <c r="EG77" i="135"/>
  <c r="EH77" i="135"/>
  <c r="EI77" i="135"/>
  <c r="EJ77" i="135"/>
  <c r="EK77" i="135"/>
  <c r="EL77" i="135"/>
  <c r="EM77" i="135"/>
  <c r="EN77" i="135"/>
  <c r="EO77" i="135"/>
  <c r="EP77" i="135"/>
  <c r="EQ77" i="135"/>
  <c r="ER77" i="135"/>
  <c r="ES77" i="135"/>
  <c r="ET77" i="135"/>
  <c r="EU77" i="135"/>
  <c r="EV77" i="135"/>
  <c r="EW77" i="135"/>
  <c r="EX77" i="135"/>
  <c r="FE56" i="135"/>
  <c r="FE22" i="135" s="1"/>
  <c r="FF56" i="135"/>
  <c r="FF22" i="135" s="1"/>
  <c r="FG56" i="135"/>
  <c r="FG22" i="135" s="1"/>
  <c r="FH56" i="135"/>
  <c r="FH22" i="135" s="1"/>
  <c r="FI56" i="135"/>
  <c r="FI22" i="135" s="1"/>
  <c r="FJ56" i="135"/>
  <c r="FJ22" i="135" s="1"/>
  <c r="FK56" i="135"/>
  <c r="FK22" i="135" s="1"/>
  <c r="FL56" i="135"/>
  <c r="FL22" i="135" s="1"/>
  <c r="FM56" i="135"/>
  <c r="FM22" i="135" s="1"/>
  <c r="FN56" i="135"/>
  <c r="FN22" i="135" s="1"/>
  <c r="FO56" i="135"/>
  <c r="FO22" i="135" s="1"/>
  <c r="FP56" i="135"/>
  <c r="FP22" i="135" s="1"/>
  <c r="FQ56" i="135"/>
  <c r="FQ22" i="135" s="1"/>
  <c r="FR56" i="135"/>
  <c r="FR22" i="135" s="1"/>
  <c r="FS56" i="135"/>
  <c r="FS22" i="135" s="1"/>
  <c r="FT56" i="135"/>
  <c r="FT22" i="135" s="1"/>
  <c r="FU56" i="135"/>
  <c r="FU22" i="135" s="1"/>
  <c r="FV56" i="135"/>
  <c r="FV22" i="135" s="1"/>
  <c r="FW56" i="135"/>
  <c r="FW22" i="135" s="1"/>
  <c r="FX56" i="135"/>
  <c r="FX22" i="135" s="1"/>
  <c r="FY56" i="135"/>
  <c r="FY22" i="135" s="1"/>
  <c r="FZ56" i="135"/>
  <c r="FZ22" i="135" s="1"/>
  <c r="GA56" i="135"/>
  <c r="GA22" i="135" s="1"/>
  <c r="GB56" i="135"/>
  <c r="GB22" i="135" s="1"/>
  <c r="GC56" i="135"/>
  <c r="GC22" i="135" s="1"/>
  <c r="GD56" i="135"/>
  <c r="GD22" i="135" s="1"/>
  <c r="GE56" i="135"/>
  <c r="GE22" i="135" s="1"/>
  <c r="GF56" i="135"/>
  <c r="GF22" i="135" s="1"/>
  <c r="GG56" i="135"/>
  <c r="GG22" i="135" s="1"/>
  <c r="GH56" i="135"/>
  <c r="GH22" i="135" s="1"/>
  <c r="GI56" i="135"/>
  <c r="GI22" i="135" s="1"/>
  <c r="GJ56" i="135"/>
  <c r="GJ22" i="135" s="1"/>
  <c r="GK56" i="135"/>
  <c r="GK22" i="135" s="1"/>
  <c r="GL56" i="135"/>
  <c r="GL22" i="135" s="1"/>
  <c r="GM56" i="135"/>
  <c r="GM22" i="135" s="1"/>
  <c r="GN56" i="135"/>
  <c r="GN22" i="135" s="1"/>
  <c r="GO56" i="135"/>
  <c r="GO22" i="135" s="1"/>
  <c r="GP56" i="135"/>
  <c r="GP22" i="135" s="1"/>
  <c r="GQ56" i="135"/>
  <c r="GQ22" i="135" s="1"/>
  <c r="GR56" i="135"/>
  <c r="GR22" i="135" s="1"/>
  <c r="GS56" i="135"/>
  <c r="GS22" i="135" s="1"/>
  <c r="GT56" i="135"/>
  <c r="GT22" i="135" s="1"/>
  <c r="GU56" i="135"/>
  <c r="GU22" i="135" s="1"/>
  <c r="GV56" i="135"/>
  <c r="GV22" i="135" s="1"/>
  <c r="GW56" i="135"/>
  <c r="GW22" i="135" s="1"/>
  <c r="GX56" i="135"/>
  <c r="GX22" i="135" s="1"/>
  <c r="GY56" i="135"/>
  <c r="GY22" i="135" s="1"/>
  <c r="DC56" i="135"/>
  <c r="DC22" i="135" s="1"/>
  <c r="DD56" i="135"/>
  <c r="DD22" i="135" s="1"/>
  <c r="GZ56" i="135"/>
  <c r="GZ22" i="135" s="1"/>
  <c r="DE56" i="135"/>
  <c r="DE22" i="135" s="1"/>
  <c r="DF56" i="135"/>
  <c r="DF22" i="135" s="1"/>
  <c r="DG56" i="135"/>
  <c r="DG22" i="135" s="1"/>
  <c r="DH56" i="135"/>
  <c r="DH22" i="135" s="1"/>
  <c r="DI56" i="135"/>
  <c r="DI22" i="135" s="1"/>
  <c r="DJ56" i="135"/>
  <c r="DJ22" i="135" s="1"/>
  <c r="DK56" i="135"/>
  <c r="DK22" i="135" s="1"/>
  <c r="DL56" i="135"/>
  <c r="DL22" i="135" s="1"/>
  <c r="DM56" i="135"/>
  <c r="DM22" i="135" s="1"/>
  <c r="DN56" i="135"/>
  <c r="DN22" i="135" s="1"/>
  <c r="DO56" i="135"/>
  <c r="DO22" i="135" s="1"/>
  <c r="DP56" i="135"/>
  <c r="DP22" i="135" s="1"/>
  <c r="DQ56" i="135"/>
  <c r="DQ22" i="135" s="1"/>
  <c r="DR56" i="135"/>
  <c r="DR22" i="135" s="1"/>
  <c r="DS56" i="135"/>
  <c r="DS22" i="135" s="1"/>
  <c r="DT56" i="135"/>
  <c r="DT22" i="135" s="1"/>
  <c r="DU56" i="135"/>
  <c r="DU22" i="135" s="1"/>
  <c r="DV56" i="135"/>
  <c r="DV22" i="135" s="1"/>
  <c r="DW56" i="135"/>
  <c r="DW22" i="135" s="1"/>
  <c r="DX56" i="135"/>
  <c r="DX22" i="135" s="1"/>
  <c r="DY56" i="135"/>
  <c r="DY22" i="135" s="1"/>
  <c r="DZ56" i="135"/>
  <c r="DZ22" i="135" s="1"/>
  <c r="EA56" i="135"/>
  <c r="EA22" i="135" s="1"/>
  <c r="EB56" i="135"/>
  <c r="EB22" i="135" s="1"/>
  <c r="EC56" i="135"/>
  <c r="EC22" i="135" s="1"/>
  <c r="ED56" i="135"/>
  <c r="ED22" i="135" s="1"/>
  <c r="EE56" i="135"/>
  <c r="EE22" i="135" s="1"/>
  <c r="EF56" i="135"/>
  <c r="EF22" i="135" s="1"/>
  <c r="EG56" i="135"/>
  <c r="EG22" i="135" s="1"/>
  <c r="EH56" i="135"/>
  <c r="EH22" i="135" s="1"/>
  <c r="EI56" i="135"/>
  <c r="EI22" i="135" s="1"/>
  <c r="EJ56" i="135"/>
  <c r="EJ22" i="135" s="1"/>
  <c r="EK56" i="135"/>
  <c r="EK22" i="135" s="1"/>
  <c r="EL56" i="135"/>
  <c r="EL22" i="135" s="1"/>
  <c r="EM56" i="135"/>
  <c r="EM22" i="135" s="1"/>
  <c r="EN56" i="135"/>
  <c r="EN22" i="135" s="1"/>
  <c r="EO56" i="135"/>
  <c r="EO22" i="135" s="1"/>
  <c r="EP56" i="135"/>
  <c r="EP22" i="135" s="1"/>
  <c r="EQ56" i="135"/>
  <c r="EQ22" i="135" s="1"/>
  <c r="ER56" i="135"/>
  <c r="ER22" i="135" s="1"/>
  <c r="ES56" i="135"/>
  <c r="ES22" i="135" s="1"/>
  <c r="ET56" i="135"/>
  <c r="ET22" i="135" s="1"/>
  <c r="EU56" i="135"/>
  <c r="EU22" i="135" s="1"/>
  <c r="EV56" i="135"/>
  <c r="EV22" i="135" s="1"/>
  <c r="EW56" i="135"/>
  <c r="EW22" i="135" s="1"/>
  <c r="EX56" i="135"/>
  <c r="EX22" i="135" s="1"/>
  <c r="FJ53" i="135"/>
  <c r="FK53" i="135"/>
  <c r="FL53" i="135"/>
  <c r="FM53" i="135"/>
  <c r="FN53" i="135"/>
  <c r="FO53" i="135"/>
  <c r="FP53" i="135"/>
  <c r="FQ53" i="135"/>
  <c r="FR53" i="135"/>
  <c r="FS53" i="135"/>
  <c r="FT53" i="135"/>
  <c r="FU53" i="135"/>
  <c r="FV53" i="135"/>
  <c r="FW53" i="135"/>
  <c r="FX53" i="135"/>
  <c r="FY53" i="135"/>
  <c r="FZ53" i="135"/>
  <c r="GA53" i="135"/>
  <c r="GB53" i="135"/>
  <c r="GC53" i="135"/>
  <c r="GD53" i="135"/>
  <c r="GE53" i="135"/>
  <c r="GF53" i="135"/>
  <c r="GG53" i="135"/>
  <c r="GH53" i="135"/>
  <c r="GI53" i="135"/>
  <c r="GJ53" i="135"/>
  <c r="GK53" i="135"/>
  <c r="GL53" i="135"/>
  <c r="GM53" i="135"/>
  <c r="GN53" i="135"/>
  <c r="GO53" i="135"/>
  <c r="GP53" i="135"/>
  <c r="GQ53" i="135"/>
  <c r="GR53" i="135"/>
  <c r="GS53" i="135"/>
  <c r="GT53" i="135"/>
  <c r="GU53" i="135"/>
  <c r="GV53" i="135"/>
  <c r="GW53" i="135"/>
  <c r="GX53" i="135"/>
  <c r="GY53" i="135"/>
  <c r="GZ53" i="135"/>
  <c r="DH53" i="135"/>
  <c r="DI53" i="135"/>
  <c r="DJ53" i="135"/>
  <c r="DK53" i="135"/>
  <c r="DL53" i="135"/>
  <c r="DM53" i="135"/>
  <c r="DN53" i="135"/>
  <c r="DO53" i="135"/>
  <c r="DP53" i="135"/>
  <c r="DQ53" i="135"/>
  <c r="DR53" i="135"/>
  <c r="DS53" i="135"/>
  <c r="DT53" i="135"/>
  <c r="DU53" i="135"/>
  <c r="DV53" i="135"/>
  <c r="DW53" i="135"/>
  <c r="DX53" i="135"/>
  <c r="DY53" i="135"/>
  <c r="DZ53" i="135"/>
  <c r="EA53" i="135"/>
  <c r="EB53" i="135"/>
  <c r="EC53" i="135"/>
  <c r="ED53" i="135"/>
  <c r="EE53" i="135"/>
  <c r="EF53" i="135"/>
  <c r="EG53" i="135"/>
  <c r="EH53" i="135"/>
  <c r="EI53" i="135"/>
  <c r="EJ53" i="135"/>
  <c r="EK53" i="135"/>
  <c r="EL53" i="135"/>
  <c r="EM53" i="135"/>
  <c r="EN53" i="135"/>
  <c r="EO53" i="135"/>
  <c r="EP53" i="135"/>
  <c r="EQ53" i="135"/>
  <c r="ER53" i="135"/>
  <c r="ES53" i="135"/>
  <c r="ET53" i="135"/>
  <c r="EU53" i="135"/>
  <c r="EV53" i="135"/>
  <c r="EW53" i="135"/>
  <c r="EX53" i="135"/>
  <c r="FY51" i="135"/>
  <c r="FZ51" i="135"/>
  <c r="GA51" i="135"/>
  <c r="GB51" i="135"/>
  <c r="GC51" i="135"/>
  <c r="GD51" i="135"/>
  <c r="GE51" i="135"/>
  <c r="GF51" i="135"/>
  <c r="GG51" i="135"/>
  <c r="GH51" i="135"/>
  <c r="GI51" i="135"/>
  <c r="GJ51" i="135"/>
  <c r="GK51" i="135"/>
  <c r="GL51" i="135"/>
  <c r="GM51" i="135"/>
  <c r="GN51" i="135"/>
  <c r="GO51" i="135"/>
  <c r="GP51" i="135"/>
  <c r="GQ51" i="135"/>
  <c r="GR51" i="135"/>
  <c r="GS51" i="135"/>
  <c r="GT51" i="135"/>
  <c r="GU51" i="135"/>
  <c r="GV51" i="135"/>
  <c r="GW51" i="135"/>
  <c r="GX51" i="135"/>
  <c r="GY51" i="135"/>
  <c r="GZ51" i="135"/>
  <c r="DW51" i="135"/>
  <c r="DX51" i="135"/>
  <c r="DY51" i="135"/>
  <c r="DZ51" i="135"/>
  <c r="EA51" i="135"/>
  <c r="EB51" i="135"/>
  <c r="EC51" i="135"/>
  <c r="ED51" i="135"/>
  <c r="EE51" i="135"/>
  <c r="EF51" i="135"/>
  <c r="EG51" i="135"/>
  <c r="EH51" i="135"/>
  <c r="EI51" i="135"/>
  <c r="EJ51" i="135"/>
  <c r="EK51" i="135"/>
  <c r="EL51" i="135"/>
  <c r="EM51" i="135"/>
  <c r="EN51" i="135"/>
  <c r="EO51" i="135"/>
  <c r="EP51" i="135"/>
  <c r="EQ51" i="135"/>
  <c r="ER51" i="135"/>
  <c r="ES51" i="135"/>
  <c r="ET51" i="135"/>
  <c r="EU51" i="135"/>
  <c r="EV51" i="135"/>
  <c r="EW51" i="135"/>
  <c r="EX51" i="135"/>
  <c r="FO94" i="135"/>
  <c r="FP94" i="135"/>
  <c r="FQ94" i="135"/>
  <c r="FR94" i="135"/>
  <c r="FS94" i="135"/>
  <c r="FT94" i="135"/>
  <c r="FU94" i="135"/>
  <c r="FV94" i="135"/>
  <c r="FW94" i="135"/>
  <c r="FX94" i="135"/>
  <c r="FY94" i="135"/>
  <c r="FZ94" i="135"/>
  <c r="GA94" i="135"/>
  <c r="GB94" i="135"/>
  <c r="GC94" i="135"/>
  <c r="GD94" i="135"/>
  <c r="GE94" i="135"/>
  <c r="GF94" i="135"/>
  <c r="GG94" i="135"/>
  <c r="GH94" i="135"/>
  <c r="GI94" i="135"/>
  <c r="GJ94" i="135"/>
  <c r="GK94" i="135"/>
  <c r="GL94" i="135"/>
  <c r="GM94" i="135"/>
  <c r="GN94" i="135"/>
  <c r="GO94" i="135"/>
  <c r="GP94" i="135"/>
  <c r="GQ94" i="135"/>
  <c r="GR94" i="135"/>
  <c r="GS94" i="135"/>
  <c r="GT94" i="135"/>
  <c r="GU94" i="135"/>
  <c r="GV94" i="135"/>
  <c r="GW94" i="135"/>
  <c r="GX94" i="135"/>
  <c r="GY94" i="135"/>
  <c r="GZ94" i="135"/>
  <c r="DM94" i="135"/>
  <c r="DN94" i="135"/>
  <c r="DO94" i="135"/>
  <c r="DP94" i="135"/>
  <c r="DQ94" i="135"/>
  <c r="DR94" i="135"/>
  <c r="DS94" i="135"/>
  <c r="DT94" i="135"/>
  <c r="DU94" i="135"/>
  <c r="DV94" i="135"/>
  <c r="DW94" i="135"/>
  <c r="DX94" i="135"/>
  <c r="DY94" i="135"/>
  <c r="DZ94" i="135"/>
  <c r="EA94" i="135"/>
  <c r="EB94" i="135"/>
  <c r="EC94" i="135"/>
  <c r="ED94" i="135"/>
  <c r="EE94" i="135"/>
  <c r="EF94" i="135"/>
  <c r="EG94" i="135"/>
  <c r="EH94" i="135"/>
  <c r="EI94" i="135"/>
  <c r="EJ94" i="135"/>
  <c r="EK94" i="135"/>
  <c r="EL94" i="135"/>
  <c r="EM94" i="135"/>
  <c r="EN94" i="135"/>
  <c r="EO94" i="135"/>
  <c r="EP94" i="135"/>
  <c r="EQ94" i="135"/>
  <c r="ER94" i="135"/>
  <c r="ES94" i="135"/>
  <c r="ET94" i="135"/>
  <c r="EU94" i="135"/>
  <c r="EV94" i="135"/>
  <c r="EW94" i="135"/>
  <c r="EX94" i="135"/>
  <c r="FO97" i="135"/>
  <c r="FO25" i="135" s="1"/>
  <c r="FP97" i="135"/>
  <c r="FP25" i="135" s="1"/>
  <c r="FQ97" i="135"/>
  <c r="FQ25" i="135" s="1"/>
  <c r="FR97" i="135"/>
  <c r="FR25" i="135" s="1"/>
  <c r="FS97" i="135"/>
  <c r="FS25" i="135" s="1"/>
  <c r="FT97" i="135"/>
  <c r="FT25" i="135" s="1"/>
  <c r="FU97" i="135"/>
  <c r="FU25" i="135" s="1"/>
  <c r="FV97" i="135"/>
  <c r="FV25" i="135" s="1"/>
  <c r="FW97" i="135"/>
  <c r="FW25" i="135" s="1"/>
  <c r="FX97" i="135"/>
  <c r="FX25" i="135" s="1"/>
  <c r="FY97" i="135"/>
  <c r="FY25" i="135" s="1"/>
  <c r="FZ97" i="135"/>
  <c r="FZ25" i="135" s="1"/>
  <c r="GA97" i="135"/>
  <c r="GA25" i="135" s="1"/>
  <c r="GB97" i="135"/>
  <c r="GB25" i="135" s="1"/>
  <c r="GC97" i="135"/>
  <c r="GC25" i="135" s="1"/>
  <c r="GD97" i="135"/>
  <c r="GD25" i="135" s="1"/>
  <c r="GE97" i="135"/>
  <c r="GE25" i="135" s="1"/>
  <c r="GF97" i="135"/>
  <c r="GF25" i="135" s="1"/>
  <c r="GG97" i="135"/>
  <c r="GG25" i="135" s="1"/>
  <c r="GH97" i="135"/>
  <c r="GH25" i="135" s="1"/>
  <c r="GI97" i="135"/>
  <c r="GI25" i="135" s="1"/>
  <c r="GJ97" i="135"/>
  <c r="GJ25" i="135" s="1"/>
  <c r="GK97" i="135"/>
  <c r="GK25" i="135" s="1"/>
  <c r="GL97" i="135"/>
  <c r="GL25" i="135" s="1"/>
  <c r="GM97" i="135"/>
  <c r="GM25" i="135" s="1"/>
  <c r="GN97" i="135"/>
  <c r="GN25" i="135" s="1"/>
  <c r="GO97" i="135"/>
  <c r="GO25" i="135" s="1"/>
  <c r="GP97" i="135"/>
  <c r="GP25" i="135" s="1"/>
  <c r="GQ97" i="135"/>
  <c r="GQ25" i="135" s="1"/>
  <c r="GR97" i="135"/>
  <c r="GR25" i="135" s="1"/>
  <c r="GS97" i="135"/>
  <c r="GS25" i="135" s="1"/>
  <c r="GT97" i="135"/>
  <c r="GT25" i="135" s="1"/>
  <c r="GU97" i="135"/>
  <c r="GU25" i="135" s="1"/>
  <c r="GV97" i="135"/>
  <c r="GV25" i="135" s="1"/>
  <c r="GW97" i="135"/>
  <c r="GW25" i="135" s="1"/>
  <c r="GX97" i="135"/>
  <c r="GX25" i="135" s="1"/>
  <c r="GY97" i="135"/>
  <c r="GY25" i="135" s="1"/>
  <c r="GZ97" i="135"/>
  <c r="GZ25" i="135" s="1"/>
  <c r="DM97" i="135"/>
  <c r="DM25" i="135" s="1"/>
  <c r="DN97" i="135"/>
  <c r="DN25" i="135" s="1"/>
  <c r="DO97" i="135"/>
  <c r="DO25" i="135" s="1"/>
  <c r="DP97" i="135"/>
  <c r="DP25" i="135" s="1"/>
  <c r="DQ97" i="135"/>
  <c r="DQ25" i="135" s="1"/>
  <c r="DR97" i="135"/>
  <c r="DR25" i="135" s="1"/>
  <c r="DS97" i="135"/>
  <c r="DS25" i="135" s="1"/>
  <c r="DT97" i="135"/>
  <c r="DT25" i="135" s="1"/>
  <c r="DU97" i="135"/>
  <c r="DU25" i="135" s="1"/>
  <c r="DV97" i="135"/>
  <c r="DV25" i="135" s="1"/>
  <c r="DW97" i="135"/>
  <c r="DW25" i="135" s="1"/>
  <c r="DX97" i="135"/>
  <c r="DX25" i="135" s="1"/>
  <c r="DY97" i="135"/>
  <c r="DY25" i="135" s="1"/>
  <c r="DZ97" i="135"/>
  <c r="DZ25" i="135" s="1"/>
  <c r="EA97" i="135"/>
  <c r="EA25" i="135" s="1"/>
  <c r="EB97" i="135"/>
  <c r="EB25" i="135" s="1"/>
  <c r="EC97" i="135"/>
  <c r="EC25" i="135" s="1"/>
  <c r="ED97" i="135"/>
  <c r="ED25" i="135" s="1"/>
  <c r="EE97" i="135"/>
  <c r="EE25" i="135" s="1"/>
  <c r="EF97" i="135"/>
  <c r="EF25" i="135" s="1"/>
  <c r="EG97" i="135"/>
  <c r="EG25" i="135" s="1"/>
  <c r="EH97" i="135"/>
  <c r="EH25" i="135" s="1"/>
  <c r="EI97" i="135"/>
  <c r="EI25" i="135" s="1"/>
  <c r="EJ97" i="135"/>
  <c r="EJ25" i="135" s="1"/>
  <c r="EK97" i="135"/>
  <c r="EK25" i="135" s="1"/>
  <c r="EL97" i="135"/>
  <c r="EL25" i="135" s="1"/>
  <c r="EM97" i="135"/>
  <c r="EM25" i="135" s="1"/>
  <c r="EN97" i="135"/>
  <c r="EN25" i="135" s="1"/>
  <c r="EO97" i="135"/>
  <c r="EO25" i="135" s="1"/>
  <c r="EP97" i="135"/>
  <c r="EP25" i="135" s="1"/>
  <c r="EQ97" i="135"/>
  <c r="EQ25" i="135" s="1"/>
  <c r="ER97" i="135"/>
  <c r="ER25" i="135" s="1"/>
  <c r="ES97" i="135"/>
  <c r="ES25" i="135" s="1"/>
  <c r="ET97" i="135"/>
  <c r="ET25" i="135" s="1"/>
  <c r="EU97" i="135"/>
  <c r="EU25" i="135" s="1"/>
  <c r="EV97" i="135"/>
  <c r="EV25" i="135" s="1"/>
  <c r="EW97" i="135"/>
  <c r="EW25" i="135" s="1"/>
  <c r="EX97" i="135"/>
  <c r="EX25" i="135" s="1"/>
  <c r="FO93" i="135"/>
  <c r="FP93" i="135"/>
  <c r="FQ93" i="135"/>
  <c r="FR93" i="135"/>
  <c r="FS93" i="135"/>
  <c r="FT93" i="135"/>
  <c r="FU93" i="135"/>
  <c r="FV93" i="135"/>
  <c r="FW93" i="135"/>
  <c r="FX93" i="135"/>
  <c r="FY93" i="135"/>
  <c r="FZ93" i="135"/>
  <c r="GA93" i="135"/>
  <c r="GB93" i="135"/>
  <c r="GC93" i="135"/>
  <c r="GD93" i="135"/>
  <c r="GE93" i="135"/>
  <c r="GF93" i="135"/>
  <c r="GG93" i="135"/>
  <c r="GH93" i="135"/>
  <c r="GI93" i="135"/>
  <c r="GJ93" i="135"/>
  <c r="GK93" i="135"/>
  <c r="GL93" i="135"/>
  <c r="GM93" i="135"/>
  <c r="GN93" i="135"/>
  <c r="GO93" i="135"/>
  <c r="GP93" i="135"/>
  <c r="GQ93" i="135"/>
  <c r="GR93" i="135"/>
  <c r="GS93" i="135"/>
  <c r="GT93" i="135"/>
  <c r="GU93" i="135"/>
  <c r="GV93" i="135"/>
  <c r="GW93" i="135"/>
  <c r="GX93" i="135"/>
  <c r="GY93" i="135"/>
  <c r="GZ93" i="135"/>
  <c r="DM93" i="135"/>
  <c r="DN93" i="135"/>
  <c r="DO93" i="135"/>
  <c r="DP93" i="135"/>
  <c r="DQ93" i="135"/>
  <c r="DR93" i="135"/>
  <c r="DS93" i="135"/>
  <c r="DT93" i="135"/>
  <c r="DU93" i="135"/>
  <c r="DV93" i="135"/>
  <c r="DW93" i="135"/>
  <c r="DX93" i="135"/>
  <c r="DY93" i="135"/>
  <c r="DZ93" i="135"/>
  <c r="EA93" i="135"/>
  <c r="EB93" i="135"/>
  <c r="EC93" i="135"/>
  <c r="ED93" i="135"/>
  <c r="EE93" i="135"/>
  <c r="EF93" i="135"/>
  <c r="EG93" i="135"/>
  <c r="EH93" i="135"/>
  <c r="EI93" i="135"/>
  <c r="EJ93" i="135"/>
  <c r="EK93" i="135"/>
  <c r="EL93" i="135"/>
  <c r="EM93" i="135"/>
  <c r="EN93" i="135"/>
  <c r="EO93" i="135"/>
  <c r="EP93" i="135"/>
  <c r="EQ93" i="135"/>
  <c r="ER93" i="135"/>
  <c r="ES93" i="135"/>
  <c r="ET93" i="135"/>
  <c r="EU93" i="135"/>
  <c r="EV93" i="135"/>
  <c r="EW93" i="135"/>
  <c r="EX93" i="135"/>
  <c r="FR43" i="135"/>
  <c r="FS43" i="135"/>
  <c r="FT43" i="135"/>
  <c r="FU43" i="135"/>
  <c r="FV43" i="135"/>
  <c r="FW43" i="135"/>
  <c r="FX43" i="135"/>
  <c r="FY43" i="135"/>
  <c r="FZ43" i="135"/>
  <c r="GA43" i="135"/>
  <c r="GB43" i="135"/>
  <c r="GC43" i="135"/>
  <c r="GD43" i="135"/>
  <c r="GE43" i="135"/>
  <c r="GF43" i="135"/>
  <c r="GG43" i="135"/>
  <c r="GH43" i="135"/>
  <c r="GI43" i="135"/>
  <c r="GJ43" i="135"/>
  <c r="GK43" i="135"/>
  <c r="GL43" i="135"/>
  <c r="GM43" i="135"/>
  <c r="GN43" i="135"/>
  <c r="GO43" i="135"/>
  <c r="GP43" i="135"/>
  <c r="GQ43" i="135"/>
  <c r="GR43" i="135"/>
  <c r="GS43" i="135"/>
  <c r="GT43" i="135"/>
  <c r="GU43" i="135"/>
  <c r="GV43" i="135"/>
  <c r="GW43" i="135"/>
  <c r="GX43" i="135"/>
  <c r="GY43" i="135"/>
  <c r="GZ43" i="135"/>
  <c r="DP43" i="135"/>
  <c r="DQ43" i="135"/>
  <c r="DR43" i="135"/>
  <c r="DS43" i="135"/>
  <c r="DT43" i="135"/>
  <c r="DU43" i="135"/>
  <c r="DV43" i="135"/>
  <c r="DW43" i="135"/>
  <c r="DX43" i="135"/>
  <c r="DY43" i="135"/>
  <c r="DZ43" i="135"/>
  <c r="EA43" i="135"/>
  <c r="EB43" i="135"/>
  <c r="EC43" i="135"/>
  <c r="ED43" i="135"/>
  <c r="EE43" i="135"/>
  <c r="EF43" i="135"/>
  <c r="EG43" i="135"/>
  <c r="EH43" i="135"/>
  <c r="EI43" i="135"/>
  <c r="EJ43" i="135"/>
  <c r="EK43" i="135"/>
  <c r="EL43" i="135"/>
  <c r="EM43" i="135"/>
  <c r="EN43" i="135"/>
  <c r="EO43" i="135"/>
  <c r="EP43" i="135"/>
  <c r="EQ43" i="135"/>
  <c r="ER43" i="135"/>
  <c r="ES43" i="135"/>
  <c r="ET43" i="135"/>
  <c r="EU43" i="135"/>
  <c r="EV43" i="135"/>
  <c r="EW43" i="135"/>
  <c r="EX43" i="135"/>
  <c r="FH73" i="135"/>
  <c r="FI73" i="135"/>
  <c r="FJ73" i="135"/>
  <c r="FK73" i="135"/>
  <c r="FL73" i="135"/>
  <c r="FM73" i="135"/>
  <c r="FN73" i="135"/>
  <c r="FO73" i="135"/>
  <c r="FP73" i="135"/>
  <c r="FQ73" i="135"/>
  <c r="FR73" i="135"/>
  <c r="FS73" i="135"/>
  <c r="FT73" i="135"/>
  <c r="FU73" i="135"/>
  <c r="FV73" i="135"/>
  <c r="FW73" i="135"/>
  <c r="FX73" i="135"/>
  <c r="FY73" i="135"/>
  <c r="FZ73" i="135"/>
  <c r="GA73" i="135"/>
  <c r="GB73" i="135"/>
  <c r="GC73" i="135"/>
  <c r="GD73" i="135"/>
  <c r="GE73" i="135"/>
  <c r="GF73" i="135"/>
  <c r="GG73" i="135"/>
  <c r="GH73" i="135"/>
  <c r="GI73" i="135"/>
  <c r="GJ73" i="135"/>
  <c r="GK73" i="135"/>
  <c r="GL73" i="135"/>
  <c r="GM73" i="135"/>
  <c r="GN73" i="135"/>
  <c r="GO73" i="135"/>
  <c r="GP73" i="135"/>
  <c r="GQ73" i="135"/>
  <c r="GR73" i="135"/>
  <c r="GS73" i="135"/>
  <c r="GT73" i="135"/>
  <c r="GU73" i="135"/>
  <c r="GV73" i="135"/>
  <c r="GW73" i="135"/>
  <c r="GX73" i="135"/>
  <c r="GY73" i="135"/>
  <c r="GZ73" i="135"/>
  <c r="DF73" i="135"/>
  <c r="DG73" i="135"/>
  <c r="DH73" i="135"/>
  <c r="DI73" i="135"/>
  <c r="DJ73" i="135"/>
  <c r="DK73" i="135"/>
  <c r="DL73" i="135"/>
  <c r="DM73" i="135"/>
  <c r="DN73" i="135"/>
  <c r="DO73" i="135"/>
  <c r="DP73" i="135"/>
  <c r="DQ73" i="135"/>
  <c r="DR73" i="135"/>
  <c r="DS73" i="135"/>
  <c r="DT73" i="135"/>
  <c r="DU73" i="135"/>
  <c r="DV73" i="135"/>
  <c r="DW73" i="135"/>
  <c r="DX73" i="135"/>
  <c r="DY73" i="135"/>
  <c r="DZ73" i="135"/>
  <c r="EA73" i="135"/>
  <c r="EB73" i="135"/>
  <c r="EC73" i="135"/>
  <c r="ED73" i="135"/>
  <c r="EE73" i="135"/>
  <c r="EF73" i="135"/>
  <c r="EG73" i="135"/>
  <c r="EH73" i="135"/>
  <c r="EI73" i="135"/>
  <c r="EJ73" i="135"/>
  <c r="EK73" i="135"/>
  <c r="EL73" i="135"/>
  <c r="EM73" i="135"/>
  <c r="EN73" i="135"/>
  <c r="EO73" i="135"/>
  <c r="EP73" i="135"/>
  <c r="EQ73" i="135"/>
  <c r="ER73" i="135"/>
  <c r="ES73" i="135"/>
  <c r="ET73" i="135"/>
  <c r="EU73" i="135"/>
  <c r="EV73" i="135"/>
  <c r="EW73" i="135"/>
  <c r="EX73" i="135"/>
  <c r="FO61" i="135"/>
  <c r="FP61" i="135"/>
  <c r="FQ61" i="135"/>
  <c r="FR61" i="135"/>
  <c r="FS61" i="135"/>
  <c r="FT61" i="135"/>
  <c r="FU61" i="135"/>
  <c r="FV61" i="135"/>
  <c r="FW61" i="135"/>
  <c r="FX61" i="135"/>
  <c r="FY61" i="135"/>
  <c r="FZ61" i="135"/>
  <c r="GA61" i="135"/>
  <c r="GB61" i="135"/>
  <c r="GC61" i="135"/>
  <c r="GD61" i="135"/>
  <c r="GE61" i="135"/>
  <c r="GF61" i="135"/>
  <c r="GG61" i="135"/>
  <c r="GH61" i="135"/>
  <c r="GI61" i="135"/>
  <c r="GJ61" i="135"/>
  <c r="GK61" i="135"/>
  <c r="GL61" i="135"/>
  <c r="GM61" i="135"/>
  <c r="GN61" i="135"/>
  <c r="GO61" i="135"/>
  <c r="GP61" i="135"/>
  <c r="GQ61" i="135"/>
  <c r="GR61" i="135"/>
  <c r="GS61" i="135"/>
  <c r="GT61" i="135"/>
  <c r="GU61" i="135"/>
  <c r="GV61" i="135"/>
  <c r="GW61" i="135"/>
  <c r="GX61" i="135"/>
  <c r="GY61" i="135"/>
  <c r="GZ61" i="135"/>
  <c r="DM61" i="135"/>
  <c r="DN61" i="135"/>
  <c r="DO61" i="135"/>
  <c r="DP61" i="135"/>
  <c r="DQ61" i="135"/>
  <c r="DR61" i="135"/>
  <c r="DS61" i="135"/>
  <c r="DT61" i="135"/>
  <c r="DU61" i="135"/>
  <c r="DV61" i="135"/>
  <c r="DW61" i="135"/>
  <c r="DX61" i="135"/>
  <c r="DY61" i="135"/>
  <c r="DZ61" i="135"/>
  <c r="EA61" i="135"/>
  <c r="EB61" i="135"/>
  <c r="EC61" i="135"/>
  <c r="ED61" i="135"/>
  <c r="EE61" i="135"/>
  <c r="EF61" i="135"/>
  <c r="EG61" i="135"/>
  <c r="EH61" i="135"/>
  <c r="EI61" i="135"/>
  <c r="EJ61" i="135"/>
  <c r="EK61" i="135"/>
  <c r="EL61" i="135"/>
  <c r="EM61" i="135"/>
  <c r="EN61" i="135"/>
  <c r="EO61" i="135"/>
  <c r="EP61" i="135"/>
  <c r="EQ61" i="135"/>
  <c r="ER61" i="135"/>
  <c r="ES61" i="135"/>
  <c r="ET61" i="135"/>
  <c r="EU61" i="135"/>
  <c r="EV61" i="135"/>
  <c r="EW61" i="135"/>
  <c r="EX61" i="135"/>
  <c r="FJ58" i="135"/>
  <c r="FK58" i="135"/>
  <c r="FL58" i="135"/>
  <c r="FM58" i="135"/>
  <c r="FN58" i="135"/>
  <c r="FO58" i="135"/>
  <c r="FP58" i="135"/>
  <c r="FQ58" i="135"/>
  <c r="FR58" i="135"/>
  <c r="FS58" i="135"/>
  <c r="FT58" i="135"/>
  <c r="FU58" i="135"/>
  <c r="FV58" i="135"/>
  <c r="FW58" i="135"/>
  <c r="FX58" i="135"/>
  <c r="FY58" i="135"/>
  <c r="FZ58" i="135"/>
  <c r="GA58" i="135"/>
  <c r="GB58" i="135"/>
  <c r="GC58" i="135"/>
  <c r="GD58" i="135"/>
  <c r="GE58" i="135"/>
  <c r="GF58" i="135"/>
  <c r="GG58" i="135"/>
  <c r="GH58" i="135"/>
  <c r="GI58" i="135"/>
  <c r="GJ58" i="135"/>
  <c r="GK58" i="135"/>
  <c r="GL58" i="135"/>
  <c r="GM58" i="135"/>
  <c r="GN58" i="135"/>
  <c r="GO58" i="135"/>
  <c r="GP58" i="135"/>
  <c r="GQ58" i="135"/>
  <c r="GR58" i="135"/>
  <c r="GS58" i="135"/>
  <c r="GT58" i="135"/>
  <c r="GU58" i="135"/>
  <c r="GV58" i="135"/>
  <c r="GW58" i="135"/>
  <c r="GX58" i="135"/>
  <c r="GY58" i="135"/>
  <c r="GZ58" i="135"/>
  <c r="DH58" i="135"/>
  <c r="DI58" i="135"/>
  <c r="DJ58" i="135"/>
  <c r="DK58" i="135"/>
  <c r="DL58" i="135"/>
  <c r="DM58" i="135"/>
  <c r="DN58" i="135"/>
  <c r="DO58" i="135"/>
  <c r="DP58" i="135"/>
  <c r="DQ58" i="135"/>
  <c r="DR58" i="135"/>
  <c r="DS58" i="135"/>
  <c r="DT58" i="135"/>
  <c r="DU58" i="135"/>
  <c r="DV58" i="135"/>
  <c r="DW58" i="135"/>
  <c r="DX58" i="135"/>
  <c r="DY58" i="135"/>
  <c r="DZ58" i="135"/>
  <c r="EA58" i="135"/>
  <c r="EB58" i="135"/>
  <c r="EC58" i="135"/>
  <c r="ED58" i="135"/>
  <c r="EE58" i="135"/>
  <c r="EF58" i="135"/>
  <c r="EG58" i="135"/>
  <c r="EH58" i="135"/>
  <c r="EI58" i="135"/>
  <c r="EJ58" i="135"/>
  <c r="EK58" i="135"/>
  <c r="EL58" i="135"/>
  <c r="EM58" i="135"/>
  <c r="EN58" i="135"/>
  <c r="EO58" i="135"/>
  <c r="EP58" i="135"/>
  <c r="EQ58" i="135"/>
  <c r="ER58" i="135"/>
  <c r="ES58" i="135"/>
  <c r="ET58" i="135"/>
  <c r="EU58" i="135"/>
  <c r="EV58" i="135"/>
  <c r="EW58" i="135"/>
  <c r="EX58" i="135"/>
  <c r="FO81" i="135"/>
  <c r="FP81" i="135"/>
  <c r="FQ81" i="135"/>
  <c r="FR81" i="135"/>
  <c r="FS81" i="135"/>
  <c r="FT81" i="135"/>
  <c r="FU81" i="135"/>
  <c r="FV81" i="135"/>
  <c r="FW81" i="135"/>
  <c r="FX81" i="135"/>
  <c r="FY81" i="135"/>
  <c r="FZ81" i="135"/>
  <c r="GA81" i="135"/>
  <c r="GB81" i="135"/>
  <c r="GC81" i="135"/>
  <c r="GD81" i="135"/>
  <c r="GE81" i="135"/>
  <c r="GF81" i="135"/>
  <c r="GG81" i="135"/>
  <c r="GH81" i="135"/>
  <c r="GI81" i="135"/>
  <c r="GJ81" i="135"/>
  <c r="GK81" i="135"/>
  <c r="GL81" i="135"/>
  <c r="GM81" i="135"/>
  <c r="GN81" i="135"/>
  <c r="GO81" i="135"/>
  <c r="GP81" i="135"/>
  <c r="GQ81" i="135"/>
  <c r="GR81" i="135"/>
  <c r="GS81" i="135"/>
  <c r="GT81" i="135"/>
  <c r="GU81" i="135"/>
  <c r="GV81" i="135"/>
  <c r="GW81" i="135"/>
  <c r="GX81" i="135"/>
  <c r="GY81" i="135"/>
  <c r="GZ81" i="135"/>
  <c r="DM81" i="135"/>
  <c r="DN81" i="135"/>
  <c r="DO81" i="135"/>
  <c r="DP81" i="135"/>
  <c r="DQ81" i="135"/>
  <c r="DR81" i="135"/>
  <c r="DS81" i="135"/>
  <c r="DT81" i="135"/>
  <c r="DU81" i="135"/>
  <c r="DV81" i="135"/>
  <c r="DW81" i="135"/>
  <c r="DX81" i="135"/>
  <c r="DY81" i="135"/>
  <c r="DZ81" i="135"/>
  <c r="EA81" i="135"/>
  <c r="EB81" i="135"/>
  <c r="EC81" i="135"/>
  <c r="ED81" i="135"/>
  <c r="EE81" i="135"/>
  <c r="EF81" i="135"/>
  <c r="EG81" i="135"/>
  <c r="EH81" i="135"/>
  <c r="EI81" i="135"/>
  <c r="EJ81" i="135"/>
  <c r="EK81" i="135"/>
  <c r="EL81" i="135"/>
  <c r="EM81" i="135"/>
  <c r="EN81" i="135"/>
  <c r="EO81" i="135"/>
  <c r="EP81" i="135"/>
  <c r="EQ81" i="135"/>
  <c r="ER81" i="135"/>
  <c r="ES81" i="135"/>
  <c r="ET81" i="135"/>
  <c r="EU81" i="135"/>
  <c r="EV81" i="135"/>
  <c r="EW81" i="135"/>
  <c r="EX81" i="135"/>
  <c r="FO80" i="135"/>
  <c r="FP80" i="135"/>
  <c r="FQ80" i="135"/>
  <c r="FR80" i="135"/>
  <c r="FS80" i="135"/>
  <c r="FT80" i="135"/>
  <c r="FU80" i="135"/>
  <c r="FV80" i="135"/>
  <c r="FW80" i="135"/>
  <c r="FX80" i="135"/>
  <c r="FY80" i="135"/>
  <c r="FZ80" i="135"/>
  <c r="GA80" i="135"/>
  <c r="GB80" i="135"/>
  <c r="GC80" i="135"/>
  <c r="GD80" i="135"/>
  <c r="GE80" i="135"/>
  <c r="GF80" i="135"/>
  <c r="GG80" i="135"/>
  <c r="GH80" i="135"/>
  <c r="GI80" i="135"/>
  <c r="GJ80" i="135"/>
  <c r="GK80" i="135"/>
  <c r="GL80" i="135"/>
  <c r="GM80" i="135"/>
  <c r="GN80" i="135"/>
  <c r="GO80" i="135"/>
  <c r="GP80" i="135"/>
  <c r="GQ80" i="135"/>
  <c r="GR80" i="135"/>
  <c r="GS80" i="135"/>
  <c r="GT80" i="135"/>
  <c r="GU80" i="135"/>
  <c r="GV80" i="135"/>
  <c r="GW80" i="135"/>
  <c r="GX80" i="135"/>
  <c r="GY80" i="135"/>
  <c r="GZ80" i="135"/>
  <c r="DM80" i="135"/>
  <c r="DN80" i="135"/>
  <c r="DO80" i="135"/>
  <c r="DP80" i="135"/>
  <c r="DQ80" i="135"/>
  <c r="DR80" i="135"/>
  <c r="DS80" i="135"/>
  <c r="DT80" i="135"/>
  <c r="DU80" i="135"/>
  <c r="DV80" i="135"/>
  <c r="DW80" i="135"/>
  <c r="DX80" i="135"/>
  <c r="DY80" i="135"/>
  <c r="DZ80" i="135"/>
  <c r="EA80" i="135"/>
  <c r="EB80" i="135"/>
  <c r="EC80" i="135"/>
  <c r="ED80" i="135"/>
  <c r="EE80" i="135"/>
  <c r="EF80" i="135"/>
  <c r="EG80" i="135"/>
  <c r="EH80" i="135"/>
  <c r="EI80" i="135"/>
  <c r="EJ80" i="135"/>
  <c r="EK80" i="135"/>
  <c r="EL80" i="135"/>
  <c r="EM80" i="135"/>
  <c r="EN80" i="135"/>
  <c r="EO80" i="135"/>
  <c r="EP80" i="135"/>
  <c r="EQ80" i="135"/>
  <c r="ER80" i="135"/>
  <c r="ES80" i="135"/>
  <c r="ET80" i="135"/>
  <c r="EU80" i="135"/>
  <c r="EV80" i="135"/>
  <c r="EW80" i="135"/>
  <c r="EX80" i="135"/>
  <c r="EZ39" i="135"/>
  <c r="FA39" i="135"/>
  <c r="FB39" i="135"/>
  <c r="FC39" i="135"/>
  <c r="FD39" i="135"/>
  <c r="FE39" i="135"/>
  <c r="FF39" i="135"/>
  <c r="FG39" i="135"/>
  <c r="FH39" i="135"/>
  <c r="FI39" i="135"/>
  <c r="FJ39" i="135"/>
  <c r="FK39" i="135"/>
  <c r="FL39" i="135"/>
  <c r="FM39" i="135"/>
  <c r="FN39" i="135"/>
  <c r="FO39" i="135"/>
  <c r="FP39" i="135"/>
  <c r="FQ39" i="135"/>
  <c r="FR39" i="135"/>
  <c r="FS39" i="135"/>
  <c r="FT39" i="135"/>
  <c r="FU39" i="135"/>
  <c r="FV39" i="135"/>
  <c r="FW39" i="135"/>
  <c r="FX39" i="135"/>
  <c r="FY39" i="135"/>
  <c r="FZ39" i="135"/>
  <c r="GA39" i="135"/>
  <c r="GB39" i="135"/>
  <c r="GC39" i="135"/>
  <c r="GD39" i="135"/>
  <c r="GE39" i="135"/>
  <c r="GF39" i="135"/>
  <c r="GG39" i="135"/>
  <c r="GH39" i="135"/>
  <c r="GI39" i="135"/>
  <c r="GJ39" i="135"/>
  <c r="GK39" i="135"/>
  <c r="GL39" i="135"/>
  <c r="GM39" i="135"/>
  <c r="GN39" i="135"/>
  <c r="GO39" i="135"/>
  <c r="GP39" i="135"/>
  <c r="GQ39" i="135"/>
  <c r="GR39" i="135"/>
  <c r="GS39" i="135"/>
  <c r="GT39" i="135"/>
  <c r="CX39" i="135"/>
  <c r="GU39" i="135"/>
  <c r="CY39" i="135"/>
  <c r="CZ39" i="135"/>
  <c r="GV39" i="135"/>
  <c r="DA39" i="135"/>
  <c r="GW39" i="135"/>
  <c r="GX39" i="135"/>
  <c r="DB39" i="135"/>
  <c r="GY39" i="135"/>
  <c r="DC39" i="135"/>
  <c r="GZ39" i="135"/>
  <c r="DD39" i="135"/>
  <c r="DE39" i="135"/>
  <c r="DF39" i="135"/>
  <c r="DG39" i="135"/>
  <c r="DH39" i="135"/>
  <c r="DI39" i="135"/>
  <c r="DJ39" i="135"/>
  <c r="DK39" i="135"/>
  <c r="DL39" i="135"/>
  <c r="DM39" i="135"/>
  <c r="DN39" i="135"/>
  <c r="DO39" i="135"/>
  <c r="DP39" i="135"/>
  <c r="DQ39" i="135"/>
  <c r="DR39" i="135"/>
  <c r="DS39" i="135"/>
  <c r="DT39" i="135"/>
  <c r="DU39" i="135"/>
  <c r="DV39" i="135"/>
  <c r="DW39" i="135"/>
  <c r="DX39" i="135"/>
  <c r="DY39" i="135"/>
  <c r="DZ39" i="135"/>
  <c r="EA39" i="135"/>
  <c r="EB39" i="135"/>
  <c r="EC39" i="135"/>
  <c r="ED39" i="135"/>
  <c r="EE39" i="135"/>
  <c r="EF39" i="135"/>
  <c r="EG39" i="135"/>
  <c r="EH39" i="135"/>
  <c r="EI39" i="135"/>
  <c r="EJ39" i="135"/>
  <c r="EK39" i="135"/>
  <c r="EL39" i="135"/>
  <c r="EM39" i="135"/>
  <c r="EN39" i="135"/>
  <c r="EO39" i="135"/>
  <c r="EP39" i="135"/>
  <c r="EQ39" i="135"/>
  <c r="ER39" i="135"/>
  <c r="ES39" i="135"/>
  <c r="ET39" i="135"/>
  <c r="EU39" i="135"/>
  <c r="EV39" i="135"/>
  <c r="EW39" i="135"/>
  <c r="EX39" i="135"/>
  <c r="FH72" i="135"/>
  <c r="FI72" i="135"/>
  <c r="FJ72" i="135"/>
  <c r="FK72" i="135"/>
  <c r="FL72" i="135"/>
  <c r="FM72" i="135"/>
  <c r="FN72" i="135"/>
  <c r="FO72" i="135"/>
  <c r="FP72" i="135"/>
  <c r="FQ72" i="135"/>
  <c r="FR72" i="135"/>
  <c r="FS72" i="135"/>
  <c r="FT72" i="135"/>
  <c r="FU72" i="135"/>
  <c r="FV72" i="135"/>
  <c r="FW72" i="135"/>
  <c r="FX72" i="135"/>
  <c r="FY72" i="135"/>
  <c r="FZ72" i="135"/>
  <c r="GA72" i="135"/>
  <c r="GB72" i="135"/>
  <c r="GC72" i="135"/>
  <c r="GD72" i="135"/>
  <c r="GE72" i="135"/>
  <c r="GF72" i="135"/>
  <c r="GG72" i="135"/>
  <c r="GH72" i="135"/>
  <c r="GI72" i="135"/>
  <c r="GJ72" i="135"/>
  <c r="GK72" i="135"/>
  <c r="GL72" i="135"/>
  <c r="GM72" i="135"/>
  <c r="GN72" i="135"/>
  <c r="GO72" i="135"/>
  <c r="GP72" i="135"/>
  <c r="GQ72" i="135"/>
  <c r="GR72" i="135"/>
  <c r="GS72" i="135"/>
  <c r="GT72" i="135"/>
  <c r="GU72" i="135"/>
  <c r="GV72" i="135"/>
  <c r="GW72" i="135"/>
  <c r="GX72" i="135"/>
  <c r="GY72" i="135"/>
  <c r="GZ72" i="135"/>
  <c r="DF72" i="135"/>
  <c r="DG72" i="135"/>
  <c r="DH72" i="135"/>
  <c r="DI72" i="135"/>
  <c r="DJ72" i="135"/>
  <c r="DK72" i="135"/>
  <c r="DL72" i="135"/>
  <c r="DM72" i="135"/>
  <c r="DN72" i="135"/>
  <c r="DO72" i="135"/>
  <c r="DP72" i="135"/>
  <c r="DQ72" i="135"/>
  <c r="DR72" i="135"/>
  <c r="DS72" i="135"/>
  <c r="DT72" i="135"/>
  <c r="DU72" i="135"/>
  <c r="DV72" i="135"/>
  <c r="DW72" i="135"/>
  <c r="DX72" i="135"/>
  <c r="DY72" i="135"/>
  <c r="DZ72" i="135"/>
  <c r="EA72" i="135"/>
  <c r="EB72" i="135"/>
  <c r="EC72" i="135"/>
  <c r="ED72" i="135"/>
  <c r="EE72" i="135"/>
  <c r="EF72" i="135"/>
  <c r="EG72" i="135"/>
  <c r="EH72" i="135"/>
  <c r="EI72" i="135"/>
  <c r="EJ72" i="135"/>
  <c r="EK72" i="135"/>
  <c r="EL72" i="135"/>
  <c r="EM72" i="135"/>
  <c r="EN72" i="135"/>
  <c r="EO72" i="135"/>
  <c r="EP72" i="135"/>
  <c r="EQ72" i="135"/>
  <c r="ER72" i="135"/>
  <c r="ES72" i="135"/>
  <c r="ET72" i="135"/>
  <c r="EU72" i="135"/>
  <c r="EV72" i="135"/>
  <c r="EW72" i="135"/>
  <c r="EX72" i="135"/>
  <c r="FR84" i="135"/>
  <c r="FS84" i="135"/>
  <c r="FT84" i="135"/>
  <c r="FU84" i="135"/>
  <c r="FV84" i="135"/>
  <c r="FW84" i="135"/>
  <c r="FX84" i="135"/>
  <c r="FY84" i="135"/>
  <c r="FZ84" i="135"/>
  <c r="GA84" i="135"/>
  <c r="GB84" i="135"/>
  <c r="GC84" i="135"/>
  <c r="GD84" i="135"/>
  <c r="GE84" i="135"/>
  <c r="GF84" i="135"/>
  <c r="GG84" i="135"/>
  <c r="GH84" i="135"/>
  <c r="GI84" i="135"/>
  <c r="GJ84" i="135"/>
  <c r="GK84" i="135"/>
  <c r="GL84" i="135"/>
  <c r="GM84" i="135"/>
  <c r="GN84" i="135"/>
  <c r="GO84" i="135"/>
  <c r="GP84" i="135"/>
  <c r="GQ84" i="135"/>
  <c r="GR84" i="135"/>
  <c r="GS84" i="135"/>
  <c r="GT84" i="135"/>
  <c r="GU84" i="135"/>
  <c r="GV84" i="135"/>
  <c r="GW84" i="135"/>
  <c r="GX84" i="135"/>
  <c r="GY84" i="135"/>
  <c r="GZ84" i="135"/>
  <c r="DP84" i="135"/>
  <c r="DQ84" i="135"/>
  <c r="DR84" i="135"/>
  <c r="DS84" i="135"/>
  <c r="DT84" i="135"/>
  <c r="DU84" i="135"/>
  <c r="DV84" i="135"/>
  <c r="DW84" i="135"/>
  <c r="DX84" i="135"/>
  <c r="DY84" i="135"/>
  <c r="DZ84" i="135"/>
  <c r="EA84" i="135"/>
  <c r="EB84" i="135"/>
  <c r="EC84" i="135"/>
  <c r="ED84" i="135"/>
  <c r="EE84" i="135"/>
  <c r="EF84" i="135"/>
  <c r="EG84" i="135"/>
  <c r="EH84" i="135"/>
  <c r="EI84" i="135"/>
  <c r="EJ84" i="135"/>
  <c r="EK84" i="135"/>
  <c r="EL84" i="135"/>
  <c r="EM84" i="135"/>
  <c r="EN84" i="135"/>
  <c r="EO84" i="135"/>
  <c r="EP84" i="135"/>
  <c r="EQ84" i="135"/>
  <c r="ER84" i="135"/>
  <c r="ES84" i="135"/>
  <c r="ET84" i="135"/>
  <c r="EU84" i="135"/>
  <c r="EV84" i="135"/>
  <c r="EW84" i="135"/>
  <c r="EX84" i="135"/>
  <c r="AP76" i="135"/>
  <c r="AT76" i="135"/>
  <c r="AP43" i="135"/>
  <c r="AT43" i="135"/>
  <c r="AP68" i="135"/>
  <c r="AT68" i="135"/>
  <c r="AP60" i="135"/>
  <c r="AT60" i="135"/>
  <c r="AP89" i="135"/>
  <c r="AT89" i="135"/>
  <c r="FR42" i="135"/>
  <c r="FS42" i="135"/>
  <c r="FT42" i="135"/>
  <c r="FU42" i="135"/>
  <c r="FV42" i="135"/>
  <c r="FW42" i="135"/>
  <c r="FX42" i="135"/>
  <c r="FY42" i="135"/>
  <c r="FZ42" i="135"/>
  <c r="GA42" i="135"/>
  <c r="GB42" i="135"/>
  <c r="GC42" i="135"/>
  <c r="GD42" i="135"/>
  <c r="GE42" i="135"/>
  <c r="GF42" i="135"/>
  <c r="GG42" i="135"/>
  <c r="GH42" i="135"/>
  <c r="GI42" i="135"/>
  <c r="GJ42" i="135"/>
  <c r="GK42" i="135"/>
  <c r="GL42" i="135"/>
  <c r="GM42" i="135"/>
  <c r="GN42" i="135"/>
  <c r="GO42" i="135"/>
  <c r="GP42" i="135"/>
  <c r="GQ42" i="135"/>
  <c r="GR42" i="135"/>
  <c r="GS42" i="135"/>
  <c r="GT42" i="135"/>
  <c r="GU42" i="135"/>
  <c r="GV42" i="135"/>
  <c r="GW42" i="135"/>
  <c r="GX42" i="135"/>
  <c r="GY42" i="135"/>
  <c r="GZ42" i="135"/>
  <c r="DP42" i="135"/>
  <c r="DQ42" i="135"/>
  <c r="DR42" i="135"/>
  <c r="DS42" i="135"/>
  <c r="DT42" i="135"/>
  <c r="DU42" i="135"/>
  <c r="DV42" i="135"/>
  <c r="DW42" i="135"/>
  <c r="DX42" i="135"/>
  <c r="DY42" i="135"/>
  <c r="DZ42" i="135"/>
  <c r="EA42" i="135"/>
  <c r="EB42" i="135"/>
  <c r="EC42" i="135"/>
  <c r="ED42" i="135"/>
  <c r="EE42" i="135"/>
  <c r="EF42" i="135"/>
  <c r="EG42" i="135"/>
  <c r="EH42" i="135"/>
  <c r="EI42" i="135"/>
  <c r="EJ42" i="135"/>
  <c r="EK42" i="135"/>
  <c r="EL42" i="135"/>
  <c r="EM42" i="135"/>
  <c r="EN42" i="135"/>
  <c r="EO42" i="135"/>
  <c r="EP42" i="135"/>
  <c r="EQ42" i="135"/>
  <c r="ER42" i="135"/>
  <c r="ES42" i="135"/>
  <c r="ET42" i="135"/>
  <c r="EU42" i="135"/>
  <c r="EV42" i="135"/>
  <c r="EW42" i="135"/>
  <c r="EX42" i="135"/>
  <c r="FH88" i="135"/>
  <c r="FI88" i="135"/>
  <c r="FJ88" i="135"/>
  <c r="FK88" i="135"/>
  <c r="FL88" i="135"/>
  <c r="FM88" i="135"/>
  <c r="FN88" i="135"/>
  <c r="FO88" i="135"/>
  <c r="FP88" i="135"/>
  <c r="FQ88" i="135"/>
  <c r="FR88" i="135"/>
  <c r="FS88" i="135"/>
  <c r="FT88" i="135"/>
  <c r="FU88" i="135"/>
  <c r="FV88" i="135"/>
  <c r="FW88" i="135"/>
  <c r="FX88" i="135"/>
  <c r="FY88" i="135"/>
  <c r="FZ88" i="135"/>
  <c r="GA88" i="135"/>
  <c r="GB88" i="135"/>
  <c r="GC88" i="135"/>
  <c r="GD88" i="135"/>
  <c r="GE88" i="135"/>
  <c r="GF88" i="135"/>
  <c r="GG88" i="135"/>
  <c r="GH88" i="135"/>
  <c r="GI88" i="135"/>
  <c r="GJ88" i="135"/>
  <c r="GK88" i="135"/>
  <c r="GL88" i="135"/>
  <c r="GM88" i="135"/>
  <c r="GN88" i="135"/>
  <c r="GO88" i="135"/>
  <c r="GP88" i="135"/>
  <c r="GQ88" i="135"/>
  <c r="GR88" i="135"/>
  <c r="GS88" i="135"/>
  <c r="GT88" i="135"/>
  <c r="GU88" i="135"/>
  <c r="GV88" i="135"/>
  <c r="GW88" i="135"/>
  <c r="GX88" i="135"/>
  <c r="GY88" i="135"/>
  <c r="GZ88" i="135"/>
  <c r="DF88" i="135"/>
  <c r="DG88" i="135"/>
  <c r="DH88" i="135"/>
  <c r="DI88" i="135"/>
  <c r="DJ88" i="135"/>
  <c r="DK88" i="135"/>
  <c r="DL88" i="135"/>
  <c r="DM88" i="135"/>
  <c r="DN88" i="135"/>
  <c r="DO88" i="135"/>
  <c r="DP88" i="135"/>
  <c r="DQ88" i="135"/>
  <c r="DR88" i="135"/>
  <c r="DS88" i="135"/>
  <c r="DT88" i="135"/>
  <c r="DU88" i="135"/>
  <c r="DV88" i="135"/>
  <c r="DW88" i="135"/>
  <c r="DX88" i="135"/>
  <c r="DY88" i="135"/>
  <c r="DZ88" i="135"/>
  <c r="EA88" i="135"/>
  <c r="EB88" i="135"/>
  <c r="EC88" i="135"/>
  <c r="ED88" i="135"/>
  <c r="EE88" i="135"/>
  <c r="EF88" i="135"/>
  <c r="EG88" i="135"/>
  <c r="EH88" i="135"/>
  <c r="EI88" i="135"/>
  <c r="EJ88" i="135"/>
  <c r="EK88" i="135"/>
  <c r="EL88" i="135"/>
  <c r="EM88" i="135"/>
  <c r="EN88" i="135"/>
  <c r="EO88" i="135"/>
  <c r="EP88" i="135"/>
  <c r="EQ88" i="135"/>
  <c r="ER88" i="135"/>
  <c r="ES88" i="135"/>
  <c r="ET88" i="135"/>
  <c r="EU88" i="135"/>
  <c r="EV88" i="135"/>
  <c r="EW88" i="135"/>
  <c r="EX88" i="135"/>
  <c r="FJ35" i="135"/>
  <c r="FK35" i="135"/>
  <c r="FL35" i="135"/>
  <c r="FM35" i="135"/>
  <c r="FN35" i="135"/>
  <c r="FO35" i="135"/>
  <c r="FP35" i="135"/>
  <c r="FQ35" i="135"/>
  <c r="FR35" i="135"/>
  <c r="FS35" i="135"/>
  <c r="FT35" i="135"/>
  <c r="FU35" i="135"/>
  <c r="FV35" i="135"/>
  <c r="FW35" i="135"/>
  <c r="FX35" i="135"/>
  <c r="FY35" i="135"/>
  <c r="FZ35" i="135"/>
  <c r="GA35" i="135"/>
  <c r="GB35" i="135"/>
  <c r="GC35" i="135"/>
  <c r="GD35" i="135"/>
  <c r="GE35" i="135"/>
  <c r="GF35" i="135"/>
  <c r="GG35" i="135"/>
  <c r="GH35" i="135"/>
  <c r="GI35" i="135"/>
  <c r="GJ35" i="135"/>
  <c r="GK35" i="135"/>
  <c r="GL35" i="135"/>
  <c r="GM35" i="135"/>
  <c r="GN35" i="135"/>
  <c r="GO35" i="135"/>
  <c r="GP35" i="135"/>
  <c r="GQ35" i="135"/>
  <c r="GR35" i="135"/>
  <c r="GS35" i="135"/>
  <c r="GT35" i="135"/>
  <c r="GU35" i="135"/>
  <c r="GV35" i="135"/>
  <c r="GW35" i="135"/>
  <c r="GX35" i="135"/>
  <c r="GY35" i="135"/>
  <c r="GZ35" i="135"/>
  <c r="DH35" i="135"/>
  <c r="DI35" i="135"/>
  <c r="DJ35" i="135"/>
  <c r="DK35" i="135"/>
  <c r="DL35" i="135"/>
  <c r="DM35" i="135"/>
  <c r="DN35" i="135"/>
  <c r="DO35" i="135"/>
  <c r="DP35" i="135"/>
  <c r="DQ35" i="135"/>
  <c r="DR35" i="135"/>
  <c r="DS35" i="135"/>
  <c r="DT35" i="135"/>
  <c r="DU35" i="135"/>
  <c r="DV35" i="135"/>
  <c r="DW35" i="135"/>
  <c r="DX35" i="135"/>
  <c r="DY35" i="135"/>
  <c r="DZ35" i="135"/>
  <c r="EA35" i="135"/>
  <c r="EB35" i="135"/>
  <c r="EC35" i="135"/>
  <c r="ED35" i="135"/>
  <c r="EE35" i="135"/>
  <c r="EF35" i="135"/>
  <c r="EG35" i="135"/>
  <c r="EH35" i="135"/>
  <c r="EI35" i="135"/>
  <c r="EJ35" i="135"/>
  <c r="EK35" i="135"/>
  <c r="EL35" i="135"/>
  <c r="EM35" i="135"/>
  <c r="EN35" i="135"/>
  <c r="EO35" i="135"/>
  <c r="EP35" i="135"/>
  <c r="EQ35" i="135"/>
  <c r="ER35" i="135"/>
  <c r="ES35" i="135"/>
  <c r="ET35" i="135"/>
  <c r="EU35" i="135"/>
  <c r="EV35" i="135"/>
  <c r="EW35" i="135"/>
  <c r="EX35" i="135"/>
  <c r="FH40" i="135"/>
  <c r="FI40" i="135"/>
  <c r="FJ40" i="135"/>
  <c r="FK40" i="135"/>
  <c r="FL40" i="135"/>
  <c r="FM40" i="135"/>
  <c r="FN40" i="135"/>
  <c r="FO40" i="135"/>
  <c r="FP40" i="135"/>
  <c r="FQ40" i="135"/>
  <c r="FR40" i="135"/>
  <c r="FS40" i="135"/>
  <c r="FT40" i="135"/>
  <c r="FU40" i="135"/>
  <c r="FV40" i="135"/>
  <c r="FW40" i="135"/>
  <c r="FX40" i="135"/>
  <c r="FY40" i="135"/>
  <c r="FZ40" i="135"/>
  <c r="GA40" i="135"/>
  <c r="GB40" i="135"/>
  <c r="GC40" i="135"/>
  <c r="GD40" i="135"/>
  <c r="GE40" i="135"/>
  <c r="GF40" i="135"/>
  <c r="GG40" i="135"/>
  <c r="GH40" i="135"/>
  <c r="GI40" i="135"/>
  <c r="GJ40" i="135"/>
  <c r="GK40" i="135"/>
  <c r="GL40" i="135"/>
  <c r="GM40" i="135"/>
  <c r="GN40" i="135"/>
  <c r="GO40" i="135"/>
  <c r="GP40" i="135"/>
  <c r="GQ40" i="135"/>
  <c r="GR40" i="135"/>
  <c r="GS40" i="135"/>
  <c r="GT40" i="135"/>
  <c r="GU40" i="135"/>
  <c r="GV40" i="135"/>
  <c r="GW40" i="135"/>
  <c r="GX40" i="135"/>
  <c r="GY40" i="135"/>
  <c r="GZ40" i="135"/>
  <c r="DF40" i="135"/>
  <c r="DG40" i="135"/>
  <c r="DH40" i="135"/>
  <c r="DI40" i="135"/>
  <c r="DJ40" i="135"/>
  <c r="DK40" i="135"/>
  <c r="DL40" i="135"/>
  <c r="DM40" i="135"/>
  <c r="DN40" i="135"/>
  <c r="DO40" i="135"/>
  <c r="DP40" i="135"/>
  <c r="DQ40" i="135"/>
  <c r="DR40" i="135"/>
  <c r="DS40" i="135"/>
  <c r="DT40" i="135"/>
  <c r="DU40" i="135"/>
  <c r="DV40" i="135"/>
  <c r="DW40" i="135"/>
  <c r="DX40" i="135"/>
  <c r="DY40" i="135"/>
  <c r="DZ40" i="135"/>
  <c r="EA40" i="135"/>
  <c r="EB40" i="135"/>
  <c r="EC40" i="135"/>
  <c r="ED40" i="135"/>
  <c r="EE40" i="135"/>
  <c r="EF40" i="135"/>
  <c r="EG40" i="135"/>
  <c r="EH40" i="135"/>
  <c r="EI40" i="135"/>
  <c r="EJ40" i="135"/>
  <c r="EK40" i="135"/>
  <c r="EL40" i="135"/>
  <c r="EM40" i="135"/>
  <c r="EN40" i="135"/>
  <c r="EO40" i="135"/>
  <c r="EP40" i="135"/>
  <c r="EQ40" i="135"/>
  <c r="ER40" i="135"/>
  <c r="ES40" i="135"/>
  <c r="ET40" i="135"/>
  <c r="EU40" i="135"/>
  <c r="EV40" i="135"/>
  <c r="EW40" i="135"/>
  <c r="EX40" i="135"/>
  <c r="FH38" i="135"/>
  <c r="FI38" i="135"/>
  <c r="FJ38" i="135"/>
  <c r="FK38" i="135"/>
  <c r="FL38" i="135"/>
  <c r="FM38" i="135"/>
  <c r="FN38" i="135"/>
  <c r="FO38" i="135"/>
  <c r="FP38" i="135"/>
  <c r="FQ38" i="135"/>
  <c r="FR38" i="135"/>
  <c r="FS38" i="135"/>
  <c r="FT38" i="135"/>
  <c r="FU38" i="135"/>
  <c r="FV38" i="135"/>
  <c r="FW38" i="135"/>
  <c r="FX38" i="135"/>
  <c r="FY38" i="135"/>
  <c r="FZ38" i="135"/>
  <c r="GA38" i="135"/>
  <c r="GB38" i="135"/>
  <c r="GC38" i="135"/>
  <c r="GD38" i="135"/>
  <c r="GE38" i="135"/>
  <c r="GF38" i="135"/>
  <c r="GG38" i="135"/>
  <c r="GH38" i="135"/>
  <c r="GI38" i="135"/>
  <c r="GJ38" i="135"/>
  <c r="GK38" i="135"/>
  <c r="GL38" i="135"/>
  <c r="GM38" i="135"/>
  <c r="GN38" i="135"/>
  <c r="GO38" i="135"/>
  <c r="GP38" i="135"/>
  <c r="GQ38" i="135"/>
  <c r="GR38" i="135"/>
  <c r="GS38" i="135"/>
  <c r="GT38" i="135"/>
  <c r="GU38" i="135"/>
  <c r="GV38" i="135"/>
  <c r="GW38" i="135"/>
  <c r="GX38" i="135"/>
  <c r="GY38" i="135"/>
  <c r="GZ38" i="135"/>
  <c r="DF38" i="135"/>
  <c r="DG38" i="135"/>
  <c r="DH38" i="135"/>
  <c r="DI38" i="135"/>
  <c r="DJ38" i="135"/>
  <c r="DK38" i="135"/>
  <c r="DL38" i="135"/>
  <c r="DM38" i="135"/>
  <c r="DN38" i="135"/>
  <c r="DO38" i="135"/>
  <c r="DP38" i="135"/>
  <c r="DQ38" i="135"/>
  <c r="DR38" i="135"/>
  <c r="DS38" i="135"/>
  <c r="DT38" i="135"/>
  <c r="DU38" i="135"/>
  <c r="DV38" i="135"/>
  <c r="DW38" i="135"/>
  <c r="DX38" i="135"/>
  <c r="DY38" i="135"/>
  <c r="DZ38" i="135"/>
  <c r="EA38" i="135"/>
  <c r="EB38" i="135"/>
  <c r="EC38" i="135"/>
  <c r="ED38" i="135"/>
  <c r="EE38" i="135"/>
  <c r="EF38" i="135"/>
  <c r="EG38" i="135"/>
  <c r="EH38" i="135"/>
  <c r="EI38" i="135"/>
  <c r="EJ38" i="135"/>
  <c r="EK38" i="135"/>
  <c r="EL38" i="135"/>
  <c r="EM38" i="135"/>
  <c r="EN38" i="135"/>
  <c r="EO38" i="135"/>
  <c r="EP38" i="135"/>
  <c r="EQ38" i="135"/>
  <c r="ER38" i="135"/>
  <c r="ES38" i="135"/>
  <c r="ET38" i="135"/>
  <c r="EU38" i="135"/>
  <c r="EV38" i="135"/>
  <c r="EW38" i="135"/>
  <c r="EX38" i="135"/>
  <c r="FP78" i="135"/>
  <c r="FQ78" i="135"/>
  <c r="FR78" i="135"/>
  <c r="FS78" i="135"/>
  <c r="FT78" i="135"/>
  <c r="FU78" i="135"/>
  <c r="FV78" i="135"/>
  <c r="FW78" i="135"/>
  <c r="FX78" i="135"/>
  <c r="FY78" i="135"/>
  <c r="FZ78" i="135"/>
  <c r="GA78" i="135"/>
  <c r="GB78" i="135"/>
  <c r="GC78" i="135"/>
  <c r="GD78" i="135"/>
  <c r="GE78" i="135"/>
  <c r="GF78" i="135"/>
  <c r="GG78" i="135"/>
  <c r="GH78" i="135"/>
  <c r="GI78" i="135"/>
  <c r="GJ78" i="135"/>
  <c r="GK78" i="135"/>
  <c r="GL78" i="135"/>
  <c r="GM78" i="135"/>
  <c r="GN78" i="135"/>
  <c r="GO78" i="135"/>
  <c r="GP78" i="135"/>
  <c r="GQ78" i="135"/>
  <c r="GR78" i="135"/>
  <c r="GS78" i="135"/>
  <c r="GT78" i="135"/>
  <c r="GU78" i="135"/>
  <c r="GV78" i="135"/>
  <c r="GW78" i="135"/>
  <c r="GX78" i="135"/>
  <c r="GY78" i="135"/>
  <c r="GZ78" i="135"/>
  <c r="DN78" i="135"/>
  <c r="DO78" i="135"/>
  <c r="DP78" i="135"/>
  <c r="DQ78" i="135"/>
  <c r="DR78" i="135"/>
  <c r="DS78" i="135"/>
  <c r="DT78" i="135"/>
  <c r="DU78" i="135"/>
  <c r="DV78" i="135"/>
  <c r="DW78" i="135"/>
  <c r="DX78" i="135"/>
  <c r="DY78" i="135"/>
  <c r="DZ78" i="135"/>
  <c r="EA78" i="135"/>
  <c r="EB78" i="135"/>
  <c r="EC78" i="135"/>
  <c r="ED78" i="135"/>
  <c r="EE78" i="135"/>
  <c r="EF78" i="135"/>
  <c r="EG78" i="135"/>
  <c r="EH78" i="135"/>
  <c r="EI78" i="135"/>
  <c r="EJ78" i="135"/>
  <c r="EK78" i="135"/>
  <c r="EL78" i="135"/>
  <c r="EM78" i="135"/>
  <c r="EN78" i="135"/>
  <c r="EO78" i="135"/>
  <c r="EP78" i="135"/>
  <c r="EQ78" i="135"/>
  <c r="ER78" i="135"/>
  <c r="ES78" i="135"/>
  <c r="ET78" i="135"/>
  <c r="EU78" i="135"/>
  <c r="EV78" i="135"/>
  <c r="EW78" i="135"/>
  <c r="EX78" i="135"/>
  <c r="FP79" i="135"/>
  <c r="FQ79" i="135"/>
  <c r="FR79" i="135"/>
  <c r="FS79" i="135"/>
  <c r="FT79" i="135"/>
  <c r="FU79" i="135"/>
  <c r="FV79" i="135"/>
  <c r="FW79" i="135"/>
  <c r="FX79" i="135"/>
  <c r="FY79" i="135"/>
  <c r="FZ79" i="135"/>
  <c r="GA79" i="135"/>
  <c r="GB79" i="135"/>
  <c r="GC79" i="135"/>
  <c r="GD79" i="135"/>
  <c r="GE79" i="135"/>
  <c r="GF79" i="135"/>
  <c r="GG79" i="135"/>
  <c r="GH79" i="135"/>
  <c r="GI79" i="135"/>
  <c r="GJ79" i="135"/>
  <c r="GK79" i="135"/>
  <c r="GL79" i="135"/>
  <c r="GM79" i="135"/>
  <c r="GN79" i="135"/>
  <c r="GO79" i="135"/>
  <c r="GP79" i="135"/>
  <c r="GQ79" i="135"/>
  <c r="GR79" i="135"/>
  <c r="GS79" i="135"/>
  <c r="GT79" i="135"/>
  <c r="GU79" i="135"/>
  <c r="GV79" i="135"/>
  <c r="GW79" i="135"/>
  <c r="GX79" i="135"/>
  <c r="GY79" i="135"/>
  <c r="GZ79" i="135"/>
  <c r="DN79" i="135"/>
  <c r="DO79" i="135"/>
  <c r="DP79" i="135"/>
  <c r="DQ79" i="135"/>
  <c r="DR79" i="135"/>
  <c r="DS79" i="135"/>
  <c r="DT79" i="135"/>
  <c r="DU79" i="135"/>
  <c r="DV79" i="135"/>
  <c r="DW79" i="135"/>
  <c r="DX79" i="135"/>
  <c r="DY79" i="135"/>
  <c r="DZ79" i="135"/>
  <c r="EA79" i="135"/>
  <c r="EB79" i="135"/>
  <c r="EC79" i="135"/>
  <c r="ED79" i="135"/>
  <c r="EE79" i="135"/>
  <c r="EF79" i="135"/>
  <c r="EG79" i="135"/>
  <c r="EH79" i="135"/>
  <c r="EI79" i="135"/>
  <c r="EJ79" i="135"/>
  <c r="EK79" i="135"/>
  <c r="EL79" i="135"/>
  <c r="EM79" i="135"/>
  <c r="EN79" i="135"/>
  <c r="EO79" i="135"/>
  <c r="EP79" i="135"/>
  <c r="EQ79" i="135"/>
  <c r="ER79" i="135"/>
  <c r="ES79" i="135"/>
  <c r="ET79" i="135"/>
  <c r="EU79" i="135"/>
  <c r="EV79" i="135"/>
  <c r="EW79" i="135"/>
  <c r="EX79" i="135"/>
  <c r="FJ36" i="135"/>
  <c r="FK36" i="135"/>
  <c r="FL36" i="135"/>
  <c r="FM36" i="135"/>
  <c r="FN36" i="135"/>
  <c r="FO36" i="135"/>
  <c r="FP36" i="135"/>
  <c r="FQ36" i="135"/>
  <c r="FR36" i="135"/>
  <c r="FS36" i="135"/>
  <c r="FT36" i="135"/>
  <c r="FU36" i="135"/>
  <c r="FV36" i="135"/>
  <c r="FW36" i="135"/>
  <c r="FX36" i="135"/>
  <c r="FY36" i="135"/>
  <c r="FZ36" i="135"/>
  <c r="GA36" i="135"/>
  <c r="GB36" i="135"/>
  <c r="GC36" i="135"/>
  <c r="GD36" i="135"/>
  <c r="GE36" i="135"/>
  <c r="GF36" i="135"/>
  <c r="GG36" i="135"/>
  <c r="GH36" i="135"/>
  <c r="GI36" i="135"/>
  <c r="GJ36" i="135"/>
  <c r="GK36" i="135"/>
  <c r="GL36" i="135"/>
  <c r="GM36" i="135"/>
  <c r="GN36" i="135"/>
  <c r="GO36" i="135"/>
  <c r="GP36" i="135"/>
  <c r="GQ36" i="135"/>
  <c r="GR36" i="135"/>
  <c r="GS36" i="135"/>
  <c r="GT36" i="135"/>
  <c r="GU36" i="135"/>
  <c r="GV36" i="135"/>
  <c r="GW36" i="135"/>
  <c r="GX36" i="135"/>
  <c r="GY36" i="135"/>
  <c r="GZ36" i="135"/>
  <c r="DH36" i="135"/>
  <c r="DI36" i="135"/>
  <c r="DJ36" i="135"/>
  <c r="DK36" i="135"/>
  <c r="DL36" i="135"/>
  <c r="DM36" i="135"/>
  <c r="DN36" i="135"/>
  <c r="DO36" i="135"/>
  <c r="DP36" i="135"/>
  <c r="DQ36" i="135"/>
  <c r="DR36" i="135"/>
  <c r="DS36" i="135"/>
  <c r="DT36" i="135"/>
  <c r="DU36" i="135"/>
  <c r="DV36" i="135"/>
  <c r="DW36" i="135"/>
  <c r="DX36" i="135"/>
  <c r="DY36" i="135"/>
  <c r="DZ36" i="135"/>
  <c r="EA36" i="135"/>
  <c r="EB36" i="135"/>
  <c r="EC36" i="135"/>
  <c r="ED36" i="135"/>
  <c r="EE36" i="135"/>
  <c r="EF36" i="135"/>
  <c r="EG36" i="135"/>
  <c r="EH36" i="135"/>
  <c r="EI36" i="135"/>
  <c r="EJ36" i="135"/>
  <c r="EK36" i="135"/>
  <c r="EL36" i="135"/>
  <c r="EM36" i="135"/>
  <c r="EN36" i="135"/>
  <c r="EO36" i="135"/>
  <c r="EP36" i="135"/>
  <c r="EQ36" i="135"/>
  <c r="ER36" i="135"/>
  <c r="ES36" i="135"/>
  <c r="ET36" i="135"/>
  <c r="EU36" i="135"/>
  <c r="EV36" i="135"/>
  <c r="EW36" i="135"/>
  <c r="EX36" i="135"/>
  <c r="FO71" i="135"/>
  <c r="FP71" i="135"/>
  <c r="FQ71" i="135"/>
  <c r="FR71" i="135"/>
  <c r="FS71" i="135"/>
  <c r="FT71" i="135"/>
  <c r="FU71" i="135"/>
  <c r="FV71" i="135"/>
  <c r="FW71" i="135"/>
  <c r="FX71" i="135"/>
  <c r="FY71" i="135"/>
  <c r="FZ71" i="135"/>
  <c r="GA71" i="135"/>
  <c r="GB71" i="135"/>
  <c r="GC71" i="135"/>
  <c r="GD71" i="135"/>
  <c r="FE71" i="135"/>
  <c r="GE71" i="135"/>
  <c r="GF71" i="135"/>
  <c r="GG71" i="135"/>
  <c r="GH71" i="135"/>
  <c r="GI71" i="135"/>
  <c r="GJ71" i="135"/>
  <c r="GK71" i="135"/>
  <c r="GL71" i="135"/>
  <c r="GM71" i="135"/>
  <c r="GN71" i="135"/>
  <c r="GO71" i="135"/>
  <c r="GP71" i="135"/>
  <c r="GQ71" i="135"/>
  <c r="GR71" i="135"/>
  <c r="GS71" i="135"/>
  <c r="GT71" i="135"/>
  <c r="GU71" i="135"/>
  <c r="GV71" i="135"/>
  <c r="GW71" i="135"/>
  <c r="GX71" i="135"/>
  <c r="GY71" i="135"/>
  <c r="GZ71" i="135"/>
  <c r="DM71" i="135"/>
  <c r="DN71" i="135"/>
  <c r="DO71" i="135"/>
  <c r="DP71" i="135"/>
  <c r="DQ71" i="135"/>
  <c r="DR71" i="135"/>
  <c r="DS71" i="135"/>
  <c r="DT71" i="135"/>
  <c r="DU71" i="135"/>
  <c r="DV71" i="135"/>
  <c r="DW71" i="135"/>
  <c r="DX71" i="135"/>
  <c r="DY71" i="135"/>
  <c r="DZ71" i="135"/>
  <c r="EA71" i="135"/>
  <c r="EB71" i="135"/>
  <c r="EC71" i="135"/>
  <c r="ED71" i="135"/>
  <c r="EE71" i="135"/>
  <c r="EF71" i="135"/>
  <c r="EG71" i="135"/>
  <c r="EH71" i="135"/>
  <c r="EI71" i="135"/>
  <c r="EJ71" i="135"/>
  <c r="EK71" i="135"/>
  <c r="EL71" i="135"/>
  <c r="EM71" i="135"/>
  <c r="EN71" i="135"/>
  <c r="EO71" i="135"/>
  <c r="EP71" i="135"/>
  <c r="EQ71" i="135"/>
  <c r="ER71" i="135"/>
  <c r="ES71" i="135"/>
  <c r="ET71" i="135"/>
  <c r="EU71" i="135"/>
  <c r="EV71" i="135"/>
  <c r="EW71" i="135"/>
  <c r="EX71" i="135"/>
  <c r="FM67" i="135"/>
  <c r="FN67" i="135"/>
  <c r="FO67" i="135"/>
  <c r="FP67" i="135"/>
  <c r="FQ67" i="135"/>
  <c r="FR67" i="135"/>
  <c r="FS67" i="135"/>
  <c r="FT67" i="135"/>
  <c r="FU67" i="135"/>
  <c r="FV67" i="135"/>
  <c r="FW67" i="135"/>
  <c r="FX67" i="135"/>
  <c r="FY67" i="135"/>
  <c r="FZ67" i="135"/>
  <c r="GA67" i="135"/>
  <c r="GB67" i="135"/>
  <c r="GC67" i="135"/>
  <c r="GD67" i="135"/>
  <c r="GE67" i="135"/>
  <c r="GF67" i="135"/>
  <c r="GG67" i="135"/>
  <c r="GH67" i="135"/>
  <c r="GI67" i="135"/>
  <c r="GJ67" i="135"/>
  <c r="GK67" i="135"/>
  <c r="GL67" i="135"/>
  <c r="GM67" i="135"/>
  <c r="GN67" i="135"/>
  <c r="GO67" i="135"/>
  <c r="GP67" i="135"/>
  <c r="GQ67" i="135"/>
  <c r="GR67" i="135"/>
  <c r="GS67" i="135"/>
  <c r="GT67" i="135"/>
  <c r="GU67" i="135"/>
  <c r="GV67" i="135"/>
  <c r="GW67" i="135"/>
  <c r="GX67" i="135"/>
  <c r="GY67" i="135"/>
  <c r="GZ67" i="135"/>
  <c r="DK67" i="135"/>
  <c r="DL67" i="135"/>
  <c r="DM67" i="135"/>
  <c r="DN67" i="135"/>
  <c r="DO67" i="135"/>
  <c r="DP67" i="135"/>
  <c r="DQ67" i="135"/>
  <c r="DR67" i="135"/>
  <c r="DS67" i="135"/>
  <c r="DT67" i="135"/>
  <c r="DU67" i="135"/>
  <c r="DV67" i="135"/>
  <c r="DW67" i="135"/>
  <c r="DX67" i="135"/>
  <c r="DY67" i="135"/>
  <c r="DZ67" i="135"/>
  <c r="EA67" i="135"/>
  <c r="EB67" i="135"/>
  <c r="EC67" i="135"/>
  <c r="ED67" i="135"/>
  <c r="EE67" i="135"/>
  <c r="EF67" i="135"/>
  <c r="EG67" i="135"/>
  <c r="EH67" i="135"/>
  <c r="EI67" i="135"/>
  <c r="EJ67" i="135"/>
  <c r="EK67" i="135"/>
  <c r="EL67" i="135"/>
  <c r="EM67" i="135"/>
  <c r="EN67" i="135"/>
  <c r="EO67" i="135"/>
  <c r="EP67" i="135"/>
  <c r="EQ67" i="135"/>
  <c r="ER67" i="135"/>
  <c r="ES67" i="135"/>
  <c r="ET67" i="135"/>
  <c r="EU67" i="135"/>
  <c r="EV67" i="135"/>
  <c r="EW67" i="135"/>
  <c r="EX67" i="135"/>
  <c r="FJ55" i="135"/>
  <c r="FK55" i="135"/>
  <c r="FL55" i="135"/>
  <c r="FM55" i="135"/>
  <c r="FN55" i="135"/>
  <c r="FO55" i="135"/>
  <c r="FP55" i="135"/>
  <c r="FQ55" i="135"/>
  <c r="FR55" i="135"/>
  <c r="FS55" i="135"/>
  <c r="FT55" i="135"/>
  <c r="FU55" i="135"/>
  <c r="FV55" i="135"/>
  <c r="FW55" i="135"/>
  <c r="FX55" i="135"/>
  <c r="FY55" i="135"/>
  <c r="FZ55" i="135"/>
  <c r="GA55" i="135"/>
  <c r="GB55" i="135"/>
  <c r="GC55" i="135"/>
  <c r="GD55" i="135"/>
  <c r="GE55" i="135"/>
  <c r="GF55" i="135"/>
  <c r="GG55" i="135"/>
  <c r="GH55" i="135"/>
  <c r="GI55" i="135"/>
  <c r="GJ55" i="135"/>
  <c r="GK55" i="135"/>
  <c r="GL55" i="135"/>
  <c r="GM55" i="135"/>
  <c r="GN55" i="135"/>
  <c r="GO55" i="135"/>
  <c r="GP55" i="135"/>
  <c r="GQ55" i="135"/>
  <c r="GR55" i="135"/>
  <c r="GS55" i="135"/>
  <c r="GT55" i="135"/>
  <c r="GU55" i="135"/>
  <c r="GV55" i="135"/>
  <c r="GW55" i="135"/>
  <c r="GX55" i="135"/>
  <c r="GY55" i="135"/>
  <c r="GZ55" i="135"/>
  <c r="DH55" i="135"/>
  <c r="DI55" i="135"/>
  <c r="DJ55" i="135"/>
  <c r="DK55" i="135"/>
  <c r="DL55" i="135"/>
  <c r="DM55" i="135"/>
  <c r="DN55" i="135"/>
  <c r="DO55" i="135"/>
  <c r="DP55" i="135"/>
  <c r="DQ55" i="135"/>
  <c r="DR55" i="135"/>
  <c r="DS55" i="135"/>
  <c r="DT55" i="135"/>
  <c r="DU55" i="135"/>
  <c r="DV55" i="135"/>
  <c r="DW55" i="135"/>
  <c r="DX55" i="135"/>
  <c r="DY55" i="135"/>
  <c r="DZ55" i="135"/>
  <c r="EA55" i="135"/>
  <c r="EB55" i="135"/>
  <c r="EC55" i="135"/>
  <c r="ED55" i="135"/>
  <c r="EE55" i="135"/>
  <c r="EF55" i="135"/>
  <c r="EG55" i="135"/>
  <c r="EH55" i="135"/>
  <c r="EI55" i="135"/>
  <c r="EJ55" i="135"/>
  <c r="EK55" i="135"/>
  <c r="EL55" i="135"/>
  <c r="EM55" i="135"/>
  <c r="EN55" i="135"/>
  <c r="EO55" i="135"/>
  <c r="EP55" i="135"/>
  <c r="EQ55" i="135"/>
  <c r="ER55" i="135"/>
  <c r="ES55" i="135"/>
  <c r="ET55" i="135"/>
  <c r="EU55" i="135"/>
  <c r="EV55" i="135"/>
  <c r="EW55" i="135"/>
  <c r="EX55" i="135"/>
  <c r="FO60" i="135"/>
  <c r="FP60" i="135"/>
  <c r="FQ60" i="135"/>
  <c r="FR60" i="135"/>
  <c r="FS60" i="135"/>
  <c r="FT60" i="135"/>
  <c r="FU60" i="135"/>
  <c r="FV60" i="135"/>
  <c r="FW60" i="135"/>
  <c r="FX60" i="135"/>
  <c r="FY60" i="135"/>
  <c r="FZ60" i="135"/>
  <c r="GA60" i="135"/>
  <c r="GB60" i="135"/>
  <c r="GC60" i="135"/>
  <c r="GD60" i="135"/>
  <c r="FB60" i="135"/>
  <c r="FF60" i="135"/>
  <c r="FJ60" i="135"/>
  <c r="FN60" i="135"/>
  <c r="FC60" i="135"/>
  <c r="FG60" i="135"/>
  <c r="FK60" i="135"/>
  <c r="EZ60" i="135"/>
  <c r="FD60" i="135"/>
  <c r="FH60" i="135"/>
  <c r="FL60" i="135"/>
  <c r="GE60" i="135"/>
  <c r="FA60" i="135"/>
  <c r="FE60" i="135"/>
  <c r="FI60" i="135"/>
  <c r="FM60" i="135"/>
  <c r="GF60" i="135"/>
  <c r="GG60" i="135"/>
  <c r="GH60" i="135"/>
  <c r="GI60" i="135"/>
  <c r="GJ60" i="135"/>
  <c r="GK60" i="135"/>
  <c r="GL60" i="135"/>
  <c r="GM60" i="135"/>
  <c r="GN60" i="135"/>
  <c r="GO60" i="135"/>
  <c r="GP60" i="135"/>
  <c r="GQ60" i="135"/>
  <c r="GR60" i="135"/>
  <c r="GS60" i="135"/>
  <c r="GT60" i="135"/>
  <c r="GU60" i="135"/>
  <c r="GV60" i="135"/>
  <c r="GW60" i="135"/>
  <c r="GX60" i="135"/>
  <c r="GY60" i="135"/>
  <c r="GZ60" i="135"/>
  <c r="DM60" i="135"/>
  <c r="DN60" i="135"/>
  <c r="DO60" i="135"/>
  <c r="DP60" i="135"/>
  <c r="DQ60" i="135"/>
  <c r="DR60" i="135"/>
  <c r="DS60" i="135"/>
  <c r="DT60" i="135"/>
  <c r="DU60" i="135"/>
  <c r="DV60" i="135"/>
  <c r="DW60" i="135"/>
  <c r="DX60" i="135"/>
  <c r="DY60" i="135"/>
  <c r="DZ60" i="135"/>
  <c r="EA60" i="135"/>
  <c r="EB60" i="135"/>
  <c r="EC60" i="135"/>
  <c r="ED60" i="135"/>
  <c r="EE60" i="135"/>
  <c r="EF60" i="135"/>
  <c r="EG60" i="135"/>
  <c r="EH60" i="135"/>
  <c r="EI60" i="135"/>
  <c r="EJ60" i="135"/>
  <c r="EK60" i="135"/>
  <c r="EL60" i="135"/>
  <c r="EM60" i="135"/>
  <c r="EN60" i="135"/>
  <c r="EO60" i="135"/>
  <c r="EP60" i="135"/>
  <c r="EQ60" i="135"/>
  <c r="ER60" i="135"/>
  <c r="ES60" i="135"/>
  <c r="ET60" i="135"/>
  <c r="EU60" i="135"/>
  <c r="EV60" i="135"/>
  <c r="EW60" i="135"/>
  <c r="EX60" i="135"/>
  <c r="FO90" i="135"/>
  <c r="FP90" i="135"/>
  <c r="FQ90" i="135"/>
  <c r="FR90" i="135"/>
  <c r="FS90" i="135"/>
  <c r="FT90" i="135"/>
  <c r="FU90" i="135"/>
  <c r="FV90" i="135"/>
  <c r="FW90" i="135"/>
  <c r="FX90" i="135"/>
  <c r="FY90" i="135"/>
  <c r="FZ90" i="135"/>
  <c r="GA90" i="135"/>
  <c r="GB90" i="135"/>
  <c r="GC90" i="135"/>
  <c r="GD90" i="135"/>
  <c r="GE90" i="135"/>
  <c r="GF90" i="135"/>
  <c r="GG90" i="135"/>
  <c r="GH90" i="135"/>
  <c r="GI90" i="135"/>
  <c r="GJ90" i="135"/>
  <c r="GK90" i="135"/>
  <c r="GL90" i="135"/>
  <c r="GM90" i="135"/>
  <c r="GN90" i="135"/>
  <c r="GO90" i="135"/>
  <c r="GP90" i="135"/>
  <c r="GQ90" i="135"/>
  <c r="GR90" i="135"/>
  <c r="GS90" i="135"/>
  <c r="GT90" i="135"/>
  <c r="GU90" i="135"/>
  <c r="GV90" i="135"/>
  <c r="GW90" i="135"/>
  <c r="GX90" i="135"/>
  <c r="GY90" i="135"/>
  <c r="GZ90" i="135"/>
  <c r="DM90" i="135"/>
  <c r="DN90" i="135"/>
  <c r="DO90" i="135"/>
  <c r="DP90" i="135"/>
  <c r="DQ90" i="135"/>
  <c r="DR90" i="135"/>
  <c r="DS90" i="135"/>
  <c r="DT90" i="135"/>
  <c r="DU90" i="135"/>
  <c r="DV90" i="135"/>
  <c r="DW90" i="135"/>
  <c r="DX90" i="135"/>
  <c r="DY90" i="135"/>
  <c r="DZ90" i="135"/>
  <c r="EA90" i="135"/>
  <c r="EB90" i="135"/>
  <c r="EC90" i="135"/>
  <c r="ED90" i="135"/>
  <c r="EE90" i="135"/>
  <c r="EF90" i="135"/>
  <c r="EG90" i="135"/>
  <c r="EH90" i="135"/>
  <c r="EI90" i="135"/>
  <c r="EJ90" i="135"/>
  <c r="EK90" i="135"/>
  <c r="EL90" i="135"/>
  <c r="EM90" i="135"/>
  <c r="EN90" i="135"/>
  <c r="EO90" i="135"/>
  <c r="EP90" i="135"/>
  <c r="EQ90" i="135"/>
  <c r="ER90" i="135"/>
  <c r="ES90" i="135"/>
  <c r="ET90" i="135"/>
  <c r="EU90" i="135"/>
  <c r="EV90" i="135"/>
  <c r="EW90" i="135"/>
  <c r="EX90" i="135"/>
  <c r="FO63" i="135"/>
  <c r="FP63" i="135"/>
  <c r="FQ63" i="135"/>
  <c r="FR63" i="135"/>
  <c r="FS63" i="135"/>
  <c r="FT63" i="135"/>
  <c r="FU63" i="135"/>
  <c r="FV63" i="135"/>
  <c r="FW63" i="135"/>
  <c r="FX63" i="135"/>
  <c r="FY63" i="135"/>
  <c r="FZ63" i="135"/>
  <c r="GA63" i="135"/>
  <c r="GB63" i="135"/>
  <c r="GC63" i="135"/>
  <c r="GD63" i="135"/>
  <c r="GE63" i="135"/>
  <c r="GF63" i="135"/>
  <c r="GG63" i="135"/>
  <c r="GH63" i="135"/>
  <c r="GI63" i="135"/>
  <c r="GJ63" i="135"/>
  <c r="GK63" i="135"/>
  <c r="GL63" i="135"/>
  <c r="GM63" i="135"/>
  <c r="GN63" i="135"/>
  <c r="GO63" i="135"/>
  <c r="GP63" i="135"/>
  <c r="GQ63" i="135"/>
  <c r="GR63" i="135"/>
  <c r="GS63" i="135"/>
  <c r="CX63" i="135"/>
  <c r="GT63" i="135"/>
  <c r="GU63" i="135"/>
  <c r="CY63" i="135"/>
  <c r="GV63" i="135"/>
  <c r="CZ63" i="135"/>
  <c r="DA63" i="135"/>
  <c r="GW63" i="135"/>
  <c r="DB63" i="135"/>
  <c r="GX63" i="135"/>
  <c r="GY63" i="135"/>
  <c r="DC63" i="135"/>
  <c r="DD63" i="135"/>
  <c r="GZ63" i="135"/>
  <c r="DE63" i="135"/>
  <c r="DF63" i="135"/>
  <c r="DG63" i="135"/>
  <c r="DH63" i="135"/>
  <c r="DI63" i="135"/>
  <c r="DJ63" i="135"/>
  <c r="DK63" i="135"/>
  <c r="DL63" i="135"/>
  <c r="DM63" i="135"/>
  <c r="DN63" i="135"/>
  <c r="DO63" i="135"/>
  <c r="DP63" i="135"/>
  <c r="DQ63" i="135"/>
  <c r="DR63" i="135"/>
  <c r="DS63" i="135"/>
  <c r="DT63" i="135"/>
  <c r="DU63" i="135"/>
  <c r="DV63" i="135"/>
  <c r="DW63" i="135"/>
  <c r="DX63" i="135"/>
  <c r="DY63" i="135"/>
  <c r="DZ63" i="135"/>
  <c r="EA63" i="135"/>
  <c r="EB63" i="135"/>
  <c r="EC63" i="135"/>
  <c r="ED63" i="135"/>
  <c r="EE63" i="135"/>
  <c r="EF63" i="135"/>
  <c r="EG63" i="135"/>
  <c r="EH63" i="135"/>
  <c r="EI63" i="135"/>
  <c r="EJ63" i="135"/>
  <c r="EK63" i="135"/>
  <c r="EL63" i="135"/>
  <c r="EM63" i="135"/>
  <c r="EN63" i="135"/>
  <c r="EO63" i="135"/>
  <c r="EP63" i="135"/>
  <c r="EQ63" i="135"/>
  <c r="ER63" i="135"/>
  <c r="ES63" i="135"/>
  <c r="ET63" i="135"/>
  <c r="EU63" i="135"/>
  <c r="EV63" i="135"/>
  <c r="EW63" i="135"/>
  <c r="EX63" i="135"/>
  <c r="FO70" i="135"/>
  <c r="FP70" i="135"/>
  <c r="FQ70" i="135"/>
  <c r="FR70" i="135"/>
  <c r="FS70" i="135"/>
  <c r="FT70" i="135"/>
  <c r="FU70" i="135"/>
  <c r="FV70" i="135"/>
  <c r="FW70" i="135"/>
  <c r="FX70" i="135"/>
  <c r="FY70" i="135"/>
  <c r="FZ70" i="135"/>
  <c r="GA70" i="135"/>
  <c r="GB70" i="135"/>
  <c r="GC70" i="135"/>
  <c r="GD70" i="135"/>
  <c r="GE70" i="135"/>
  <c r="GF70" i="135"/>
  <c r="GG70" i="135"/>
  <c r="GH70" i="135"/>
  <c r="GI70" i="135"/>
  <c r="GJ70" i="135"/>
  <c r="GK70" i="135"/>
  <c r="GL70" i="135"/>
  <c r="GM70" i="135"/>
  <c r="GN70" i="135"/>
  <c r="GO70" i="135"/>
  <c r="GP70" i="135"/>
  <c r="GQ70" i="135"/>
  <c r="GR70" i="135"/>
  <c r="GS70" i="135"/>
  <c r="GT70" i="135"/>
  <c r="GU70" i="135"/>
  <c r="GV70" i="135"/>
  <c r="GW70" i="135"/>
  <c r="GX70" i="135"/>
  <c r="GY70" i="135"/>
  <c r="GZ70" i="135"/>
  <c r="DM70" i="135"/>
  <c r="DN70" i="135"/>
  <c r="DO70" i="135"/>
  <c r="DP70" i="135"/>
  <c r="DQ70" i="135"/>
  <c r="DR70" i="135"/>
  <c r="DS70" i="135"/>
  <c r="DT70" i="135"/>
  <c r="DU70" i="135"/>
  <c r="DV70" i="135"/>
  <c r="DW70" i="135"/>
  <c r="DX70" i="135"/>
  <c r="DY70" i="135"/>
  <c r="DZ70" i="135"/>
  <c r="EA70" i="135"/>
  <c r="EB70" i="135"/>
  <c r="EC70" i="135"/>
  <c r="ED70" i="135"/>
  <c r="EE70" i="135"/>
  <c r="EF70" i="135"/>
  <c r="EG70" i="135"/>
  <c r="EH70" i="135"/>
  <c r="EI70" i="135"/>
  <c r="EJ70" i="135"/>
  <c r="EK70" i="135"/>
  <c r="EL70" i="135"/>
  <c r="EM70" i="135"/>
  <c r="EN70" i="135"/>
  <c r="EO70" i="135"/>
  <c r="EP70" i="135"/>
  <c r="EQ70" i="135"/>
  <c r="ER70" i="135"/>
  <c r="ES70" i="135"/>
  <c r="ET70" i="135"/>
  <c r="EU70" i="135"/>
  <c r="EV70" i="135"/>
  <c r="EW70" i="135"/>
  <c r="EX70" i="135"/>
  <c r="FH87" i="135"/>
  <c r="FI87" i="135"/>
  <c r="FJ87" i="135"/>
  <c r="FK87" i="135"/>
  <c r="FL87" i="135"/>
  <c r="FM87" i="135"/>
  <c r="FN87" i="135"/>
  <c r="FO87" i="135"/>
  <c r="FP87" i="135"/>
  <c r="FQ87" i="135"/>
  <c r="FR87" i="135"/>
  <c r="FS87" i="135"/>
  <c r="FT87" i="135"/>
  <c r="FU87" i="135"/>
  <c r="FV87" i="135"/>
  <c r="FW87" i="135"/>
  <c r="FX87" i="135"/>
  <c r="FY87" i="135"/>
  <c r="FZ87" i="135"/>
  <c r="GA87" i="135"/>
  <c r="GB87" i="135"/>
  <c r="GC87" i="135"/>
  <c r="GD87" i="135"/>
  <c r="GE87" i="135"/>
  <c r="GF87" i="135"/>
  <c r="GG87" i="135"/>
  <c r="GH87" i="135"/>
  <c r="GI87" i="135"/>
  <c r="GJ87" i="135"/>
  <c r="GK87" i="135"/>
  <c r="GL87" i="135"/>
  <c r="GM87" i="135"/>
  <c r="GN87" i="135"/>
  <c r="GO87" i="135"/>
  <c r="GP87" i="135"/>
  <c r="GQ87" i="135"/>
  <c r="GR87" i="135"/>
  <c r="GS87" i="135"/>
  <c r="GT87" i="135"/>
  <c r="GU87" i="135"/>
  <c r="GV87" i="135"/>
  <c r="GW87" i="135"/>
  <c r="GX87" i="135"/>
  <c r="GY87" i="135"/>
  <c r="GZ87" i="135"/>
  <c r="DF87" i="135"/>
  <c r="DG87" i="135"/>
  <c r="DH87" i="135"/>
  <c r="DI87" i="135"/>
  <c r="DJ87" i="135"/>
  <c r="DK87" i="135"/>
  <c r="DL87" i="135"/>
  <c r="DM87" i="135"/>
  <c r="DN87" i="135"/>
  <c r="DO87" i="135"/>
  <c r="DP87" i="135"/>
  <c r="DQ87" i="135"/>
  <c r="DR87" i="135"/>
  <c r="DS87" i="135"/>
  <c r="DT87" i="135"/>
  <c r="DU87" i="135"/>
  <c r="DV87" i="135"/>
  <c r="DW87" i="135"/>
  <c r="DX87" i="135"/>
  <c r="DY87" i="135"/>
  <c r="DZ87" i="135"/>
  <c r="EA87" i="135"/>
  <c r="EB87" i="135"/>
  <c r="EC87" i="135"/>
  <c r="ED87" i="135"/>
  <c r="EE87" i="135"/>
  <c r="EF87" i="135"/>
  <c r="EG87" i="135"/>
  <c r="EH87" i="135"/>
  <c r="EI87" i="135"/>
  <c r="EJ87" i="135"/>
  <c r="EK87" i="135"/>
  <c r="EL87" i="135"/>
  <c r="EM87" i="135"/>
  <c r="EN87" i="135"/>
  <c r="EO87" i="135"/>
  <c r="EP87" i="135"/>
  <c r="EQ87" i="135"/>
  <c r="ER87" i="135"/>
  <c r="ES87" i="135"/>
  <c r="ET87" i="135"/>
  <c r="EU87" i="135"/>
  <c r="EV87" i="135"/>
  <c r="EW87" i="135"/>
  <c r="EX87" i="135"/>
  <c r="FM65" i="135"/>
  <c r="FN65" i="135"/>
  <c r="FO65" i="135"/>
  <c r="FP65" i="135"/>
  <c r="FQ65" i="135"/>
  <c r="FR65" i="135"/>
  <c r="FS65" i="135"/>
  <c r="FT65" i="135"/>
  <c r="FU65" i="135"/>
  <c r="FV65" i="135"/>
  <c r="FW65" i="135"/>
  <c r="FX65" i="135"/>
  <c r="FY65" i="135"/>
  <c r="FZ65" i="135"/>
  <c r="GA65" i="135"/>
  <c r="GB65" i="135"/>
  <c r="GC65" i="135"/>
  <c r="GD65" i="135"/>
  <c r="GE65" i="135"/>
  <c r="GF65" i="135"/>
  <c r="GG65" i="135"/>
  <c r="GH65" i="135"/>
  <c r="GI65" i="135"/>
  <c r="GJ65" i="135"/>
  <c r="GK65" i="135"/>
  <c r="GL65" i="135"/>
  <c r="GM65" i="135"/>
  <c r="GN65" i="135"/>
  <c r="GO65" i="135"/>
  <c r="GP65" i="135"/>
  <c r="GQ65" i="135"/>
  <c r="GR65" i="135"/>
  <c r="GS65" i="135"/>
  <c r="GT65" i="135"/>
  <c r="GU65" i="135"/>
  <c r="GV65" i="135"/>
  <c r="GW65" i="135"/>
  <c r="GX65" i="135"/>
  <c r="GY65" i="135"/>
  <c r="GZ65" i="135"/>
  <c r="DK65" i="135"/>
  <c r="DL65" i="135"/>
  <c r="DM65" i="135"/>
  <c r="DN65" i="135"/>
  <c r="DO65" i="135"/>
  <c r="DP65" i="135"/>
  <c r="DQ65" i="135"/>
  <c r="DR65" i="135"/>
  <c r="DS65" i="135"/>
  <c r="DT65" i="135"/>
  <c r="DU65" i="135"/>
  <c r="DV65" i="135"/>
  <c r="DW65" i="135"/>
  <c r="DX65" i="135"/>
  <c r="DY65" i="135"/>
  <c r="DZ65" i="135"/>
  <c r="EA65" i="135"/>
  <c r="EB65" i="135"/>
  <c r="EC65" i="135"/>
  <c r="ED65" i="135"/>
  <c r="EE65" i="135"/>
  <c r="EF65" i="135"/>
  <c r="EG65" i="135"/>
  <c r="EH65" i="135"/>
  <c r="EI65" i="135"/>
  <c r="EJ65" i="135"/>
  <c r="EK65" i="135"/>
  <c r="EL65" i="135"/>
  <c r="EM65" i="135"/>
  <c r="EN65" i="135"/>
  <c r="EO65" i="135"/>
  <c r="EP65" i="135"/>
  <c r="EQ65" i="135"/>
  <c r="ER65" i="135"/>
  <c r="ES65" i="135"/>
  <c r="ET65" i="135"/>
  <c r="EU65" i="135"/>
  <c r="EV65" i="135"/>
  <c r="EW65" i="135"/>
  <c r="EX65" i="135"/>
  <c r="FO62" i="135"/>
  <c r="FP62" i="135"/>
  <c r="FQ62" i="135"/>
  <c r="FR62" i="135"/>
  <c r="FS62" i="135"/>
  <c r="FT62" i="135"/>
  <c r="FU62" i="135"/>
  <c r="FV62" i="135"/>
  <c r="FW62" i="135"/>
  <c r="FX62" i="135"/>
  <c r="FY62" i="135"/>
  <c r="FZ62" i="135"/>
  <c r="GA62" i="135"/>
  <c r="GB62" i="135"/>
  <c r="GC62" i="135"/>
  <c r="GD62" i="135"/>
  <c r="GE62" i="135"/>
  <c r="GF62" i="135"/>
  <c r="GG62" i="135"/>
  <c r="GH62" i="135"/>
  <c r="GI62" i="135"/>
  <c r="GJ62" i="135"/>
  <c r="GK62" i="135"/>
  <c r="GL62" i="135"/>
  <c r="GM62" i="135"/>
  <c r="GN62" i="135"/>
  <c r="GO62" i="135"/>
  <c r="GP62" i="135"/>
  <c r="GQ62" i="135"/>
  <c r="GR62" i="135"/>
  <c r="GS62" i="135"/>
  <c r="GT62" i="135"/>
  <c r="GU62" i="135"/>
  <c r="GV62" i="135"/>
  <c r="GW62" i="135"/>
  <c r="GX62" i="135"/>
  <c r="GY62" i="135"/>
  <c r="GZ62" i="135"/>
  <c r="DM62" i="135"/>
  <c r="DN62" i="135"/>
  <c r="DO62" i="135"/>
  <c r="DP62" i="135"/>
  <c r="DQ62" i="135"/>
  <c r="DR62" i="135"/>
  <c r="DS62" i="135"/>
  <c r="DT62" i="135"/>
  <c r="DU62" i="135"/>
  <c r="DV62" i="135"/>
  <c r="DW62" i="135"/>
  <c r="DX62" i="135"/>
  <c r="DY62" i="135"/>
  <c r="DZ62" i="135"/>
  <c r="EA62" i="135"/>
  <c r="EB62" i="135"/>
  <c r="EC62" i="135"/>
  <c r="ED62" i="135"/>
  <c r="EE62" i="135"/>
  <c r="EF62" i="135"/>
  <c r="EG62" i="135"/>
  <c r="EH62" i="135"/>
  <c r="EI62" i="135"/>
  <c r="EJ62" i="135"/>
  <c r="EK62" i="135"/>
  <c r="EL62" i="135"/>
  <c r="EM62" i="135"/>
  <c r="EN62" i="135"/>
  <c r="EO62" i="135"/>
  <c r="EP62" i="135"/>
  <c r="EQ62" i="135"/>
  <c r="ER62" i="135"/>
  <c r="ES62" i="135"/>
  <c r="ET62" i="135"/>
  <c r="EU62" i="135"/>
  <c r="EV62" i="135"/>
  <c r="EW62" i="135"/>
  <c r="EX62" i="135"/>
  <c r="FR83" i="135"/>
  <c r="FS83" i="135"/>
  <c r="FT83" i="135"/>
  <c r="FU83" i="135"/>
  <c r="FV83" i="135"/>
  <c r="FW83" i="135"/>
  <c r="FX83" i="135"/>
  <c r="FY83" i="135"/>
  <c r="FZ83" i="135"/>
  <c r="GA83" i="135"/>
  <c r="GB83" i="135"/>
  <c r="GC83" i="135"/>
  <c r="GD83" i="135"/>
  <c r="GE83" i="135"/>
  <c r="GF83" i="135"/>
  <c r="GG83" i="135"/>
  <c r="GH83" i="135"/>
  <c r="GI83" i="135"/>
  <c r="GJ83" i="135"/>
  <c r="GK83" i="135"/>
  <c r="GL83" i="135"/>
  <c r="GM83" i="135"/>
  <c r="GN83" i="135"/>
  <c r="GO83" i="135"/>
  <c r="GP83" i="135"/>
  <c r="GQ83" i="135"/>
  <c r="GR83" i="135"/>
  <c r="GS83" i="135"/>
  <c r="GT83" i="135"/>
  <c r="GU83" i="135"/>
  <c r="GV83" i="135"/>
  <c r="GW83" i="135"/>
  <c r="GX83" i="135"/>
  <c r="GY83" i="135"/>
  <c r="GZ83" i="135"/>
  <c r="DP83" i="135"/>
  <c r="DQ83" i="135"/>
  <c r="DR83" i="135"/>
  <c r="DS83" i="135"/>
  <c r="DT83" i="135"/>
  <c r="DU83" i="135"/>
  <c r="DV83" i="135"/>
  <c r="DW83" i="135"/>
  <c r="DX83" i="135"/>
  <c r="DY83" i="135"/>
  <c r="DZ83" i="135"/>
  <c r="EA83" i="135"/>
  <c r="EB83" i="135"/>
  <c r="EC83" i="135"/>
  <c r="ED83" i="135"/>
  <c r="EE83" i="135"/>
  <c r="EF83" i="135"/>
  <c r="EG83" i="135"/>
  <c r="EH83" i="135"/>
  <c r="EI83" i="135"/>
  <c r="EJ83" i="135"/>
  <c r="EK83" i="135"/>
  <c r="EL83" i="135"/>
  <c r="EM83" i="135"/>
  <c r="EN83" i="135"/>
  <c r="EO83" i="135"/>
  <c r="EP83" i="135"/>
  <c r="EQ83" i="135"/>
  <c r="ER83" i="135"/>
  <c r="ES83" i="135"/>
  <c r="ET83" i="135"/>
  <c r="EU83" i="135"/>
  <c r="EV83" i="135"/>
  <c r="EW83" i="135"/>
  <c r="EX83" i="135"/>
  <c r="FO95" i="135"/>
  <c r="FP95" i="135"/>
  <c r="FQ95" i="135"/>
  <c r="FR95" i="135"/>
  <c r="FS95" i="135"/>
  <c r="FT95" i="135"/>
  <c r="FU95" i="135"/>
  <c r="FV95" i="135"/>
  <c r="FW95" i="135"/>
  <c r="FX95" i="135"/>
  <c r="FY95" i="135"/>
  <c r="FZ95" i="135"/>
  <c r="GA95" i="135"/>
  <c r="GB95" i="135"/>
  <c r="GC95" i="135"/>
  <c r="GD95" i="135"/>
  <c r="GE95" i="135"/>
  <c r="GF95" i="135"/>
  <c r="GG95" i="135"/>
  <c r="GH95" i="135"/>
  <c r="GI95" i="135"/>
  <c r="GJ95" i="135"/>
  <c r="GK95" i="135"/>
  <c r="GL95" i="135"/>
  <c r="GM95" i="135"/>
  <c r="GN95" i="135"/>
  <c r="GO95" i="135"/>
  <c r="GP95" i="135"/>
  <c r="GQ95" i="135"/>
  <c r="GR95" i="135"/>
  <c r="GS95" i="135"/>
  <c r="GT95" i="135"/>
  <c r="GU95" i="135"/>
  <c r="GV95" i="135"/>
  <c r="GW95" i="135"/>
  <c r="GX95" i="135"/>
  <c r="GY95" i="135"/>
  <c r="GZ95" i="135"/>
  <c r="DM95" i="135"/>
  <c r="DN95" i="135"/>
  <c r="DO95" i="135"/>
  <c r="DP95" i="135"/>
  <c r="DQ95" i="135"/>
  <c r="DR95" i="135"/>
  <c r="DS95" i="135"/>
  <c r="DT95" i="135"/>
  <c r="DU95" i="135"/>
  <c r="DV95" i="135"/>
  <c r="DW95" i="135"/>
  <c r="DX95" i="135"/>
  <c r="DY95" i="135"/>
  <c r="DZ95" i="135"/>
  <c r="EA95" i="135"/>
  <c r="EB95" i="135"/>
  <c r="EC95" i="135"/>
  <c r="ED95" i="135"/>
  <c r="EE95" i="135"/>
  <c r="EF95" i="135"/>
  <c r="EG95" i="135"/>
  <c r="EH95" i="135"/>
  <c r="EI95" i="135"/>
  <c r="EJ95" i="135"/>
  <c r="EK95" i="135"/>
  <c r="EL95" i="135"/>
  <c r="EM95" i="135"/>
  <c r="EN95" i="135"/>
  <c r="EO95" i="135"/>
  <c r="EP95" i="135"/>
  <c r="EQ95" i="135"/>
  <c r="ER95" i="135"/>
  <c r="ES95" i="135"/>
  <c r="ET95" i="135"/>
  <c r="EU95" i="135"/>
  <c r="EV95" i="135"/>
  <c r="EW95" i="135"/>
  <c r="EX95" i="135"/>
  <c r="M94" i="250"/>
  <c r="M95" i="250"/>
  <c r="BP387" i="253"/>
  <c r="E388" i="253"/>
  <c r="BR388" i="253" s="1"/>
  <c r="D390" i="253"/>
  <c r="B391" i="253"/>
  <c r="H389" i="253"/>
  <c r="F389" i="253"/>
  <c r="I389" i="253"/>
  <c r="G389" i="253"/>
  <c r="L33" i="135"/>
  <c r="M243" i="250" s="1"/>
  <c r="L31" i="135"/>
  <c r="M221" i="250"/>
  <c r="M202" i="250"/>
  <c r="N138" i="250"/>
  <c r="M164" i="250"/>
  <c r="M139" i="250"/>
  <c r="N139" i="250" s="1"/>
  <c r="M143" i="250"/>
  <c r="M144" i="250"/>
  <c r="N144" i="250" s="1"/>
  <c r="M145" i="250"/>
  <c r="N145" i="250" s="1"/>
  <c r="M141" i="250"/>
  <c r="M116" i="250"/>
  <c r="M115" i="250"/>
  <c r="B6" i="178"/>
  <c r="D6" i="178" s="1"/>
  <c r="AQ33" i="109"/>
  <c r="AR26" i="109"/>
  <c r="AQ22" i="109"/>
  <c r="FJ97" i="135" l="1"/>
  <c r="FJ25" i="135" s="1"/>
  <c r="DB38" i="135"/>
  <c r="Q22" i="135"/>
  <c r="DH97" i="135"/>
  <c r="DH25" i="135" s="1"/>
  <c r="AR92" i="135"/>
  <c r="BR92" i="135" s="1"/>
  <c r="BL92" i="135" s="1"/>
  <c r="DF55" i="135"/>
  <c r="DM79" i="135"/>
  <c r="AP41" i="135"/>
  <c r="DC35" i="135"/>
  <c r="CZ81" i="135"/>
  <c r="CX94" i="135"/>
  <c r="FH77" i="135"/>
  <c r="DE79" i="135"/>
  <c r="DE35" i="135"/>
  <c r="DG81" i="135"/>
  <c r="DH93" i="135"/>
  <c r="Y17" i="135"/>
  <c r="DK94" i="135"/>
  <c r="FH97" i="135"/>
  <c r="FH25" i="135" s="1"/>
  <c r="CZ79" i="135"/>
  <c r="DK81" i="135"/>
  <c r="DD93" i="135"/>
  <c r="DB93" i="135"/>
  <c r="FK97" i="135"/>
  <c r="FK25" i="135" s="1"/>
  <c r="DG94" i="135"/>
  <c r="DI79" i="135"/>
  <c r="CX81" i="135"/>
  <c r="DL93" i="135"/>
  <c r="FI97" i="135"/>
  <c r="FI25" i="135" s="1"/>
  <c r="CZ94" i="135"/>
  <c r="FJ77" i="135"/>
  <c r="DE55" i="135"/>
  <c r="CY55" i="135"/>
  <c r="DL79" i="135"/>
  <c r="DA79" i="135"/>
  <c r="DA38" i="135"/>
  <c r="DD35" i="135"/>
  <c r="AP49" i="135"/>
  <c r="DJ81" i="135"/>
  <c r="DG43" i="135"/>
  <c r="CX43" i="135"/>
  <c r="DK93" i="135"/>
  <c r="CX93" i="135"/>
  <c r="FM97" i="135"/>
  <c r="FM25" i="135" s="1"/>
  <c r="DJ94" i="135"/>
  <c r="DD94" i="135"/>
  <c r="FI77" i="135"/>
  <c r="AT38" i="135"/>
  <c r="CJ38" i="135" s="1"/>
  <c r="CF38" i="135" s="1"/>
  <c r="AK20" i="135"/>
  <c r="DC55" i="135"/>
  <c r="DA55" i="135"/>
  <c r="DH79" i="135"/>
  <c r="DE38" i="135"/>
  <c r="DA35" i="135"/>
  <c r="AP35" i="135"/>
  <c r="DF81" i="135"/>
  <c r="DA81" i="135"/>
  <c r="CY81" i="135"/>
  <c r="DG93" i="135"/>
  <c r="CZ93" i="135"/>
  <c r="FN97" i="135"/>
  <c r="FN25" i="135" s="1"/>
  <c r="FL97" i="135"/>
  <c r="FL25" i="135" s="1"/>
  <c r="DF94" i="135"/>
  <c r="CY94" i="135"/>
  <c r="FK77" i="135"/>
  <c r="AR50" i="135"/>
  <c r="CA50" i="135" s="1"/>
  <c r="BW50" i="135" s="1"/>
  <c r="FM69" i="135"/>
  <c r="EZ63" i="135"/>
  <c r="FF49" i="135"/>
  <c r="FK42" i="135"/>
  <c r="FM63" i="135"/>
  <c r="DG60" i="135"/>
  <c r="DB60" i="135"/>
  <c r="FQ42" i="135"/>
  <c r="DH69" i="135"/>
  <c r="DC52" i="135"/>
  <c r="FN63" i="135"/>
  <c r="FL77" i="135"/>
  <c r="FN77" i="135"/>
  <c r="FA69" i="135"/>
  <c r="FE54" i="135"/>
  <c r="V53" i="135"/>
  <c r="W53" i="135" s="1"/>
  <c r="Y25" i="135"/>
  <c r="V25" i="135"/>
  <c r="FL42" i="135"/>
  <c r="FO77" i="135"/>
  <c r="FM77" i="135"/>
  <c r="FF69" i="135"/>
  <c r="FD37" i="135"/>
  <c r="AR58" i="135"/>
  <c r="BR58" i="135" s="1"/>
  <c r="BL58" i="135" s="1"/>
  <c r="FJ63" i="135"/>
  <c r="CX60" i="135"/>
  <c r="FM42" i="135"/>
  <c r="FH69" i="135"/>
  <c r="EZ54" i="135"/>
  <c r="DE74" i="135"/>
  <c r="FI63" i="135"/>
  <c r="FN42" i="135"/>
  <c r="FB69" i="135"/>
  <c r="DC74" i="135"/>
  <c r="FA37" i="135"/>
  <c r="FH63" i="135"/>
  <c r="FE63" i="135"/>
  <c r="EZ69" i="135"/>
  <c r="DB74" i="135"/>
  <c r="FL63" i="135"/>
  <c r="FK63" i="135"/>
  <c r="FH42" i="135"/>
  <c r="FE69" i="135"/>
  <c r="DA74" i="135"/>
  <c r="DJ52" i="135"/>
  <c r="DJ20" i="135" s="1"/>
  <c r="FG63" i="135"/>
  <c r="FF63" i="135"/>
  <c r="FJ42" i="135"/>
  <c r="FI42" i="135"/>
  <c r="DO43" i="135"/>
  <c r="FL69" i="135"/>
  <c r="FC69" i="135"/>
  <c r="FB54" i="135"/>
  <c r="AT72" i="135"/>
  <c r="CU72" i="135" s="1"/>
  <c r="DD74" i="135"/>
  <c r="DF52" i="135"/>
  <c r="CY52" i="135"/>
  <c r="FD63" i="135"/>
  <c r="FC63" i="135"/>
  <c r="FB63" i="135"/>
  <c r="DK60" i="135"/>
  <c r="FO42" i="135"/>
  <c r="DK43" i="135"/>
  <c r="AT78" i="135"/>
  <c r="BZ78" i="135" s="1"/>
  <c r="FG69" i="135"/>
  <c r="FI69" i="135"/>
  <c r="FJ69" i="135"/>
  <c r="AT93" i="135"/>
  <c r="CJ93" i="135" s="1"/>
  <c r="CF93" i="135" s="1"/>
  <c r="AT56" i="135"/>
  <c r="AT22" i="135" s="1"/>
  <c r="CJ22" i="135" s="1"/>
  <c r="CF22" i="135" s="1"/>
  <c r="DA52" i="135"/>
  <c r="FI37" i="135"/>
  <c r="FG37" i="135"/>
  <c r="CZ95" i="135"/>
  <c r="CX69" i="135"/>
  <c r="DG95" i="135"/>
  <c r="DG55" i="135"/>
  <c r="DD55" i="135"/>
  <c r="DB55" i="135"/>
  <c r="CZ55" i="135"/>
  <c r="DJ79" i="135"/>
  <c r="DF79" i="135"/>
  <c r="DC79" i="135"/>
  <c r="CY79" i="135"/>
  <c r="DC38" i="135"/>
  <c r="CY38" i="135"/>
  <c r="DF35" i="135"/>
  <c r="CY35" i="135"/>
  <c r="CY80" i="135"/>
  <c r="DL81" i="135"/>
  <c r="DH81" i="135"/>
  <c r="DD81" i="135"/>
  <c r="DB81" i="135"/>
  <c r="DI93" i="135"/>
  <c r="DE93" i="135"/>
  <c r="DC93" i="135"/>
  <c r="DA93" i="135"/>
  <c r="FC97" i="135"/>
  <c r="FC25" i="135" s="1"/>
  <c r="FB97" i="135"/>
  <c r="FB25" i="135" s="1"/>
  <c r="FA97" i="135"/>
  <c r="FA25" i="135" s="1"/>
  <c r="EZ97" i="135"/>
  <c r="EZ25" i="135" s="1"/>
  <c r="DL94" i="135"/>
  <c r="DH94" i="135"/>
  <c r="DB94" i="135"/>
  <c r="EZ77" i="135"/>
  <c r="FC77" i="135"/>
  <c r="FB77" i="135"/>
  <c r="FA77" i="135"/>
  <c r="DL69" i="135"/>
  <c r="AP92" i="135"/>
  <c r="DB92" i="135"/>
  <c r="AR39" i="135"/>
  <c r="CA39" i="135" s="1"/>
  <c r="BW39" i="135" s="1"/>
  <c r="R11" i="131"/>
  <c r="S11" i="131" s="1"/>
  <c r="S56" i="135"/>
  <c r="CX56" i="135" s="1"/>
  <c r="CX22" i="135" s="1"/>
  <c r="Z25" i="135"/>
  <c r="DD69" i="135"/>
  <c r="DJ80" i="135"/>
  <c r="DK79" i="135"/>
  <c r="DG79" i="135"/>
  <c r="DD79" i="135"/>
  <c r="DB79" i="135"/>
  <c r="DD38" i="135"/>
  <c r="CZ38" i="135"/>
  <c r="DG35" i="135"/>
  <c r="DB35" i="135"/>
  <c r="CZ35" i="135"/>
  <c r="DI81" i="135"/>
  <c r="DE81" i="135"/>
  <c r="DJ93" i="135"/>
  <c r="DF93" i="135"/>
  <c r="FG97" i="135"/>
  <c r="FG25" i="135" s="1"/>
  <c r="FF97" i="135"/>
  <c r="FF25" i="135" s="1"/>
  <c r="FE97" i="135"/>
  <c r="FE25" i="135" s="1"/>
  <c r="FD97" i="135"/>
  <c r="FD25" i="135" s="1"/>
  <c r="DI94" i="135"/>
  <c r="DE94" i="135"/>
  <c r="DC94" i="135"/>
  <c r="FD77" i="135"/>
  <c r="FG77" i="135"/>
  <c r="FF77" i="135"/>
  <c r="CZ69" i="135"/>
  <c r="AR37" i="135"/>
  <c r="BH37" i="135" s="1"/>
  <c r="BC37" i="135" s="1"/>
  <c r="DD95" i="135"/>
  <c r="FC71" i="135"/>
  <c r="FE80" i="135"/>
  <c r="FN81" i="135"/>
  <c r="AR35" i="135"/>
  <c r="CA35" i="135" s="1"/>
  <c r="BW35" i="135" s="1"/>
  <c r="DK95" i="135"/>
  <c r="FM81" i="135"/>
  <c r="DJ69" i="135"/>
  <c r="DA69" i="135"/>
  <c r="FD49" i="135"/>
  <c r="DH95" i="135"/>
  <c r="CX95" i="135"/>
  <c r="DG90" i="135"/>
  <c r="CX90" i="135"/>
  <c r="FF71" i="135"/>
  <c r="FD35" i="135"/>
  <c r="DC80" i="135"/>
  <c r="FL81" i="135"/>
  <c r="DI69" i="135"/>
  <c r="DE69" i="135"/>
  <c r="DC69" i="135"/>
  <c r="FG49" i="135"/>
  <c r="DG92" i="135"/>
  <c r="CZ92" i="135"/>
  <c r="AR69" i="135"/>
  <c r="CA69" i="135" s="1"/>
  <c r="BW69" i="135" s="1"/>
  <c r="DB95" i="135"/>
  <c r="FD71" i="135"/>
  <c r="DK69" i="135"/>
  <c r="DB69" i="135"/>
  <c r="FE49" i="135"/>
  <c r="AT53" i="135"/>
  <c r="BZ53" i="135" s="1"/>
  <c r="AR60" i="135"/>
  <c r="BR60" i="135" s="1"/>
  <c r="BL60" i="135" s="1"/>
  <c r="DL95" i="135"/>
  <c r="DF80" i="135"/>
  <c r="DG69" i="135"/>
  <c r="DD92" i="135"/>
  <c r="FI35" i="135"/>
  <c r="DF69" i="135"/>
  <c r="DK92" i="135"/>
  <c r="FI80" i="135"/>
  <c r="FK80" i="135"/>
  <c r="DK90" i="135"/>
  <c r="FA80" i="135"/>
  <c r="DI97" i="135"/>
  <c r="DI25" i="135" s="1"/>
  <c r="DJ95" i="135"/>
  <c r="DF95" i="135"/>
  <c r="DC95" i="135"/>
  <c r="CY95" i="135"/>
  <c r="DJ60" i="135"/>
  <c r="DF60" i="135"/>
  <c r="DC60" i="135"/>
  <c r="CY60" i="135"/>
  <c r="FB71" i="135"/>
  <c r="FA71" i="135"/>
  <c r="EZ71" i="135"/>
  <c r="FE35" i="135"/>
  <c r="EZ35" i="135"/>
  <c r="DI80" i="135"/>
  <c r="DE80" i="135"/>
  <c r="DA80" i="135"/>
  <c r="FK81" i="135"/>
  <c r="FJ81" i="135"/>
  <c r="FI81" i="135"/>
  <c r="FH81" i="135"/>
  <c r="DN43" i="135"/>
  <c r="DJ43" i="135"/>
  <c r="DF43" i="135"/>
  <c r="DC43" i="135"/>
  <c r="CY43" i="135"/>
  <c r="AR46" i="135"/>
  <c r="CA46" i="135" s="1"/>
  <c r="BW46" i="135" s="1"/>
  <c r="FC49" i="135"/>
  <c r="FB49" i="135"/>
  <c r="FA49" i="135"/>
  <c r="EZ49" i="135"/>
  <c r="AT48" i="135"/>
  <c r="CU48" i="135" s="1"/>
  <c r="DJ92" i="135"/>
  <c r="DF92" i="135"/>
  <c r="DA92" i="135"/>
  <c r="CY92" i="135"/>
  <c r="DI52" i="135"/>
  <c r="DI20" i="135" s="1"/>
  <c r="DE52" i="135"/>
  <c r="AC20" i="135"/>
  <c r="AE21" i="135"/>
  <c r="DI95" i="135"/>
  <c r="DE95" i="135"/>
  <c r="DI60" i="135"/>
  <c r="DE60" i="135"/>
  <c r="DA60" i="135"/>
  <c r="FK71" i="135"/>
  <c r="FN71" i="135"/>
  <c r="FM71" i="135"/>
  <c r="FL71" i="135"/>
  <c r="FF35" i="135"/>
  <c r="FA35" i="135"/>
  <c r="FG35" i="135"/>
  <c r="AT80" i="135"/>
  <c r="BZ80" i="135" s="1"/>
  <c r="DL80" i="135"/>
  <c r="DH80" i="135"/>
  <c r="DD80" i="135"/>
  <c r="CZ80" i="135"/>
  <c r="FG81" i="135"/>
  <c r="FF81" i="135"/>
  <c r="FE81" i="135"/>
  <c r="FD81" i="135"/>
  <c r="DM43" i="135"/>
  <c r="DI43" i="135"/>
  <c r="DE43" i="135"/>
  <c r="DA43" i="135"/>
  <c r="AT83" i="135"/>
  <c r="BZ83" i="135" s="1"/>
  <c r="AT71" i="135"/>
  <c r="CJ71" i="135" s="1"/>
  <c r="CF71" i="135" s="1"/>
  <c r="FN49" i="135"/>
  <c r="FM49" i="135"/>
  <c r="FL49" i="135"/>
  <c r="DI92" i="135"/>
  <c r="DE92" i="135"/>
  <c r="DC92" i="135"/>
  <c r="DH52" i="135"/>
  <c r="DH20" i="135" s="1"/>
  <c r="CZ52" i="135"/>
  <c r="AK17" i="135"/>
  <c r="AR67" i="135"/>
  <c r="BH67" i="135" s="1"/>
  <c r="BC67" i="135" s="1"/>
  <c r="Q20" i="135"/>
  <c r="AD22" i="135"/>
  <c r="DL60" i="135"/>
  <c r="DH60" i="135"/>
  <c r="DD60" i="135"/>
  <c r="FG71" i="135"/>
  <c r="FJ71" i="135"/>
  <c r="FI71" i="135"/>
  <c r="FB35" i="135"/>
  <c r="FH35" i="135"/>
  <c r="DK80" i="135"/>
  <c r="DG80" i="135"/>
  <c r="DB80" i="135"/>
  <c r="FC81" i="135"/>
  <c r="FB81" i="135"/>
  <c r="FA81" i="135"/>
  <c r="DL43" i="135"/>
  <c r="DH43" i="135"/>
  <c r="DD43" i="135"/>
  <c r="DB43" i="135"/>
  <c r="FK49" i="135"/>
  <c r="FJ49" i="135"/>
  <c r="FI49" i="135"/>
  <c r="DL92" i="135"/>
  <c r="DH92" i="135"/>
  <c r="DG52" i="135"/>
  <c r="DD52" i="135"/>
  <c r="DB52" i="135"/>
  <c r="CY68" i="135"/>
  <c r="DF54" i="135"/>
  <c r="FC38" i="135"/>
  <c r="CY54" i="135"/>
  <c r="DJ68" i="135"/>
  <c r="DF71" i="135"/>
  <c r="FN43" i="135"/>
  <c r="DF68" i="135"/>
  <c r="AL23" i="135"/>
  <c r="EZ70" i="135"/>
  <c r="FL96" i="135"/>
  <c r="AT97" i="135"/>
  <c r="AT25" i="135" s="1"/>
  <c r="CJ25" i="135" s="1"/>
  <c r="CF25" i="135" s="1"/>
  <c r="FK96" i="135"/>
  <c r="FF54" i="135"/>
  <c r="FA54" i="135"/>
  <c r="AP56" i="135"/>
  <c r="FF37" i="135"/>
  <c r="EZ79" i="135"/>
  <c r="FI79" i="135"/>
  <c r="FK69" i="135"/>
  <c r="FD69" i="135"/>
  <c r="FG54" i="135"/>
  <c r="FH54" i="135"/>
  <c r="AT88" i="135"/>
  <c r="CU88" i="135" s="1"/>
  <c r="AT69" i="135"/>
  <c r="CU69" i="135" s="1"/>
  <c r="CZ74" i="135"/>
  <c r="CX74" i="135"/>
  <c r="FH37" i="135"/>
  <c r="FE37" i="135"/>
  <c r="FC37" i="135"/>
  <c r="AT64" i="135"/>
  <c r="CU64" i="135" s="1"/>
  <c r="Z17" i="135"/>
  <c r="FC54" i="135"/>
  <c r="FI54" i="135"/>
  <c r="FB37" i="135"/>
  <c r="AR93" i="135"/>
  <c r="BR93" i="135" s="1"/>
  <c r="BL93" i="135" s="1"/>
  <c r="AN22" i="135"/>
  <c r="AP22" i="135" s="1"/>
  <c r="AR41" i="135"/>
  <c r="BR41" i="135" s="1"/>
  <c r="BL41" i="135" s="1"/>
  <c r="AR80" i="135"/>
  <c r="BR80" i="135" s="1"/>
  <c r="BL80" i="135" s="1"/>
  <c r="AR77" i="135"/>
  <c r="BR77" i="135" s="1"/>
  <c r="BL77" i="135" s="1"/>
  <c r="FM70" i="135"/>
  <c r="FN70" i="135"/>
  <c r="U22" i="135"/>
  <c r="R25" i="135"/>
  <c r="DE71" i="135"/>
  <c r="CY71" i="135"/>
  <c r="FQ41" i="135"/>
  <c r="CX70" i="135"/>
  <c r="DJ71" i="135"/>
  <c r="CZ70" i="135"/>
  <c r="DI71" i="135"/>
  <c r="DC71" i="135"/>
  <c r="DA71" i="135"/>
  <c r="AP85" i="135"/>
  <c r="FI43" i="135"/>
  <c r="FJ70" i="135"/>
  <c r="FK70" i="135"/>
  <c r="FI70" i="135"/>
  <c r="FL70" i="135"/>
  <c r="FF70" i="135"/>
  <c r="FE70" i="135"/>
  <c r="FH70" i="135"/>
  <c r="FG70" i="135"/>
  <c r="AT54" i="135"/>
  <c r="AT21" i="135" s="1"/>
  <c r="FB70" i="135"/>
  <c r="FA70" i="135"/>
  <c r="FD70" i="135"/>
  <c r="FG79" i="135"/>
  <c r="DE97" i="135"/>
  <c r="DE25" i="135" s="1"/>
  <c r="DC97" i="135"/>
  <c r="DC25" i="135" s="1"/>
  <c r="DI41" i="135"/>
  <c r="DC41" i="135"/>
  <c r="DL97" i="135"/>
  <c r="DL25" i="135" s="1"/>
  <c r="DD97" i="135"/>
  <c r="DD25" i="135" s="1"/>
  <c r="DE41" i="135"/>
  <c r="FN96" i="135"/>
  <c r="DA37" i="135"/>
  <c r="DQ50" i="135"/>
  <c r="CX50" i="135"/>
  <c r="DC37" i="135"/>
  <c r="DG37" i="135"/>
  <c r="DF37" i="135"/>
  <c r="DC68" i="135"/>
  <c r="R21" i="135"/>
  <c r="FH93" i="135"/>
  <c r="FF84" i="135"/>
  <c r="BP388" i="253"/>
  <c r="FA58" i="135"/>
  <c r="AA17" i="135"/>
  <c r="FE36" i="135"/>
  <c r="FD36" i="135"/>
  <c r="EZ36" i="135"/>
  <c r="FI36" i="135"/>
  <c r="FC36" i="135"/>
  <c r="FC17" i="135" s="1"/>
  <c r="FH36" i="135"/>
  <c r="FA36" i="135"/>
  <c r="FB36" i="135"/>
  <c r="FG36" i="135"/>
  <c r="FF36" i="135"/>
  <c r="FP41" i="135"/>
  <c r="FL45" i="135"/>
  <c r="FO45" i="135"/>
  <c r="AD21" i="135"/>
  <c r="FH95" i="135"/>
  <c r="DM41" i="135"/>
  <c r="FM96" i="135"/>
  <c r="FF83" i="135"/>
  <c r="FD87" i="135"/>
  <c r="DH78" i="135"/>
  <c r="DC88" i="135"/>
  <c r="CY88" i="135"/>
  <c r="DD88" i="135"/>
  <c r="DE88" i="135"/>
  <c r="CZ88" i="135"/>
  <c r="DB88" i="135"/>
  <c r="CX88" i="135"/>
  <c r="DA88" i="135"/>
  <c r="CX67" i="135"/>
  <c r="DB67" i="135"/>
  <c r="DD67" i="135"/>
  <c r="DG67" i="135"/>
  <c r="DC67" i="135"/>
  <c r="CZ67" i="135"/>
  <c r="DH67" i="135"/>
  <c r="DF67" i="135"/>
  <c r="DA67" i="135"/>
  <c r="DE67" i="135"/>
  <c r="DI67" i="135"/>
  <c r="CY67" i="135"/>
  <c r="DJ67" i="135"/>
  <c r="DD47" i="135"/>
  <c r="DH47" i="135"/>
  <c r="DL47" i="135"/>
  <c r="DB47" i="135"/>
  <c r="DE47" i="135"/>
  <c r="DI47" i="135"/>
  <c r="DG47" i="135"/>
  <c r="CY47" i="135"/>
  <c r="DA47" i="135"/>
  <c r="DC47" i="135"/>
  <c r="DF47" i="135"/>
  <c r="DJ47" i="135"/>
  <c r="CZ47" i="135"/>
  <c r="DK47" i="135"/>
  <c r="CX47" i="135"/>
  <c r="EZ78" i="135"/>
  <c r="DB51" i="135"/>
  <c r="DB78" i="135"/>
  <c r="FO78" i="135"/>
  <c r="DC83" i="135"/>
  <c r="FI83" i="135"/>
  <c r="DN46" i="135"/>
  <c r="FJ95" i="135"/>
  <c r="FK95" i="135"/>
  <c r="DL83" i="135"/>
  <c r="FD83" i="135"/>
  <c r="EZ65" i="135"/>
  <c r="DF61" i="135"/>
  <c r="DA61" i="135"/>
  <c r="FF65" i="135"/>
  <c r="DF46" i="135"/>
  <c r="FI95" i="135"/>
  <c r="DG83" i="135"/>
  <c r="FG83" i="135"/>
  <c r="DJ46" i="135"/>
  <c r="CX46" i="135"/>
  <c r="DK70" i="135"/>
  <c r="DL71" i="135"/>
  <c r="DH71" i="135"/>
  <c r="CZ71" i="135"/>
  <c r="DB72" i="135"/>
  <c r="FL43" i="135"/>
  <c r="FN41" i="135"/>
  <c r="DG70" i="135"/>
  <c r="FH90" i="135"/>
  <c r="DK71" i="135"/>
  <c r="DG71" i="135"/>
  <c r="DD71" i="135"/>
  <c r="DB71" i="135"/>
  <c r="FO43" i="135"/>
  <c r="FB87" i="135"/>
  <c r="DL78" i="135"/>
  <c r="FC88" i="135"/>
  <c r="FL84" i="135"/>
  <c r="FL94" i="135"/>
  <c r="CZ51" i="135"/>
  <c r="FX51" i="135"/>
  <c r="DD78" i="135"/>
  <c r="DD51" i="135"/>
  <c r="FO51" i="135"/>
  <c r="FF51" i="135"/>
  <c r="DB46" i="135"/>
  <c r="AP75" i="135"/>
  <c r="CY89" i="135"/>
  <c r="FC67" i="135"/>
  <c r="DJ61" i="135"/>
  <c r="CY61" i="135"/>
  <c r="FJ93" i="135"/>
  <c r="AN25" i="135"/>
  <c r="AP25" i="135" s="1"/>
  <c r="CX78" i="135"/>
  <c r="FM84" i="135"/>
  <c r="FK94" i="135"/>
  <c r="CY51" i="135"/>
  <c r="FT51" i="135"/>
  <c r="FK51" i="135"/>
  <c r="FD51" i="135"/>
  <c r="FK75" i="135"/>
  <c r="DI50" i="135"/>
  <c r="DC50" i="135"/>
  <c r="CZ50" i="135"/>
  <c r="FE87" i="135"/>
  <c r="DK78" i="135"/>
  <c r="CZ78" i="135"/>
  <c r="FN78" i="135"/>
  <c r="FG58" i="135"/>
  <c r="FG87" i="135"/>
  <c r="FA87" i="135"/>
  <c r="DJ78" i="135"/>
  <c r="DF78" i="135"/>
  <c r="CY78" i="135"/>
  <c r="FI84" i="135"/>
  <c r="FO84" i="135"/>
  <c r="DE51" i="135"/>
  <c r="DC51" i="135"/>
  <c r="DA51" i="135"/>
  <c r="FU51" i="135"/>
  <c r="FH51" i="135"/>
  <c r="FN51" i="135"/>
  <c r="EZ51" i="135"/>
  <c r="DH91" i="135"/>
  <c r="DG50" i="135"/>
  <c r="EZ87" i="135"/>
  <c r="DG78" i="135"/>
  <c r="FB40" i="135"/>
  <c r="EZ84" i="135"/>
  <c r="FF87" i="135"/>
  <c r="DM78" i="135"/>
  <c r="DI78" i="135"/>
  <c r="DE78" i="135"/>
  <c r="DC78" i="135"/>
  <c r="FA78" i="135"/>
  <c r="FD40" i="135"/>
  <c r="FA88" i="135"/>
  <c r="FJ84" i="135"/>
  <c r="FP84" i="135"/>
  <c r="FB58" i="135"/>
  <c r="FQ51" i="135"/>
  <c r="DD37" i="135"/>
  <c r="DB37" i="135"/>
  <c r="CY37" i="135"/>
  <c r="DS50" i="135"/>
  <c r="CX89" i="135"/>
  <c r="CY84" i="135"/>
  <c r="DA84" i="135"/>
  <c r="DF84" i="135"/>
  <c r="DJ84" i="135"/>
  <c r="DN84" i="135"/>
  <c r="CX84" i="135"/>
  <c r="CZ84" i="135"/>
  <c r="DB84" i="135"/>
  <c r="DG84" i="135"/>
  <c r="DK84" i="135"/>
  <c r="DO84" i="135"/>
  <c r="DH84" i="135"/>
  <c r="DD84" i="135"/>
  <c r="DL84" i="135"/>
  <c r="DC84" i="135"/>
  <c r="DE84" i="135"/>
  <c r="DI84" i="135"/>
  <c r="DM84" i="135"/>
  <c r="AR63" i="135"/>
  <c r="BR63" i="135" s="1"/>
  <c r="BL63" i="135" s="1"/>
  <c r="W21" i="135"/>
  <c r="DJ70" i="135"/>
  <c r="DF70" i="135"/>
  <c r="CY70" i="135"/>
  <c r="DJ90" i="135"/>
  <c r="DF90" i="135"/>
  <c r="CY90" i="135"/>
  <c r="FB80" i="135"/>
  <c r="FL80" i="135"/>
  <c r="FD80" i="135"/>
  <c r="FG80" i="135"/>
  <c r="FE43" i="135"/>
  <c r="FH43" i="135"/>
  <c r="FK43" i="135"/>
  <c r="FJ43" i="135"/>
  <c r="FO41" i="135"/>
  <c r="FJ41" i="135"/>
  <c r="FM41" i="135"/>
  <c r="FH41" i="135"/>
  <c r="DI70" i="135"/>
  <c r="DE70" i="135"/>
  <c r="DC70" i="135"/>
  <c r="DA70" i="135"/>
  <c r="DI90" i="135"/>
  <c r="DE90" i="135"/>
  <c r="DC90" i="135"/>
  <c r="DA90" i="135"/>
  <c r="FM80" i="135"/>
  <c r="FF80" i="135"/>
  <c r="EZ80" i="135"/>
  <c r="FC80" i="135"/>
  <c r="FQ43" i="135"/>
  <c r="FA43" i="135"/>
  <c r="FD43" i="135"/>
  <c r="FG43" i="135"/>
  <c r="FF43" i="135"/>
  <c r="CY75" i="135"/>
  <c r="FK41" i="135"/>
  <c r="FF41" i="135"/>
  <c r="FE41" i="135"/>
  <c r="FD41" i="135"/>
  <c r="DL70" i="135"/>
  <c r="DH70" i="135"/>
  <c r="DD70" i="135"/>
  <c r="DL90" i="135"/>
  <c r="DH90" i="135"/>
  <c r="DD90" i="135"/>
  <c r="DB90" i="135"/>
  <c r="FJ90" i="135"/>
  <c r="FN80" i="135"/>
  <c r="FH80" i="135"/>
  <c r="FM43" i="135"/>
  <c r="FP43" i="135"/>
  <c r="EZ43" i="135"/>
  <c r="FC43" i="135"/>
  <c r="AP77" i="135"/>
  <c r="FG41" i="135"/>
  <c r="FA41" i="135"/>
  <c r="EZ41" i="135"/>
  <c r="DG48" i="135"/>
  <c r="DB48" i="135"/>
  <c r="R12" i="131"/>
  <c r="S12" i="131" s="1"/>
  <c r="FF90" i="135"/>
  <c r="DC72" i="135"/>
  <c r="DL75" i="135"/>
  <c r="AR70" i="135"/>
  <c r="CA70" i="135" s="1"/>
  <c r="BW70" i="135" s="1"/>
  <c r="AM20" i="135"/>
  <c r="FD90" i="135"/>
  <c r="CY72" i="135"/>
  <c r="FG90" i="135"/>
  <c r="FM90" i="135"/>
  <c r="DE72" i="135"/>
  <c r="DA72" i="135"/>
  <c r="FI94" i="135"/>
  <c r="FJ94" i="135"/>
  <c r="DF75" i="135"/>
  <c r="FC41" i="135"/>
  <c r="FB41" i="135"/>
  <c r="FI41" i="135"/>
  <c r="V21" i="135"/>
  <c r="DC87" i="135"/>
  <c r="CY87" i="135"/>
  <c r="FK90" i="135"/>
  <c r="FI90" i="135"/>
  <c r="DD72" i="135"/>
  <c r="CZ72" i="135"/>
  <c r="AR51" i="135"/>
  <c r="BR51" i="135" s="1"/>
  <c r="BL51" i="135" s="1"/>
  <c r="W20" i="135"/>
  <c r="U21" i="135"/>
  <c r="DM46" i="135"/>
  <c r="DI46" i="135"/>
  <c r="DE46" i="135"/>
  <c r="DA46" i="135"/>
  <c r="FF95" i="135"/>
  <c r="FE95" i="135"/>
  <c r="FD95" i="135"/>
  <c r="FG95" i="135"/>
  <c r="DK83" i="135"/>
  <c r="DF83" i="135"/>
  <c r="CZ83" i="135"/>
  <c r="CX83" i="135"/>
  <c r="FP83" i="135"/>
  <c r="EZ83" i="135"/>
  <c r="FC83" i="135"/>
  <c r="FB83" i="135"/>
  <c r="FE83" i="135"/>
  <c r="FB65" i="135"/>
  <c r="DE87" i="135"/>
  <c r="FD38" i="135"/>
  <c r="FF38" i="135"/>
  <c r="FM93" i="135"/>
  <c r="DL41" i="135"/>
  <c r="DH41" i="135"/>
  <c r="CZ41" i="135"/>
  <c r="FJ96" i="135"/>
  <c r="FI96" i="135"/>
  <c r="FH96" i="135"/>
  <c r="FG96" i="135"/>
  <c r="DE54" i="135"/>
  <c r="DC54" i="135"/>
  <c r="DC21" i="135" s="1"/>
  <c r="DA54" i="135"/>
  <c r="DA21" i="135" s="1"/>
  <c r="AT37" i="135"/>
  <c r="CJ37" i="135" s="1"/>
  <c r="CF37" i="135" s="1"/>
  <c r="DI68" i="135"/>
  <c r="DE68" i="135"/>
  <c r="DA68" i="135"/>
  <c r="AP55" i="135"/>
  <c r="DL46" i="135"/>
  <c r="DH46" i="135"/>
  <c r="DD46" i="135"/>
  <c r="CZ46" i="135"/>
  <c r="FB95" i="135"/>
  <c r="FA95" i="135"/>
  <c r="EZ95" i="135"/>
  <c r="FC95" i="135"/>
  <c r="DO83" i="135"/>
  <c r="DJ83" i="135"/>
  <c r="DB83" i="135"/>
  <c r="FL83" i="135"/>
  <c r="FO83" i="135"/>
  <c r="FN83" i="135"/>
  <c r="FQ83" i="135"/>
  <c r="FA83" i="135"/>
  <c r="FK65" i="135"/>
  <c r="FA65" i="135"/>
  <c r="FE38" i="135"/>
  <c r="EZ38" i="135"/>
  <c r="FB38" i="135"/>
  <c r="FB18" i="135" s="1"/>
  <c r="FK93" i="135"/>
  <c r="FI93" i="135"/>
  <c r="DO41" i="135"/>
  <c r="DK41" i="135"/>
  <c r="DG41" i="135"/>
  <c r="DD41" i="135"/>
  <c r="DB41" i="135"/>
  <c r="CX41" i="135"/>
  <c r="FF96" i="135"/>
  <c r="FE96" i="135"/>
  <c r="FD96" i="135"/>
  <c r="FC96" i="135"/>
  <c r="DD54" i="135"/>
  <c r="DB54" i="135"/>
  <c r="DL68" i="135"/>
  <c r="DH68" i="135"/>
  <c r="DD68" i="135"/>
  <c r="CZ68" i="135"/>
  <c r="AT63" i="135"/>
  <c r="CJ63" i="135" s="1"/>
  <c r="CF63" i="135" s="1"/>
  <c r="AR68" i="135"/>
  <c r="BR68" i="135" s="1"/>
  <c r="BL68" i="135" s="1"/>
  <c r="S21" i="135"/>
  <c r="DO46" i="135"/>
  <c r="DK46" i="135"/>
  <c r="DG46" i="135"/>
  <c r="DC46" i="135"/>
  <c r="FN95" i="135"/>
  <c r="FM95" i="135"/>
  <c r="DN83" i="135"/>
  <c r="DH83" i="135"/>
  <c r="DD83" i="135"/>
  <c r="CY83" i="135"/>
  <c r="FH83" i="135"/>
  <c r="FK83" i="135"/>
  <c r="FJ83" i="135"/>
  <c r="FG65" i="135"/>
  <c r="FL65" i="135"/>
  <c r="FA38" i="135"/>
  <c r="FA18" i="135" s="1"/>
  <c r="DD40" i="135"/>
  <c r="DD18" i="135" s="1"/>
  <c r="FL93" i="135"/>
  <c r="FN93" i="135"/>
  <c r="DN41" i="135"/>
  <c r="DJ41" i="135"/>
  <c r="DF41" i="135"/>
  <c r="DA41" i="135"/>
  <c r="FB96" i="135"/>
  <c r="FA96" i="135"/>
  <c r="DG54" i="135"/>
  <c r="CZ54" i="135"/>
  <c r="DK68" i="135"/>
  <c r="DG68" i="135"/>
  <c r="DB68" i="135"/>
  <c r="AR75" i="135"/>
  <c r="BR75" i="135" s="1"/>
  <c r="BL75" i="135" s="1"/>
  <c r="Q21" i="135"/>
  <c r="FL82" i="135"/>
  <c r="DO50" i="135"/>
  <c r="CY50" i="135"/>
  <c r="DK50" i="135"/>
  <c r="DU50" i="135"/>
  <c r="DM50" i="135"/>
  <c r="DE50" i="135"/>
  <c r="FH86" i="135"/>
  <c r="FL79" i="135"/>
  <c r="FD72" i="135"/>
  <c r="FN79" i="135"/>
  <c r="DC85" i="135"/>
  <c r="FD74" i="135"/>
  <c r="CX65" i="135"/>
  <c r="FM79" i="135"/>
  <c r="DI85" i="135"/>
  <c r="FL67" i="135"/>
  <c r="AP40" i="135"/>
  <c r="EZ72" i="135"/>
  <c r="FF61" i="135"/>
  <c r="DB56" i="135"/>
  <c r="DB22" i="135" s="1"/>
  <c r="DE85" i="135"/>
  <c r="FB48" i="135"/>
  <c r="FD67" i="135"/>
  <c r="FJ67" i="135"/>
  <c r="FF72" i="135"/>
  <c r="FE61" i="135"/>
  <c r="AT94" i="135"/>
  <c r="BZ94" i="135" s="1"/>
  <c r="CY85" i="135"/>
  <c r="FB85" i="135"/>
  <c r="CY59" i="135"/>
  <c r="DG65" i="135"/>
  <c r="DB65" i="135"/>
  <c r="EZ67" i="135"/>
  <c r="FE67" i="135"/>
  <c r="FC61" i="135"/>
  <c r="FE73" i="135"/>
  <c r="AP87" i="135"/>
  <c r="DM85" i="135"/>
  <c r="DA85" i="135"/>
  <c r="EZ85" i="135"/>
  <c r="FD93" i="135"/>
  <c r="FG93" i="135"/>
  <c r="FF93" i="135"/>
  <c r="FE93" i="135"/>
  <c r="DJ75" i="135"/>
  <c r="DC75" i="135"/>
  <c r="CZ75" i="135"/>
  <c r="DK76" i="135"/>
  <c r="CX76" i="135"/>
  <c r="FL76" i="135"/>
  <c r="EZ93" i="135"/>
  <c r="FC93" i="135"/>
  <c r="FB93" i="135"/>
  <c r="DH75" i="135"/>
  <c r="DF57" i="135"/>
  <c r="CZ66" i="135"/>
  <c r="FD89" i="135"/>
  <c r="FB66" i="135"/>
  <c r="FZ21" i="135"/>
  <c r="AP90" i="135"/>
  <c r="FJ44" i="135"/>
  <c r="R9" i="131"/>
  <c r="S9" i="131" s="1"/>
  <c r="AR89" i="135"/>
  <c r="CA89" i="135" s="1"/>
  <c r="BW89" i="135" s="1"/>
  <c r="FH44" i="135"/>
  <c r="FE66" i="135"/>
  <c r="AR53" i="135"/>
  <c r="BR53" i="135" s="1"/>
  <c r="BL53" i="135" s="1"/>
  <c r="AR94" i="135"/>
  <c r="BH94" i="135" s="1"/>
  <c r="BC94" i="135" s="1"/>
  <c r="DJ65" i="135"/>
  <c r="DF65" i="135"/>
  <c r="DA65" i="135"/>
  <c r="CY65" i="135"/>
  <c r="FG40" i="135"/>
  <c r="FG18" i="135" s="1"/>
  <c r="EZ40" i="135"/>
  <c r="FF88" i="135"/>
  <c r="FD88" i="135"/>
  <c r="FH58" i="135"/>
  <c r="FC58" i="135"/>
  <c r="FE94" i="135"/>
  <c r="FH94" i="135"/>
  <c r="FG94" i="135"/>
  <c r="FF94" i="135"/>
  <c r="FI75" i="135"/>
  <c r="DL85" i="135"/>
  <c r="DH85" i="135"/>
  <c r="DD85" i="135"/>
  <c r="CZ85" i="135"/>
  <c r="CX85" i="135"/>
  <c r="FF74" i="135"/>
  <c r="DI65" i="135"/>
  <c r="DE65" i="135"/>
  <c r="DC65" i="135"/>
  <c r="FK79" i="135"/>
  <c r="FJ79" i="135"/>
  <c r="FH79" i="135"/>
  <c r="FC40" i="135"/>
  <c r="FC18" i="135" s="1"/>
  <c r="FE40" i="135"/>
  <c r="FB88" i="135"/>
  <c r="EZ88" i="135"/>
  <c r="AT65" i="135"/>
  <c r="BZ65" i="135" s="1"/>
  <c r="FI58" i="135"/>
  <c r="FD58" i="135"/>
  <c r="FA94" i="135"/>
  <c r="FD94" i="135"/>
  <c r="FC94" i="135"/>
  <c r="FB94" i="135"/>
  <c r="FH75" i="135"/>
  <c r="DK85" i="135"/>
  <c r="DG85" i="135"/>
  <c r="DB85" i="135"/>
  <c r="DL44" i="135"/>
  <c r="DJ59" i="135"/>
  <c r="AR85" i="135"/>
  <c r="BH85" i="135" s="1"/>
  <c r="BC85" i="135" s="1"/>
  <c r="AR95" i="135"/>
  <c r="CA95" i="135" s="1"/>
  <c r="BW95" i="135" s="1"/>
  <c r="DH65" i="135"/>
  <c r="DD65" i="135"/>
  <c r="FF40" i="135"/>
  <c r="FE88" i="135"/>
  <c r="FE58" i="135"/>
  <c r="EZ58" i="135"/>
  <c r="FM94" i="135"/>
  <c r="EZ94" i="135"/>
  <c r="EX20" i="135"/>
  <c r="ET20" i="135"/>
  <c r="EP20" i="135"/>
  <c r="DV20" i="135"/>
  <c r="DJ85" i="135"/>
  <c r="DH44" i="135"/>
  <c r="FA74" i="135"/>
  <c r="EV10" i="135"/>
  <c r="EF10" i="135"/>
  <c r="DX10" i="135"/>
  <c r="GX10" i="135"/>
  <c r="GV10" i="135"/>
  <c r="GT10" i="135"/>
  <c r="GQ10" i="135"/>
  <c r="GI10" i="135"/>
  <c r="FY10" i="135"/>
  <c r="EU10" i="135"/>
  <c r="EQ10" i="135"/>
  <c r="EM10" i="135"/>
  <c r="EI10" i="135"/>
  <c r="EE10" i="135"/>
  <c r="EA10" i="135"/>
  <c r="DW10" i="135"/>
  <c r="GZ10" i="135"/>
  <c r="GP10" i="135"/>
  <c r="GL10" i="135"/>
  <c r="GH10" i="135"/>
  <c r="GB10" i="135"/>
  <c r="FB72" i="135"/>
  <c r="FD61" i="135"/>
  <c r="FH53" i="135"/>
  <c r="DD89" i="135"/>
  <c r="AT82" i="135"/>
  <c r="CJ82" i="135" s="1"/>
  <c r="CF82" i="135" s="1"/>
  <c r="DD91" i="135"/>
  <c r="FC85" i="135"/>
  <c r="FO82" i="135"/>
  <c r="DB57" i="135"/>
  <c r="DG76" i="135"/>
  <c r="DB76" i="135"/>
  <c r="FK76" i="135"/>
  <c r="DT50" i="135"/>
  <c r="DP50" i="135"/>
  <c r="DL50" i="135"/>
  <c r="DH50" i="135"/>
  <c r="DD50" i="135"/>
  <c r="DB50" i="135"/>
  <c r="FH50" i="135"/>
  <c r="AP95" i="135"/>
  <c r="AR96" i="135"/>
  <c r="BR96" i="135" s="1"/>
  <c r="BL96" i="135" s="1"/>
  <c r="AM10" i="135"/>
  <c r="AL10" i="135"/>
  <c r="U10" i="135"/>
  <c r="EN10" i="135"/>
  <c r="ET10" i="135"/>
  <c r="EL10" i="135"/>
  <c r="DZ10" i="135"/>
  <c r="GW10" i="135"/>
  <c r="GO10" i="135"/>
  <c r="GG10" i="135"/>
  <c r="GE10" i="135"/>
  <c r="FF82" i="135"/>
  <c r="FC50" i="135"/>
  <c r="AJ10" i="135"/>
  <c r="AC10" i="135"/>
  <c r="Q10" i="135"/>
  <c r="EJ10" i="135"/>
  <c r="EX10" i="135"/>
  <c r="EP10" i="135"/>
  <c r="EH10" i="135"/>
  <c r="ED10" i="135"/>
  <c r="GY10" i="135"/>
  <c r="GS10" i="135"/>
  <c r="GK10" i="135"/>
  <c r="GA10" i="135"/>
  <c r="EW10" i="135"/>
  <c r="ES10" i="135"/>
  <c r="EO10" i="135"/>
  <c r="EK10" i="135"/>
  <c r="EG10" i="135"/>
  <c r="EC10" i="135"/>
  <c r="DY10" i="135"/>
  <c r="GU10" i="135"/>
  <c r="GR10" i="135"/>
  <c r="GN10" i="135"/>
  <c r="GJ10" i="135"/>
  <c r="GF10" i="135"/>
  <c r="GD10" i="135"/>
  <c r="FZ10" i="135"/>
  <c r="FG53" i="135"/>
  <c r="DB89" i="135"/>
  <c r="CZ89" i="135"/>
  <c r="EZ89" i="135"/>
  <c r="DL91" i="135"/>
  <c r="FA85" i="135"/>
  <c r="FI82" i="135"/>
  <c r="FA76" i="135"/>
  <c r="DV50" i="135"/>
  <c r="DR50" i="135"/>
  <c r="DN50" i="135"/>
  <c r="DJ50" i="135"/>
  <c r="DF50" i="135"/>
  <c r="FU50" i="135"/>
  <c r="EZ59" i="135"/>
  <c r="EZ48" i="135"/>
  <c r="AR64" i="135"/>
  <c r="CA64" i="135" s="1"/>
  <c r="BW64" i="135" s="1"/>
  <c r="ER10" i="135"/>
  <c r="EB10" i="135"/>
  <c r="GM10" i="135"/>
  <c r="GC10" i="135"/>
  <c r="AR90" i="135"/>
  <c r="BH90" i="135" s="1"/>
  <c r="BC90" i="135" s="1"/>
  <c r="FC90" i="135"/>
  <c r="FA90" i="135"/>
  <c r="FE72" i="135"/>
  <c r="FB61" i="135"/>
  <c r="FA61" i="135"/>
  <c r="EZ61" i="135"/>
  <c r="DQ51" i="135"/>
  <c r="FB53" i="135"/>
  <c r="AT50" i="135"/>
  <c r="CJ50" i="135" s="1"/>
  <c r="CF50" i="135" s="1"/>
  <c r="FN85" i="135"/>
  <c r="FM85" i="135"/>
  <c r="FL85" i="135"/>
  <c r="FO85" i="135"/>
  <c r="CY82" i="135"/>
  <c r="FB82" i="135"/>
  <c r="FE82" i="135"/>
  <c r="FH82" i="135"/>
  <c r="FK82" i="135"/>
  <c r="DD57" i="135"/>
  <c r="CX57" i="135"/>
  <c r="FW50" i="135"/>
  <c r="FR50" i="135"/>
  <c r="FQ50" i="135"/>
  <c r="FM48" i="135"/>
  <c r="FK48" i="135"/>
  <c r="AK10" i="135"/>
  <c r="FB90" i="135"/>
  <c r="EZ90" i="135"/>
  <c r="FG72" i="135"/>
  <c r="DM83" i="135"/>
  <c r="DI83" i="135"/>
  <c r="DE83" i="135"/>
  <c r="DA87" i="135"/>
  <c r="FN90" i="135"/>
  <c r="FE90" i="135"/>
  <c r="FK67" i="135"/>
  <c r="FA72" i="135"/>
  <c r="FN61" i="135"/>
  <c r="FM61" i="135"/>
  <c r="FL61" i="135"/>
  <c r="FK61" i="135"/>
  <c r="CX73" i="135"/>
  <c r="DI51" i="135"/>
  <c r="FJ75" i="135"/>
  <c r="FJ85" i="135"/>
  <c r="FI85" i="135"/>
  <c r="FH85" i="135"/>
  <c r="FK85" i="135"/>
  <c r="DD44" i="135"/>
  <c r="AT44" i="135"/>
  <c r="BZ44" i="135" s="1"/>
  <c r="DM82" i="135"/>
  <c r="FN82" i="135"/>
  <c r="FQ82" i="135"/>
  <c r="FA82" i="135"/>
  <c r="FD82" i="135"/>
  <c r="FG82" i="135"/>
  <c r="FL66" i="135"/>
  <c r="FP50" i="135"/>
  <c r="FS50" i="135"/>
  <c r="FN50" i="135"/>
  <c r="FE50" i="135"/>
  <c r="FJ86" i="135"/>
  <c r="FA48" i="135"/>
  <c r="AR78" i="135"/>
  <c r="BR78" i="135" s="1"/>
  <c r="BL78" i="135" s="1"/>
  <c r="AC21" i="135"/>
  <c r="FJ61" i="135"/>
  <c r="FI61" i="135"/>
  <c r="FH61" i="135"/>
  <c r="FF85" i="135"/>
  <c r="FE85" i="135"/>
  <c r="FD85" i="135"/>
  <c r="DE82" i="135"/>
  <c r="FJ82" i="135"/>
  <c r="FM82" i="135"/>
  <c r="FP82" i="135"/>
  <c r="EZ82" i="135"/>
  <c r="FL50" i="135"/>
  <c r="FK50" i="135"/>
  <c r="FB50" i="135"/>
  <c r="FA50" i="135"/>
  <c r="FN48" i="135"/>
  <c r="AT73" i="135"/>
  <c r="CU73" i="135" s="1"/>
  <c r="AR81" i="135"/>
  <c r="BH81" i="135" s="1"/>
  <c r="BC81" i="135" s="1"/>
  <c r="AJ18" i="135"/>
  <c r="AR72" i="135"/>
  <c r="CA72" i="135" s="1"/>
  <c r="BW72" i="135" s="1"/>
  <c r="Y10" i="135"/>
  <c r="AN10" i="135"/>
  <c r="AP10" i="135" s="1"/>
  <c r="CX45" i="135"/>
  <c r="DI45" i="135"/>
  <c r="FC65" i="135"/>
  <c r="FI65" i="135"/>
  <c r="FH65" i="135"/>
  <c r="DD87" i="135"/>
  <c r="CZ87" i="135"/>
  <c r="FC79" i="135"/>
  <c r="FF79" i="135"/>
  <c r="FE79" i="135"/>
  <c r="FD79" i="135"/>
  <c r="FK78" i="135"/>
  <c r="FJ78" i="135"/>
  <c r="FM78" i="135"/>
  <c r="FL78" i="135"/>
  <c r="CX40" i="135"/>
  <c r="AP97" i="135"/>
  <c r="DI61" i="135"/>
  <c r="DE61" i="135"/>
  <c r="DC61" i="135"/>
  <c r="CY73" i="135"/>
  <c r="EZ73" i="135"/>
  <c r="DP51" i="135"/>
  <c r="DH51" i="135"/>
  <c r="AT47" i="135"/>
  <c r="CJ47" i="135" s="1"/>
  <c r="CF47" i="135" s="1"/>
  <c r="FQ44" i="135"/>
  <c r="FD44" i="135"/>
  <c r="EZ74" i="135"/>
  <c r="FB74" i="135"/>
  <c r="DJ82" i="135"/>
  <c r="DG66" i="135"/>
  <c r="DJ76" i="135"/>
  <c r="DF76" i="135"/>
  <c r="DC76" i="135"/>
  <c r="CY76" i="135"/>
  <c r="FN76" i="135"/>
  <c r="FK59" i="135"/>
  <c r="CX48" i="135"/>
  <c r="AR76" i="135"/>
  <c r="BR76" i="135" s="1"/>
  <c r="BL76" i="135" s="1"/>
  <c r="AR49" i="135"/>
  <c r="BR49" i="135" s="1"/>
  <c r="BL49" i="135" s="1"/>
  <c r="Y22" i="135"/>
  <c r="AN21" i="135"/>
  <c r="AP21" i="135" s="1"/>
  <c r="FJ65" i="135"/>
  <c r="FE65" i="135"/>
  <c r="DB87" i="135"/>
  <c r="FO79" i="135"/>
  <c r="FB79" i="135"/>
  <c r="FA79" i="135"/>
  <c r="FG78" i="135"/>
  <c r="FF78" i="135"/>
  <c r="FI78" i="135"/>
  <c r="FH78" i="135"/>
  <c r="CZ40" i="135"/>
  <c r="DL61" i="135"/>
  <c r="DH61" i="135"/>
  <c r="DD61" i="135"/>
  <c r="DB61" i="135"/>
  <c r="CZ61" i="135"/>
  <c r="FG73" i="135"/>
  <c r="DU51" i="135"/>
  <c r="DM51" i="135"/>
  <c r="GF20" i="135"/>
  <c r="FB89" i="135"/>
  <c r="AP58" i="135"/>
  <c r="FM44" i="135"/>
  <c r="FG44" i="135"/>
  <c r="AT67" i="135"/>
  <c r="CU67" i="135" s="1"/>
  <c r="FG74" i="135"/>
  <c r="DI82" i="135"/>
  <c r="DA82" i="135"/>
  <c r="CX66" i="135"/>
  <c r="DI76" i="135"/>
  <c r="DE76" i="135"/>
  <c r="DA76" i="135"/>
  <c r="FM76" i="135"/>
  <c r="FJ59" i="135"/>
  <c r="DK48" i="135"/>
  <c r="CZ48" i="135"/>
  <c r="AR43" i="135"/>
  <c r="CA43" i="135" s="1"/>
  <c r="BW43" i="135" s="1"/>
  <c r="AA56" i="135"/>
  <c r="FD56" i="135" s="1"/>
  <c r="FD22" i="135" s="1"/>
  <c r="AR71" i="135"/>
  <c r="BR71" i="135" s="1"/>
  <c r="BL71" i="135" s="1"/>
  <c r="FC78" i="135"/>
  <c r="FB78" i="135"/>
  <c r="FE78" i="135"/>
  <c r="DE40" i="135"/>
  <c r="DK61" i="135"/>
  <c r="DG61" i="135"/>
  <c r="DT51" i="135"/>
  <c r="FC74" i="135"/>
  <c r="DN82" i="135"/>
  <c r="DF82" i="135"/>
  <c r="DL76" i="135"/>
  <c r="DH76" i="135"/>
  <c r="DD76" i="135"/>
  <c r="FX50" i="135"/>
  <c r="EZ50" i="135"/>
  <c r="FG50" i="135"/>
  <c r="FJ50" i="135"/>
  <c r="FI50" i="135"/>
  <c r="AR79" i="135"/>
  <c r="BH79" i="135" s="1"/>
  <c r="BC79" i="135" s="1"/>
  <c r="AR45" i="135"/>
  <c r="CA45" i="135" s="1"/>
  <c r="BW45" i="135" s="1"/>
  <c r="AR84" i="135"/>
  <c r="BR84" i="135" s="1"/>
  <c r="BL84" i="135" s="1"/>
  <c r="AR87" i="135"/>
  <c r="CA87" i="135" s="1"/>
  <c r="BW87" i="135" s="1"/>
  <c r="AR61" i="135"/>
  <c r="CA61" i="135" s="1"/>
  <c r="BW61" i="135" s="1"/>
  <c r="AR44" i="135"/>
  <c r="BH44" i="135" s="1"/>
  <c r="BC44" i="135" s="1"/>
  <c r="GD12" i="135"/>
  <c r="FZ12" i="135"/>
  <c r="AL13" i="135"/>
  <c r="AJ13" i="135"/>
  <c r="EX18" i="135"/>
  <c r="ET18" i="135"/>
  <c r="EP18" i="135"/>
  <c r="EH18" i="135"/>
  <c r="ED18" i="135"/>
  <c r="DZ18" i="135"/>
  <c r="DR18" i="135"/>
  <c r="DN18" i="135"/>
  <c r="DJ18" i="135"/>
  <c r="GW18" i="135"/>
  <c r="GG18" i="135"/>
  <c r="GE18" i="135"/>
  <c r="GC18" i="135"/>
  <c r="FY18" i="135"/>
  <c r="FU18" i="135"/>
  <c r="FQ18" i="135"/>
  <c r="FM18" i="135"/>
  <c r="FI18" i="135"/>
  <c r="EE12" i="135"/>
  <c r="EA12" i="135"/>
  <c r="DW12" i="135"/>
  <c r="GZ12" i="135"/>
  <c r="GP12" i="135"/>
  <c r="GL12" i="135"/>
  <c r="GH12" i="135"/>
  <c r="FH91" i="135"/>
  <c r="FB91" i="135"/>
  <c r="FK91" i="135"/>
  <c r="EZ91" i="135"/>
  <c r="FA91" i="135"/>
  <c r="FJ91" i="135"/>
  <c r="FL91" i="135"/>
  <c r="FN91" i="135"/>
  <c r="FC91" i="135"/>
  <c r="FI91" i="135"/>
  <c r="FD91" i="135"/>
  <c r="FM91" i="135"/>
  <c r="EX12" i="135"/>
  <c r="ET12" i="135"/>
  <c r="EP12" i="135"/>
  <c r="EL12" i="135"/>
  <c r="EH12" i="135"/>
  <c r="ED12" i="135"/>
  <c r="DZ12" i="135"/>
  <c r="GY12" i="135"/>
  <c r="GW12" i="135"/>
  <c r="GS12" i="135"/>
  <c r="GO12" i="135"/>
  <c r="GK12" i="135"/>
  <c r="GG12" i="135"/>
  <c r="GE12" i="135"/>
  <c r="GA12" i="135"/>
  <c r="GU19" i="135"/>
  <c r="ES23" i="135"/>
  <c r="DC64" i="135"/>
  <c r="DL45" i="135"/>
  <c r="DD45" i="135"/>
  <c r="EV13" i="135"/>
  <c r="ER13" i="135"/>
  <c r="EN13" i="135"/>
  <c r="EJ13" i="135"/>
  <c r="EF13" i="135"/>
  <c r="EB13" i="135"/>
  <c r="DX13" i="135"/>
  <c r="DT13" i="135"/>
  <c r="DP13" i="135"/>
  <c r="GX13" i="135"/>
  <c r="GU13" i="135"/>
  <c r="GQ13" i="135"/>
  <c r="GM13" i="135"/>
  <c r="GI13" i="135"/>
  <c r="FM59" i="135"/>
  <c r="FG59" i="135"/>
  <c r="GD13" i="135"/>
  <c r="FZ13" i="135"/>
  <c r="FV13" i="135"/>
  <c r="FR13" i="135"/>
  <c r="AK18" i="135"/>
  <c r="AK12" i="135"/>
  <c r="AM12" i="135"/>
  <c r="AK13" i="135"/>
  <c r="AR82" i="135"/>
  <c r="CA82" i="135" s="1"/>
  <c r="BW82" i="135" s="1"/>
  <c r="AR66" i="135"/>
  <c r="BR66" i="135" s="1"/>
  <c r="BL66" i="135" s="1"/>
  <c r="AR83" i="135"/>
  <c r="BH83" i="135" s="1"/>
  <c r="BC83" i="135" s="1"/>
  <c r="R8" i="131"/>
  <c r="S8" i="131" s="1"/>
  <c r="AT36" i="135"/>
  <c r="CU36" i="135" s="1"/>
  <c r="AN12" i="135"/>
  <c r="AP12" i="135" s="1"/>
  <c r="FD73" i="135"/>
  <c r="FF73" i="135"/>
  <c r="FC73" i="135"/>
  <c r="FA73" i="135"/>
  <c r="AR91" i="135"/>
  <c r="BH91" i="135" s="1"/>
  <c r="BC91" i="135" s="1"/>
  <c r="AR42" i="135"/>
  <c r="BR42" i="135" s="1"/>
  <c r="BL42" i="135" s="1"/>
  <c r="AP62" i="135"/>
  <c r="AN13" i="135"/>
  <c r="AP13" i="135" s="1"/>
  <c r="CY40" i="135"/>
  <c r="DA40" i="135"/>
  <c r="DB40" i="135"/>
  <c r="CX82" i="135"/>
  <c r="CZ82" i="135"/>
  <c r="DB82" i="135"/>
  <c r="DD82" i="135"/>
  <c r="DG82" i="135"/>
  <c r="DK82" i="135"/>
  <c r="DO82" i="135"/>
  <c r="DH82" i="135"/>
  <c r="DL82" i="135"/>
  <c r="CZ73" i="135"/>
  <c r="DB73" i="135"/>
  <c r="DD73" i="135"/>
  <c r="DC73" i="135"/>
  <c r="DE73" i="135"/>
  <c r="DF51" i="135"/>
  <c r="DJ51" i="135"/>
  <c r="DN51" i="135"/>
  <c r="DR51" i="135"/>
  <c r="DV51" i="135"/>
  <c r="DG51" i="135"/>
  <c r="DK51" i="135"/>
  <c r="DO51" i="135"/>
  <c r="DS51" i="135"/>
  <c r="GL13" i="135"/>
  <c r="FY13" i="135"/>
  <c r="FU13" i="135"/>
  <c r="EW12" i="135"/>
  <c r="ES12" i="135"/>
  <c r="EO12" i="135"/>
  <c r="EK12" i="135"/>
  <c r="EG12" i="135"/>
  <c r="EC12" i="135"/>
  <c r="DY12" i="135"/>
  <c r="GU12" i="135"/>
  <c r="GR12" i="135"/>
  <c r="GN12" i="135"/>
  <c r="GJ12" i="135"/>
  <c r="GF12" i="135"/>
  <c r="EU13" i="135"/>
  <c r="EQ13" i="135"/>
  <c r="EM13" i="135"/>
  <c r="EI13" i="135"/>
  <c r="EE13" i="135"/>
  <c r="EA13" i="135"/>
  <c r="DW13" i="135"/>
  <c r="DS13" i="135"/>
  <c r="GW13" i="135"/>
  <c r="GT13" i="135"/>
  <c r="GP13" i="135"/>
  <c r="GH13" i="135"/>
  <c r="GC13" i="135"/>
  <c r="CY45" i="135"/>
  <c r="DA45" i="135"/>
  <c r="DF45" i="135"/>
  <c r="DJ45" i="135"/>
  <c r="DN45" i="135"/>
  <c r="CZ45" i="135"/>
  <c r="DB45" i="135"/>
  <c r="DG45" i="135"/>
  <c r="DK45" i="135"/>
  <c r="DO45" i="135"/>
  <c r="DB64" i="135"/>
  <c r="CY64" i="135"/>
  <c r="DD64" i="135"/>
  <c r="DC86" i="135"/>
  <c r="DB86" i="135"/>
  <c r="DL86" i="135"/>
  <c r="CZ86" i="135"/>
  <c r="Q13" i="135"/>
  <c r="FG45" i="135"/>
  <c r="FE45" i="135"/>
  <c r="FE64" i="135"/>
  <c r="FF64" i="135"/>
  <c r="ET13" i="135"/>
  <c r="ED13" i="135"/>
  <c r="EU18" i="135"/>
  <c r="EQ18" i="135"/>
  <c r="EM18" i="135"/>
  <c r="EI18" i="135"/>
  <c r="EE18" i="135"/>
  <c r="EV12" i="135"/>
  <c r="ER12" i="135"/>
  <c r="EN12" i="135"/>
  <c r="EJ12" i="135"/>
  <c r="EF12" i="135"/>
  <c r="EB12" i="135"/>
  <c r="DX12" i="135"/>
  <c r="GX12" i="135"/>
  <c r="GV12" i="135"/>
  <c r="GT12" i="135"/>
  <c r="GQ12" i="135"/>
  <c r="GM12" i="135"/>
  <c r="GI12" i="135"/>
  <c r="GC12" i="135"/>
  <c r="FY12" i="135"/>
  <c r="GI20" i="135"/>
  <c r="FN44" i="135"/>
  <c r="FA44" i="135"/>
  <c r="DH45" i="135"/>
  <c r="FB76" i="135"/>
  <c r="DH86" i="135"/>
  <c r="EX13" i="135"/>
  <c r="EP13" i="135"/>
  <c r="EL13" i="135"/>
  <c r="EH13" i="135"/>
  <c r="DZ13" i="135"/>
  <c r="DV13" i="135"/>
  <c r="DR13" i="135"/>
  <c r="GZ13" i="135"/>
  <c r="GV13" i="135"/>
  <c r="GS13" i="135"/>
  <c r="GO13" i="135"/>
  <c r="GK13" i="135"/>
  <c r="GG13" i="135"/>
  <c r="FL59" i="135"/>
  <c r="GB13" i="135"/>
  <c r="FX13" i="135"/>
  <c r="FT13" i="135"/>
  <c r="Y13" i="135"/>
  <c r="FC48" i="135"/>
  <c r="FD48" i="135"/>
  <c r="FE48" i="135"/>
  <c r="FF48" i="135"/>
  <c r="FG48" i="135"/>
  <c r="FH48" i="135"/>
  <c r="FI48" i="135"/>
  <c r="FJ48" i="135"/>
  <c r="FB67" i="135"/>
  <c r="FA67" i="135"/>
  <c r="FF67" i="135"/>
  <c r="FG67" i="135"/>
  <c r="FH67" i="135"/>
  <c r="EZ53" i="135"/>
  <c r="FA53" i="135"/>
  <c r="FF53" i="135"/>
  <c r="FD53" i="135"/>
  <c r="FE53" i="135"/>
  <c r="FC53" i="135"/>
  <c r="R36" i="135"/>
  <c r="R17" i="135" s="1"/>
  <c r="Q12" i="135"/>
  <c r="EK13" i="135"/>
  <c r="DY13" i="135"/>
  <c r="EU12" i="135"/>
  <c r="EQ12" i="135"/>
  <c r="EM12" i="135"/>
  <c r="EI12" i="135"/>
  <c r="GB12" i="135"/>
  <c r="CX64" i="135"/>
  <c r="DM45" i="135"/>
  <c r="DE45" i="135"/>
  <c r="DC45" i="135"/>
  <c r="EW13" i="135"/>
  <c r="ES13" i="135"/>
  <c r="EO13" i="135"/>
  <c r="EG13" i="135"/>
  <c r="EC13" i="135"/>
  <c r="DU13" i="135"/>
  <c r="DQ13" i="135"/>
  <c r="GY13" i="135"/>
  <c r="GR13" i="135"/>
  <c r="GN13" i="135"/>
  <c r="GJ13" i="135"/>
  <c r="GF13" i="135"/>
  <c r="GE13" i="135"/>
  <c r="GA13" i="135"/>
  <c r="FW13" i="135"/>
  <c r="FS13" i="135"/>
  <c r="FN46" i="135"/>
  <c r="FJ46" i="135"/>
  <c r="AJ22" i="135"/>
  <c r="AR56" i="135"/>
  <c r="AR22" i="135" s="1"/>
  <c r="BR22" i="135" s="1"/>
  <c r="BL22" i="135" s="1"/>
  <c r="FC89" i="135"/>
  <c r="FA89" i="135"/>
  <c r="FG89" i="135"/>
  <c r="FE89" i="135"/>
  <c r="FA59" i="135"/>
  <c r="FN59" i="135"/>
  <c r="FD59" i="135"/>
  <c r="FE59" i="135"/>
  <c r="FB59" i="135"/>
  <c r="FC59" i="135"/>
  <c r="FH59" i="135"/>
  <c r="FI59" i="135"/>
  <c r="AM13" i="135"/>
  <c r="AJ21" i="135"/>
  <c r="AR54" i="135"/>
  <c r="AR21" i="135" s="1"/>
  <c r="FO44" i="135"/>
  <c r="FL44" i="135"/>
  <c r="FE44" i="135"/>
  <c r="FB44" i="135"/>
  <c r="FC44" i="135"/>
  <c r="EZ44" i="135"/>
  <c r="FP44" i="135"/>
  <c r="FI44" i="135"/>
  <c r="FF44" i="135"/>
  <c r="AJ12" i="135"/>
  <c r="FD76" i="135"/>
  <c r="FE76" i="135"/>
  <c r="FF76" i="135"/>
  <c r="FC76" i="135"/>
  <c r="FH76" i="135"/>
  <c r="FI76" i="135"/>
  <c r="FJ76" i="135"/>
  <c r="FG76" i="135"/>
  <c r="FA51" i="135"/>
  <c r="FC51" i="135"/>
  <c r="FE51" i="135"/>
  <c r="FG51" i="135"/>
  <c r="AD36" i="135"/>
  <c r="AD17" i="135" s="1"/>
  <c r="AC12" i="135"/>
  <c r="FG84" i="135"/>
  <c r="FD84" i="135"/>
  <c r="FA84" i="135"/>
  <c r="FQ84" i="135"/>
  <c r="FN84" i="135"/>
  <c r="FK84" i="135"/>
  <c r="FH84" i="135"/>
  <c r="FE84" i="135"/>
  <c r="FB84" i="135"/>
  <c r="U12" i="135"/>
  <c r="AP96" i="135"/>
  <c r="AT96" i="135"/>
  <c r="CJ96" i="135" s="1"/>
  <c r="CF96" i="135" s="1"/>
  <c r="AN20" i="135"/>
  <c r="AP20" i="135" s="1"/>
  <c r="AT52" i="135"/>
  <c r="DC59" i="135"/>
  <c r="DH57" i="135"/>
  <c r="DH23" i="135" s="1"/>
  <c r="CY57" i="135"/>
  <c r="DA57" i="135"/>
  <c r="DJ57" i="135"/>
  <c r="DJ23" i="135" s="1"/>
  <c r="U13" i="135"/>
  <c r="AD73" i="135"/>
  <c r="AE73" i="135" s="1"/>
  <c r="AC13" i="135"/>
  <c r="FR51" i="135"/>
  <c r="FS51" i="135"/>
  <c r="FL51" i="135"/>
  <c r="FI51" i="135"/>
  <c r="FV51" i="135"/>
  <c r="FW51" i="135"/>
  <c r="FP51" i="135"/>
  <c r="FM51" i="135"/>
  <c r="Q25" i="135"/>
  <c r="CT14" i="135"/>
  <c r="BY14" i="135"/>
  <c r="CT15" i="135"/>
  <c r="BY15" i="135"/>
  <c r="GP21" i="135"/>
  <c r="EW18" i="135"/>
  <c r="ES18" i="135"/>
  <c r="EO18" i="135"/>
  <c r="EK18" i="135"/>
  <c r="EG18" i="135"/>
  <c r="EC18" i="135"/>
  <c r="DY18" i="135"/>
  <c r="DU18" i="135"/>
  <c r="DQ18" i="135"/>
  <c r="DK97" i="135"/>
  <c r="DK25" i="135" s="1"/>
  <c r="DG97" i="135"/>
  <c r="DG25" i="135" s="1"/>
  <c r="DB97" i="135"/>
  <c r="DB25" i="135" s="1"/>
  <c r="CZ97" i="135"/>
  <c r="CZ25" i="135" s="1"/>
  <c r="CX97" i="135"/>
  <c r="CX25" i="135" s="1"/>
  <c r="AT70" i="135"/>
  <c r="BZ70" i="135" s="1"/>
  <c r="DE37" i="135"/>
  <c r="W56" i="135"/>
  <c r="W22" i="135" s="1"/>
  <c r="AC25" i="135"/>
  <c r="S25" i="135"/>
  <c r="Y12" i="135"/>
  <c r="CU15" i="135"/>
  <c r="CJ15" i="135"/>
  <c r="CF15" i="135" s="1"/>
  <c r="CE15" i="135" s="1"/>
  <c r="BZ15" i="135"/>
  <c r="CJ14" i="135"/>
  <c r="CF14" i="135" s="1"/>
  <c r="CE14" i="135" s="1"/>
  <c r="BZ14" i="135"/>
  <c r="CU14" i="135"/>
  <c r="BN15" i="135"/>
  <c r="BE15" i="135"/>
  <c r="CR15" i="135"/>
  <c r="CH15" i="135"/>
  <c r="EV18" i="135"/>
  <c r="ER18" i="135"/>
  <c r="EN18" i="135"/>
  <c r="EJ18" i="135"/>
  <c r="EF18" i="135"/>
  <c r="DJ97" i="135"/>
  <c r="DJ25" i="135" s="1"/>
  <c r="DF97" i="135"/>
  <c r="DF25" i="135" s="1"/>
  <c r="DA97" i="135"/>
  <c r="DA25" i="135" s="1"/>
  <c r="CZ37" i="135"/>
  <c r="AR86" i="135"/>
  <c r="BH86" i="135" s="1"/>
  <c r="BC86" i="135" s="1"/>
  <c r="AL18" i="135"/>
  <c r="AR48" i="135"/>
  <c r="BR48" i="135" s="1"/>
  <c r="BL48" i="135" s="1"/>
  <c r="AM17" i="135"/>
  <c r="AL17" i="135"/>
  <c r="AD25" i="135"/>
  <c r="AL12" i="135"/>
  <c r="BN14" i="135"/>
  <c r="BE14" i="135"/>
  <c r="CR14" i="135"/>
  <c r="CH14" i="135"/>
  <c r="CS14" i="135"/>
  <c r="CI14" i="135"/>
  <c r="BO14" i="135"/>
  <c r="BF14" i="135"/>
  <c r="CA14" i="135"/>
  <c r="BW14" i="135" s="1"/>
  <c r="BR14" i="135"/>
  <c r="BL14" i="135" s="1"/>
  <c r="BH14" i="135"/>
  <c r="BC14" i="135" s="1"/>
  <c r="BO15" i="135"/>
  <c r="BF15" i="135"/>
  <c r="CS15" i="135"/>
  <c r="CI15" i="135"/>
  <c r="CA15" i="135"/>
  <c r="BW15" i="135" s="1"/>
  <c r="BR15" i="135"/>
  <c r="BL15" i="135" s="1"/>
  <c r="BH15" i="135"/>
  <c r="BC15" i="135" s="1"/>
  <c r="DM18" i="135"/>
  <c r="DI18" i="135"/>
  <c r="GY18" i="135"/>
  <c r="GU18" i="135"/>
  <c r="GR18" i="135"/>
  <c r="GN18" i="135"/>
  <c r="GJ18" i="135"/>
  <c r="GF18" i="135"/>
  <c r="GB18" i="135"/>
  <c r="FX18" i="135"/>
  <c r="FT18" i="135"/>
  <c r="FP18" i="135"/>
  <c r="FL18" i="135"/>
  <c r="FH18" i="135"/>
  <c r="AT23" i="135"/>
  <c r="CU23" i="135" s="1"/>
  <c r="EB18" i="135"/>
  <c r="DX18" i="135"/>
  <c r="DT18" i="135"/>
  <c r="DP18" i="135"/>
  <c r="DL18" i="135"/>
  <c r="DH18" i="135"/>
  <c r="GQ18" i="135"/>
  <c r="GM18" i="135"/>
  <c r="GI18" i="135"/>
  <c r="GX18" i="135"/>
  <c r="AE18" i="135"/>
  <c r="EW17" i="135"/>
  <c r="ES17" i="135"/>
  <c r="EO17" i="135"/>
  <c r="EK17" i="135"/>
  <c r="EG17" i="135"/>
  <c r="EC17" i="135"/>
  <c r="DY17" i="135"/>
  <c r="DU17" i="135"/>
  <c r="DQ17" i="135"/>
  <c r="DM17" i="135"/>
  <c r="DI17" i="135"/>
  <c r="GU17" i="135"/>
  <c r="GR17" i="135"/>
  <c r="GN17" i="135"/>
  <c r="GJ17" i="135"/>
  <c r="GF17" i="135"/>
  <c r="GD17" i="135"/>
  <c r="FZ17" i="135"/>
  <c r="FV17" i="135"/>
  <c r="FR17" i="135"/>
  <c r="FN17" i="135"/>
  <c r="FJ17" i="135"/>
  <c r="EU19" i="135"/>
  <c r="EQ19" i="135"/>
  <c r="EE19" i="135"/>
  <c r="EA19" i="135"/>
  <c r="GH19" i="135"/>
  <c r="GB19" i="135"/>
  <c r="EW21" i="135"/>
  <c r="ES21" i="135"/>
  <c r="EC21" i="135"/>
  <c r="DU21" i="135"/>
  <c r="DQ21" i="135"/>
  <c r="DM21" i="135"/>
  <c r="GD21" i="135"/>
  <c r="FR21" i="135"/>
  <c r="FJ21" i="135"/>
  <c r="EL20" i="135"/>
  <c r="EH20" i="135"/>
  <c r="DZ20" i="135"/>
  <c r="DR20" i="135"/>
  <c r="DN20" i="135"/>
  <c r="GO20" i="135"/>
  <c r="FY20" i="135"/>
  <c r="EH24" i="135"/>
  <c r="ED24" i="135"/>
  <c r="AK24" i="135"/>
  <c r="W18" i="135"/>
  <c r="AN17" i="135"/>
  <c r="AP17" i="135" s="1"/>
  <c r="AD18" i="135"/>
  <c r="GZ18" i="135"/>
  <c r="GV18" i="135"/>
  <c r="GT18" i="135"/>
  <c r="GA18" i="135"/>
  <c r="FW18" i="135"/>
  <c r="FS18" i="135"/>
  <c r="FO18" i="135"/>
  <c r="FK18" i="135"/>
  <c r="EV17" i="135"/>
  <c r="ER17" i="135"/>
  <c r="EN17" i="135"/>
  <c r="EJ17" i="135"/>
  <c r="EF17" i="135"/>
  <c r="EB17" i="135"/>
  <c r="DX17" i="135"/>
  <c r="DT17" i="135"/>
  <c r="DP17" i="135"/>
  <c r="DL17" i="135"/>
  <c r="DH17" i="135"/>
  <c r="GX17" i="135"/>
  <c r="GV17" i="135"/>
  <c r="GT17" i="135"/>
  <c r="GQ17" i="135"/>
  <c r="GM17" i="135"/>
  <c r="GI17" i="135"/>
  <c r="GC17" i="135"/>
  <c r="FY17" i="135"/>
  <c r="FU17" i="135"/>
  <c r="FQ17" i="135"/>
  <c r="FM17" i="135"/>
  <c r="EX19" i="135"/>
  <c r="ET19" i="135"/>
  <c r="EP19" i="135"/>
  <c r="EL19" i="135"/>
  <c r="EH19" i="135"/>
  <c r="ED19" i="135"/>
  <c r="GY19" i="135"/>
  <c r="GS19" i="135"/>
  <c r="GA19" i="135"/>
  <c r="GQ21" i="135"/>
  <c r="GI21" i="135"/>
  <c r="EX23" i="135"/>
  <c r="ET23" i="135"/>
  <c r="EP23" i="135"/>
  <c r="EL23" i="135"/>
  <c r="EH23" i="135"/>
  <c r="ED23" i="135"/>
  <c r="DZ23" i="135"/>
  <c r="DV23" i="135"/>
  <c r="DR23" i="135"/>
  <c r="DN23" i="135"/>
  <c r="GU23" i="135"/>
  <c r="GR23" i="135"/>
  <c r="GN23" i="135"/>
  <c r="EK20" i="135"/>
  <c r="DU20" i="135"/>
  <c r="GY20" i="135"/>
  <c r="GU20" i="135"/>
  <c r="GJ20" i="135"/>
  <c r="FT20" i="135"/>
  <c r="FP20" i="135"/>
  <c r="AL20" i="135"/>
  <c r="AL24" i="135"/>
  <c r="AA18" i="135"/>
  <c r="AM18" i="135"/>
  <c r="EA18" i="135"/>
  <c r="DW18" i="135"/>
  <c r="DS18" i="135"/>
  <c r="DO18" i="135"/>
  <c r="DK18" i="135"/>
  <c r="DG18" i="135"/>
  <c r="GP18" i="135"/>
  <c r="GH18" i="135"/>
  <c r="GD18" i="135"/>
  <c r="FZ18" i="135"/>
  <c r="FV18" i="135"/>
  <c r="FR18" i="135"/>
  <c r="FN18" i="135"/>
  <c r="FJ18" i="135"/>
  <c r="EU17" i="135"/>
  <c r="EQ17" i="135"/>
  <c r="EM17" i="135"/>
  <c r="EI17" i="135"/>
  <c r="EE17" i="135"/>
  <c r="EA17" i="135"/>
  <c r="DW17" i="135"/>
  <c r="DS17" i="135"/>
  <c r="DO17" i="135"/>
  <c r="DK17" i="135"/>
  <c r="GZ17" i="135"/>
  <c r="GP17" i="135"/>
  <c r="GL17" i="135"/>
  <c r="GH17" i="135"/>
  <c r="GB17" i="135"/>
  <c r="FX17" i="135"/>
  <c r="FT17" i="135"/>
  <c r="FP17" i="135"/>
  <c r="FL17" i="135"/>
  <c r="EK19" i="135"/>
  <c r="GR19" i="135"/>
  <c r="GN19" i="135"/>
  <c r="EE21" i="135"/>
  <c r="DO21" i="135"/>
  <c r="GX21" i="135"/>
  <c r="CX21" i="135"/>
  <c r="GH21" i="135"/>
  <c r="EK23" i="135"/>
  <c r="EG23" i="135"/>
  <c r="EC23" i="135"/>
  <c r="DY23" i="135"/>
  <c r="DQ23" i="135"/>
  <c r="DM23" i="135"/>
  <c r="GM23" i="135"/>
  <c r="FW23" i="135"/>
  <c r="ER20" i="135"/>
  <c r="EB20" i="135"/>
  <c r="DL20" i="135"/>
  <c r="GZ20" i="135"/>
  <c r="GX20" i="135"/>
  <c r="GM20" i="135"/>
  <c r="GE20" i="135"/>
  <c r="GA20" i="135"/>
  <c r="FW20" i="135"/>
  <c r="FS20" i="135"/>
  <c r="FO20" i="135"/>
  <c r="EB24" i="135"/>
  <c r="AL19" i="135"/>
  <c r="AK21" i="135"/>
  <c r="AR65" i="135"/>
  <c r="CA65" i="135" s="1"/>
  <c r="BW65" i="135" s="1"/>
  <c r="S18" i="135"/>
  <c r="EX17" i="135"/>
  <c r="ET17" i="135"/>
  <c r="EL17" i="135"/>
  <c r="EH17" i="135"/>
  <c r="ED17" i="135"/>
  <c r="DV17" i="135"/>
  <c r="DR17" i="135"/>
  <c r="DN17" i="135"/>
  <c r="GY17" i="135"/>
  <c r="GW17" i="135"/>
  <c r="GS17" i="135"/>
  <c r="GO17" i="135"/>
  <c r="GK17" i="135"/>
  <c r="GG17" i="135"/>
  <c r="GE17" i="135"/>
  <c r="GA17" i="135"/>
  <c r="FS17" i="135"/>
  <c r="FO17" i="135"/>
  <c r="FK17" i="135"/>
  <c r="EV19" i="135"/>
  <c r="EF19" i="135"/>
  <c r="GX19" i="135"/>
  <c r="GQ19" i="135"/>
  <c r="GI19" i="135"/>
  <c r="GE19" i="135"/>
  <c r="GC19" i="135"/>
  <c r="EP21" i="135"/>
  <c r="ED21" i="135"/>
  <c r="DV21" i="135"/>
  <c r="DJ21" i="135"/>
  <c r="FW21" i="135"/>
  <c r="FK21" i="135"/>
  <c r="GX23" i="135"/>
  <c r="GT23" i="135"/>
  <c r="GP23" i="135"/>
  <c r="GL23" i="135"/>
  <c r="GD23" i="135"/>
  <c r="EU20" i="135"/>
  <c r="EQ20" i="135"/>
  <c r="EM20" i="135"/>
  <c r="EI20" i="135"/>
  <c r="EE20" i="135"/>
  <c r="EA20" i="135"/>
  <c r="DW20" i="135"/>
  <c r="DS20" i="135"/>
  <c r="DO20" i="135"/>
  <c r="DK20" i="135"/>
  <c r="GV20" i="135"/>
  <c r="GP20" i="135"/>
  <c r="GL20" i="135"/>
  <c r="GH20" i="135"/>
  <c r="FR20" i="135"/>
  <c r="EQ24" i="135"/>
  <c r="DW24" i="135"/>
  <c r="AJ17" i="135"/>
  <c r="V18" i="135"/>
  <c r="DI75" i="135"/>
  <c r="DE75" i="135"/>
  <c r="DA75" i="135"/>
  <c r="FN75" i="135"/>
  <c r="FM75" i="135"/>
  <c r="FL75" i="135"/>
  <c r="EM19" i="135"/>
  <c r="EI19" i="135"/>
  <c r="DW19" i="135"/>
  <c r="GV19" i="135"/>
  <c r="GP19" i="135"/>
  <c r="GL19" i="135"/>
  <c r="DI91" i="135"/>
  <c r="DE91" i="135"/>
  <c r="DC91" i="135"/>
  <c r="EO21" i="135"/>
  <c r="EK21" i="135"/>
  <c r="EG21" i="135"/>
  <c r="DY21" i="135"/>
  <c r="DI21" i="135"/>
  <c r="GU21" i="135"/>
  <c r="GR21" i="135"/>
  <c r="GN21" i="135"/>
  <c r="GJ21" i="135"/>
  <c r="GF21" i="135"/>
  <c r="FV21" i="135"/>
  <c r="FN21" i="135"/>
  <c r="DM44" i="135"/>
  <c r="DI44" i="135"/>
  <c r="DE44" i="135"/>
  <c r="DC44" i="135"/>
  <c r="FC64" i="135"/>
  <c r="FA64" i="135"/>
  <c r="EU23" i="135"/>
  <c r="EQ23" i="135"/>
  <c r="EM23" i="135"/>
  <c r="EI23" i="135"/>
  <c r="EE23" i="135"/>
  <c r="EA23" i="135"/>
  <c r="DW23" i="135"/>
  <c r="DS23" i="135"/>
  <c r="DO23" i="135"/>
  <c r="GZ23" i="135"/>
  <c r="GS23" i="135"/>
  <c r="GO23" i="135"/>
  <c r="GK23" i="135"/>
  <c r="GG23" i="135"/>
  <c r="GE23" i="135"/>
  <c r="GA23" i="135"/>
  <c r="FS23" i="135"/>
  <c r="FO23" i="135"/>
  <c r="EV20" i="135"/>
  <c r="EN20" i="135"/>
  <c r="EJ20" i="135"/>
  <c r="EF20" i="135"/>
  <c r="DX20" i="135"/>
  <c r="DT20" i="135"/>
  <c r="DP20" i="135"/>
  <c r="GT20" i="135"/>
  <c r="GQ20" i="135"/>
  <c r="GB20" i="135"/>
  <c r="FX20" i="135"/>
  <c r="DH66" i="135"/>
  <c r="DD66" i="135"/>
  <c r="DB66" i="135"/>
  <c r="FJ66" i="135"/>
  <c r="FG66" i="135"/>
  <c r="FA66" i="135"/>
  <c r="EZ66" i="135"/>
  <c r="FF45" i="135"/>
  <c r="FI45" i="135"/>
  <c r="FP45" i="135"/>
  <c r="EZ45" i="135"/>
  <c r="FC45" i="135"/>
  <c r="FN86" i="135"/>
  <c r="FL86" i="135"/>
  <c r="EW24" i="135"/>
  <c r="ES24" i="135"/>
  <c r="EO24" i="135"/>
  <c r="EK24" i="135"/>
  <c r="EG24" i="135"/>
  <c r="EC24" i="135"/>
  <c r="DY24" i="135"/>
  <c r="DU24" i="135"/>
  <c r="DQ24" i="135"/>
  <c r="GV24" i="135"/>
  <c r="GS24" i="135"/>
  <c r="GO24" i="135"/>
  <c r="GK24" i="135"/>
  <c r="GG24" i="135"/>
  <c r="GB24" i="135"/>
  <c r="FX24" i="135"/>
  <c r="FT24" i="135"/>
  <c r="DL48" i="135"/>
  <c r="DH48" i="135"/>
  <c r="DD48" i="135"/>
  <c r="AM21" i="135"/>
  <c r="AJ24" i="135"/>
  <c r="AR57" i="135"/>
  <c r="AK23" i="135"/>
  <c r="AM23" i="135"/>
  <c r="AD44" i="135"/>
  <c r="AC19" i="135"/>
  <c r="R62" i="135"/>
  <c r="R13" i="135" s="1"/>
  <c r="Q24" i="135"/>
  <c r="Q17" i="135"/>
  <c r="AC18" i="135"/>
  <c r="Y18" i="135"/>
  <c r="Z18" i="135"/>
  <c r="AJ19" i="135"/>
  <c r="DZ19" i="135"/>
  <c r="GO19" i="135"/>
  <c r="GK19" i="135"/>
  <c r="GG19" i="135"/>
  <c r="EV21" i="135"/>
  <c r="ER21" i="135"/>
  <c r="EN21" i="135"/>
  <c r="EJ21" i="135"/>
  <c r="EF21" i="135"/>
  <c r="EB21" i="135"/>
  <c r="DX21" i="135"/>
  <c r="DT21" i="135"/>
  <c r="DP21" i="135"/>
  <c r="DL21" i="135"/>
  <c r="DH21" i="135"/>
  <c r="GV21" i="135"/>
  <c r="GT21" i="135"/>
  <c r="GM21" i="135"/>
  <c r="GE21" i="135"/>
  <c r="GC21" i="135"/>
  <c r="FY21" i="135"/>
  <c r="FU21" i="135"/>
  <c r="FQ21" i="135"/>
  <c r="FM21" i="135"/>
  <c r="GY23" i="135"/>
  <c r="GW23" i="135"/>
  <c r="GJ23" i="135"/>
  <c r="GF23" i="135"/>
  <c r="FZ23" i="135"/>
  <c r="FV23" i="135"/>
  <c r="FR23" i="135"/>
  <c r="FN23" i="135"/>
  <c r="EV24" i="135"/>
  <c r="ER24" i="135"/>
  <c r="EN24" i="135"/>
  <c r="EJ24" i="135"/>
  <c r="EF24" i="135"/>
  <c r="DX24" i="135"/>
  <c r="DT24" i="135"/>
  <c r="DP24" i="135"/>
  <c r="GY24" i="135"/>
  <c r="GR24" i="135"/>
  <c r="GN24" i="135"/>
  <c r="GJ24" i="135"/>
  <c r="GF24" i="135"/>
  <c r="GE24" i="135"/>
  <c r="GA24" i="135"/>
  <c r="FW24" i="135"/>
  <c r="FS24" i="135"/>
  <c r="Z42" i="135"/>
  <c r="Y19" i="135"/>
  <c r="Z62" i="135"/>
  <c r="Z13" i="135" s="1"/>
  <c r="Y24" i="135"/>
  <c r="R58" i="135"/>
  <c r="Q23" i="135"/>
  <c r="W58" i="135"/>
  <c r="W23" i="135" s="1"/>
  <c r="V23" i="135"/>
  <c r="V62" i="135"/>
  <c r="V13" i="135" s="1"/>
  <c r="U24" i="135"/>
  <c r="AD62" i="135"/>
  <c r="AC24" i="135"/>
  <c r="Y23" i="135"/>
  <c r="U19" i="135"/>
  <c r="AK19" i="135"/>
  <c r="GL18" i="135"/>
  <c r="DE89" i="135"/>
  <c r="DC89" i="135"/>
  <c r="AT39" i="135"/>
  <c r="DK75" i="135"/>
  <c r="DG75" i="135"/>
  <c r="DD75" i="135"/>
  <c r="DB75" i="135"/>
  <c r="FG75" i="135"/>
  <c r="FF75" i="135"/>
  <c r="FE75" i="135"/>
  <c r="FD75" i="135"/>
  <c r="EW19" i="135"/>
  <c r="ES19" i="135"/>
  <c r="EO19" i="135"/>
  <c r="EG19" i="135"/>
  <c r="EC19" i="135"/>
  <c r="DY19" i="135"/>
  <c r="GW19" i="135"/>
  <c r="GJ19" i="135"/>
  <c r="GF19" i="135"/>
  <c r="GD19" i="135"/>
  <c r="FZ19" i="135"/>
  <c r="DK91" i="135"/>
  <c r="DG91" i="135"/>
  <c r="DB91" i="135"/>
  <c r="CZ91" i="135"/>
  <c r="CX91" i="135"/>
  <c r="EU21" i="135"/>
  <c r="EQ21" i="135"/>
  <c r="EM21" i="135"/>
  <c r="EI21" i="135"/>
  <c r="EA21" i="135"/>
  <c r="DW21" i="135"/>
  <c r="DS21" i="135"/>
  <c r="DK21" i="135"/>
  <c r="GZ21" i="135"/>
  <c r="GL21" i="135"/>
  <c r="GB21" i="135"/>
  <c r="FX21" i="135"/>
  <c r="FT21" i="135"/>
  <c r="FP21" i="135"/>
  <c r="FL21" i="135"/>
  <c r="DO44" i="135"/>
  <c r="DK44" i="135"/>
  <c r="DG44" i="135"/>
  <c r="DB44" i="135"/>
  <c r="CZ44" i="135"/>
  <c r="CX44" i="135"/>
  <c r="EZ64" i="135"/>
  <c r="FB64" i="135"/>
  <c r="EW23" i="135"/>
  <c r="EO23" i="135"/>
  <c r="DU23" i="135"/>
  <c r="GQ23" i="135"/>
  <c r="GI23" i="135"/>
  <c r="GC23" i="135"/>
  <c r="FY23" i="135"/>
  <c r="FU23" i="135"/>
  <c r="FQ23" i="135"/>
  <c r="ED20" i="135"/>
  <c r="GS20" i="135"/>
  <c r="GK20" i="135"/>
  <c r="GG20" i="135"/>
  <c r="GD20" i="135"/>
  <c r="FZ20" i="135"/>
  <c r="FV20" i="135"/>
  <c r="FN20" i="135"/>
  <c r="DJ66" i="135"/>
  <c r="DF66" i="135"/>
  <c r="CY66" i="135"/>
  <c r="FI66" i="135"/>
  <c r="FK66" i="135"/>
  <c r="FH66" i="135"/>
  <c r="FN45" i="135"/>
  <c r="FQ45" i="135"/>
  <c r="FA45" i="135"/>
  <c r="FH45" i="135"/>
  <c r="FK45" i="135"/>
  <c r="FM86" i="135"/>
  <c r="FO86" i="135"/>
  <c r="EU24" i="135"/>
  <c r="EM24" i="135"/>
  <c r="EI24" i="135"/>
  <c r="EE24" i="135"/>
  <c r="EA24" i="135"/>
  <c r="DS24" i="135"/>
  <c r="GX24" i="135"/>
  <c r="GU24" i="135"/>
  <c r="GQ24" i="135"/>
  <c r="GM24" i="135"/>
  <c r="GI24" i="135"/>
  <c r="GD24" i="135"/>
  <c r="FZ24" i="135"/>
  <c r="FV24" i="135"/>
  <c r="FR24" i="135"/>
  <c r="DJ48" i="135"/>
  <c r="DF48" i="135"/>
  <c r="AM19" i="135"/>
  <c r="AM24" i="135"/>
  <c r="AE53" i="135"/>
  <c r="AE20" i="135" s="1"/>
  <c r="AD20" i="135"/>
  <c r="AJ23" i="135"/>
  <c r="S53" i="135"/>
  <c r="R20" i="135"/>
  <c r="Z52" i="135"/>
  <c r="Y20" i="135"/>
  <c r="W42" i="135"/>
  <c r="V19" i="135"/>
  <c r="AD58" i="135"/>
  <c r="AC23" i="135"/>
  <c r="Q18" i="135"/>
  <c r="R18" i="135"/>
  <c r="AN18" i="135"/>
  <c r="AP18" i="135" s="1"/>
  <c r="EL18" i="135"/>
  <c r="DV18" i="135"/>
  <c r="DF18" i="135"/>
  <c r="GS18" i="135"/>
  <c r="GO18" i="135"/>
  <c r="GK18" i="135"/>
  <c r="EP17" i="135"/>
  <c r="DZ17" i="135"/>
  <c r="DJ17" i="135"/>
  <c r="FW17" i="135"/>
  <c r="AP39" i="135"/>
  <c r="FC75" i="135"/>
  <c r="FB75" i="135"/>
  <c r="FA75" i="135"/>
  <c r="ER19" i="135"/>
  <c r="EN19" i="135"/>
  <c r="EJ19" i="135"/>
  <c r="EB19" i="135"/>
  <c r="DX19" i="135"/>
  <c r="GZ19" i="135"/>
  <c r="GT19" i="135"/>
  <c r="GM19" i="135"/>
  <c r="FY19" i="135"/>
  <c r="DJ91" i="135"/>
  <c r="DF91" i="135"/>
  <c r="DA91" i="135"/>
  <c r="EX21" i="135"/>
  <c r="ET21" i="135"/>
  <c r="EL21" i="135"/>
  <c r="EH21" i="135"/>
  <c r="DZ21" i="135"/>
  <c r="DR21" i="135"/>
  <c r="DN21" i="135"/>
  <c r="GY21" i="135"/>
  <c r="GW21" i="135"/>
  <c r="GS21" i="135"/>
  <c r="GO21" i="135"/>
  <c r="GK21" i="135"/>
  <c r="GG21" i="135"/>
  <c r="GA21" i="135"/>
  <c r="FS21" i="135"/>
  <c r="FO21" i="135"/>
  <c r="DN44" i="135"/>
  <c r="DJ44" i="135"/>
  <c r="DF44" i="135"/>
  <c r="DA44" i="135"/>
  <c r="FG64" i="135"/>
  <c r="EV23" i="135"/>
  <c r="ER23" i="135"/>
  <c r="EN23" i="135"/>
  <c r="EJ23" i="135"/>
  <c r="EF23" i="135"/>
  <c r="EB23" i="135"/>
  <c r="DX23" i="135"/>
  <c r="DT23" i="135"/>
  <c r="DP23" i="135"/>
  <c r="DL23" i="135"/>
  <c r="GV23" i="135"/>
  <c r="GH23" i="135"/>
  <c r="GB23" i="135"/>
  <c r="FX23" i="135"/>
  <c r="FT23" i="135"/>
  <c r="FP23" i="135"/>
  <c r="EW20" i="135"/>
  <c r="ES20" i="135"/>
  <c r="EO20" i="135"/>
  <c r="EG20" i="135"/>
  <c r="EC20" i="135"/>
  <c r="DY20" i="135"/>
  <c r="DQ20" i="135"/>
  <c r="DM20" i="135"/>
  <c r="GW20" i="135"/>
  <c r="GR20" i="135"/>
  <c r="GN20" i="135"/>
  <c r="GC20" i="135"/>
  <c r="FU20" i="135"/>
  <c r="FQ20" i="135"/>
  <c r="FM20" i="135"/>
  <c r="DI66" i="135"/>
  <c r="DE66" i="135"/>
  <c r="DC66" i="135"/>
  <c r="FC66" i="135"/>
  <c r="FF66" i="135"/>
  <c r="FJ45" i="135"/>
  <c r="FM45" i="135"/>
  <c r="FD45" i="135"/>
  <c r="FI86" i="135"/>
  <c r="FK86" i="135"/>
  <c r="EX24" i="135"/>
  <c r="ET24" i="135"/>
  <c r="EP24" i="135"/>
  <c r="EL24" i="135"/>
  <c r="DZ24" i="135"/>
  <c r="DV24" i="135"/>
  <c r="DR24" i="135"/>
  <c r="GZ24" i="135"/>
  <c r="GW24" i="135"/>
  <c r="GT24" i="135"/>
  <c r="GP24" i="135"/>
  <c r="GL24" i="135"/>
  <c r="GH24" i="135"/>
  <c r="GC24" i="135"/>
  <c r="FY24" i="135"/>
  <c r="FU24" i="135"/>
  <c r="DI48" i="135"/>
  <c r="DE48" i="135"/>
  <c r="DC48" i="135"/>
  <c r="DA48" i="135"/>
  <c r="AA57" i="135"/>
  <c r="Z23" i="135"/>
  <c r="AR97" i="135"/>
  <c r="AR25" i="135" s="1"/>
  <c r="AJ25" i="135"/>
  <c r="AJ20" i="135"/>
  <c r="R14" i="131"/>
  <c r="S14" i="131" s="1"/>
  <c r="AN23" i="135"/>
  <c r="AP23" i="135" s="1"/>
  <c r="AT42" i="135"/>
  <c r="BZ42" i="135" s="1"/>
  <c r="AN19" i="135"/>
  <c r="AP19" i="135" s="1"/>
  <c r="AN24" i="135"/>
  <c r="AP24" i="135" s="1"/>
  <c r="V36" i="135"/>
  <c r="U17" i="135"/>
  <c r="CX59" i="135"/>
  <c r="DC57" i="135"/>
  <c r="Z55" i="135"/>
  <c r="Y21" i="135"/>
  <c r="R42" i="135"/>
  <c r="Q19" i="135"/>
  <c r="AC17" i="135"/>
  <c r="U18" i="135"/>
  <c r="U23" i="135"/>
  <c r="BO28" i="135"/>
  <c r="BF28" i="135"/>
  <c r="CI28" i="135"/>
  <c r="CS28" i="135"/>
  <c r="CS26" i="135"/>
  <c r="CI26" i="135"/>
  <c r="BO26" i="135"/>
  <c r="BF26" i="135"/>
  <c r="BN26" i="135"/>
  <c r="BE26" i="135"/>
  <c r="CR26" i="135"/>
  <c r="CH26" i="135"/>
  <c r="CJ27" i="135"/>
  <c r="CF27" i="135" s="1"/>
  <c r="CE27" i="135" s="1"/>
  <c r="BZ27" i="135"/>
  <c r="CU27" i="135"/>
  <c r="CU28" i="135"/>
  <c r="CJ28" i="135"/>
  <c r="CF28" i="135" s="1"/>
  <c r="CE28" i="135" s="1"/>
  <c r="BZ28" i="135"/>
  <c r="CA26" i="135"/>
  <c r="BW26" i="135" s="1"/>
  <c r="BR26" i="135"/>
  <c r="BL26" i="135" s="1"/>
  <c r="BH26" i="135"/>
  <c r="BC26" i="135" s="1"/>
  <c r="CT29" i="135"/>
  <c r="BY29" i="135"/>
  <c r="CT27" i="135"/>
  <c r="BY27" i="135"/>
  <c r="BO29" i="135"/>
  <c r="BF29" i="135"/>
  <c r="CS29" i="135"/>
  <c r="CI29" i="135"/>
  <c r="CS27" i="135"/>
  <c r="BO27" i="135"/>
  <c r="BF27" i="135"/>
  <c r="CI27" i="135"/>
  <c r="CU29" i="135"/>
  <c r="BZ29" i="135"/>
  <c r="CJ29" i="135"/>
  <c r="CF29" i="135" s="1"/>
  <c r="CE29" i="135" s="1"/>
  <c r="CT26" i="135"/>
  <c r="BY26" i="135"/>
  <c r="BR28" i="135"/>
  <c r="BL28" i="135" s="1"/>
  <c r="BH28" i="135"/>
  <c r="BC28" i="135" s="1"/>
  <c r="CA28" i="135"/>
  <c r="BW28" i="135" s="1"/>
  <c r="CH29" i="135"/>
  <c r="BN29" i="135"/>
  <c r="CR29" i="135"/>
  <c r="BE29" i="135"/>
  <c r="BY28" i="135"/>
  <c r="BX28" i="135" s="1"/>
  <c r="CT28" i="135"/>
  <c r="CJ26" i="135"/>
  <c r="CF26" i="135" s="1"/>
  <c r="CE26" i="135" s="1"/>
  <c r="BZ26" i="135"/>
  <c r="CU26" i="135"/>
  <c r="BN27" i="135"/>
  <c r="BM27" i="135" s="1"/>
  <c r="BE27" i="135"/>
  <c r="BD27" i="135" s="1"/>
  <c r="CR27" i="135"/>
  <c r="CH27" i="135"/>
  <c r="CR28" i="135"/>
  <c r="BE28" i="135"/>
  <c r="BN28" i="135"/>
  <c r="BM28" i="135" s="1"/>
  <c r="CH28" i="135"/>
  <c r="CA27" i="135"/>
  <c r="BW27" i="135" s="1"/>
  <c r="BR27" i="135"/>
  <c r="BL27" i="135" s="1"/>
  <c r="BH27" i="135"/>
  <c r="BC27" i="135" s="1"/>
  <c r="CA29" i="135"/>
  <c r="BW29" i="135" s="1"/>
  <c r="BH29" i="135"/>
  <c r="BC29" i="135" s="1"/>
  <c r="BR29" i="135"/>
  <c r="BL29" i="135" s="1"/>
  <c r="AR73" i="135"/>
  <c r="BH73" i="135" s="1"/>
  <c r="BC73" i="135" s="1"/>
  <c r="AR47" i="135"/>
  <c r="FB47" i="135"/>
  <c r="FJ47" i="135"/>
  <c r="FE47" i="135"/>
  <c r="FN47" i="135"/>
  <c r="FD47" i="135"/>
  <c r="FI47" i="135"/>
  <c r="FG47" i="135"/>
  <c r="FH47" i="135"/>
  <c r="FM47" i="135"/>
  <c r="FF47" i="135"/>
  <c r="FK47" i="135"/>
  <c r="FL47" i="135"/>
  <c r="FG91" i="135"/>
  <c r="FF91" i="135"/>
  <c r="FE91" i="135"/>
  <c r="DE64" i="135"/>
  <c r="DA64" i="135"/>
  <c r="DK57" i="135"/>
  <c r="DK23" i="135" s="1"/>
  <c r="DG57" i="135"/>
  <c r="DK86" i="135"/>
  <c r="DG86" i="135"/>
  <c r="DD86" i="135"/>
  <c r="CX86" i="135"/>
  <c r="DI59" i="135"/>
  <c r="DE59" i="135"/>
  <c r="DA59" i="135"/>
  <c r="AT86" i="135"/>
  <c r="BZ86" i="135" s="1"/>
  <c r="AT51" i="135"/>
  <c r="CU51" i="135" s="1"/>
  <c r="DJ86" i="135"/>
  <c r="DF86" i="135"/>
  <c r="DA86" i="135"/>
  <c r="CY86" i="135"/>
  <c r="DL59" i="135"/>
  <c r="DH59" i="135"/>
  <c r="CZ59" i="135"/>
  <c r="DI57" i="135"/>
  <c r="DI23" i="135" s="1"/>
  <c r="DE57" i="135"/>
  <c r="DM86" i="135"/>
  <c r="DI86" i="135"/>
  <c r="DE86" i="135"/>
  <c r="DK59" i="135"/>
  <c r="DG59" i="135"/>
  <c r="DD59" i="135"/>
  <c r="DB59" i="135"/>
  <c r="FA47" i="135"/>
  <c r="EZ47" i="135"/>
  <c r="FC47" i="135"/>
  <c r="FT50" i="135"/>
  <c r="FD50" i="135"/>
  <c r="FO50" i="135"/>
  <c r="FV50" i="135"/>
  <c r="FF50" i="135"/>
  <c r="FF86" i="135"/>
  <c r="FE86" i="135"/>
  <c r="FD86" i="135"/>
  <c r="FG86" i="135"/>
  <c r="FB86" i="135"/>
  <c r="FA86" i="135"/>
  <c r="EZ86" i="135"/>
  <c r="AR36" i="135"/>
  <c r="AT91" i="135"/>
  <c r="CJ91" i="135" s="1"/>
  <c r="CF91" i="135" s="1"/>
  <c r="R10" i="131"/>
  <c r="S10" i="131" s="1"/>
  <c r="R15" i="131"/>
  <c r="S15" i="131" s="1"/>
  <c r="AR40" i="135"/>
  <c r="BH40" i="135" s="1"/>
  <c r="BC40" i="135" s="1"/>
  <c r="AR52" i="135"/>
  <c r="CA52" i="135" s="1"/>
  <c r="BW52" i="135" s="1"/>
  <c r="AX39" i="135"/>
  <c r="BF39" i="135" s="1"/>
  <c r="AR88" i="135"/>
  <c r="BR88" i="135" s="1"/>
  <c r="BL88" i="135" s="1"/>
  <c r="AR38" i="135"/>
  <c r="CA38" i="135" s="1"/>
  <c r="BW38" i="135" s="1"/>
  <c r="AR59" i="135"/>
  <c r="BR55" i="135"/>
  <c r="BL55" i="135" s="1"/>
  <c r="CA55" i="135"/>
  <c r="BW55" i="135" s="1"/>
  <c r="BH55" i="135"/>
  <c r="BC55" i="135" s="1"/>
  <c r="FB46" i="135"/>
  <c r="EZ46" i="135"/>
  <c r="FE46" i="135"/>
  <c r="FK46" i="135"/>
  <c r="FP46" i="135"/>
  <c r="FA46" i="135"/>
  <c r="FG46" i="135"/>
  <c r="FL46" i="135"/>
  <c r="FQ46" i="135"/>
  <c r="FC46" i="135"/>
  <c r="FH46" i="135"/>
  <c r="FM46" i="135"/>
  <c r="FD46" i="135"/>
  <c r="FI46" i="135"/>
  <c r="FO46" i="135"/>
  <c r="BZ89" i="135"/>
  <c r="CJ89" i="135"/>
  <c r="CF89" i="135" s="1"/>
  <c r="CU89" i="135"/>
  <c r="BZ60" i="135"/>
  <c r="CJ60" i="135"/>
  <c r="CF60" i="135" s="1"/>
  <c r="CU60" i="135"/>
  <c r="CU68" i="135"/>
  <c r="BZ68" i="135"/>
  <c r="CJ68" i="135"/>
  <c r="CF68" i="135" s="1"/>
  <c r="CU43" i="135"/>
  <c r="BZ43" i="135"/>
  <c r="CJ43" i="135"/>
  <c r="CF43" i="135" s="1"/>
  <c r="BZ41" i="135"/>
  <c r="CJ41" i="135"/>
  <c r="CF41" i="135" s="1"/>
  <c r="CU41" i="135"/>
  <c r="BZ85" i="135"/>
  <c r="CU85" i="135"/>
  <c r="CJ85" i="135"/>
  <c r="CF85" i="135" s="1"/>
  <c r="CU35" i="135"/>
  <c r="BZ35" i="135"/>
  <c r="CJ35" i="135"/>
  <c r="CF35" i="135" s="1"/>
  <c r="AY39" i="135"/>
  <c r="AV39" i="135"/>
  <c r="AI39" i="135"/>
  <c r="AW39" i="135"/>
  <c r="AS39" i="135"/>
  <c r="BP39" i="135" s="1"/>
  <c r="BR74" i="135"/>
  <c r="BL74" i="135" s="1"/>
  <c r="CA74" i="135"/>
  <c r="BW74" i="135" s="1"/>
  <c r="BH74" i="135"/>
  <c r="BC74" i="135" s="1"/>
  <c r="AV96" i="135"/>
  <c r="AX92" i="135"/>
  <c r="CU95" i="135"/>
  <c r="BZ95" i="135"/>
  <c r="CJ95" i="135"/>
  <c r="CF95" i="135" s="1"/>
  <c r="AS63" i="135"/>
  <c r="BP63" i="135" s="1"/>
  <c r="AW63" i="135"/>
  <c r="AV63" i="135"/>
  <c r="AY63" i="135"/>
  <c r="AI63" i="135"/>
  <c r="AX60" i="135"/>
  <c r="BZ90" i="135"/>
  <c r="CJ90" i="135"/>
  <c r="CF90" i="135" s="1"/>
  <c r="CU90" i="135"/>
  <c r="CU87" i="135"/>
  <c r="BZ87" i="135"/>
  <c r="CJ87" i="135"/>
  <c r="CF87" i="135" s="1"/>
  <c r="BZ58" i="135"/>
  <c r="CJ58" i="135"/>
  <c r="CF58" i="135" s="1"/>
  <c r="CU58" i="135"/>
  <c r="BZ77" i="135"/>
  <c r="CU77" i="135"/>
  <c r="CJ77" i="135"/>
  <c r="CF77" i="135" s="1"/>
  <c r="CU75" i="135"/>
  <c r="BZ75" i="135"/>
  <c r="CJ75" i="135"/>
  <c r="CF75" i="135" s="1"/>
  <c r="BZ84" i="135"/>
  <c r="CJ84" i="135"/>
  <c r="CF84" i="135" s="1"/>
  <c r="CU84" i="135"/>
  <c r="BZ45" i="135"/>
  <c r="CU45" i="135"/>
  <c r="CJ45" i="135"/>
  <c r="CF45" i="135" s="1"/>
  <c r="AX68" i="135"/>
  <c r="CA41" i="135"/>
  <c r="BW41" i="135" s="1"/>
  <c r="CU74" i="135"/>
  <c r="CJ74" i="135"/>
  <c r="CF74" i="135" s="1"/>
  <c r="BZ74" i="135"/>
  <c r="CU79" i="135"/>
  <c r="BZ79" i="135"/>
  <c r="CJ79" i="135"/>
  <c r="CF79" i="135" s="1"/>
  <c r="BZ55" i="135"/>
  <c r="CJ55" i="135"/>
  <c r="CF55" i="135" s="1"/>
  <c r="CU55" i="135"/>
  <c r="CU40" i="135"/>
  <c r="BZ40" i="135"/>
  <c r="CJ40" i="135"/>
  <c r="CF40" i="135" s="1"/>
  <c r="CU49" i="135"/>
  <c r="BZ49" i="135"/>
  <c r="CJ49" i="135"/>
  <c r="CF49" i="135" s="1"/>
  <c r="CU62" i="135"/>
  <c r="CJ62" i="135"/>
  <c r="CF62" i="135" s="1"/>
  <c r="BZ62" i="135"/>
  <c r="CU76" i="135"/>
  <c r="BZ76" i="135"/>
  <c r="CJ76" i="135"/>
  <c r="CF76" i="135" s="1"/>
  <c r="AI77" i="135"/>
  <c r="AS77" i="135"/>
  <c r="BP77" i="135" s="1"/>
  <c r="AW77" i="135"/>
  <c r="AY77" i="135"/>
  <c r="AV77" i="135"/>
  <c r="AW49" i="135"/>
  <c r="AY49" i="135"/>
  <c r="AS49" i="135"/>
  <c r="BP49" i="135" s="1"/>
  <c r="AI49" i="135"/>
  <c r="AV49" i="135"/>
  <c r="BH39" i="135"/>
  <c r="BC39" i="135" s="1"/>
  <c r="BR62" i="135"/>
  <c r="BL62" i="135" s="1"/>
  <c r="BH62" i="135"/>
  <c r="BC62" i="135" s="1"/>
  <c r="CA62" i="135"/>
  <c r="BW62" i="135" s="1"/>
  <c r="CJ59" i="135"/>
  <c r="CF59" i="135" s="1"/>
  <c r="BZ59" i="135"/>
  <c r="CU59" i="135"/>
  <c r="AT46" i="135"/>
  <c r="AP46" i="135"/>
  <c r="AS96" i="135"/>
  <c r="BP96" i="135" s="1"/>
  <c r="AW96" i="135"/>
  <c r="AY96" i="135"/>
  <c r="AI96" i="135"/>
  <c r="CJ92" i="135"/>
  <c r="CF92" i="135" s="1"/>
  <c r="CU92" i="135"/>
  <c r="BZ92" i="135"/>
  <c r="CU57" i="135"/>
  <c r="BZ57" i="135"/>
  <c r="CJ57" i="135"/>
  <c r="CF57" i="135" s="1"/>
  <c r="BZ61" i="135"/>
  <c r="CJ61" i="135"/>
  <c r="CF61" i="135" s="1"/>
  <c r="CU61" i="135"/>
  <c r="CJ81" i="135"/>
  <c r="CF81" i="135" s="1"/>
  <c r="CU81" i="135"/>
  <c r="BZ81" i="135"/>
  <c r="CU66" i="135"/>
  <c r="CJ66" i="135"/>
  <c r="CF66" i="135" s="1"/>
  <c r="BZ66" i="135"/>
  <c r="N143" i="250"/>
  <c r="N93" i="250"/>
  <c r="E389" i="253"/>
  <c r="BR389" i="253" s="1"/>
  <c r="B392" i="253"/>
  <c r="D391" i="253"/>
  <c r="H390" i="253"/>
  <c r="F390" i="253"/>
  <c r="I390" i="253"/>
  <c r="G390" i="253"/>
  <c r="M12" i="250"/>
  <c r="N243" i="250"/>
  <c r="DZ33" i="135"/>
  <c r="ER33" i="135"/>
  <c r="AJ33" i="135"/>
  <c r="GW33" i="135"/>
  <c r="ES33" i="135"/>
  <c r="FZ33" i="135"/>
  <c r="GH33" i="135"/>
  <c r="EQ33" i="135"/>
  <c r="EO33" i="135"/>
  <c r="GL33" i="135"/>
  <c r="ED33" i="135"/>
  <c r="EU33" i="135"/>
  <c r="DP33" i="135"/>
  <c r="EE33" i="135"/>
  <c r="EA33" i="135"/>
  <c r="DR33" i="135"/>
  <c r="EM33" i="135"/>
  <c r="FX33" i="135"/>
  <c r="GN33" i="135"/>
  <c r="EK33" i="135"/>
  <c r="EF33" i="135"/>
  <c r="EC33" i="135"/>
  <c r="EL33" i="135"/>
  <c r="EP33" i="135"/>
  <c r="GM33" i="135"/>
  <c r="DX33" i="135"/>
  <c r="FY33" i="135"/>
  <c r="FS33" i="135"/>
  <c r="GU33" i="135"/>
  <c r="FU33" i="135"/>
  <c r="EW33" i="135"/>
  <c r="GK33" i="135"/>
  <c r="EJ33" i="135"/>
  <c r="ET33" i="135"/>
  <c r="EX33" i="135"/>
  <c r="AL33" i="135"/>
  <c r="AK33" i="135"/>
  <c r="GO33" i="135"/>
  <c r="EG33" i="135"/>
  <c r="EH33" i="135"/>
  <c r="GY33" i="135"/>
  <c r="GP33" i="135"/>
  <c r="GZ33" i="135"/>
  <c r="GA33" i="135"/>
  <c r="DQ33" i="135"/>
  <c r="DS33" i="135"/>
  <c r="EV33" i="135"/>
  <c r="GV33" i="135"/>
  <c r="FW33" i="135"/>
  <c r="DT33" i="135"/>
  <c r="GT33" i="135"/>
  <c r="GB33" i="135"/>
  <c r="DV33" i="135"/>
  <c r="FT33" i="135"/>
  <c r="GJ33" i="135"/>
  <c r="GI33" i="135"/>
  <c r="EB33" i="135"/>
  <c r="GQ33" i="135"/>
  <c r="GR33" i="135"/>
  <c r="DY33" i="135"/>
  <c r="DW33" i="135"/>
  <c r="EI33" i="135"/>
  <c r="GC33" i="135"/>
  <c r="FV33" i="135"/>
  <c r="DU33" i="135"/>
  <c r="GX33" i="135"/>
  <c r="FR33" i="135"/>
  <c r="EN33" i="135"/>
  <c r="GS33" i="135"/>
  <c r="GG33" i="135"/>
  <c r="GD33" i="135"/>
  <c r="GF33" i="135"/>
  <c r="GE33" i="135"/>
  <c r="AM33" i="135"/>
  <c r="Q33" i="135"/>
  <c r="AC33" i="135"/>
  <c r="V33" i="135"/>
  <c r="Y33" i="135"/>
  <c r="U33" i="135"/>
  <c r="AN33" i="135"/>
  <c r="AP33" i="135" s="1"/>
  <c r="EK32" i="135"/>
  <c r="EA32" i="135"/>
  <c r="EC32" i="135"/>
  <c r="DV32" i="135"/>
  <c r="EL32" i="135"/>
  <c r="ET32" i="135"/>
  <c r="DR32" i="135"/>
  <c r="GK32" i="135"/>
  <c r="GL32" i="135"/>
  <c r="FU32" i="135"/>
  <c r="GY32" i="135"/>
  <c r="ES32" i="135"/>
  <c r="GH32" i="135"/>
  <c r="FS32" i="135"/>
  <c r="GE32" i="135"/>
  <c r="GJ32" i="135"/>
  <c r="GU32" i="135"/>
  <c r="DU32" i="135"/>
  <c r="GB32" i="135"/>
  <c r="FV32" i="135"/>
  <c r="EV32" i="135"/>
  <c r="GV32" i="135"/>
  <c r="GD32" i="135"/>
  <c r="ED32" i="135"/>
  <c r="EB32" i="135"/>
  <c r="FT32" i="135"/>
  <c r="EG32" i="135"/>
  <c r="GM32" i="135"/>
  <c r="GP32" i="135"/>
  <c r="EJ32" i="135"/>
  <c r="GF32" i="135"/>
  <c r="FZ32" i="135"/>
  <c r="EH32" i="135"/>
  <c r="EI32" i="135"/>
  <c r="GT32" i="135"/>
  <c r="DX32" i="135"/>
  <c r="EP32" i="135"/>
  <c r="DT32" i="135"/>
  <c r="DS32" i="135"/>
  <c r="EN32" i="135"/>
  <c r="EO32" i="135"/>
  <c r="EQ32" i="135"/>
  <c r="ER32" i="135"/>
  <c r="GQ32" i="135"/>
  <c r="EX32" i="135"/>
  <c r="DY32" i="135"/>
  <c r="GG32" i="135"/>
  <c r="DZ32" i="135"/>
  <c r="FW32" i="135"/>
  <c r="DP32" i="135"/>
  <c r="GO32" i="135"/>
  <c r="GA32" i="135"/>
  <c r="GZ32" i="135"/>
  <c r="EW32" i="135"/>
  <c r="EF32" i="135"/>
  <c r="EE32" i="135"/>
  <c r="DW32" i="135"/>
  <c r="GI32" i="135"/>
  <c r="DQ32" i="135"/>
  <c r="GS32" i="135"/>
  <c r="FX32" i="135"/>
  <c r="GN32" i="135"/>
  <c r="GW32" i="135"/>
  <c r="GR32" i="135"/>
  <c r="EM32" i="135"/>
  <c r="GC32" i="135"/>
  <c r="FY32" i="135"/>
  <c r="EU32" i="135"/>
  <c r="FR32" i="135"/>
  <c r="GX32" i="135"/>
  <c r="FR31" i="135"/>
  <c r="GC31" i="135"/>
  <c r="DP31" i="135"/>
  <c r="EP31" i="135"/>
  <c r="EV31" i="135"/>
  <c r="FW31" i="135"/>
  <c r="GQ31" i="135"/>
  <c r="GG31" i="135"/>
  <c r="Y31" i="135"/>
  <c r="GA31" i="135"/>
  <c r="GO31" i="135"/>
  <c r="GV31" i="135"/>
  <c r="DT31" i="135"/>
  <c r="GT31" i="135"/>
  <c r="GB31" i="135"/>
  <c r="DV31" i="135"/>
  <c r="EK31" i="135"/>
  <c r="DZ31" i="135"/>
  <c r="GH31" i="135"/>
  <c r="GX31" i="135"/>
  <c r="EQ31" i="135"/>
  <c r="GI31" i="135"/>
  <c r="GR31" i="135"/>
  <c r="DY31" i="135"/>
  <c r="DW31" i="135"/>
  <c r="EI31" i="135"/>
  <c r="FV31" i="135"/>
  <c r="EN31" i="135"/>
  <c r="GS31" i="135"/>
  <c r="GD31" i="135"/>
  <c r="GF31" i="135"/>
  <c r="GE31" i="135"/>
  <c r="AM31" i="135"/>
  <c r="EG31" i="135"/>
  <c r="ES31" i="135"/>
  <c r="EH31" i="135"/>
  <c r="FZ31" i="135"/>
  <c r="GY31" i="135"/>
  <c r="GP31" i="135"/>
  <c r="GZ31" i="135"/>
  <c r="EO31" i="135"/>
  <c r="GL31" i="135"/>
  <c r="DQ31" i="135"/>
  <c r="ED31" i="135"/>
  <c r="EU31" i="135"/>
  <c r="DS31" i="135"/>
  <c r="ET31" i="135"/>
  <c r="EE31" i="135"/>
  <c r="EA31" i="135"/>
  <c r="DR31" i="135"/>
  <c r="EM31" i="135"/>
  <c r="FX31" i="135"/>
  <c r="GN31" i="135"/>
  <c r="FT31" i="135"/>
  <c r="ER31" i="135"/>
  <c r="DU31" i="135"/>
  <c r="EB31" i="135"/>
  <c r="AJ31" i="135"/>
  <c r="GJ31" i="135"/>
  <c r="EF31" i="135"/>
  <c r="EC31" i="135"/>
  <c r="EL31" i="135"/>
  <c r="GM31" i="135"/>
  <c r="DX31" i="135"/>
  <c r="FY31" i="135"/>
  <c r="FS31" i="135"/>
  <c r="GU31" i="135"/>
  <c r="FU31" i="135"/>
  <c r="EW31" i="135"/>
  <c r="GK31" i="135"/>
  <c r="EJ31" i="135"/>
  <c r="EX31" i="135"/>
  <c r="GW31" i="135"/>
  <c r="AL31" i="135"/>
  <c r="AK31" i="135"/>
  <c r="AC31" i="135"/>
  <c r="U31" i="135"/>
  <c r="Q31" i="135"/>
  <c r="AN31" i="135"/>
  <c r="AP31" i="135" s="1"/>
  <c r="N221" i="250"/>
  <c r="N202" i="250"/>
  <c r="N183" i="250"/>
  <c r="N164" i="250"/>
  <c r="N141" i="250"/>
  <c r="AR33" i="109"/>
  <c r="AS26" i="109"/>
  <c r="AR22" i="109"/>
  <c r="BZ38" i="135" l="1"/>
  <c r="BH92" i="135"/>
  <c r="BC92" i="135" s="1"/>
  <c r="CA92" i="135"/>
  <c r="BW92" i="135" s="1"/>
  <c r="BR46" i="135"/>
  <c r="BL46" i="135" s="1"/>
  <c r="CA53" i="135"/>
  <c r="BW53" i="135" s="1"/>
  <c r="AT18" i="135"/>
  <c r="BZ18" i="135" s="1"/>
  <c r="CU38" i="135"/>
  <c r="CU44" i="135"/>
  <c r="DA18" i="135"/>
  <c r="DE21" i="135"/>
  <c r="DB18" i="135"/>
  <c r="BR86" i="135"/>
  <c r="BL86" i="135" s="1"/>
  <c r="BH51" i="135"/>
  <c r="BC51" i="135" s="1"/>
  <c r="BH96" i="135"/>
  <c r="BC96" i="135" s="1"/>
  <c r="BH68" i="135"/>
  <c r="BC68" i="135" s="1"/>
  <c r="CU82" i="135"/>
  <c r="CU22" i="135"/>
  <c r="DF21" i="135"/>
  <c r="BZ50" i="135"/>
  <c r="BH50" i="135"/>
  <c r="BC50" i="135" s="1"/>
  <c r="BH58" i="135"/>
  <c r="BC58" i="135" s="1"/>
  <c r="CA83" i="135"/>
  <c r="BW83" i="135" s="1"/>
  <c r="CA80" i="135"/>
  <c r="BW80" i="135" s="1"/>
  <c r="CA91" i="135"/>
  <c r="BW91" i="135" s="1"/>
  <c r="BR50" i="135"/>
  <c r="BL50" i="135" s="1"/>
  <c r="CA58" i="135"/>
  <c r="BW58" i="135" s="1"/>
  <c r="CU78" i="135"/>
  <c r="BR91" i="135"/>
  <c r="BL91" i="135" s="1"/>
  <c r="V20" i="135"/>
  <c r="AS38" i="135"/>
  <c r="BP38" i="135" s="1"/>
  <c r="BR83" i="135"/>
  <c r="BL83" i="135" s="1"/>
  <c r="BZ93" i="135"/>
  <c r="AR23" i="135"/>
  <c r="CA23" i="135" s="1"/>
  <c r="BW23" i="135" s="1"/>
  <c r="DA56" i="135"/>
  <c r="DA22" i="135" s="1"/>
  <c r="BH72" i="135"/>
  <c r="BC72" i="135" s="1"/>
  <c r="CA60" i="135"/>
  <c r="BW60" i="135" s="1"/>
  <c r="S22" i="135"/>
  <c r="CJ80" i="135"/>
  <c r="CF80" i="135" s="1"/>
  <c r="CJ56" i="135"/>
  <c r="CF56" i="135" s="1"/>
  <c r="CU80" i="135"/>
  <c r="CU50" i="135"/>
  <c r="CU56" i="135"/>
  <c r="CA37" i="135"/>
  <c r="BW37" i="135" s="1"/>
  <c r="BH84" i="135"/>
  <c r="BC84" i="135" s="1"/>
  <c r="BH60" i="135"/>
  <c r="BC60" i="135" s="1"/>
  <c r="CU25" i="135"/>
  <c r="BZ22" i="135"/>
  <c r="BR72" i="135"/>
  <c r="BL72" i="135" s="1"/>
  <c r="BH93" i="135"/>
  <c r="BC93" i="135" s="1"/>
  <c r="CA67" i="135"/>
  <c r="BW67" i="135" s="1"/>
  <c r="BR37" i="135"/>
  <c r="BL37" i="135" s="1"/>
  <c r="CA84" i="135"/>
  <c r="BW84" i="135" s="1"/>
  <c r="CZ56" i="135"/>
  <c r="CZ22" i="135" s="1"/>
  <c r="CY18" i="135"/>
  <c r="DE18" i="135"/>
  <c r="DD21" i="135"/>
  <c r="BR39" i="135"/>
  <c r="BL39" i="135" s="1"/>
  <c r="BH77" i="135"/>
  <c r="BC77" i="135" s="1"/>
  <c r="BH41" i="135"/>
  <c r="BC41" i="135" s="1"/>
  <c r="BZ56" i="135"/>
  <c r="BZ82" i="135"/>
  <c r="BH46" i="135"/>
  <c r="BC46" i="135" s="1"/>
  <c r="BH53" i="135"/>
  <c r="BC53" i="135" s="1"/>
  <c r="CA51" i="135"/>
  <c r="BW51" i="135" s="1"/>
  <c r="CY56" i="135"/>
  <c r="CY22" i="135" s="1"/>
  <c r="FF18" i="135"/>
  <c r="FI17" i="135"/>
  <c r="AW93" i="135"/>
  <c r="BN93" i="135" s="1"/>
  <c r="AW35" i="135"/>
  <c r="BN35" i="135" s="1"/>
  <c r="AX63" i="135"/>
  <c r="BF63" i="135" s="1"/>
  <c r="EZ18" i="135"/>
  <c r="AV78" i="135"/>
  <c r="BY78" i="135" s="1"/>
  <c r="BX78" i="135" s="1"/>
  <c r="AS79" i="135"/>
  <c r="BP79" i="135" s="1"/>
  <c r="AY52" i="135"/>
  <c r="BR70" i="135"/>
  <c r="BL70" i="135" s="1"/>
  <c r="CJ73" i="135"/>
  <c r="CF73" i="135" s="1"/>
  <c r="BR35" i="135"/>
  <c r="BL35" i="135" s="1"/>
  <c r="CJ72" i="135"/>
  <c r="CF72" i="135" s="1"/>
  <c r="BH43" i="135"/>
  <c r="BC43" i="135" s="1"/>
  <c r="AR17" i="135"/>
  <c r="BR17" i="135" s="1"/>
  <c r="BL17" i="135" s="1"/>
  <c r="CJ69" i="135"/>
  <c r="CF69" i="135" s="1"/>
  <c r="BH87" i="135"/>
  <c r="BC87" i="135" s="1"/>
  <c r="BR95" i="135"/>
  <c r="BL95" i="135" s="1"/>
  <c r="AI81" i="135"/>
  <c r="BZ63" i="135"/>
  <c r="CU37" i="135"/>
  <c r="BZ72" i="135"/>
  <c r="DB21" i="135"/>
  <c r="BH95" i="135"/>
  <c r="BC95" i="135" s="1"/>
  <c r="CJ44" i="135"/>
  <c r="CF44" i="135" s="1"/>
  <c r="CZ18" i="135"/>
  <c r="AW87" i="135"/>
  <c r="BE87" i="135" s="1"/>
  <c r="AX95" i="135"/>
  <c r="BO95" i="135" s="1"/>
  <c r="AS84" i="135"/>
  <c r="BP84" i="135" s="1"/>
  <c r="AY78" i="135"/>
  <c r="AY88" i="135"/>
  <c r="FF17" i="135"/>
  <c r="AY74" i="135"/>
  <c r="CE74" i="135" s="1"/>
  <c r="AS92" i="135"/>
  <c r="BP92" i="135" s="1"/>
  <c r="AS94" i="135"/>
  <c r="BP94" i="135" s="1"/>
  <c r="AV35" i="135"/>
  <c r="BY35" i="135" s="1"/>
  <c r="BX35" i="135" s="1"/>
  <c r="AW79" i="135"/>
  <c r="BN79" i="135" s="1"/>
  <c r="AX77" i="135"/>
  <c r="BF77" i="135" s="1"/>
  <c r="AI93" i="135"/>
  <c r="AV81" i="135"/>
  <c r="BY81" i="135" s="1"/>
  <c r="BX81" i="135" s="1"/>
  <c r="AW38" i="135"/>
  <c r="BN38" i="135" s="1"/>
  <c r="DG21" i="135"/>
  <c r="BZ69" i="135"/>
  <c r="CJ83" i="135"/>
  <c r="CF83" i="135" s="1"/>
  <c r="BH70" i="135"/>
  <c r="BC70" i="135" s="1"/>
  <c r="BR69" i="135"/>
  <c r="BL69" i="135" s="1"/>
  <c r="CU63" i="135"/>
  <c r="CU83" i="135"/>
  <c r="BH35" i="135"/>
  <c r="BC35" i="135" s="1"/>
  <c r="BZ37" i="135"/>
  <c r="BH69" i="135"/>
  <c r="BC69" i="135" s="1"/>
  <c r="BZ67" i="135"/>
  <c r="BH76" i="135"/>
  <c r="BC76" i="135" s="1"/>
  <c r="BR43" i="135"/>
  <c r="BL43" i="135" s="1"/>
  <c r="FR12" i="135"/>
  <c r="FP24" i="135"/>
  <c r="CJ65" i="135"/>
  <c r="CF65" i="135" s="1"/>
  <c r="AS54" i="135"/>
  <c r="BP54" i="135" s="1"/>
  <c r="FG17" i="135"/>
  <c r="CU47" i="135"/>
  <c r="AY38" i="135"/>
  <c r="CE38" i="135" s="1"/>
  <c r="AI94" i="135"/>
  <c r="AS81" i="135"/>
  <c r="BP81" i="135" s="1"/>
  <c r="DC18" i="135"/>
  <c r="AV38" i="135"/>
  <c r="CT38" i="135" s="1"/>
  <c r="AY55" i="135"/>
  <c r="CE55" i="135" s="1"/>
  <c r="CU93" i="135"/>
  <c r="AI38" i="135"/>
  <c r="AI79" i="135"/>
  <c r="AS55" i="135"/>
  <c r="BP55" i="135" s="1"/>
  <c r="CJ78" i="135"/>
  <c r="CF78" i="135" s="1"/>
  <c r="BZ48" i="135"/>
  <c r="BH78" i="135"/>
  <c r="BC78" i="135" s="1"/>
  <c r="AS35" i="135"/>
  <c r="BP35" i="135" s="1"/>
  <c r="DN24" i="135"/>
  <c r="AX80" i="135"/>
  <c r="BO80" i="135" s="1"/>
  <c r="AV70" i="135"/>
  <c r="CT70" i="135" s="1"/>
  <c r="AV43" i="135"/>
  <c r="CT43" i="135" s="1"/>
  <c r="CP43" i="135" s="1"/>
  <c r="AX35" i="135"/>
  <c r="CS35" i="135" s="1"/>
  <c r="AV95" i="135"/>
  <c r="CT95" i="135" s="1"/>
  <c r="CP95" i="135" s="1"/>
  <c r="AI69" i="135"/>
  <c r="AY94" i="135"/>
  <c r="AS93" i="135"/>
  <c r="BP93" i="135" s="1"/>
  <c r="AW81" i="135"/>
  <c r="BN81" i="135" s="1"/>
  <c r="AI35" i="135"/>
  <c r="AY79" i="135"/>
  <c r="CE79" i="135" s="1"/>
  <c r="AW55" i="135"/>
  <c r="CR55" i="135" s="1"/>
  <c r="AY90" i="135"/>
  <c r="CE90" i="135" s="1"/>
  <c r="AV84" i="135"/>
  <c r="BY84" i="135" s="1"/>
  <c r="BX84" i="135" s="1"/>
  <c r="AX88" i="135"/>
  <c r="BF88" i="135" s="1"/>
  <c r="AS72" i="135"/>
  <c r="BP72" i="135" s="1"/>
  <c r="AY47" i="135"/>
  <c r="CE47" i="135" s="1"/>
  <c r="AX36" i="135"/>
  <c r="BO36" i="135" s="1"/>
  <c r="AS68" i="135"/>
  <c r="BP68" i="135" s="1"/>
  <c r="AY41" i="135"/>
  <c r="CE41" i="135" s="1"/>
  <c r="FB17" i="135"/>
  <c r="AI74" i="135"/>
  <c r="AX54" i="135"/>
  <c r="BF54" i="135" s="1"/>
  <c r="AS43" i="135"/>
  <c r="BP43" i="135" s="1"/>
  <c r="AX81" i="135"/>
  <c r="BF81" i="135" s="1"/>
  <c r="AV80" i="135"/>
  <c r="CT80" i="135" s="1"/>
  <c r="AX49" i="135"/>
  <c r="BF49" i="135" s="1"/>
  <c r="AV60" i="135"/>
  <c r="CT60" i="135" s="1"/>
  <c r="CP60" i="135" s="1"/>
  <c r="AY95" i="135"/>
  <c r="CE95" i="135" s="1"/>
  <c r="AS69" i="135"/>
  <c r="BP69" i="135" s="1"/>
  <c r="AW71" i="135"/>
  <c r="BN71" i="135" s="1"/>
  <c r="AV94" i="135"/>
  <c r="CT94" i="135" s="1"/>
  <c r="AY35" i="135"/>
  <c r="CE35" i="135" s="1"/>
  <c r="AV79" i="135"/>
  <c r="BY79" i="135" s="1"/>
  <c r="BX79" i="135" s="1"/>
  <c r="AI55" i="135"/>
  <c r="AV93" i="135"/>
  <c r="BY93" i="135" s="1"/>
  <c r="BX93" i="135" s="1"/>
  <c r="AV46" i="135"/>
  <c r="BY46" i="135" s="1"/>
  <c r="AW67" i="135"/>
  <c r="BN67" i="135" s="1"/>
  <c r="AV52" i="135"/>
  <c r="CT52" i="135" s="1"/>
  <c r="BZ36" i="135"/>
  <c r="AW94" i="135"/>
  <c r="BE94" i="135" s="1"/>
  <c r="AV69" i="135"/>
  <c r="BY69" i="135" s="1"/>
  <c r="AY93" i="135"/>
  <c r="CE93" i="135" s="1"/>
  <c r="CU71" i="135"/>
  <c r="AX97" i="135"/>
  <c r="AX25" i="135" s="1"/>
  <c r="CS25" i="135" s="1"/>
  <c r="AY81" i="135"/>
  <c r="CE81" i="135" s="1"/>
  <c r="CA75" i="135"/>
  <c r="BW75" i="135" s="1"/>
  <c r="AV55" i="135"/>
  <c r="CT55" i="135" s="1"/>
  <c r="CP55" i="135" s="1"/>
  <c r="CZ21" i="135"/>
  <c r="CA68" i="135"/>
  <c r="BW68" i="135" s="1"/>
  <c r="CA49" i="135"/>
  <c r="BW49" i="135" s="1"/>
  <c r="BZ71" i="135"/>
  <c r="BH75" i="135"/>
  <c r="BC75" i="135" s="1"/>
  <c r="BH64" i="135"/>
  <c r="BC64" i="135" s="1"/>
  <c r="CA96" i="135"/>
  <c r="BW96" i="135" s="1"/>
  <c r="CU53" i="135"/>
  <c r="AS74" i="135"/>
  <c r="BP74" i="135" s="1"/>
  <c r="CJ48" i="135"/>
  <c r="CF48" i="135" s="1"/>
  <c r="AW69" i="135"/>
  <c r="BE69" i="135" s="1"/>
  <c r="CU94" i="135"/>
  <c r="CJ64" i="135"/>
  <c r="CF64" i="135" s="1"/>
  <c r="BH63" i="135"/>
  <c r="BC63" i="135" s="1"/>
  <c r="AW95" i="135"/>
  <c r="BN95" i="135" s="1"/>
  <c r="AS95" i="135"/>
  <c r="BP95" i="135" s="1"/>
  <c r="BH80" i="135"/>
  <c r="BC80" i="135" s="1"/>
  <c r="AV74" i="135"/>
  <c r="CT74" i="135" s="1"/>
  <c r="CP74" i="135" s="1"/>
  <c r="BH45" i="135"/>
  <c r="BC45" i="135" s="1"/>
  <c r="FD17" i="135"/>
  <c r="BZ64" i="135"/>
  <c r="CJ53" i="135"/>
  <c r="CF53" i="135" s="1"/>
  <c r="AW74" i="135"/>
  <c r="CH74" i="135" s="1"/>
  <c r="AY80" i="135"/>
  <c r="AY69" i="135"/>
  <c r="CE69" i="135" s="1"/>
  <c r="CJ94" i="135"/>
  <c r="CF94" i="135" s="1"/>
  <c r="CA94" i="135"/>
  <c r="BW94" i="135" s="1"/>
  <c r="AV68" i="135"/>
  <c r="BY68" i="135" s="1"/>
  <c r="BX68" i="135" s="1"/>
  <c r="CA63" i="135"/>
  <c r="BW63" i="135" s="1"/>
  <c r="AI95" i="135"/>
  <c r="AT20" i="135"/>
  <c r="CJ20" i="135" s="1"/>
  <c r="CF20" i="135" s="1"/>
  <c r="BR61" i="135"/>
  <c r="BL61" i="135" s="1"/>
  <c r="BR81" i="135"/>
  <c r="BL81" i="135" s="1"/>
  <c r="BR64" i="135"/>
  <c r="BL64" i="135" s="1"/>
  <c r="CA44" i="135"/>
  <c r="BW44" i="135" s="1"/>
  <c r="FO24" i="135"/>
  <c r="DS10" i="135"/>
  <c r="DV12" i="135"/>
  <c r="DO13" i="135"/>
  <c r="CQ29" i="135"/>
  <c r="FX10" i="135"/>
  <c r="FU10" i="135"/>
  <c r="DQ10" i="135"/>
  <c r="FU19" i="135"/>
  <c r="FA17" i="135"/>
  <c r="EZ17" i="135"/>
  <c r="AX69" i="135"/>
  <c r="BO69" i="135" s="1"/>
  <c r="AX96" i="135"/>
  <c r="CS96" i="135" s="1"/>
  <c r="AX41" i="135"/>
  <c r="CS41" i="135" s="1"/>
  <c r="AW88" i="135"/>
  <c r="BN88" i="135" s="1"/>
  <c r="AX70" i="135"/>
  <c r="CS70" i="135" s="1"/>
  <c r="AX37" i="135"/>
  <c r="BF37" i="135" s="1"/>
  <c r="AI87" i="135"/>
  <c r="AI92" i="135"/>
  <c r="AS52" i="135"/>
  <c r="BP52" i="135" s="1"/>
  <c r="AW43" i="135"/>
  <c r="BE43" i="135" s="1"/>
  <c r="AW80" i="135"/>
  <c r="CR80" i="135" s="1"/>
  <c r="AS61" i="135"/>
  <c r="BP61" i="135" s="1"/>
  <c r="AX82" i="135"/>
  <c r="BO82" i="135" s="1"/>
  <c r="AV76" i="135"/>
  <c r="CT76" i="135" s="1"/>
  <c r="CP76" i="135" s="1"/>
  <c r="AX74" i="135"/>
  <c r="CI74" i="135" s="1"/>
  <c r="AX94" i="135"/>
  <c r="CI94" i="135" s="1"/>
  <c r="AV65" i="135"/>
  <c r="CT65" i="135" s="1"/>
  <c r="AS85" i="135"/>
  <c r="BP85" i="135" s="1"/>
  <c r="AY68" i="135"/>
  <c r="CE68" i="135" s="1"/>
  <c r="FE18" i="135"/>
  <c r="AX38" i="135"/>
  <c r="BO38" i="135" s="1"/>
  <c r="AX83" i="135"/>
  <c r="BF83" i="135" s="1"/>
  <c r="AW46" i="135"/>
  <c r="CR46" i="135" s="1"/>
  <c r="AI72" i="135"/>
  <c r="AX43" i="135"/>
  <c r="CI43" i="135" s="1"/>
  <c r="AV90" i="135"/>
  <c r="BY90" i="135" s="1"/>
  <c r="BX90" i="135" s="1"/>
  <c r="AY84" i="135"/>
  <c r="CE84" i="135" s="1"/>
  <c r="AX87" i="135"/>
  <c r="CS87" i="135" s="1"/>
  <c r="AS78" i="135"/>
  <c r="BP78" i="135" s="1"/>
  <c r="AS47" i="135"/>
  <c r="BP47" i="135" s="1"/>
  <c r="AY67" i="135"/>
  <c r="AX58" i="135"/>
  <c r="BO58" i="135" s="1"/>
  <c r="AS41" i="135"/>
  <c r="BP41" i="135" s="1"/>
  <c r="AS71" i="135"/>
  <c r="BP71" i="135" s="1"/>
  <c r="AI70" i="135"/>
  <c r="AI54" i="135"/>
  <c r="AX71" i="135"/>
  <c r="BO71" i="135" s="1"/>
  <c r="AS60" i="135"/>
  <c r="BP60" i="135" s="1"/>
  <c r="FE17" i="135"/>
  <c r="AS46" i="135"/>
  <c r="BP46" i="135" s="1"/>
  <c r="AY46" i="135"/>
  <c r="AI47" i="135"/>
  <c r="AW52" i="135"/>
  <c r="CR52" i="135" s="1"/>
  <c r="AW41" i="135"/>
  <c r="BE41" i="135" s="1"/>
  <c r="BZ47" i="135"/>
  <c r="AS80" i="135"/>
  <c r="BP80" i="135" s="1"/>
  <c r="CA90" i="135"/>
  <c r="BW90" i="135" s="1"/>
  <c r="AI71" i="135"/>
  <c r="AW90" i="135"/>
  <c r="CH90" i="135" s="1"/>
  <c r="AW70" i="135"/>
  <c r="BN70" i="135" s="1"/>
  <c r="AS70" i="135"/>
  <c r="BP70" i="135" s="1"/>
  <c r="CA71" i="135"/>
  <c r="BW71" i="135" s="1"/>
  <c r="AV85" i="135"/>
  <c r="CT85" i="135" s="1"/>
  <c r="CP85" i="135" s="1"/>
  <c r="AV72" i="135"/>
  <c r="CT72" i="135" s="1"/>
  <c r="CP72" i="135" s="1"/>
  <c r="CU54" i="135"/>
  <c r="CJ97" i="135"/>
  <c r="CF97" i="135" s="1"/>
  <c r="AI68" i="135"/>
  <c r="BR67" i="135"/>
  <c r="BL67" i="135" s="1"/>
  <c r="AW54" i="135"/>
  <c r="BE54" i="135" s="1"/>
  <c r="AI43" i="135"/>
  <c r="AI84" i="135"/>
  <c r="AW78" i="135"/>
  <c r="CR78" i="135" s="1"/>
  <c r="AS67" i="135"/>
  <c r="BP67" i="135" s="1"/>
  <c r="AY60" i="135"/>
  <c r="CE60" i="135" s="1"/>
  <c r="AW60" i="135"/>
  <c r="CR60" i="135" s="1"/>
  <c r="AW92" i="135"/>
  <c r="BE92" i="135" s="1"/>
  <c r="CJ88" i="135"/>
  <c r="CF88" i="135" s="1"/>
  <c r="AV88" i="135"/>
  <c r="BY88" i="135" s="1"/>
  <c r="AV71" i="135"/>
  <c r="BY71" i="135" s="1"/>
  <c r="CA85" i="135"/>
  <c r="BW85" i="135" s="1"/>
  <c r="BR44" i="135"/>
  <c r="BL44" i="135" s="1"/>
  <c r="BH66" i="135"/>
  <c r="BC66" i="135" s="1"/>
  <c r="BZ25" i="135"/>
  <c r="FD18" i="135"/>
  <c r="DU10" i="135"/>
  <c r="AI46" i="135"/>
  <c r="AW47" i="135"/>
  <c r="BE47" i="135" s="1"/>
  <c r="AI52" i="135"/>
  <c r="CA78" i="135"/>
  <c r="BW78" i="135" s="1"/>
  <c r="AI41" i="135"/>
  <c r="AI80" i="135"/>
  <c r="BR90" i="135"/>
  <c r="BL90" i="135" s="1"/>
  <c r="AY71" i="135"/>
  <c r="CE71" i="135" s="1"/>
  <c r="AS90" i="135"/>
  <c r="BP90" i="135" s="1"/>
  <c r="AY70" i="135"/>
  <c r="CA93" i="135"/>
  <c r="BW93" i="135" s="1"/>
  <c r="CA77" i="135"/>
  <c r="BW77" i="135" s="1"/>
  <c r="BH71" i="135"/>
  <c r="BC71" i="135" s="1"/>
  <c r="AW72" i="135"/>
  <c r="BE72" i="135" s="1"/>
  <c r="CJ54" i="135"/>
  <c r="CF54" i="135" s="1"/>
  <c r="CU97" i="135"/>
  <c r="AV67" i="135"/>
  <c r="CT67" i="135" s="1"/>
  <c r="CP67" i="135" s="1"/>
  <c r="AW68" i="135"/>
  <c r="CH68" i="135" s="1"/>
  <c r="AV54" i="135"/>
  <c r="AV21" i="135" s="1"/>
  <c r="BY21" i="135" s="1"/>
  <c r="AY54" i="135"/>
  <c r="AY43" i="135"/>
  <c r="CE43" i="135" s="1"/>
  <c r="AW84" i="135"/>
  <c r="CR84" i="135" s="1"/>
  <c r="AI78" i="135"/>
  <c r="AI67" i="135"/>
  <c r="AI60" i="135"/>
  <c r="AV47" i="135"/>
  <c r="CT47" i="135" s="1"/>
  <c r="AV92" i="135"/>
  <c r="BY92" i="135" s="1"/>
  <c r="BX92" i="135" s="1"/>
  <c r="BZ88" i="135"/>
  <c r="AV41" i="135"/>
  <c r="BY41" i="135" s="1"/>
  <c r="BX41" i="135" s="1"/>
  <c r="AI88" i="135"/>
  <c r="BR85" i="135"/>
  <c r="BL85" i="135" s="1"/>
  <c r="BR45" i="135"/>
  <c r="BL45" i="135" s="1"/>
  <c r="CA66" i="135"/>
  <c r="BW66" i="135" s="1"/>
  <c r="CY21" i="135"/>
  <c r="FH17" i="135"/>
  <c r="AI90" i="135"/>
  <c r="AY72" i="135"/>
  <c r="CE72" i="135" s="1"/>
  <c r="BZ54" i="135"/>
  <c r="BZ97" i="135"/>
  <c r="AY92" i="135"/>
  <c r="CE92" i="135" s="1"/>
  <c r="AS88" i="135"/>
  <c r="BP88" i="135" s="1"/>
  <c r="FT19" i="135"/>
  <c r="AV37" i="135"/>
  <c r="BY37" i="135" s="1"/>
  <c r="CU21" i="135"/>
  <c r="BZ21" i="135"/>
  <c r="CJ21" i="135"/>
  <c r="CF21" i="135" s="1"/>
  <c r="BR56" i="135"/>
  <c r="BL56" i="135" s="1"/>
  <c r="BZ52" i="135"/>
  <c r="CJ52" i="135"/>
  <c r="CF52" i="135" s="1"/>
  <c r="CE52" i="135" s="1"/>
  <c r="CA56" i="135"/>
  <c r="BW56" i="135" s="1"/>
  <c r="BH56" i="135"/>
  <c r="BC56" i="135" s="1"/>
  <c r="AY37" i="135"/>
  <c r="CE37" i="135" s="1"/>
  <c r="CA22" i="135"/>
  <c r="BW22" i="135" s="1"/>
  <c r="AD13" i="135"/>
  <c r="AT17" i="135"/>
  <c r="CU17" i="135" s="1"/>
  <c r="FS12" i="135"/>
  <c r="FU12" i="135"/>
  <c r="CU52" i="135"/>
  <c r="FA56" i="135"/>
  <c r="FA22" i="135" s="1"/>
  <c r="AY51" i="135"/>
  <c r="AY73" i="135"/>
  <c r="AW82" i="135"/>
  <c r="BE82" i="135" s="1"/>
  <c r="BR87" i="135"/>
  <c r="BL87" i="135" s="1"/>
  <c r="BH48" i="135"/>
  <c r="BC48" i="135" s="1"/>
  <c r="AW40" i="135"/>
  <c r="CH40" i="135" s="1"/>
  <c r="FV19" i="135"/>
  <c r="DO24" i="135"/>
  <c r="CU70" i="135"/>
  <c r="CA86" i="135"/>
  <c r="BW86" i="135" s="1"/>
  <c r="AI97" i="135"/>
  <c r="AI25" i="135" s="1"/>
  <c r="BH65" i="135"/>
  <c r="BC65" i="135" s="1"/>
  <c r="BR65" i="135"/>
  <c r="BL65" i="135" s="1"/>
  <c r="R31" i="135"/>
  <c r="BH22" i="135"/>
  <c r="BC22" i="135" s="1"/>
  <c r="FP13" i="135"/>
  <c r="FP19" i="135"/>
  <c r="DN13" i="135"/>
  <c r="BZ39" i="135"/>
  <c r="BR57" i="135"/>
  <c r="BL57" i="135" s="1"/>
  <c r="DS12" i="135"/>
  <c r="FW12" i="135"/>
  <c r="FQ13" i="135"/>
  <c r="CU42" i="135"/>
  <c r="AY87" i="135"/>
  <c r="CE87" i="135" s="1"/>
  <c r="BR73" i="135"/>
  <c r="BL73" i="135" s="1"/>
  <c r="CS39" i="135"/>
  <c r="BH88" i="135"/>
  <c r="BC88" i="135" s="1"/>
  <c r="BO39" i="135"/>
  <c r="AX67" i="135"/>
  <c r="BO67" i="135" s="1"/>
  <c r="AW64" i="135"/>
  <c r="CR64" i="135" s="1"/>
  <c r="AY45" i="135"/>
  <c r="CE45" i="135" s="1"/>
  <c r="AX79" i="135"/>
  <c r="CS79" i="135" s="1"/>
  <c r="AV73" i="135"/>
  <c r="BY73" i="135" s="1"/>
  <c r="AV83" i="135"/>
  <c r="BY83" i="135" s="1"/>
  <c r="BX83" i="135" s="1"/>
  <c r="AS50" i="135"/>
  <c r="BP50" i="135" s="1"/>
  <c r="DV19" i="135"/>
  <c r="CJ42" i="135"/>
  <c r="CF42" i="135" s="1"/>
  <c r="CI39" i="135"/>
  <c r="BZ91" i="135"/>
  <c r="CU91" i="135"/>
  <c r="AY89" i="135"/>
  <c r="CE89" i="135" s="1"/>
  <c r="CJ70" i="135"/>
  <c r="CF70" i="135" s="1"/>
  <c r="AV87" i="135"/>
  <c r="BY87" i="135" s="1"/>
  <c r="BX87" i="135" s="1"/>
  <c r="BZ73" i="135"/>
  <c r="CJ67" i="135"/>
  <c r="CF67" i="135" s="1"/>
  <c r="CA76" i="135"/>
  <c r="BW76" i="135" s="1"/>
  <c r="AS87" i="135"/>
  <c r="BP87" i="135" s="1"/>
  <c r="CA48" i="135"/>
  <c r="BW48" i="135" s="1"/>
  <c r="CA42" i="135"/>
  <c r="BW42" i="135" s="1"/>
  <c r="DM24" i="135"/>
  <c r="AX75" i="135"/>
  <c r="CI75" i="135" s="1"/>
  <c r="AY75" i="135"/>
  <c r="CE75" i="135" s="1"/>
  <c r="FX19" i="135"/>
  <c r="AS45" i="135"/>
  <c r="BP45" i="135" s="1"/>
  <c r="CA36" i="135"/>
  <c r="BW36" i="135" s="1"/>
  <c r="CA97" i="135"/>
  <c r="BW97" i="135" s="1"/>
  <c r="AY83" i="135"/>
  <c r="BH42" i="135"/>
  <c r="BC42" i="135" s="1"/>
  <c r="AI66" i="135"/>
  <c r="AS91" i="135"/>
  <c r="BP91" i="135" s="1"/>
  <c r="DS19" i="135"/>
  <c r="FX12" i="135"/>
  <c r="AX84" i="135"/>
  <c r="BF84" i="135" s="1"/>
  <c r="AX51" i="135"/>
  <c r="BO51" i="135" s="1"/>
  <c r="AX76" i="135"/>
  <c r="CI76" i="135" s="1"/>
  <c r="AX59" i="135"/>
  <c r="CI59" i="135" s="1"/>
  <c r="AX89" i="135"/>
  <c r="CS89" i="135" s="1"/>
  <c r="AX53" i="135"/>
  <c r="BF53" i="135" s="1"/>
  <c r="AX44" i="135"/>
  <c r="CI44" i="135" s="1"/>
  <c r="AI51" i="135"/>
  <c r="AS73" i="135"/>
  <c r="BP73" i="135" s="1"/>
  <c r="AY82" i="135"/>
  <c r="CE82" i="135" s="1"/>
  <c r="AX73" i="135"/>
  <c r="BF73" i="135" s="1"/>
  <c r="DT10" i="135"/>
  <c r="AX78" i="135"/>
  <c r="BF78" i="135" s="1"/>
  <c r="AX65" i="135"/>
  <c r="CI65" i="135" s="1"/>
  <c r="AI61" i="135"/>
  <c r="AS40" i="135"/>
  <c r="BP40" i="135" s="1"/>
  <c r="AX48" i="135"/>
  <c r="BF48" i="135" s="1"/>
  <c r="FS19" i="135"/>
  <c r="AI83" i="135"/>
  <c r="AX90" i="135"/>
  <c r="CS90" i="135" s="1"/>
  <c r="AX72" i="135"/>
  <c r="CI72" i="135" s="1"/>
  <c r="DR19" i="135"/>
  <c r="AX85" i="135"/>
  <c r="BF85" i="135" s="1"/>
  <c r="AW89" i="135"/>
  <c r="BN89" i="135" s="1"/>
  <c r="AV50" i="135"/>
  <c r="CT50" i="135" s="1"/>
  <c r="DP12" i="135"/>
  <c r="AW76" i="135"/>
  <c r="BN76" i="135" s="1"/>
  <c r="AX61" i="135"/>
  <c r="BF61" i="135" s="1"/>
  <c r="AI85" i="135"/>
  <c r="AW65" i="135"/>
  <c r="BE65" i="135" s="1"/>
  <c r="AX93" i="135"/>
  <c r="CI93" i="135" s="1"/>
  <c r="CA21" i="135"/>
  <c r="BW21" i="135" s="1"/>
  <c r="BR21" i="135"/>
  <c r="BL21" i="135" s="1"/>
  <c r="BH21" i="135"/>
  <c r="BC21" i="135" s="1"/>
  <c r="V31" i="135"/>
  <c r="BR89" i="135"/>
  <c r="BL89" i="135" s="1"/>
  <c r="AI76" i="135"/>
  <c r="CJ36" i="135"/>
  <c r="CF36" i="135" s="1"/>
  <c r="AI73" i="135"/>
  <c r="AS65" i="135"/>
  <c r="BP65" i="135" s="1"/>
  <c r="BR54" i="135"/>
  <c r="BL54" i="135" s="1"/>
  <c r="BZ96" i="135"/>
  <c r="AY85" i="135"/>
  <c r="CE85" i="135" s="1"/>
  <c r="AV89" i="135"/>
  <c r="CT89" i="135" s="1"/>
  <c r="CP89" i="135" s="1"/>
  <c r="CU65" i="135"/>
  <c r="BR94" i="135"/>
  <c r="BL94" i="135" s="1"/>
  <c r="AV40" i="135"/>
  <c r="AV18" i="135" s="1"/>
  <c r="BY18" i="135" s="1"/>
  <c r="AS83" i="135"/>
  <c r="BP83" i="135" s="1"/>
  <c r="AY50" i="135"/>
  <c r="CE50" i="135" s="1"/>
  <c r="AS82" i="135"/>
  <c r="BP82" i="135" s="1"/>
  <c r="AI82" i="135"/>
  <c r="BH49" i="135"/>
  <c r="BC49" i="135" s="1"/>
  <c r="AY97" i="135"/>
  <c r="AY25" i="135" s="1"/>
  <c r="CE25" i="135" s="1"/>
  <c r="AS97" i="135"/>
  <c r="AS25" i="135" s="1"/>
  <c r="BP25" i="135" s="1"/>
  <c r="AV61" i="135"/>
  <c r="BY61" i="135" s="1"/>
  <c r="BX61" i="135" s="1"/>
  <c r="AW61" i="135"/>
  <c r="CH61" i="135" s="1"/>
  <c r="AX40" i="135"/>
  <c r="AS37" i="135"/>
  <c r="BP37" i="135" s="1"/>
  <c r="AI37" i="135"/>
  <c r="AI45" i="135"/>
  <c r="AV51" i="135"/>
  <c r="BY51" i="135" s="1"/>
  <c r="AY40" i="135"/>
  <c r="CE40" i="135" s="1"/>
  <c r="FI19" i="135"/>
  <c r="BR38" i="135"/>
  <c r="BL38" i="135" s="1"/>
  <c r="CA79" i="135"/>
  <c r="BW79" i="135" s="1"/>
  <c r="BH57" i="135"/>
  <c r="BC57" i="135" s="1"/>
  <c r="BR82" i="135"/>
  <c r="BL82" i="135" s="1"/>
  <c r="FQ24" i="135"/>
  <c r="DQ19" i="135"/>
  <c r="BZ23" i="135"/>
  <c r="DP19" i="135"/>
  <c r="AA22" i="135"/>
  <c r="DQ12" i="135"/>
  <c r="DP10" i="135"/>
  <c r="BH61" i="135"/>
  <c r="BC61" i="135" s="1"/>
  <c r="BH89" i="135"/>
  <c r="BC89" i="135" s="1"/>
  <c r="AY76" i="135"/>
  <c r="CE76" i="135" s="1"/>
  <c r="AS76" i="135"/>
  <c r="BP76" i="135" s="1"/>
  <c r="AW73" i="135"/>
  <c r="BE73" i="135" s="1"/>
  <c r="AY65" i="135"/>
  <c r="AI65" i="135"/>
  <c r="BH54" i="135"/>
  <c r="BC54" i="135" s="1"/>
  <c r="CU96" i="135"/>
  <c r="AW85" i="135"/>
  <c r="CR85" i="135" s="1"/>
  <c r="AW83" i="135"/>
  <c r="CH83" i="135" s="1"/>
  <c r="AW50" i="135"/>
  <c r="BN50" i="135" s="1"/>
  <c r="AI50" i="135"/>
  <c r="AV82" i="135"/>
  <c r="CT82" i="135" s="1"/>
  <c r="AW97" i="135"/>
  <c r="AW25" i="135" s="1"/>
  <c r="CR25" i="135" s="1"/>
  <c r="AY61" i="135"/>
  <c r="CE61" i="135" s="1"/>
  <c r="AW37" i="135"/>
  <c r="CH37" i="135" s="1"/>
  <c r="AW45" i="135"/>
  <c r="BN45" i="135" s="1"/>
  <c r="CA81" i="135"/>
  <c r="BW81" i="135" s="1"/>
  <c r="AS51" i="135"/>
  <c r="BP51" i="135" s="1"/>
  <c r="AW51" i="135"/>
  <c r="CH51" i="135" s="1"/>
  <c r="AI40" i="135"/>
  <c r="BR79" i="135"/>
  <c r="BL79" i="135" s="1"/>
  <c r="CA57" i="135"/>
  <c r="BW57" i="135" s="1"/>
  <c r="BH82" i="135"/>
  <c r="BC82" i="135" s="1"/>
  <c r="AI64" i="135"/>
  <c r="AR19" i="135"/>
  <c r="BR19" i="135" s="1"/>
  <c r="BL19" i="135" s="1"/>
  <c r="CJ23" i="135"/>
  <c r="CF23" i="135" s="1"/>
  <c r="DU19" i="135"/>
  <c r="FW19" i="135"/>
  <c r="CX18" i="135"/>
  <c r="FB56" i="135"/>
  <c r="FB22" i="135" s="1"/>
  <c r="DT12" i="135"/>
  <c r="DU12" i="135"/>
  <c r="DR12" i="135"/>
  <c r="CA54" i="135"/>
  <c r="BW54" i="135" s="1"/>
  <c r="AV45" i="135"/>
  <c r="CT45" i="135" s="1"/>
  <c r="CP45" i="135" s="1"/>
  <c r="AV97" i="135"/>
  <c r="AV25" i="135" s="1"/>
  <c r="CT25" i="135" s="1"/>
  <c r="DT19" i="135"/>
  <c r="CA88" i="135"/>
  <c r="BW88" i="135" s="1"/>
  <c r="AW86" i="135"/>
  <c r="BE86" i="135" s="1"/>
  <c r="AV48" i="135"/>
  <c r="CT48" i="135" s="1"/>
  <c r="CP48" i="135" s="1"/>
  <c r="AX45" i="135"/>
  <c r="BO45" i="135" s="1"/>
  <c r="AW66" i="135"/>
  <c r="BE66" i="135" s="1"/>
  <c r="AW44" i="135"/>
  <c r="BE44" i="135" s="1"/>
  <c r="AI91" i="135"/>
  <c r="AS75" i="135"/>
  <c r="BP75" i="135" s="1"/>
  <c r="AI89" i="135"/>
  <c r="AX64" i="135"/>
  <c r="BF64" i="135" s="1"/>
  <c r="CA73" i="135"/>
  <c r="BW73" i="135" s="1"/>
  <c r="CU86" i="135"/>
  <c r="CU39" i="135"/>
  <c r="AV44" i="135"/>
  <c r="BY44" i="135" s="1"/>
  <c r="BX44" i="135" s="1"/>
  <c r="AI75" i="135"/>
  <c r="AS89" i="135"/>
  <c r="BP89" i="135" s="1"/>
  <c r="FR19" i="135"/>
  <c r="CJ86" i="135"/>
  <c r="CF86" i="135" s="1"/>
  <c r="CJ39" i="135"/>
  <c r="CF39" i="135" s="1"/>
  <c r="CE39" i="135" s="1"/>
  <c r="FO19" i="135"/>
  <c r="AX86" i="135"/>
  <c r="BO86" i="135" s="1"/>
  <c r="AW59" i="135"/>
  <c r="CH59" i="135" s="1"/>
  <c r="FN19" i="135"/>
  <c r="BD26" i="135"/>
  <c r="BB26" i="135" s="1"/>
  <c r="HB26" i="135" s="1"/>
  <c r="AY48" i="135"/>
  <c r="AS66" i="135"/>
  <c r="BP66" i="135" s="1"/>
  <c r="BM14" i="135"/>
  <c r="BJ14" i="135" s="1"/>
  <c r="AI86" i="135"/>
  <c r="AX66" i="135"/>
  <c r="BF66" i="135" s="1"/>
  <c r="AY44" i="135"/>
  <c r="CE44" i="135" s="1"/>
  <c r="AV91" i="135"/>
  <c r="BY91" i="135" s="1"/>
  <c r="AV75" i="135"/>
  <c r="BY75" i="135" s="1"/>
  <c r="BX75" i="135" s="1"/>
  <c r="FP10" i="135"/>
  <c r="AT10" i="135"/>
  <c r="BZ10" i="135" s="1"/>
  <c r="FS10" i="135"/>
  <c r="Z10" i="135"/>
  <c r="FR10" i="135"/>
  <c r="AX91" i="135"/>
  <c r="BF91" i="135" s="1"/>
  <c r="FO10" i="135"/>
  <c r="FQ10" i="135"/>
  <c r="FW10" i="135"/>
  <c r="BR36" i="135"/>
  <c r="BL36" i="135" s="1"/>
  <c r="AI48" i="135"/>
  <c r="AS86" i="135"/>
  <c r="BP86" i="135" s="1"/>
  <c r="AY66" i="135"/>
  <c r="CE66" i="135" s="1"/>
  <c r="AY64" i="135"/>
  <c r="BR97" i="135"/>
  <c r="BL97" i="135" s="1"/>
  <c r="AI44" i="135"/>
  <c r="AW91" i="135"/>
  <c r="CH91" i="135" s="1"/>
  <c r="AW75" i="135"/>
  <c r="BE75" i="135" s="1"/>
  <c r="AY86" i="135"/>
  <c r="AI57" i="135"/>
  <c r="AS44" i="135"/>
  <c r="BP44" i="135" s="1"/>
  <c r="AY91" i="135"/>
  <c r="CE91" i="135" s="1"/>
  <c r="AD10" i="135"/>
  <c r="DR10" i="135"/>
  <c r="BH36" i="135"/>
  <c r="BC36" i="135" s="1"/>
  <c r="AW48" i="135"/>
  <c r="BN48" i="135" s="1"/>
  <c r="AV86" i="135"/>
  <c r="BY86" i="135" s="1"/>
  <c r="BX86" i="135" s="1"/>
  <c r="AS64" i="135"/>
  <c r="BP64" i="135" s="1"/>
  <c r="BH97" i="135"/>
  <c r="BC97" i="135" s="1"/>
  <c r="CJ51" i="135"/>
  <c r="CF51" i="135" s="1"/>
  <c r="R10" i="135"/>
  <c r="AR10" i="135"/>
  <c r="DV10" i="135"/>
  <c r="FT10" i="135"/>
  <c r="CE63" i="135"/>
  <c r="AS48" i="135"/>
  <c r="BP48" i="135" s="1"/>
  <c r="V12" i="135"/>
  <c r="V10" i="135"/>
  <c r="FV10" i="135"/>
  <c r="CG14" i="135"/>
  <c r="CD14" i="135" s="1"/>
  <c r="HC14" i="135" s="1"/>
  <c r="EZ56" i="135"/>
  <c r="FC56" i="135"/>
  <c r="FC22" i="135" s="1"/>
  <c r="AV64" i="135"/>
  <c r="CT64" i="135" s="1"/>
  <c r="CP64" i="135" s="1"/>
  <c r="AX50" i="135"/>
  <c r="BF50" i="135" s="1"/>
  <c r="AV59" i="135"/>
  <c r="CT59" i="135" s="1"/>
  <c r="CP59" i="135" s="1"/>
  <c r="AV66" i="135"/>
  <c r="CT66" i="135" s="1"/>
  <c r="CP66" i="135" s="1"/>
  <c r="FO12" i="135"/>
  <c r="FQ12" i="135"/>
  <c r="AT13" i="135"/>
  <c r="BZ13" i="135" s="1"/>
  <c r="FP12" i="135"/>
  <c r="FN12" i="135"/>
  <c r="AT12" i="135"/>
  <c r="BZ12" i="135" s="1"/>
  <c r="Z12" i="135"/>
  <c r="BZ51" i="135"/>
  <c r="AS57" i="135"/>
  <c r="BP57" i="135" s="1"/>
  <c r="CA47" i="135"/>
  <c r="BW47" i="135" s="1"/>
  <c r="BD15" i="135"/>
  <c r="CP14" i="135"/>
  <c r="FO13" i="135"/>
  <c r="DM13" i="135"/>
  <c r="AR24" i="135"/>
  <c r="CA24" i="135" s="1"/>
  <c r="BW24" i="135" s="1"/>
  <c r="AR13" i="135"/>
  <c r="BM15" i="135"/>
  <c r="BX15" i="135"/>
  <c r="AE36" i="135"/>
  <c r="AD12" i="135"/>
  <c r="FV12" i="135"/>
  <c r="AY59" i="135"/>
  <c r="CE59" i="135" s="1"/>
  <c r="AS59" i="135"/>
  <c r="BP59" i="135" s="1"/>
  <c r="AV57" i="135"/>
  <c r="BY57" i="135" s="1"/>
  <c r="BX57" i="135" s="1"/>
  <c r="AW57" i="135"/>
  <c r="CR57" i="135" s="1"/>
  <c r="FL19" i="135"/>
  <c r="BR47" i="135"/>
  <c r="BL47" i="135" s="1"/>
  <c r="CQ14" i="135"/>
  <c r="CG15" i="135"/>
  <c r="CP15" i="135"/>
  <c r="FT12" i="135"/>
  <c r="AR12" i="135"/>
  <c r="AI59" i="135"/>
  <c r="AY57" i="135"/>
  <c r="CE57" i="135" s="1"/>
  <c r="BH47" i="135"/>
  <c r="BC47" i="135" s="1"/>
  <c r="BD14" i="135"/>
  <c r="CQ15" i="135"/>
  <c r="BX14" i="135"/>
  <c r="S36" i="135"/>
  <c r="R12" i="135"/>
  <c r="BH38" i="135"/>
  <c r="BC38" i="135" s="1"/>
  <c r="CQ28" i="135"/>
  <c r="CP28" i="135"/>
  <c r="CP27" i="135"/>
  <c r="FK19" i="135"/>
  <c r="AT19" i="135"/>
  <c r="CU19" i="135" s="1"/>
  <c r="FH19" i="135"/>
  <c r="AX47" i="135"/>
  <c r="BO47" i="135" s="1"/>
  <c r="CG28" i="135"/>
  <c r="CC28" i="135" s="1"/>
  <c r="CG27" i="135"/>
  <c r="CD27" i="135" s="1"/>
  <c r="HC27" i="135" s="1"/>
  <c r="CG29" i="135"/>
  <c r="CC29" i="135" s="1"/>
  <c r="BX26" i="135"/>
  <c r="BU26" i="135" s="1"/>
  <c r="HE26" i="135" s="1"/>
  <c r="FM19" i="135"/>
  <c r="AT24" i="135"/>
  <c r="BZ24" i="135" s="1"/>
  <c r="BD29" i="135"/>
  <c r="BA29" i="135" s="1"/>
  <c r="BM26" i="135"/>
  <c r="BJ26" i="135" s="1"/>
  <c r="FJ19" i="135"/>
  <c r="FQ19" i="135"/>
  <c r="CJ18" i="135"/>
  <c r="CF18" i="135" s="1"/>
  <c r="BT28" i="135"/>
  <c r="BU28" i="135"/>
  <c r="HE28" i="135" s="1"/>
  <c r="CP29" i="135"/>
  <c r="AA55" i="135"/>
  <c r="Z21" i="135"/>
  <c r="AA23" i="135"/>
  <c r="FC57" i="135"/>
  <c r="FC23" i="135" s="1"/>
  <c r="FD57" i="135"/>
  <c r="FD23" i="135" s="1"/>
  <c r="FE57" i="135"/>
  <c r="FE23" i="135" s="1"/>
  <c r="FF57" i="135"/>
  <c r="FF23" i="135" s="1"/>
  <c r="FG57" i="135"/>
  <c r="FG23" i="135" s="1"/>
  <c r="FH57" i="135"/>
  <c r="FH23" i="135" s="1"/>
  <c r="FI57" i="135"/>
  <c r="FI23" i="135" s="1"/>
  <c r="FJ57" i="135"/>
  <c r="FJ23" i="135" s="1"/>
  <c r="FK57" i="135"/>
  <c r="FK23" i="135" s="1"/>
  <c r="FL57" i="135"/>
  <c r="FL23" i="135" s="1"/>
  <c r="FM57" i="135"/>
  <c r="FM23" i="135" s="1"/>
  <c r="EZ57" i="135"/>
  <c r="FA57" i="135"/>
  <c r="FA23" i="135" s="1"/>
  <c r="FB57" i="135"/>
  <c r="FB23" i="135" s="1"/>
  <c r="AE58" i="135"/>
  <c r="AE23" i="135" s="1"/>
  <c r="AD23" i="135"/>
  <c r="S20" i="135"/>
  <c r="CY53" i="135"/>
  <c r="CY20" i="135" s="1"/>
  <c r="DA53" i="135"/>
  <c r="DA20" i="135" s="1"/>
  <c r="DF53" i="135"/>
  <c r="DF20" i="135" s="1"/>
  <c r="CX53" i="135"/>
  <c r="CZ53" i="135"/>
  <c r="CZ20" i="135" s="1"/>
  <c r="DD53" i="135"/>
  <c r="DD20" i="135" s="1"/>
  <c r="DG53" i="135"/>
  <c r="DG20" i="135" s="1"/>
  <c r="DB53" i="135"/>
  <c r="DB20" i="135" s="1"/>
  <c r="DC53" i="135"/>
  <c r="DC20" i="135" s="1"/>
  <c r="DE53" i="135"/>
  <c r="DE20" i="135" s="1"/>
  <c r="AE62" i="135"/>
  <c r="AE31" i="135" s="1"/>
  <c r="AD24" i="135"/>
  <c r="AA62" i="135"/>
  <c r="AA13" i="135" s="1"/>
  <c r="Z24" i="135"/>
  <c r="CA40" i="135"/>
  <c r="BW40" i="135" s="1"/>
  <c r="AR18" i="135"/>
  <c r="BK28" i="135"/>
  <c r="HD28" i="135" s="1"/>
  <c r="BJ28" i="135"/>
  <c r="CQ27" i="135"/>
  <c r="BV28" i="135"/>
  <c r="CP26" i="135"/>
  <c r="BX27" i="135"/>
  <c r="BV27" i="135" s="1"/>
  <c r="AE44" i="135"/>
  <c r="AD19" i="135"/>
  <c r="BD28" i="135"/>
  <c r="BA27" i="135"/>
  <c r="BB27" i="135"/>
  <c r="HB27" i="135" s="1"/>
  <c r="CG26" i="135"/>
  <c r="S42" i="135"/>
  <c r="R19" i="135"/>
  <c r="W36" i="135"/>
  <c r="V17" i="135"/>
  <c r="CA25" i="135"/>
  <c r="BW25" i="135" s="1"/>
  <c r="BH25" i="135"/>
  <c r="BC25" i="135" s="1"/>
  <c r="BR25" i="135"/>
  <c r="BL25" i="135" s="1"/>
  <c r="W19" i="135"/>
  <c r="DF42" i="135"/>
  <c r="DF19" i="135" s="1"/>
  <c r="DJ42" i="135"/>
  <c r="DN42" i="135"/>
  <c r="DN10" i="135" s="1"/>
  <c r="DG42" i="135"/>
  <c r="DG19" i="135" s="1"/>
  <c r="DK42" i="135"/>
  <c r="DO42" i="135"/>
  <c r="DO10" i="135" s="1"/>
  <c r="DH42" i="135"/>
  <c r="DL42" i="135"/>
  <c r="DI42" i="135"/>
  <c r="DM42" i="135"/>
  <c r="DM10" i="135" s="1"/>
  <c r="Z20" i="135"/>
  <c r="AA52" i="135"/>
  <c r="W62" i="135"/>
  <c r="W31" i="135" s="1"/>
  <c r="V24" i="135"/>
  <c r="S58" i="135"/>
  <c r="R23" i="135"/>
  <c r="AA42" i="135"/>
  <c r="Z19" i="135"/>
  <c r="BR52" i="135"/>
  <c r="BL52" i="135" s="1"/>
  <c r="AR20" i="135"/>
  <c r="BJ27" i="135"/>
  <c r="BK27" i="135"/>
  <c r="HD27" i="135" s="1"/>
  <c r="BM29" i="135"/>
  <c r="BX29" i="135"/>
  <c r="CQ26" i="135"/>
  <c r="S62" i="135"/>
  <c r="S13" i="135" s="1"/>
  <c r="R24" i="135"/>
  <c r="BR40" i="135"/>
  <c r="BL40" i="135" s="1"/>
  <c r="BH52" i="135"/>
  <c r="BC52" i="135" s="1"/>
  <c r="BH59" i="135"/>
  <c r="BC59" i="135" s="1"/>
  <c r="BR59" i="135"/>
  <c r="BL59" i="135" s="1"/>
  <c r="CA59" i="135"/>
  <c r="BW59" i="135" s="1"/>
  <c r="AX46" i="135"/>
  <c r="CE96" i="135"/>
  <c r="CR77" i="135"/>
  <c r="BE77" i="135"/>
  <c r="BN77" i="135"/>
  <c r="CH77" i="135"/>
  <c r="BF68" i="135"/>
  <c r="BO68" i="135"/>
  <c r="CI68" i="135"/>
  <c r="CS68" i="135"/>
  <c r="CI60" i="135"/>
  <c r="CS60" i="135"/>
  <c r="BF60" i="135"/>
  <c r="BO60" i="135"/>
  <c r="BN63" i="135"/>
  <c r="CH63" i="135"/>
  <c r="CR63" i="135"/>
  <c r="BE63" i="135"/>
  <c r="BY96" i="135"/>
  <c r="CT96" i="135"/>
  <c r="CT39" i="135"/>
  <c r="BY39" i="135"/>
  <c r="BZ46" i="135"/>
  <c r="CJ46" i="135"/>
  <c r="CF46" i="135" s="1"/>
  <c r="CU46" i="135"/>
  <c r="BY49" i="135"/>
  <c r="BX49" i="135" s="1"/>
  <c r="CT49" i="135"/>
  <c r="CP49" i="135" s="1"/>
  <c r="BN49" i="135"/>
  <c r="CH49" i="135"/>
  <c r="CR49" i="135"/>
  <c r="BE49" i="135"/>
  <c r="BY77" i="135"/>
  <c r="BX77" i="135" s="1"/>
  <c r="CT77" i="135"/>
  <c r="CP77" i="135" s="1"/>
  <c r="BF92" i="135"/>
  <c r="BO92" i="135"/>
  <c r="CI92" i="135"/>
  <c r="CS92" i="135"/>
  <c r="CH39" i="135"/>
  <c r="BE39" i="135"/>
  <c r="BD39" i="135" s="1"/>
  <c r="BN39" i="135"/>
  <c r="CR39" i="135"/>
  <c r="BE96" i="135"/>
  <c r="CH96" i="135"/>
  <c r="CR96" i="135"/>
  <c r="BN96" i="135"/>
  <c r="CE49" i="135"/>
  <c r="CE77" i="135"/>
  <c r="CT63" i="135"/>
  <c r="BY63" i="135"/>
  <c r="BP389" i="253"/>
  <c r="E390" i="253"/>
  <c r="BR390" i="253" s="1"/>
  <c r="F391" i="253"/>
  <c r="I391" i="253"/>
  <c r="G391" i="253"/>
  <c r="H391" i="253"/>
  <c r="D392" i="253"/>
  <c r="B393" i="253"/>
  <c r="N241" i="250"/>
  <c r="W33" i="135"/>
  <c r="FJ33" i="135"/>
  <c r="FI33" i="135"/>
  <c r="AD31" i="135"/>
  <c r="AD33" i="135"/>
  <c r="AE33" i="135"/>
  <c r="R33" i="135"/>
  <c r="FO33" i="135"/>
  <c r="DO33" i="135"/>
  <c r="FQ33" i="135"/>
  <c r="DN33" i="135"/>
  <c r="DM33" i="135"/>
  <c r="FP33" i="135"/>
  <c r="Z33" i="135"/>
  <c r="AA33" i="135"/>
  <c r="AR33" i="135"/>
  <c r="AT33" i="135"/>
  <c r="FQ32" i="135"/>
  <c r="DM32" i="135"/>
  <c r="DN32" i="135"/>
  <c r="FO32" i="135"/>
  <c r="DO32" i="135"/>
  <c r="FP32" i="135"/>
  <c r="Z31" i="135"/>
  <c r="FP31" i="135"/>
  <c r="FQ31" i="135"/>
  <c r="DN31" i="135"/>
  <c r="FO31" i="135"/>
  <c r="DO31" i="135"/>
  <c r="DM31" i="135"/>
  <c r="AR31" i="135"/>
  <c r="AT31" i="135"/>
  <c r="AS33" i="109"/>
  <c r="AT26" i="109"/>
  <c r="AS22" i="109"/>
  <c r="BE71" i="135" l="1"/>
  <c r="BE79" i="135"/>
  <c r="BE38" i="135"/>
  <c r="CU18" i="135"/>
  <c r="CP38" i="135"/>
  <c r="CS84" i="135"/>
  <c r="CQ84" i="135" s="1"/>
  <c r="BN55" i="135"/>
  <c r="CP82" i="135"/>
  <c r="CS63" i="135"/>
  <c r="CQ63" i="135" s="1"/>
  <c r="CS36" i="135"/>
  <c r="BF95" i="135"/>
  <c r="CR87" i="135"/>
  <c r="CQ87" i="135" s="1"/>
  <c r="CT93" i="135"/>
  <c r="CP93" i="135" s="1"/>
  <c r="BE93" i="135"/>
  <c r="CR79" i="135"/>
  <c r="CQ79" i="135" s="1"/>
  <c r="CI63" i="135"/>
  <c r="CG63" i="135" s="1"/>
  <c r="BE67" i="135"/>
  <c r="CI36" i="135"/>
  <c r="CR38" i="135"/>
  <c r="BY70" i="135"/>
  <c r="BX70" i="135" s="1"/>
  <c r="BV70" i="135" s="1"/>
  <c r="CH79" i="135"/>
  <c r="BY38" i="135"/>
  <c r="BX38" i="135" s="1"/>
  <c r="BV38" i="135" s="1"/>
  <c r="BO63" i="135"/>
  <c r="BM63" i="135" s="1"/>
  <c r="BF36" i="135"/>
  <c r="CT84" i="135"/>
  <c r="CP84" i="135" s="1"/>
  <c r="CH38" i="135"/>
  <c r="CE80" i="135"/>
  <c r="AX17" i="135"/>
  <c r="BF17" i="135" s="1"/>
  <c r="CP25" i="135"/>
  <c r="CE65" i="135"/>
  <c r="CH87" i="135"/>
  <c r="CE73" i="135"/>
  <c r="BX69" i="135"/>
  <c r="BV69" i="135" s="1"/>
  <c r="CP80" i="135"/>
  <c r="CS37" i="135"/>
  <c r="CT78" i="135"/>
  <c r="CP78" i="135" s="1"/>
  <c r="CR93" i="135"/>
  <c r="CT68" i="135"/>
  <c r="CP68" i="135" s="1"/>
  <c r="BY60" i="135"/>
  <c r="BX60" i="135" s="1"/>
  <c r="BU60" i="135" s="1"/>
  <c r="HE60" i="135" s="1"/>
  <c r="CH70" i="135"/>
  <c r="CH93" i="135"/>
  <c r="CG93" i="135" s="1"/>
  <c r="CC93" i="135" s="1"/>
  <c r="CA17" i="135"/>
  <c r="BW17" i="135" s="1"/>
  <c r="CR92" i="135"/>
  <c r="CQ92" i="135" s="1"/>
  <c r="CI83" i="135"/>
  <c r="CG83" i="135" s="1"/>
  <c r="BY94" i="135"/>
  <c r="BX94" i="135" s="1"/>
  <c r="BV94" i="135" s="1"/>
  <c r="CH55" i="135"/>
  <c r="BY55" i="135"/>
  <c r="BX55" i="135" s="1"/>
  <c r="BU55" i="135" s="1"/>
  <c r="HE55" i="135" s="1"/>
  <c r="BH17" i="135"/>
  <c r="BC17" i="135" s="1"/>
  <c r="BH23" i="135"/>
  <c r="BC23" i="135" s="1"/>
  <c r="BR23" i="135"/>
  <c r="BL23" i="135" s="1"/>
  <c r="CH46" i="135"/>
  <c r="CH85" i="135"/>
  <c r="BO97" i="135"/>
  <c r="BE35" i="135"/>
  <c r="CR67" i="135"/>
  <c r="CH67" i="135"/>
  <c r="CT69" i="135"/>
  <c r="CP69" i="135" s="1"/>
  <c r="CT79" i="135"/>
  <c r="CP79" i="135" s="1"/>
  <c r="BY80" i="135"/>
  <c r="BX80" i="135" s="1"/>
  <c r="BT80" i="135" s="1"/>
  <c r="CE48" i="135"/>
  <c r="BX39" i="135"/>
  <c r="BV39" i="135" s="1"/>
  <c r="CS81" i="135"/>
  <c r="AS56" i="135"/>
  <c r="AS22" i="135" s="1"/>
  <c r="BP22" i="135" s="1"/>
  <c r="AI56" i="135"/>
  <c r="AI22" i="135" s="1"/>
  <c r="AV56" i="135"/>
  <c r="AV22" i="135" s="1"/>
  <c r="BY22" i="135" s="1"/>
  <c r="BX22" i="135" s="1"/>
  <c r="BT22" i="135" s="1"/>
  <c r="CT46" i="135"/>
  <c r="CP46" i="135" s="1"/>
  <c r="BX63" i="135"/>
  <c r="BU63" i="135" s="1"/>
  <c r="HE63" i="135" s="1"/>
  <c r="CS95" i="135"/>
  <c r="CR35" i="135"/>
  <c r="CQ35" i="135" s="1"/>
  <c r="CT35" i="135"/>
  <c r="CP35" i="135" s="1"/>
  <c r="CH35" i="135"/>
  <c r="CH52" i="135"/>
  <c r="AY56" i="135"/>
  <c r="AY22" i="135" s="1"/>
  <c r="CE22" i="135" s="1"/>
  <c r="CP50" i="135"/>
  <c r="CE83" i="135"/>
  <c r="CS80" i="135"/>
  <c r="CQ80" i="135" s="1"/>
  <c r="CT81" i="135"/>
  <c r="CP81" i="135" s="1"/>
  <c r="CI95" i="135"/>
  <c r="BO25" i="135"/>
  <c r="CR94" i="135"/>
  <c r="BE81" i="135"/>
  <c r="BD81" i="135" s="1"/>
  <c r="AW56" i="135"/>
  <c r="AW22" i="135" s="1"/>
  <c r="CH22" i="135" s="1"/>
  <c r="CS54" i="135"/>
  <c r="BE95" i="135"/>
  <c r="CI77" i="135"/>
  <c r="CG77" i="135" s="1"/>
  <c r="CD77" i="135" s="1"/>
  <c r="HC77" i="135" s="1"/>
  <c r="CS88" i="135"/>
  <c r="BN74" i="135"/>
  <c r="CS82" i="135"/>
  <c r="CI88" i="135"/>
  <c r="CI54" i="135"/>
  <c r="CR95" i="135"/>
  <c r="BY85" i="135"/>
  <c r="BX85" i="135" s="1"/>
  <c r="BT85" i="135" s="1"/>
  <c r="CR71" i="135"/>
  <c r="AS21" i="135"/>
  <c r="BP21" i="135" s="1"/>
  <c r="BY43" i="135"/>
  <c r="BX43" i="135" s="1"/>
  <c r="BV43" i="135" s="1"/>
  <c r="BY52" i="135"/>
  <c r="BX52" i="135" s="1"/>
  <c r="BU52" i="135" s="1"/>
  <c r="HE52" i="135" s="1"/>
  <c r="CS78" i="135"/>
  <c r="CQ78" i="135" s="1"/>
  <c r="BZ20" i="135"/>
  <c r="CE94" i="135"/>
  <c r="BE74" i="135"/>
  <c r="CR69" i="135"/>
  <c r="BD77" i="135"/>
  <c r="BA77" i="135" s="1"/>
  <c r="CR66" i="135"/>
  <c r="CE46" i="135"/>
  <c r="CH69" i="135"/>
  <c r="BE84" i="135"/>
  <c r="BD84" i="135" s="1"/>
  <c r="BN72" i="135"/>
  <c r="CS77" i="135"/>
  <c r="CQ77" i="135" s="1"/>
  <c r="CN77" i="135" s="1"/>
  <c r="HF77" i="135" s="1"/>
  <c r="AY21" i="135"/>
  <c r="CE21" i="135" s="1"/>
  <c r="BO77" i="135"/>
  <c r="BM77" i="135" s="1"/>
  <c r="BJ77" i="135" s="1"/>
  <c r="BX37" i="135"/>
  <c r="BV37" i="135" s="1"/>
  <c r="CP94" i="135"/>
  <c r="CE78" i="135"/>
  <c r="CN29" i="135"/>
  <c r="HF29" i="135" s="1"/>
  <c r="BO35" i="135"/>
  <c r="BM35" i="135" s="1"/>
  <c r="BK35" i="135" s="1"/>
  <c r="HD35" i="135" s="1"/>
  <c r="CE88" i="135"/>
  <c r="BX71" i="135"/>
  <c r="BV71" i="135" s="1"/>
  <c r="BN87" i="135"/>
  <c r="BY76" i="135"/>
  <c r="BX76" i="135" s="1"/>
  <c r="BU76" i="135" s="1"/>
  <c r="HE76" i="135" s="1"/>
  <c r="CI37" i="135"/>
  <c r="CG37" i="135" s="1"/>
  <c r="BE55" i="135"/>
  <c r="CR43" i="135"/>
  <c r="BN92" i="135"/>
  <c r="BM92" i="135" s="1"/>
  <c r="BJ92" i="135" s="1"/>
  <c r="CP63" i="135"/>
  <c r="BY72" i="135"/>
  <c r="BX72" i="135" s="1"/>
  <c r="BV72" i="135" s="1"/>
  <c r="BO37" i="135"/>
  <c r="CH43" i="135"/>
  <c r="CG43" i="135" s="1"/>
  <c r="BF35" i="135"/>
  <c r="BO96" i="135"/>
  <c r="BM96" i="135" s="1"/>
  <c r="BK96" i="135" s="1"/>
  <c r="HD96" i="135" s="1"/>
  <c r="CI35" i="135"/>
  <c r="CH94" i="135"/>
  <c r="CG94" i="135" s="1"/>
  <c r="CD94" i="135" s="1"/>
  <c r="HC94" i="135" s="1"/>
  <c r="AI18" i="135"/>
  <c r="CI80" i="135"/>
  <c r="BN46" i="135"/>
  <c r="CR81" i="135"/>
  <c r="BF97" i="135"/>
  <c r="BF25" i="135"/>
  <c r="BE46" i="135"/>
  <c r="CR54" i="135"/>
  <c r="CQ54" i="135" s="1"/>
  <c r="BY95" i="135"/>
  <c r="BX95" i="135" s="1"/>
  <c r="BT95" i="135" s="1"/>
  <c r="CI25" i="135"/>
  <c r="CP47" i="135"/>
  <c r="CI81" i="135"/>
  <c r="CH80" i="135"/>
  <c r="CI41" i="135"/>
  <c r="BN94" i="135"/>
  <c r="BO81" i="135"/>
  <c r="BM81" i="135" s="1"/>
  <c r="BN80" i="135"/>
  <c r="BM80" i="135" s="1"/>
  <c r="BK80" i="135" s="1"/>
  <c r="HD80" i="135" s="1"/>
  <c r="BO41" i="135"/>
  <c r="CH81" i="135"/>
  <c r="CI97" i="135"/>
  <c r="BE80" i="135"/>
  <c r="BF41" i="135"/>
  <c r="BD41" i="135" s="1"/>
  <c r="BB41" i="135" s="1"/>
  <c r="HB41" i="135" s="1"/>
  <c r="M13" i="118" s="1"/>
  <c r="CS97" i="135"/>
  <c r="BF80" i="135"/>
  <c r="BO49" i="135"/>
  <c r="BM49" i="135" s="1"/>
  <c r="BJ49" i="135" s="1"/>
  <c r="CI49" i="135"/>
  <c r="CG49" i="135" s="1"/>
  <c r="CD49" i="135" s="1"/>
  <c r="HC49" i="135" s="1"/>
  <c r="BO70" i="135"/>
  <c r="BM70" i="135" s="1"/>
  <c r="BK70" i="135" s="1"/>
  <c r="HD70" i="135" s="1"/>
  <c r="CS69" i="135"/>
  <c r="CU20" i="135"/>
  <c r="AI21" i="135"/>
  <c r="CI82" i="135"/>
  <c r="BE60" i="135"/>
  <c r="BD60" i="135" s="1"/>
  <c r="BA60" i="135" s="1"/>
  <c r="CS38" i="135"/>
  <c r="BO88" i="135"/>
  <c r="BM88" i="135" s="1"/>
  <c r="CS43" i="135"/>
  <c r="CQ43" i="135" s="1"/>
  <c r="CI71" i="135"/>
  <c r="BD49" i="135"/>
  <c r="BA49" i="135" s="1"/>
  <c r="CR74" i="135"/>
  <c r="BO54" i="135"/>
  <c r="CR68" i="135"/>
  <c r="CQ68" i="135" s="1"/>
  <c r="BN69" i="135"/>
  <c r="BY47" i="135"/>
  <c r="BX47" i="135" s="1"/>
  <c r="BT47" i="135" s="1"/>
  <c r="CH95" i="135"/>
  <c r="CG95" i="135" s="1"/>
  <c r="CH71" i="135"/>
  <c r="CG71" i="135" s="1"/>
  <c r="BO59" i="135"/>
  <c r="CI38" i="135"/>
  <c r="BN56" i="135"/>
  <c r="CR90" i="135"/>
  <c r="CQ90" i="135" s="1"/>
  <c r="CH47" i="135"/>
  <c r="CS49" i="135"/>
  <c r="CQ49" i="135" s="1"/>
  <c r="CN49" i="135" s="1"/>
  <c r="HF49" i="135" s="1"/>
  <c r="BY74" i="135"/>
  <c r="BX74" i="135" s="1"/>
  <c r="BU74" i="135" s="1"/>
  <c r="HE74" i="135" s="1"/>
  <c r="CG74" i="135"/>
  <c r="CD74" i="135" s="1"/>
  <c r="HC74" i="135" s="1"/>
  <c r="CR88" i="135"/>
  <c r="CE64" i="135"/>
  <c r="CJ17" i="135"/>
  <c r="CF17" i="135" s="1"/>
  <c r="BF58" i="135"/>
  <c r="CE67" i="135"/>
  <c r="BF96" i="135"/>
  <c r="BD96" i="135" s="1"/>
  <c r="BA96" i="135" s="1"/>
  <c r="CS83" i="135"/>
  <c r="CQ96" i="135"/>
  <c r="CH78" i="135"/>
  <c r="CR70" i="135"/>
  <c r="CQ70" i="135" s="1"/>
  <c r="CT92" i="135"/>
  <c r="CP92" i="135" s="1"/>
  <c r="CS61" i="135"/>
  <c r="BY54" i="135"/>
  <c r="BX54" i="135" s="1"/>
  <c r="BV54" i="135" s="1"/>
  <c r="CI96" i="135"/>
  <c r="CG96" i="135" s="1"/>
  <c r="CD96" i="135" s="1"/>
  <c r="HC96" i="135" s="1"/>
  <c r="BO74" i="135"/>
  <c r="BF59" i="135"/>
  <c r="BE89" i="135"/>
  <c r="CI90" i="135"/>
  <c r="CG90" i="135" s="1"/>
  <c r="CC90" i="135" s="1"/>
  <c r="BN83" i="135"/>
  <c r="CT61" i="135"/>
  <c r="CP61" i="135" s="1"/>
  <c r="BY89" i="135"/>
  <c r="BX89" i="135" s="1"/>
  <c r="BT89" i="135" s="1"/>
  <c r="CS74" i="135"/>
  <c r="BF74" i="135"/>
  <c r="CT83" i="135"/>
  <c r="CP83" i="135" s="1"/>
  <c r="CI89" i="135"/>
  <c r="CR82" i="135"/>
  <c r="CH64" i="135"/>
  <c r="BY50" i="135"/>
  <c r="BX50" i="135" s="1"/>
  <c r="BV50" i="135" s="1"/>
  <c r="BF82" i="135"/>
  <c r="BD82" i="135" s="1"/>
  <c r="CH60" i="135"/>
  <c r="CG60" i="135" s="1"/>
  <c r="CC60" i="135" s="1"/>
  <c r="BO44" i="135"/>
  <c r="BF38" i="135"/>
  <c r="BD38" i="135" s="1"/>
  <c r="CT71" i="135"/>
  <c r="CP71" i="135" s="1"/>
  <c r="BF43" i="135"/>
  <c r="BD43" i="135" s="1"/>
  <c r="BF71" i="135"/>
  <c r="BN68" i="135"/>
  <c r="BM68" i="135" s="1"/>
  <c r="BJ68" i="135" s="1"/>
  <c r="BM69" i="135"/>
  <c r="BK69" i="135" s="1"/>
  <c r="HD69" i="135" s="1"/>
  <c r="BN90" i="135"/>
  <c r="BN47" i="135"/>
  <c r="BM47" i="135" s="1"/>
  <c r="BK47" i="135" s="1"/>
  <c r="HD47" i="135" s="1"/>
  <c r="CH84" i="135"/>
  <c r="CR72" i="135"/>
  <c r="BY65" i="135"/>
  <c r="BX65" i="135" s="1"/>
  <c r="BV65" i="135" s="1"/>
  <c r="CI70" i="135"/>
  <c r="BF69" i="135"/>
  <c r="CI69" i="135"/>
  <c r="CE70" i="135"/>
  <c r="BN60" i="135"/>
  <c r="BM60" i="135" s="1"/>
  <c r="BK60" i="135" s="1"/>
  <c r="HD60" i="135" s="1"/>
  <c r="BO43" i="135"/>
  <c r="CS71" i="135"/>
  <c r="BE68" i="135"/>
  <c r="BD68" i="135" s="1"/>
  <c r="BB68" i="135" s="1"/>
  <c r="HB68" i="135" s="1"/>
  <c r="M40" i="118" s="1"/>
  <c r="BE90" i="135"/>
  <c r="CR47" i="135"/>
  <c r="BN51" i="135"/>
  <c r="BM51" i="135" s="1"/>
  <c r="BN84" i="135"/>
  <c r="CH72" i="135"/>
  <c r="CG72" i="135" s="1"/>
  <c r="CC72" i="135" s="1"/>
  <c r="CR37" i="135"/>
  <c r="CQ37" i="135" s="1"/>
  <c r="CT40" i="135"/>
  <c r="CP40" i="135" s="1"/>
  <c r="CP70" i="135"/>
  <c r="BP97" i="135"/>
  <c r="BF70" i="135"/>
  <c r="AX18" i="135"/>
  <c r="BF18" i="135" s="1"/>
  <c r="BE45" i="135"/>
  <c r="BN59" i="135"/>
  <c r="BO94" i="135"/>
  <c r="CI87" i="135"/>
  <c r="BO91" i="135"/>
  <c r="BF90" i="135"/>
  <c r="CI84" i="135"/>
  <c r="BN64" i="135"/>
  <c r="BO89" i="135"/>
  <c r="BM89" i="135" s="1"/>
  <c r="BK89" i="135" s="1"/>
  <c r="HD89" i="135" s="1"/>
  <c r="CI78" i="135"/>
  <c r="BO84" i="135"/>
  <c r="BE64" i="135"/>
  <c r="BD64" i="135" s="1"/>
  <c r="BB64" i="135" s="1"/>
  <c r="HB64" i="135" s="1"/>
  <c r="M36" i="118" s="1"/>
  <c r="CG39" i="135"/>
  <c r="CD39" i="135" s="1"/>
  <c r="HC39" i="135" s="1"/>
  <c r="BF89" i="135"/>
  <c r="BO78" i="135"/>
  <c r="BY67" i="135"/>
  <c r="BX67" i="135" s="1"/>
  <c r="BU67" i="135" s="1"/>
  <c r="HE67" i="135" s="1"/>
  <c r="CH41" i="135"/>
  <c r="BE88" i="135"/>
  <c r="BD88" i="135" s="1"/>
  <c r="CT41" i="135"/>
  <c r="CP41" i="135" s="1"/>
  <c r="BX91" i="135"/>
  <c r="BU91" i="135" s="1"/>
  <c r="HE91" i="135" s="1"/>
  <c r="CR41" i="135"/>
  <c r="CQ41" i="135" s="1"/>
  <c r="BO87" i="135"/>
  <c r="BF94" i="135"/>
  <c r="BD94" i="135" s="1"/>
  <c r="BB94" i="135" s="1"/>
  <c r="HB94" i="135" s="1"/>
  <c r="M66" i="118" s="1"/>
  <c r="BN41" i="135"/>
  <c r="CT88" i="135"/>
  <c r="CP88" i="135" s="1"/>
  <c r="CQ39" i="135"/>
  <c r="BF87" i="135"/>
  <c r="BD87" i="135" s="1"/>
  <c r="BA87" i="135" s="1"/>
  <c r="CH88" i="135"/>
  <c r="CS94" i="135"/>
  <c r="CI58" i="135"/>
  <c r="CS58" i="135"/>
  <c r="BX21" i="135"/>
  <c r="BV21" i="135" s="1"/>
  <c r="CS59" i="135"/>
  <c r="CH66" i="135"/>
  <c r="CR89" i="135"/>
  <c r="CQ89" i="135" s="1"/>
  <c r="CR45" i="135"/>
  <c r="BE59" i="135"/>
  <c r="BN78" i="135"/>
  <c r="BO83" i="135"/>
  <c r="CT90" i="135"/>
  <c r="CP90" i="135" s="1"/>
  <c r="BE83" i="135"/>
  <c r="BD83" i="135" s="1"/>
  <c r="CI61" i="135"/>
  <c r="CG61" i="135" s="1"/>
  <c r="CD61" i="135" s="1"/>
  <c r="HC61" i="135" s="1"/>
  <c r="BN43" i="135"/>
  <c r="CT54" i="135"/>
  <c r="CP54" i="135" s="1"/>
  <c r="CH92" i="135"/>
  <c r="CG92" i="135" s="1"/>
  <c r="CD92" i="135" s="1"/>
  <c r="HC92" i="135" s="1"/>
  <c r="BN66" i="135"/>
  <c r="CH89" i="135"/>
  <c r="CH45" i="135"/>
  <c r="CR59" i="135"/>
  <c r="BE78" i="135"/>
  <c r="BD78" i="135" s="1"/>
  <c r="BB78" i="135" s="1"/>
  <c r="HB78" i="135" s="1"/>
  <c r="M50" i="118" s="1"/>
  <c r="CR83" i="135"/>
  <c r="BE70" i="135"/>
  <c r="BO61" i="135"/>
  <c r="BY45" i="135"/>
  <c r="BX45" i="135" s="1"/>
  <c r="BU45" i="135" s="1"/>
  <c r="HE45" i="135" s="1"/>
  <c r="CS91" i="135"/>
  <c r="CE54" i="135"/>
  <c r="BT26" i="135"/>
  <c r="AW18" i="135"/>
  <c r="BE18" i="135" s="1"/>
  <c r="CH54" i="135"/>
  <c r="BY82" i="135"/>
  <c r="BX82" i="135" s="1"/>
  <c r="BV82" i="135" s="1"/>
  <c r="BY40" i="135"/>
  <c r="BX40" i="135" s="1"/>
  <c r="BT40" i="135" s="1"/>
  <c r="CP52" i="135"/>
  <c r="CT73" i="135"/>
  <c r="CP73" i="135" s="1"/>
  <c r="BN52" i="135"/>
  <c r="AW21" i="135"/>
  <c r="BE21" i="135" s="1"/>
  <c r="BX88" i="135"/>
  <c r="BV88" i="135" s="1"/>
  <c r="BE76" i="135"/>
  <c r="CH82" i="135"/>
  <c r="CR51" i="135"/>
  <c r="CR40" i="135"/>
  <c r="BN54" i="135"/>
  <c r="BO75" i="135"/>
  <c r="CI45" i="135"/>
  <c r="BE85" i="135"/>
  <c r="BD85" i="135" s="1"/>
  <c r="BA85" i="135" s="1"/>
  <c r="BF51" i="135"/>
  <c r="BN82" i="135"/>
  <c r="BM82" i="135" s="1"/>
  <c r="CT37" i="135"/>
  <c r="CP37" i="135" s="1"/>
  <c r="BE52" i="135"/>
  <c r="AY18" i="135"/>
  <c r="CE18" i="135" s="1"/>
  <c r="BF67" i="135"/>
  <c r="BN85" i="135"/>
  <c r="CS86" i="135"/>
  <c r="BN37" i="135"/>
  <c r="CT87" i="135"/>
  <c r="CP87" i="135" s="1"/>
  <c r="BE37" i="135"/>
  <c r="BD37" i="135" s="1"/>
  <c r="BB37" i="135" s="1"/>
  <c r="HB37" i="135" s="1"/>
  <c r="M9" i="118" s="1"/>
  <c r="CS45" i="135"/>
  <c r="BE51" i="135"/>
  <c r="CT44" i="135"/>
  <c r="CP44" i="135" s="1"/>
  <c r="CR48" i="135"/>
  <c r="BO48" i="135"/>
  <c r="BM48" i="135" s="1"/>
  <c r="BJ48" i="135" s="1"/>
  <c r="BD69" i="135"/>
  <c r="BB69" i="135" s="1"/>
  <c r="HB69" i="135" s="1"/>
  <c r="M41" i="118" s="1"/>
  <c r="CS72" i="135"/>
  <c r="CE51" i="135"/>
  <c r="BF72" i="135"/>
  <c r="BD72" i="135" s="1"/>
  <c r="CI48" i="135"/>
  <c r="CS53" i="135"/>
  <c r="CR65" i="135"/>
  <c r="CS40" i="135"/>
  <c r="BM39" i="135"/>
  <c r="BK39" i="135" s="1"/>
  <c r="HD39" i="135" s="1"/>
  <c r="CT97" i="135"/>
  <c r="CP97" i="135" s="1"/>
  <c r="CI79" i="135"/>
  <c r="CR75" i="135"/>
  <c r="BN40" i="135"/>
  <c r="CI40" i="135"/>
  <c r="CG40" i="135" s="1"/>
  <c r="CC40" i="135" s="1"/>
  <c r="CI53" i="135"/>
  <c r="CH65" i="135"/>
  <c r="CG65" i="135" s="1"/>
  <c r="CS51" i="135"/>
  <c r="BY97" i="135"/>
  <c r="BX97" i="135" s="1"/>
  <c r="BV97" i="135" s="1"/>
  <c r="BO79" i="135"/>
  <c r="BM79" i="135" s="1"/>
  <c r="BJ79" i="135" s="1"/>
  <c r="CP96" i="135"/>
  <c r="BE40" i="135"/>
  <c r="CT51" i="135"/>
  <c r="CP51" i="135" s="1"/>
  <c r="BO40" i="135"/>
  <c r="BO53" i="135"/>
  <c r="BN65" i="135"/>
  <c r="CI51" i="135"/>
  <c r="CG51" i="135" s="1"/>
  <c r="BF79" i="135"/>
  <c r="BD79" i="135" s="1"/>
  <c r="BB79" i="135" s="1"/>
  <c r="HB79" i="135" s="1"/>
  <c r="M51" i="118" s="1"/>
  <c r="BX96" i="135"/>
  <c r="BT96" i="135" s="1"/>
  <c r="BF40" i="135"/>
  <c r="CH57" i="135"/>
  <c r="CE97" i="135"/>
  <c r="BZ17" i="135"/>
  <c r="CH48" i="135"/>
  <c r="CH75" i="135"/>
  <c r="CG75" i="135" s="1"/>
  <c r="BN75" i="135"/>
  <c r="BF45" i="135"/>
  <c r="BE48" i="135"/>
  <c r="BD48" i="135" s="1"/>
  <c r="BY59" i="135"/>
  <c r="BX59" i="135" s="1"/>
  <c r="BT59" i="135" s="1"/>
  <c r="CR91" i="135"/>
  <c r="CH44" i="135"/>
  <c r="CG44" i="135" s="1"/>
  <c r="CD44" i="135" s="1"/>
  <c r="HC44" i="135" s="1"/>
  <c r="BX51" i="135"/>
  <c r="BV51" i="135" s="1"/>
  <c r="BY64" i="135"/>
  <c r="BX64" i="135" s="1"/>
  <c r="BU64" i="135" s="1"/>
  <c r="HE64" i="135" s="1"/>
  <c r="CT91" i="135"/>
  <c r="CP91" i="135" s="1"/>
  <c r="CR73" i="135"/>
  <c r="CT86" i="135"/>
  <c r="CP86" i="135" s="1"/>
  <c r="BY66" i="135"/>
  <c r="BX66" i="135" s="1"/>
  <c r="BV66" i="135" s="1"/>
  <c r="CI91" i="135"/>
  <c r="CG91" i="135" s="1"/>
  <c r="BN91" i="135"/>
  <c r="BE91" i="135"/>
  <c r="BD91" i="135" s="1"/>
  <c r="BY48" i="135"/>
  <c r="BX48" i="135" s="1"/>
  <c r="BV48" i="135" s="1"/>
  <c r="CS48" i="135"/>
  <c r="BF93" i="135"/>
  <c r="BO50" i="135"/>
  <c r="BM50" i="135" s="1"/>
  <c r="CT75" i="135"/>
  <c r="CP75" i="135" s="1"/>
  <c r="BA26" i="135"/>
  <c r="CP39" i="135"/>
  <c r="BY25" i="135"/>
  <c r="BX25" i="135" s="1"/>
  <c r="BU25" i="135" s="1"/>
  <c r="HE25" i="135" s="1"/>
  <c r="BO72" i="135"/>
  <c r="BK26" i="135"/>
  <c r="HD26" i="135" s="1"/>
  <c r="CT21" i="135"/>
  <c r="CP21" i="135" s="1"/>
  <c r="CS76" i="135"/>
  <c r="BK14" i="135"/>
  <c r="HD14" i="135" s="1"/>
  <c r="CS66" i="135"/>
  <c r="BO85" i="135"/>
  <c r="CN28" i="135"/>
  <c r="HF28" i="135" s="1"/>
  <c r="CT57" i="135"/>
  <c r="CP57" i="135" s="1"/>
  <c r="AA31" i="135"/>
  <c r="BV26" i="135"/>
  <c r="CI47" i="135"/>
  <c r="CU10" i="135"/>
  <c r="BX73" i="135"/>
  <c r="BV73" i="135" s="1"/>
  <c r="CE86" i="135"/>
  <c r="CS67" i="135"/>
  <c r="BN61" i="135"/>
  <c r="BF44" i="135"/>
  <c r="BD44" i="135" s="1"/>
  <c r="CI86" i="135"/>
  <c r="BF75" i="135"/>
  <c r="BD75" i="135" s="1"/>
  <c r="CR76" i="135"/>
  <c r="CI50" i="135"/>
  <c r="CR50" i="135"/>
  <c r="BN25" i="135"/>
  <c r="CC14" i="135"/>
  <c r="CI66" i="135"/>
  <c r="BO73" i="135"/>
  <c r="CI73" i="135"/>
  <c r="CI85" i="135"/>
  <c r="CS44" i="135"/>
  <c r="BF86" i="135"/>
  <c r="BD86" i="135" s="1"/>
  <c r="BD66" i="135"/>
  <c r="BB66" i="135" s="1"/>
  <c r="HB66" i="135" s="1"/>
  <c r="M38" i="118" s="1"/>
  <c r="CS50" i="135"/>
  <c r="CM28" i="135"/>
  <c r="CS93" i="135"/>
  <c r="BO66" i="135"/>
  <c r="AS18" i="135"/>
  <c r="BP18" i="135" s="1"/>
  <c r="BO76" i="135"/>
  <c r="BM76" i="135" s="1"/>
  <c r="BO93" i="135"/>
  <c r="BM93" i="135" s="1"/>
  <c r="CS73" i="135"/>
  <c r="BD73" i="135"/>
  <c r="BA73" i="135" s="1"/>
  <c r="CI67" i="135"/>
  <c r="CS75" i="135"/>
  <c r="CH76" i="135"/>
  <c r="CG76" i="135" s="1"/>
  <c r="CC76" i="135" s="1"/>
  <c r="BN97" i="135"/>
  <c r="BN86" i="135"/>
  <c r="BM86" i="135" s="1"/>
  <c r="CA19" i="135"/>
  <c r="BW19" i="135" s="1"/>
  <c r="BF76" i="135"/>
  <c r="CS85" i="135"/>
  <c r="CQ85" i="135" s="1"/>
  <c r="BF65" i="135"/>
  <c r="BD65" i="135" s="1"/>
  <c r="BO90" i="135"/>
  <c r="BO65" i="135"/>
  <c r="BH24" i="135"/>
  <c r="BC24" i="135" s="1"/>
  <c r="CJ10" i="135"/>
  <c r="CF10" i="135" s="1"/>
  <c r="CS65" i="135"/>
  <c r="BE61" i="135"/>
  <c r="BD61" i="135" s="1"/>
  <c r="BB61" i="135" s="1"/>
  <c r="HB61" i="135" s="1"/>
  <c r="M33" i="118" s="1"/>
  <c r="CR44" i="135"/>
  <c r="CH73" i="135"/>
  <c r="BN57" i="135"/>
  <c r="BE97" i="135"/>
  <c r="CH50" i="135"/>
  <c r="CR86" i="135"/>
  <c r="BE25" i="135"/>
  <c r="CC27" i="135"/>
  <c r="CR61" i="135"/>
  <c r="BN44" i="135"/>
  <c r="BN73" i="135"/>
  <c r="BE57" i="135"/>
  <c r="CR97" i="135"/>
  <c r="BE50" i="135"/>
  <c r="BD50" i="135" s="1"/>
  <c r="CH86" i="135"/>
  <c r="CH25" i="135"/>
  <c r="CD28" i="135"/>
  <c r="HC28" i="135" s="1"/>
  <c r="BH19" i="135"/>
  <c r="BC19" i="135" s="1"/>
  <c r="BZ19" i="135"/>
  <c r="CS64" i="135"/>
  <c r="CQ64" i="135" s="1"/>
  <c r="CH97" i="135"/>
  <c r="CP65" i="135"/>
  <c r="CI64" i="135"/>
  <c r="BO64" i="135"/>
  <c r="CT18" i="135"/>
  <c r="CP18" i="135" s="1"/>
  <c r="CU12" i="135"/>
  <c r="S31" i="135"/>
  <c r="CM29" i="135"/>
  <c r="BB29" i="135"/>
  <c r="HB29" i="135" s="1"/>
  <c r="BR24" i="135"/>
  <c r="BL24" i="135" s="1"/>
  <c r="CS47" i="135"/>
  <c r="CJ12" i="135"/>
  <c r="CF12" i="135" s="1"/>
  <c r="AA10" i="135"/>
  <c r="AE10" i="135"/>
  <c r="W12" i="135"/>
  <c r="W10" i="135"/>
  <c r="CJ19" i="135"/>
  <c r="CF19" i="135" s="1"/>
  <c r="CA10" i="135"/>
  <c r="BW10" i="135" s="1"/>
  <c r="BR10" i="135"/>
  <c r="BL10" i="135" s="1"/>
  <c r="BH10" i="135"/>
  <c r="BC10" i="135" s="1"/>
  <c r="CJ13" i="135"/>
  <c r="CF13" i="135" s="1"/>
  <c r="S10" i="135"/>
  <c r="CU13" i="135"/>
  <c r="EZ22" i="135"/>
  <c r="AX56" i="135"/>
  <c r="BF47" i="135"/>
  <c r="BD47" i="135" s="1"/>
  <c r="AA12" i="135"/>
  <c r="W24" i="135"/>
  <c r="W13" i="135"/>
  <c r="DI19" i="135"/>
  <c r="DI12" i="135"/>
  <c r="DK19" i="135"/>
  <c r="DK12" i="135"/>
  <c r="BU14" i="135"/>
  <c r="HE14" i="135" s="1"/>
  <c r="BT14" i="135"/>
  <c r="CC15" i="135"/>
  <c r="CD15" i="135"/>
  <c r="HC15" i="135" s="1"/>
  <c r="CA13" i="135"/>
  <c r="BW13" i="135" s="1"/>
  <c r="BR13" i="135"/>
  <c r="BL13" i="135" s="1"/>
  <c r="BH13" i="135"/>
  <c r="BC13" i="135" s="1"/>
  <c r="DL19" i="135"/>
  <c r="DL12" i="135"/>
  <c r="AE24" i="135"/>
  <c r="AE13" i="135"/>
  <c r="CD29" i="135"/>
  <c r="HC29" i="135" s="1"/>
  <c r="CJ24" i="135"/>
  <c r="CF24" i="135" s="1"/>
  <c r="S17" i="135"/>
  <c r="DA36" i="135"/>
  <c r="DF36" i="135"/>
  <c r="CX36" i="135"/>
  <c r="CZ36" i="135"/>
  <c r="DB36" i="135"/>
  <c r="DG36" i="135"/>
  <c r="S12" i="135"/>
  <c r="CY36" i="135"/>
  <c r="DD36" i="135"/>
  <c r="DC36" i="135"/>
  <c r="DE36" i="135"/>
  <c r="CN15" i="135"/>
  <c r="HF15" i="135" s="1"/>
  <c r="CM15" i="135"/>
  <c r="CN14" i="135"/>
  <c r="HF14" i="135" s="1"/>
  <c r="CM14" i="135"/>
  <c r="BT15" i="135"/>
  <c r="BU15" i="135"/>
  <c r="HE15" i="135" s="1"/>
  <c r="BV15" i="135"/>
  <c r="BV14" i="135"/>
  <c r="DH19" i="135"/>
  <c r="DH12" i="135"/>
  <c r="DN19" i="135"/>
  <c r="DN12" i="135"/>
  <c r="CU24" i="135"/>
  <c r="BA14" i="135"/>
  <c r="BB14" i="135"/>
  <c r="HB14" i="135" s="1"/>
  <c r="BK15" i="135"/>
  <c r="HD15" i="135" s="1"/>
  <c r="BJ15" i="135"/>
  <c r="BB15" i="135"/>
  <c r="HB15" i="135" s="1"/>
  <c r="BA15" i="135"/>
  <c r="DM19" i="135"/>
  <c r="DM12" i="135"/>
  <c r="DO19" i="135"/>
  <c r="DO12" i="135"/>
  <c r="DJ19" i="135"/>
  <c r="DJ12" i="135"/>
  <c r="BH12" i="135"/>
  <c r="BC12" i="135" s="1"/>
  <c r="BR12" i="135"/>
  <c r="BL12" i="135" s="1"/>
  <c r="CA12" i="135"/>
  <c r="BW12" i="135" s="1"/>
  <c r="AE17" i="135"/>
  <c r="AE12" i="135"/>
  <c r="BX18" i="135"/>
  <c r="BD54" i="135"/>
  <c r="BA54" i="135" s="1"/>
  <c r="CQ25" i="135"/>
  <c r="CN26" i="135"/>
  <c r="HF26" i="135" s="1"/>
  <c r="CM26" i="135"/>
  <c r="BB28" i="135"/>
  <c r="HB28" i="135" s="1"/>
  <c r="BA28" i="135"/>
  <c r="CM27" i="135"/>
  <c r="CN27" i="135"/>
  <c r="HF27" i="135" s="1"/>
  <c r="CX20" i="135"/>
  <c r="AW53" i="135"/>
  <c r="AY53" i="135"/>
  <c r="AS53" i="135"/>
  <c r="AI53" i="135"/>
  <c r="AI20" i="135" s="1"/>
  <c r="AV53" i="135"/>
  <c r="AA21" i="135"/>
  <c r="FD55" i="135"/>
  <c r="FD21" i="135" s="1"/>
  <c r="FI55" i="135"/>
  <c r="FI21" i="135" s="1"/>
  <c r="FC55" i="135"/>
  <c r="FC21" i="135" s="1"/>
  <c r="FH55" i="135"/>
  <c r="FH21" i="135" s="1"/>
  <c r="FB55" i="135"/>
  <c r="FB21" i="135" s="1"/>
  <c r="FG55" i="135"/>
  <c r="FG21" i="135" s="1"/>
  <c r="FA55" i="135"/>
  <c r="FA21" i="135" s="1"/>
  <c r="FF55" i="135"/>
  <c r="FF21" i="135" s="1"/>
  <c r="EZ55" i="135"/>
  <c r="FE55" i="135"/>
  <c r="FE21" i="135" s="1"/>
  <c r="CA20" i="135"/>
  <c r="BW20" i="135" s="1"/>
  <c r="BR20" i="135"/>
  <c r="BL20" i="135" s="1"/>
  <c r="BH20" i="135"/>
  <c r="BC20" i="135" s="1"/>
  <c r="AA19" i="135"/>
  <c r="FF42" i="135"/>
  <c r="FD42" i="135"/>
  <c r="FA42" i="135"/>
  <c r="FC42" i="135"/>
  <c r="FE42" i="135"/>
  <c r="FG42" i="135"/>
  <c r="FB42" i="135"/>
  <c r="EZ42" i="135"/>
  <c r="EZ23" i="135"/>
  <c r="AX57" i="135"/>
  <c r="DB62" i="135"/>
  <c r="DB31" i="135" s="1"/>
  <c r="DD62" i="135"/>
  <c r="DD31" i="135" s="1"/>
  <c r="DH62" i="135"/>
  <c r="DH10" i="135" s="1"/>
  <c r="DL62" i="135"/>
  <c r="DL10" i="135" s="1"/>
  <c r="DA62" i="135"/>
  <c r="DA31" i="135" s="1"/>
  <c r="DC62" i="135"/>
  <c r="DC31" i="135" s="1"/>
  <c r="DE62" i="135"/>
  <c r="DE31" i="135" s="1"/>
  <c r="DI62" i="135"/>
  <c r="DI10" i="135" s="1"/>
  <c r="CY62" i="135"/>
  <c r="CY31" i="135" s="1"/>
  <c r="DF62" i="135"/>
  <c r="DF31" i="135" s="1"/>
  <c r="DJ62" i="135"/>
  <c r="DJ10" i="135" s="1"/>
  <c r="CX62" i="135"/>
  <c r="CX13" i="135" s="1"/>
  <c r="CZ62" i="135"/>
  <c r="CZ31" i="135" s="1"/>
  <c r="DG62" i="135"/>
  <c r="DG31" i="135" s="1"/>
  <c r="DK62" i="135"/>
  <c r="DK10" i="135" s="1"/>
  <c r="S24" i="135"/>
  <c r="BT29" i="135"/>
  <c r="BU29" i="135"/>
  <c r="HE29" i="135" s="1"/>
  <c r="AA20" i="135"/>
  <c r="FI52" i="135"/>
  <c r="FC52" i="135"/>
  <c r="FC20" i="135" s="1"/>
  <c r="EZ52" i="135"/>
  <c r="FB52" i="135"/>
  <c r="FB20" i="135" s="1"/>
  <c r="FG52" i="135"/>
  <c r="FG20" i="135" s="1"/>
  <c r="FD52" i="135"/>
  <c r="FD20" i="135" s="1"/>
  <c r="FA52" i="135"/>
  <c r="FA20" i="135" s="1"/>
  <c r="FF52" i="135"/>
  <c r="FF20" i="135" s="1"/>
  <c r="FK52" i="135"/>
  <c r="FH52" i="135"/>
  <c r="FE52" i="135"/>
  <c r="FE20" i="135" s="1"/>
  <c r="FJ52" i="135"/>
  <c r="FL52" i="135"/>
  <c r="S19" i="135"/>
  <c r="CY42" i="135"/>
  <c r="DC42" i="135"/>
  <c r="CX42" i="135"/>
  <c r="CZ42" i="135"/>
  <c r="DB42" i="135"/>
  <c r="DD42" i="135"/>
  <c r="DA42" i="135"/>
  <c r="DE42" i="135"/>
  <c r="BH18" i="135"/>
  <c r="BC18" i="135" s="1"/>
  <c r="CA18" i="135"/>
  <c r="BW18" i="135" s="1"/>
  <c r="BR18" i="135"/>
  <c r="BL18" i="135" s="1"/>
  <c r="FI62" i="135"/>
  <c r="FL62" i="135"/>
  <c r="FL31" i="135" s="1"/>
  <c r="FD62" i="135"/>
  <c r="FD31" i="135" s="1"/>
  <c r="FK62" i="135"/>
  <c r="FK31" i="135" s="1"/>
  <c r="FM62" i="135"/>
  <c r="FC62" i="135"/>
  <c r="FC31" i="135" s="1"/>
  <c r="FJ62" i="135"/>
  <c r="FJ31" i="135" s="1"/>
  <c r="FA62" i="135"/>
  <c r="FA31" i="135" s="1"/>
  <c r="FB62" i="135"/>
  <c r="FB31" i="135" s="1"/>
  <c r="FH62" i="135"/>
  <c r="EZ62" i="135"/>
  <c r="EZ13" i="135" s="1"/>
  <c r="FE62" i="135"/>
  <c r="FE31" i="135" s="1"/>
  <c r="FG62" i="135"/>
  <c r="FG31" i="135" s="1"/>
  <c r="FN62" i="135"/>
  <c r="FN10" i="135" s="1"/>
  <c r="FF62" i="135"/>
  <c r="FF31" i="135" s="1"/>
  <c r="AA24" i="135"/>
  <c r="BV29" i="135"/>
  <c r="BK29" i="135"/>
  <c r="HD29" i="135" s="1"/>
  <c r="BJ29" i="135"/>
  <c r="CY58" i="135"/>
  <c r="CY23" i="135" s="1"/>
  <c r="DF58" i="135"/>
  <c r="CX58" i="135"/>
  <c r="CZ58" i="135"/>
  <c r="CZ23" i="135" s="1"/>
  <c r="DG58" i="135"/>
  <c r="DB58" i="135"/>
  <c r="DB23" i="135" s="1"/>
  <c r="DD58" i="135"/>
  <c r="DD23" i="135" s="1"/>
  <c r="DA58" i="135"/>
  <c r="DA23" i="135" s="1"/>
  <c r="DC58" i="135"/>
  <c r="DC23" i="135" s="1"/>
  <c r="DE58" i="135"/>
  <c r="DE23" i="135" s="1"/>
  <c r="S23" i="135"/>
  <c r="W17" i="135"/>
  <c r="CD26" i="135"/>
  <c r="HC26" i="135" s="1"/>
  <c r="CC26" i="135"/>
  <c r="AE19" i="135"/>
  <c r="BU27" i="135"/>
  <c r="HE27" i="135" s="1"/>
  <c r="BT27" i="135"/>
  <c r="CG68" i="135"/>
  <c r="CC68" i="135" s="1"/>
  <c r="BD92" i="135"/>
  <c r="BB92" i="135" s="1"/>
  <c r="HB92" i="135" s="1"/>
  <c r="M64" i="118" s="1"/>
  <c r="BX46" i="135"/>
  <c r="BV46" i="135" s="1"/>
  <c r="CQ60" i="135"/>
  <c r="CN60" i="135" s="1"/>
  <c r="HF60" i="135" s="1"/>
  <c r="BM45" i="135"/>
  <c r="BJ45" i="135" s="1"/>
  <c r="CS46" i="135"/>
  <c r="CQ46" i="135" s="1"/>
  <c r="BF46" i="135"/>
  <c r="BO46" i="135"/>
  <c r="CI46" i="135"/>
  <c r="BT61" i="135"/>
  <c r="BU61" i="135"/>
  <c r="HE61" i="135" s="1"/>
  <c r="BV61" i="135"/>
  <c r="BU44" i="135"/>
  <c r="HE44" i="135" s="1"/>
  <c r="BT44" i="135"/>
  <c r="BV44" i="135"/>
  <c r="BT93" i="135"/>
  <c r="BV93" i="135"/>
  <c r="BU93" i="135"/>
  <c r="HE93" i="135" s="1"/>
  <c r="BM67" i="135"/>
  <c r="BV86" i="135"/>
  <c r="BU86" i="135"/>
  <c r="HE86" i="135" s="1"/>
  <c r="BT86" i="135"/>
  <c r="BV35" i="135"/>
  <c r="BT35" i="135"/>
  <c r="BU35" i="135"/>
  <c r="HE35" i="135" s="1"/>
  <c r="BV57" i="135"/>
  <c r="BT57" i="135"/>
  <c r="BU57" i="135"/>
  <c r="HE57" i="135" s="1"/>
  <c r="BM95" i="135"/>
  <c r="BD63" i="135"/>
  <c r="BU83" i="135"/>
  <c r="HE83" i="135" s="1"/>
  <c r="BT83" i="135"/>
  <c r="BV83" i="135"/>
  <c r="BV68" i="135"/>
  <c r="BT68" i="135"/>
  <c r="BU68" i="135"/>
  <c r="HE68" i="135" s="1"/>
  <c r="CG59" i="135"/>
  <c r="BV84" i="135"/>
  <c r="BT84" i="135"/>
  <c r="BU84" i="135"/>
  <c r="HE84" i="135" s="1"/>
  <c r="BM38" i="135"/>
  <c r="BV78" i="135"/>
  <c r="BT78" i="135"/>
  <c r="BU78" i="135"/>
  <c r="HE78" i="135" s="1"/>
  <c r="BU75" i="135"/>
  <c r="HE75" i="135" s="1"/>
  <c r="BV75" i="135"/>
  <c r="BT75" i="135"/>
  <c r="BA39" i="135"/>
  <c r="BB39" i="135"/>
  <c r="HB39" i="135" s="1"/>
  <c r="M11" i="118" s="1"/>
  <c r="BV90" i="135"/>
  <c r="BU90" i="135"/>
  <c r="HE90" i="135" s="1"/>
  <c r="BT90" i="135"/>
  <c r="BU41" i="135"/>
  <c r="HE41" i="135" s="1"/>
  <c r="BV41" i="135"/>
  <c r="BT41" i="135"/>
  <c r="BT92" i="135"/>
  <c r="BU92" i="135"/>
  <c r="HE92" i="135" s="1"/>
  <c r="BV92" i="135"/>
  <c r="BM71" i="135"/>
  <c r="BV81" i="135"/>
  <c r="BT81" i="135"/>
  <c r="BU81" i="135"/>
  <c r="HE81" i="135" s="1"/>
  <c r="BV77" i="135"/>
  <c r="BU77" i="135"/>
  <c r="HE77" i="135" s="1"/>
  <c r="BT77" i="135"/>
  <c r="BV49" i="135"/>
  <c r="BU49" i="135"/>
  <c r="HE49" i="135" s="1"/>
  <c r="BT49" i="135"/>
  <c r="BT87" i="135"/>
  <c r="BV87" i="135"/>
  <c r="BU87" i="135"/>
  <c r="HE87" i="135" s="1"/>
  <c r="BV79" i="135"/>
  <c r="BT79" i="135"/>
  <c r="BU79" i="135"/>
  <c r="HE79" i="135" s="1"/>
  <c r="BP390" i="253"/>
  <c r="G392" i="253"/>
  <c r="H392" i="253"/>
  <c r="F392" i="253"/>
  <c r="I392" i="253"/>
  <c r="D393" i="253"/>
  <c r="B394" i="253"/>
  <c r="E391" i="253"/>
  <c r="FD33" i="135"/>
  <c r="FF33" i="135"/>
  <c r="FK33" i="135"/>
  <c r="FM33" i="135"/>
  <c r="FN33" i="135"/>
  <c r="FE33" i="135"/>
  <c r="FL33" i="135"/>
  <c r="FA33" i="135"/>
  <c r="FH33" i="135"/>
  <c r="S33" i="135"/>
  <c r="BH33" i="135"/>
  <c r="BC33" i="135" s="1"/>
  <c r="CA33" i="135"/>
  <c r="BW33" i="135" s="1"/>
  <c r="BR33" i="135"/>
  <c r="BL33" i="135" s="1"/>
  <c r="FB33" i="135"/>
  <c r="CU33" i="135"/>
  <c r="BZ33" i="135"/>
  <c r="CJ33" i="135"/>
  <c r="CF33" i="135" s="1"/>
  <c r="FC33" i="135"/>
  <c r="FG33" i="135"/>
  <c r="EZ33" i="135"/>
  <c r="CJ31" i="135"/>
  <c r="CF31" i="135" s="1"/>
  <c r="CU31" i="135"/>
  <c r="BZ31" i="135"/>
  <c r="CA31" i="135"/>
  <c r="BW31" i="135" s="1"/>
  <c r="BR31" i="135"/>
  <c r="BL31" i="135" s="1"/>
  <c r="BH31" i="135"/>
  <c r="BC31" i="135" s="1"/>
  <c r="AT33" i="109"/>
  <c r="AU26" i="109"/>
  <c r="AT22" i="109"/>
  <c r="BD71" i="135" l="1"/>
  <c r="CI17" i="135"/>
  <c r="BT38" i="135"/>
  <c r="CS17" i="135"/>
  <c r="BT70" i="135"/>
  <c r="BU80" i="135"/>
  <c r="HE80" i="135" s="1"/>
  <c r="CG97" i="135"/>
  <c r="CC97" i="135" s="1"/>
  <c r="BV55" i="135"/>
  <c r="BV63" i="135"/>
  <c r="BV85" i="135"/>
  <c r="BT50" i="135"/>
  <c r="BV80" i="135"/>
  <c r="BU43" i="135"/>
  <c r="HE43" i="135" s="1"/>
  <c r="BT60" i="135"/>
  <c r="BT55" i="135"/>
  <c r="BU94" i="135"/>
  <c r="HE94" i="135" s="1"/>
  <c r="BT69" i="135"/>
  <c r="BV60" i="135"/>
  <c r="BM25" i="135"/>
  <c r="BJ25" i="135" s="1"/>
  <c r="CQ67" i="135"/>
  <c r="CM67" i="135" s="1"/>
  <c r="CG87" i="135"/>
  <c r="CD87" i="135" s="1"/>
  <c r="HC87" i="135" s="1"/>
  <c r="CQ38" i="135"/>
  <c r="CN38" i="135" s="1"/>
  <c r="HF38" i="135" s="1"/>
  <c r="BD95" i="135"/>
  <c r="BB95" i="135" s="1"/>
  <c r="HB95" i="135" s="1"/>
  <c r="M67" i="118" s="1"/>
  <c r="CQ95" i="135"/>
  <c r="CN95" i="135" s="1"/>
  <c r="HF95" i="135" s="1"/>
  <c r="BB73" i="135"/>
  <c r="HB73" i="135" s="1"/>
  <c r="M45" i="118" s="1"/>
  <c r="BU39" i="135"/>
  <c r="HE39" i="135" s="1"/>
  <c r="CG46" i="135"/>
  <c r="CD46" i="135" s="1"/>
  <c r="HC46" i="135" s="1"/>
  <c r="BT82" i="135"/>
  <c r="CG67" i="135"/>
  <c r="CD67" i="135" s="1"/>
  <c r="HC67" i="135" s="1"/>
  <c r="BU73" i="135"/>
  <c r="HE73" i="135" s="1"/>
  <c r="CN80" i="135"/>
  <c r="HF80" i="135" s="1"/>
  <c r="BU38" i="135"/>
  <c r="HE38" i="135" s="1"/>
  <c r="BT73" i="135"/>
  <c r="BD93" i="135"/>
  <c r="BA93" i="135" s="1"/>
  <c r="CM68" i="135"/>
  <c r="CG38" i="135"/>
  <c r="CC38" i="135" s="1"/>
  <c r="CQ93" i="135"/>
  <c r="CN93" i="135" s="1"/>
  <c r="HF93" i="135" s="1"/>
  <c r="CT56" i="135"/>
  <c r="CP56" i="135" s="1"/>
  <c r="BD67" i="135"/>
  <c r="BA67" i="135" s="1"/>
  <c r="CQ71" i="135"/>
  <c r="CN71" i="135" s="1"/>
  <c r="HF71" i="135" s="1"/>
  <c r="CG69" i="135"/>
  <c r="CC69" i="135" s="1"/>
  <c r="CG85" i="135"/>
  <c r="CC85" i="135" s="1"/>
  <c r="BT94" i="135"/>
  <c r="BT39" i="135"/>
  <c r="BU69" i="135"/>
  <c r="HE69" i="135" s="1"/>
  <c r="BT72" i="135"/>
  <c r="BT71" i="135"/>
  <c r="BU70" i="135"/>
  <c r="HE70" i="135" s="1"/>
  <c r="BJ39" i="135"/>
  <c r="BO17" i="135"/>
  <c r="BV22" i="135"/>
  <c r="CN25" i="135"/>
  <c r="HF25" i="135" s="1"/>
  <c r="CG79" i="135"/>
  <c r="CC79" i="135" s="1"/>
  <c r="CT22" i="135"/>
  <c r="CP22" i="135" s="1"/>
  <c r="CG70" i="135"/>
  <c r="CC70" i="135" s="1"/>
  <c r="BD74" i="135"/>
  <c r="BA74" i="135" s="1"/>
  <c r="CQ88" i="135"/>
  <c r="CM88" i="135" s="1"/>
  <c r="CM35" i="135"/>
  <c r="BU95" i="135"/>
  <c r="HE95" i="135" s="1"/>
  <c r="BJ80" i="135"/>
  <c r="BB49" i="135"/>
  <c r="HB49" i="135" s="1"/>
  <c r="M21" i="118" s="1"/>
  <c r="BU85" i="135"/>
  <c r="HE85" i="135" s="1"/>
  <c r="CG47" i="135"/>
  <c r="CC47" i="135" s="1"/>
  <c r="CQ82" i="135"/>
  <c r="CM82" i="135" s="1"/>
  <c r="CG80" i="135"/>
  <c r="CD80" i="135" s="1"/>
  <c r="HC80" i="135" s="1"/>
  <c r="CM78" i="135"/>
  <c r="BD97" i="135"/>
  <c r="BB97" i="135" s="1"/>
  <c r="HB97" i="135" s="1"/>
  <c r="M69" i="118" s="1"/>
  <c r="CQ94" i="135"/>
  <c r="CM94" i="135" s="1"/>
  <c r="BD35" i="135"/>
  <c r="BA35" i="135" s="1"/>
  <c r="CR56" i="135"/>
  <c r="CM79" i="135"/>
  <c r="BN22" i="135"/>
  <c r="BE22" i="135"/>
  <c r="BM87" i="135"/>
  <c r="BK87" i="135" s="1"/>
  <c r="HD87" i="135" s="1"/>
  <c r="CN35" i="135"/>
  <c r="HF35" i="135" s="1"/>
  <c r="CG54" i="135"/>
  <c r="CD54" i="135" s="1"/>
  <c r="HC54" i="135" s="1"/>
  <c r="CH56" i="135"/>
  <c r="BE56" i="135"/>
  <c r="CR22" i="135"/>
  <c r="CQ81" i="135"/>
  <c r="CM81" i="135" s="1"/>
  <c r="BM74" i="135"/>
  <c r="BK74" i="135" s="1"/>
  <c r="HD74" i="135" s="1"/>
  <c r="CG35" i="135"/>
  <c r="CC35" i="135" s="1"/>
  <c r="BT63" i="135"/>
  <c r="BU37" i="135"/>
  <c r="HE37" i="135" s="1"/>
  <c r="BT43" i="135"/>
  <c r="BP56" i="135"/>
  <c r="CG41" i="135"/>
  <c r="CC41" i="135" s="1"/>
  <c r="BU22" i="135"/>
  <c r="HE22" i="135" s="1"/>
  <c r="CE56" i="135"/>
  <c r="CG88" i="135"/>
  <c r="CC88" i="135" s="1"/>
  <c r="CQ69" i="135"/>
  <c r="CN69" i="135" s="1"/>
  <c r="HF69" i="135" s="1"/>
  <c r="BV47" i="135"/>
  <c r="BY56" i="135"/>
  <c r="BX56" i="135" s="1"/>
  <c r="BT56" i="135" s="1"/>
  <c r="CQ97" i="135"/>
  <c r="CN97" i="135" s="1"/>
  <c r="HF97" i="135" s="1"/>
  <c r="BM37" i="135"/>
  <c r="BK37" i="135" s="1"/>
  <c r="HD37" i="135" s="1"/>
  <c r="BB77" i="135"/>
  <c r="HB77" i="135" s="1"/>
  <c r="M49" i="118" s="1"/>
  <c r="BD89" i="135"/>
  <c r="BB89" i="135" s="1"/>
  <c r="HB89" i="135" s="1"/>
  <c r="M61" i="118" s="1"/>
  <c r="BD80" i="135"/>
  <c r="BB80" i="135" s="1"/>
  <c r="HB80" i="135" s="1"/>
  <c r="M52" i="118" s="1"/>
  <c r="CG81" i="135"/>
  <c r="CD81" i="135" s="1"/>
  <c r="HC81" i="135" s="1"/>
  <c r="BT37" i="135"/>
  <c r="BV76" i="135"/>
  <c r="BT76" i="135"/>
  <c r="CQ66" i="135"/>
  <c r="CN66" i="135" s="1"/>
  <c r="HF66" i="135" s="1"/>
  <c r="CG25" i="135"/>
  <c r="CD25" i="135" s="1"/>
  <c r="HC25" i="135" s="1"/>
  <c r="CC74" i="135"/>
  <c r="BM72" i="135"/>
  <c r="BK72" i="135" s="1"/>
  <c r="HD72" i="135" s="1"/>
  <c r="BU71" i="135"/>
  <c r="HE71" i="135" s="1"/>
  <c r="BM41" i="135"/>
  <c r="BJ41" i="135" s="1"/>
  <c r="BT21" i="135"/>
  <c r="BD25" i="135"/>
  <c r="BB25" i="135" s="1"/>
  <c r="HB25" i="135" s="1"/>
  <c r="BU72" i="135"/>
  <c r="HE72" i="135" s="1"/>
  <c r="BU47" i="135"/>
  <c r="HE47" i="135" s="1"/>
  <c r="BV95" i="135"/>
  <c r="CM80" i="135"/>
  <c r="BU50" i="135"/>
  <c r="HE50" i="135" s="1"/>
  <c r="BV89" i="135"/>
  <c r="BU21" i="135"/>
  <c r="HE21" i="135" s="1"/>
  <c r="CG45" i="135"/>
  <c r="CC45" i="135" s="1"/>
  <c r="BM94" i="135"/>
  <c r="BK94" i="135" s="1"/>
  <c r="HD94" i="135" s="1"/>
  <c r="BM46" i="135"/>
  <c r="BJ46" i="135" s="1"/>
  <c r="BV74" i="135"/>
  <c r="BD46" i="135"/>
  <c r="BA46" i="135" s="1"/>
  <c r="BT65" i="135"/>
  <c r="CQ83" i="135"/>
  <c r="CM83" i="135" s="1"/>
  <c r="CG78" i="135"/>
  <c r="CC78" i="135" s="1"/>
  <c r="BM59" i="135"/>
  <c r="BJ59" i="135" s="1"/>
  <c r="CN96" i="135"/>
  <c r="HF96" i="135" s="1"/>
  <c r="CQ74" i="135"/>
  <c r="CN74" i="135" s="1"/>
  <c r="HF74" i="135" s="1"/>
  <c r="BD59" i="135"/>
  <c r="BB59" i="135" s="1"/>
  <c r="HB59" i="135" s="1"/>
  <c r="M31" i="118" s="1"/>
  <c r="CD35" i="135"/>
  <c r="HC35" i="135" s="1"/>
  <c r="CQ61" i="135"/>
  <c r="CM61" i="135" s="1"/>
  <c r="CQ50" i="135"/>
  <c r="CN50" i="135" s="1"/>
  <c r="HF50" i="135" s="1"/>
  <c r="CQ59" i="135"/>
  <c r="CN59" i="135" s="1"/>
  <c r="HF59" i="135" s="1"/>
  <c r="CM49" i="135"/>
  <c r="BU65" i="135"/>
  <c r="HE65" i="135" s="1"/>
  <c r="CM92" i="135"/>
  <c r="BT74" i="135"/>
  <c r="BM54" i="135"/>
  <c r="BK54" i="135" s="1"/>
  <c r="HD54" i="135" s="1"/>
  <c r="CG82" i="135"/>
  <c r="CD82" i="135" s="1"/>
  <c r="HC82" i="135" s="1"/>
  <c r="BM83" i="135"/>
  <c r="BK83" i="135" s="1"/>
  <c r="HD83" i="135" s="1"/>
  <c r="CM70" i="135"/>
  <c r="CQ47" i="135"/>
  <c r="CM47" i="135" s="1"/>
  <c r="CN70" i="135"/>
  <c r="HF70" i="135" s="1"/>
  <c r="BV91" i="135"/>
  <c r="BU54" i="135"/>
  <c r="HE54" i="135" s="1"/>
  <c r="CC96" i="135"/>
  <c r="BT51" i="135"/>
  <c r="BU51" i="135"/>
  <c r="HE51" i="135" s="1"/>
  <c r="BJ96" i="135"/>
  <c r="BN21" i="135"/>
  <c r="BM84" i="135"/>
  <c r="BJ84" i="135" s="1"/>
  <c r="CG64" i="135"/>
  <c r="CD64" i="135" s="1"/>
  <c r="HC64" i="135" s="1"/>
  <c r="BT54" i="135"/>
  <c r="BT45" i="135"/>
  <c r="BT52" i="135"/>
  <c r="BA69" i="135"/>
  <c r="BU97" i="135"/>
  <c r="HE97" i="135" s="1"/>
  <c r="BV67" i="135"/>
  <c r="CD90" i="135"/>
  <c r="HC90" i="135" s="1"/>
  <c r="BJ69" i="135"/>
  <c r="BT67" i="135"/>
  <c r="BV45" i="135"/>
  <c r="CG89" i="135"/>
  <c r="CC89" i="135" s="1"/>
  <c r="BT91" i="135"/>
  <c r="BV52" i="135"/>
  <c r="BV64" i="135"/>
  <c r="BU89" i="135"/>
  <c r="HE89" i="135" s="1"/>
  <c r="BV59" i="135"/>
  <c r="CC77" i="135"/>
  <c r="CQ40" i="135"/>
  <c r="CM40" i="135" s="1"/>
  <c r="BM85" i="135"/>
  <c r="BJ85" i="135" s="1"/>
  <c r="CQ72" i="135"/>
  <c r="CN72" i="135" s="1"/>
  <c r="HF72" i="135" s="1"/>
  <c r="CS18" i="135"/>
  <c r="BJ70" i="135"/>
  <c r="CM69" i="135"/>
  <c r="CD93" i="135"/>
  <c r="HC93" i="135" s="1"/>
  <c r="BU82" i="135"/>
  <c r="HE82" i="135" s="1"/>
  <c r="BM64" i="135"/>
  <c r="BK64" i="135" s="1"/>
  <c r="HD64" i="135" s="1"/>
  <c r="BM90" i="135"/>
  <c r="BK90" i="135" s="1"/>
  <c r="HD90" i="135" s="1"/>
  <c r="BM78" i="135"/>
  <c r="BJ78" i="135" s="1"/>
  <c r="CI18" i="135"/>
  <c r="BO18" i="135"/>
  <c r="CQ45" i="135"/>
  <c r="CN45" i="135" s="1"/>
  <c r="HF45" i="135" s="1"/>
  <c r="BD70" i="135"/>
  <c r="BB70" i="135" s="1"/>
  <c r="HB70" i="135" s="1"/>
  <c r="M42" i="118" s="1"/>
  <c r="BM43" i="135"/>
  <c r="BJ43" i="135" s="1"/>
  <c r="BM91" i="135"/>
  <c r="BK91" i="135" s="1"/>
  <c r="HD91" i="135" s="1"/>
  <c r="CD72" i="135"/>
  <c r="HC72" i="135" s="1"/>
  <c r="BD45" i="135"/>
  <c r="BA45" i="135" s="1"/>
  <c r="BM75" i="135"/>
  <c r="BK75" i="135" s="1"/>
  <c r="HD75" i="135" s="1"/>
  <c r="CG84" i="135"/>
  <c r="CC84" i="135" s="1"/>
  <c r="BM97" i="135"/>
  <c r="BK97" i="135" s="1"/>
  <c r="HD97" i="135" s="1"/>
  <c r="BV40" i="135"/>
  <c r="CM96" i="135"/>
  <c r="CC49" i="135"/>
  <c r="CH21" i="135"/>
  <c r="BU40" i="135"/>
  <c r="HE40" i="135" s="1"/>
  <c r="CR21" i="135"/>
  <c r="BM44" i="135"/>
  <c r="BK44" i="135" s="1"/>
  <c r="HD44" i="135" s="1"/>
  <c r="CM41" i="135"/>
  <c r="CQ86" i="135"/>
  <c r="CM86" i="135" s="1"/>
  <c r="CQ51" i="135"/>
  <c r="CN51" i="135" s="1"/>
  <c r="HF51" i="135" s="1"/>
  <c r="BD51" i="135"/>
  <c r="BB51" i="135" s="1"/>
  <c r="HB51" i="135" s="1"/>
  <c r="M23" i="118" s="1"/>
  <c r="BD18" i="135"/>
  <c r="BB18" i="135" s="1"/>
  <c r="HB18" i="135" s="1"/>
  <c r="CQ44" i="135"/>
  <c r="CM44" i="135" s="1"/>
  <c r="BD90" i="135"/>
  <c r="BA90" i="135" s="1"/>
  <c r="BA72" i="135"/>
  <c r="BB72" i="135"/>
  <c r="HB72" i="135" s="1"/>
  <c r="M44" i="118" s="1"/>
  <c r="BT88" i="135"/>
  <c r="BA64" i="135"/>
  <c r="CQ91" i="135"/>
  <c r="CN91" i="135" s="1"/>
  <c r="HF91" i="135" s="1"/>
  <c r="BK77" i="135"/>
  <c r="HD77" i="135" s="1"/>
  <c r="BV96" i="135"/>
  <c r="CN87" i="135"/>
  <c r="HF87" i="135" s="1"/>
  <c r="CM77" i="135"/>
  <c r="BU88" i="135"/>
  <c r="HE88" i="135" s="1"/>
  <c r="CN90" i="135"/>
  <c r="HF90" i="135" s="1"/>
  <c r="CN68" i="135"/>
  <c r="HF68" i="135" s="1"/>
  <c r="BU96" i="135"/>
  <c r="HE96" i="135" s="1"/>
  <c r="CC39" i="135"/>
  <c r="BB96" i="135"/>
  <c r="HB96" i="135" s="1"/>
  <c r="M68" i="118" s="1"/>
  <c r="BM66" i="135"/>
  <c r="BK66" i="135" s="1"/>
  <c r="HD66" i="135" s="1"/>
  <c r="CN39" i="135"/>
  <c r="HF39" i="135" s="1"/>
  <c r="BM65" i="135"/>
  <c r="BJ65" i="135" s="1"/>
  <c r="BD76" i="135"/>
  <c r="BA76" i="135" s="1"/>
  <c r="CG66" i="135"/>
  <c r="CD66" i="135" s="1"/>
  <c r="HC66" i="135" s="1"/>
  <c r="BM61" i="135"/>
  <c r="BJ61" i="135" s="1"/>
  <c r="CQ75" i="135"/>
  <c r="CM75" i="135" s="1"/>
  <c r="CQ48" i="135"/>
  <c r="CM48" i="135" s="1"/>
  <c r="CG48" i="135"/>
  <c r="CC48" i="135" s="1"/>
  <c r="CR18" i="135"/>
  <c r="CH18" i="135"/>
  <c r="BN18" i="135"/>
  <c r="BU66" i="135"/>
  <c r="HE66" i="135" s="1"/>
  <c r="CN54" i="135"/>
  <c r="HF54" i="135" s="1"/>
  <c r="BA66" i="135"/>
  <c r="CQ65" i="135"/>
  <c r="CN65" i="135" s="1"/>
  <c r="HF65" i="135" s="1"/>
  <c r="BT66" i="135"/>
  <c r="BK68" i="135"/>
  <c r="HD68" i="135" s="1"/>
  <c r="BM40" i="135"/>
  <c r="BJ40" i="135" s="1"/>
  <c r="CM90" i="135"/>
  <c r="BU59" i="135"/>
  <c r="HE59" i="135" s="1"/>
  <c r="BK48" i="135"/>
  <c r="HD48" i="135" s="1"/>
  <c r="BD40" i="135"/>
  <c r="BA40" i="135" s="1"/>
  <c r="BT64" i="135"/>
  <c r="CD76" i="135"/>
  <c r="HC76" i="135" s="1"/>
  <c r="BT97" i="135"/>
  <c r="BB85" i="135"/>
  <c r="HB85" i="135" s="1"/>
  <c r="M57" i="118" s="1"/>
  <c r="CQ73" i="135"/>
  <c r="CN73" i="135" s="1"/>
  <c r="HF73" i="135" s="1"/>
  <c r="CG86" i="135"/>
  <c r="CC86" i="135" s="1"/>
  <c r="CG50" i="135"/>
  <c r="CD50" i="135" s="1"/>
  <c r="HC50" i="135" s="1"/>
  <c r="BA48" i="135"/>
  <c r="BB48" i="135"/>
  <c r="HB48" i="135" s="1"/>
  <c r="M20" i="118" s="1"/>
  <c r="CC65" i="135"/>
  <c r="CD65" i="135"/>
  <c r="HC65" i="135" s="1"/>
  <c r="BJ47" i="135"/>
  <c r="BJ60" i="135"/>
  <c r="BT25" i="135"/>
  <c r="BU48" i="135"/>
  <c r="HE48" i="135" s="1"/>
  <c r="CM39" i="135"/>
  <c r="BT48" i="135"/>
  <c r="CX31" i="135"/>
  <c r="BV25" i="135"/>
  <c r="BJ35" i="135"/>
  <c r="CQ76" i="135"/>
  <c r="BU18" i="135"/>
  <c r="HE18" i="135" s="1"/>
  <c r="BA65" i="135"/>
  <c r="BB65" i="135"/>
  <c r="HB65" i="135" s="1"/>
  <c r="M37" i="118" s="1"/>
  <c r="BK49" i="135"/>
  <c r="HD49" i="135" s="1"/>
  <c r="BK93" i="135"/>
  <c r="HD93" i="135" s="1"/>
  <c r="BJ93" i="135"/>
  <c r="CG73" i="135"/>
  <c r="FH10" i="135"/>
  <c r="CC94" i="135"/>
  <c r="BM73" i="135"/>
  <c r="DK31" i="135"/>
  <c r="FH31" i="135"/>
  <c r="CM54" i="135"/>
  <c r="BJ76" i="135"/>
  <c r="BK76" i="135"/>
  <c r="HD76" i="135" s="1"/>
  <c r="CM85" i="135"/>
  <c r="CN85" i="135"/>
  <c r="HF85" i="135" s="1"/>
  <c r="EZ31" i="135"/>
  <c r="FN31" i="135"/>
  <c r="CN64" i="135"/>
  <c r="HF64" i="135" s="1"/>
  <c r="CM64" i="135"/>
  <c r="BU46" i="135"/>
  <c r="HE46" i="135" s="1"/>
  <c r="BV18" i="135"/>
  <c r="DJ31" i="135"/>
  <c r="CM25" i="135"/>
  <c r="FK10" i="135"/>
  <c r="DI31" i="135"/>
  <c r="DL31" i="135"/>
  <c r="DH31" i="135"/>
  <c r="BA78" i="135"/>
  <c r="CN92" i="135"/>
  <c r="HF92" i="135" s="1"/>
  <c r="BA68" i="135"/>
  <c r="FL10" i="135"/>
  <c r="FG10" i="135"/>
  <c r="CM87" i="135"/>
  <c r="BA61" i="135"/>
  <c r="EZ10" i="135"/>
  <c r="FC10" i="135"/>
  <c r="DC10" i="135"/>
  <c r="DG10" i="135"/>
  <c r="DF10" i="135"/>
  <c r="BT46" i="135"/>
  <c r="BB87" i="135"/>
  <c r="HB87" i="135" s="1"/>
  <c r="M59" i="118" s="1"/>
  <c r="BA92" i="135"/>
  <c r="FM31" i="135"/>
  <c r="FM10" i="135"/>
  <c r="FI31" i="135"/>
  <c r="FI10" i="135"/>
  <c r="FB10" i="135"/>
  <c r="FA10" i="135"/>
  <c r="DD10" i="135"/>
  <c r="DB10" i="135"/>
  <c r="DA10" i="135"/>
  <c r="FD10" i="135"/>
  <c r="CY10" i="135"/>
  <c r="CZ10" i="135"/>
  <c r="FJ10" i="135"/>
  <c r="FE10" i="135"/>
  <c r="FF10" i="135"/>
  <c r="DE10" i="135"/>
  <c r="CX10" i="135"/>
  <c r="BA47" i="135"/>
  <c r="BB47" i="135"/>
  <c r="HB47" i="135" s="1"/>
  <c r="M19" i="118" s="1"/>
  <c r="AX22" i="135"/>
  <c r="BF56" i="135"/>
  <c r="BO56" i="135"/>
  <c r="CI56" i="135"/>
  <c r="CS56" i="135"/>
  <c r="BK45" i="135"/>
  <c r="HD45" i="135" s="1"/>
  <c r="CN78" i="135"/>
  <c r="HF78" i="135" s="1"/>
  <c r="BJ89" i="135"/>
  <c r="BB54" i="135"/>
  <c r="HB54" i="135" s="1"/>
  <c r="M26" i="118" s="1"/>
  <c r="FG12" i="135"/>
  <c r="CD68" i="135"/>
  <c r="HC68" i="135" s="1"/>
  <c r="FG24" i="135"/>
  <c r="FG13" i="135"/>
  <c r="FB24" i="135"/>
  <c r="FB13" i="135"/>
  <c r="FM24" i="135"/>
  <c r="FM12" i="135"/>
  <c r="FM13" i="135"/>
  <c r="FI24" i="135"/>
  <c r="FI12" i="135"/>
  <c r="FI13" i="135"/>
  <c r="DK24" i="135"/>
  <c r="DK13" i="135"/>
  <c r="DJ24" i="135"/>
  <c r="DJ13" i="135"/>
  <c r="DE24" i="135"/>
  <c r="DE13" i="135"/>
  <c r="DH24" i="135"/>
  <c r="DH13" i="135"/>
  <c r="EZ12" i="135"/>
  <c r="FC12" i="135"/>
  <c r="CY12" i="135"/>
  <c r="CY17" i="135"/>
  <c r="CZ12" i="135"/>
  <c r="CZ17" i="135"/>
  <c r="BB60" i="135"/>
  <c r="HB60" i="135" s="1"/>
  <c r="M32" i="118" s="1"/>
  <c r="FE24" i="135"/>
  <c r="FE13" i="135"/>
  <c r="FA24" i="135"/>
  <c r="FA13" i="135"/>
  <c r="FK24" i="135"/>
  <c r="FK13" i="135"/>
  <c r="FK12" i="135"/>
  <c r="DG24" i="135"/>
  <c r="DG13" i="135"/>
  <c r="DF24" i="135"/>
  <c r="DF13" i="135"/>
  <c r="DC24" i="135"/>
  <c r="DC13" i="135"/>
  <c r="DD24" i="135"/>
  <c r="DD13" i="135"/>
  <c r="FB12" i="135"/>
  <c r="FA12" i="135"/>
  <c r="DE12" i="135"/>
  <c r="DE17" i="135"/>
  <c r="CX17" i="135"/>
  <c r="AS36" i="135"/>
  <c r="AV36" i="135"/>
  <c r="AI36" i="135"/>
  <c r="AY36" i="135"/>
  <c r="CX12" i="135"/>
  <c r="AW36" i="135"/>
  <c r="BT18" i="135"/>
  <c r="FF24" i="135"/>
  <c r="FF13" i="135"/>
  <c r="FJ24" i="135"/>
  <c r="FJ13" i="135"/>
  <c r="FJ12" i="135"/>
  <c r="FD24" i="135"/>
  <c r="FD13" i="135"/>
  <c r="CZ24" i="135"/>
  <c r="CZ13" i="135"/>
  <c r="CY24" i="135"/>
  <c r="CY13" i="135"/>
  <c r="DA24" i="135"/>
  <c r="DA13" i="135"/>
  <c r="DB24" i="135"/>
  <c r="DB13" i="135"/>
  <c r="FD12" i="135"/>
  <c r="DC12" i="135"/>
  <c r="DC17" i="135"/>
  <c r="DG12" i="135"/>
  <c r="DG17" i="135"/>
  <c r="DF12" i="135"/>
  <c r="DF17" i="135"/>
  <c r="FN24" i="135"/>
  <c r="FN13" i="135"/>
  <c r="FH24" i="135"/>
  <c r="FH12" i="135"/>
  <c r="FH13" i="135"/>
  <c r="FC24" i="135"/>
  <c r="FC13" i="135"/>
  <c r="FL24" i="135"/>
  <c r="FL12" i="135"/>
  <c r="FL13" i="135"/>
  <c r="DI24" i="135"/>
  <c r="DI13" i="135"/>
  <c r="DL24" i="135"/>
  <c r="DL13" i="135"/>
  <c r="FE12" i="135"/>
  <c r="FF12" i="135"/>
  <c r="DD12" i="135"/>
  <c r="DD17" i="135"/>
  <c r="DB12" i="135"/>
  <c r="DB17" i="135"/>
  <c r="DA12" i="135"/>
  <c r="DA17" i="135"/>
  <c r="BA94" i="135"/>
  <c r="BA41" i="135"/>
  <c r="BK92" i="135"/>
  <c r="HD92" i="135" s="1"/>
  <c r="CN41" i="135"/>
  <c r="HF41" i="135" s="1"/>
  <c r="CC92" i="135"/>
  <c r="DE19" i="135"/>
  <c r="CZ19" i="135"/>
  <c r="FH20" i="135"/>
  <c r="AX23" i="135"/>
  <c r="BF57" i="135"/>
  <c r="BD57" i="135" s="1"/>
  <c r="BO57" i="135"/>
  <c r="BM57" i="135" s="1"/>
  <c r="BJ57" i="135" s="1"/>
  <c r="CI57" i="135"/>
  <c r="CG57" i="135" s="1"/>
  <c r="CS57" i="135"/>
  <c r="CQ57" i="135" s="1"/>
  <c r="CN57" i="135" s="1"/>
  <c r="HF57" i="135" s="1"/>
  <c r="FG19" i="135"/>
  <c r="FD19" i="135"/>
  <c r="CC61" i="135"/>
  <c r="AW58" i="135"/>
  <c r="CX23" i="135"/>
  <c r="AY58" i="135"/>
  <c r="AS58" i="135"/>
  <c r="AV58" i="135"/>
  <c r="AI58" i="135"/>
  <c r="AI23" i="135" s="1"/>
  <c r="EZ24" i="135"/>
  <c r="AX62" i="135"/>
  <c r="AX13" i="135" s="1"/>
  <c r="DA19" i="135"/>
  <c r="AW42" i="135"/>
  <c r="AI42" i="135"/>
  <c r="AY42" i="135"/>
  <c r="AV42" i="135"/>
  <c r="CX19" i="135"/>
  <c r="AS42" i="135"/>
  <c r="FL20" i="135"/>
  <c r="FK20" i="135"/>
  <c r="FI20" i="135"/>
  <c r="FE19" i="135"/>
  <c r="FF19" i="135"/>
  <c r="EZ21" i="135"/>
  <c r="AX55" i="135"/>
  <c r="BP53" i="135"/>
  <c r="AS20" i="135"/>
  <c r="BP20" i="135" s="1"/>
  <c r="DF23" i="135"/>
  <c r="DD19" i="135"/>
  <c r="DC19" i="135"/>
  <c r="FJ20" i="135"/>
  <c r="AX42" i="135"/>
  <c r="EZ19" i="135"/>
  <c r="FC19" i="135"/>
  <c r="AY20" i="135"/>
  <c r="CE20" i="135" s="1"/>
  <c r="CE53" i="135"/>
  <c r="DG23" i="135"/>
  <c r="DB19" i="135"/>
  <c r="CY19" i="135"/>
  <c r="EZ20" i="135"/>
  <c r="AX52" i="135"/>
  <c r="AY62" i="135"/>
  <c r="AY13" i="135" s="1"/>
  <c r="CE13" i="135" s="1"/>
  <c r="AV62" i="135"/>
  <c r="AV13" i="135" s="1"/>
  <c r="AS62" i="135"/>
  <c r="AS13" i="135" s="1"/>
  <c r="BP13" i="135" s="1"/>
  <c r="AW62" i="135"/>
  <c r="AW13" i="135" s="1"/>
  <c r="AI62" i="135"/>
  <c r="AI31" i="135" s="1"/>
  <c r="CX24" i="135"/>
  <c r="FB19" i="135"/>
  <c r="FA19" i="135"/>
  <c r="BY53" i="135"/>
  <c r="BX53" i="135" s="1"/>
  <c r="CT53" i="135"/>
  <c r="CP53" i="135" s="1"/>
  <c r="AV20" i="135"/>
  <c r="AW20" i="135"/>
  <c r="CH53" i="135"/>
  <c r="CG53" i="135" s="1"/>
  <c r="CD53" i="135" s="1"/>
  <c r="HC53" i="135" s="1"/>
  <c r="CR53" i="135"/>
  <c r="CQ53" i="135" s="1"/>
  <c r="CM53" i="135" s="1"/>
  <c r="BE53" i="135"/>
  <c r="BD53" i="135" s="1"/>
  <c r="BA53" i="135" s="1"/>
  <c r="BN53" i="135"/>
  <c r="CC44" i="135"/>
  <c r="BA79" i="135"/>
  <c r="CD60" i="135"/>
  <c r="HC60" i="135" s="1"/>
  <c r="BA37" i="135"/>
  <c r="CN79" i="135"/>
  <c r="HF79" i="135" s="1"/>
  <c r="BK79" i="135"/>
  <c r="HD79" i="135" s="1"/>
  <c r="CD40" i="135"/>
  <c r="HC40" i="135" s="1"/>
  <c r="CM60" i="135"/>
  <c r="CM46" i="135"/>
  <c r="CN46" i="135"/>
  <c r="HF46" i="135" s="1"/>
  <c r="CC46" i="135"/>
  <c r="BK63" i="135"/>
  <c r="HD63" i="135" s="1"/>
  <c r="BJ63" i="135"/>
  <c r="BA91" i="135"/>
  <c r="BB91" i="135"/>
  <c r="HB91" i="135" s="1"/>
  <c r="M63" i="118" s="1"/>
  <c r="CC37" i="135"/>
  <c r="CD37" i="135"/>
  <c r="HC37" i="135" s="1"/>
  <c r="BA81" i="135"/>
  <c r="BB81" i="135"/>
  <c r="HB81" i="135" s="1"/>
  <c r="M53" i="118" s="1"/>
  <c r="CN89" i="135"/>
  <c r="HF89" i="135" s="1"/>
  <c r="CM89" i="135"/>
  <c r="BJ50" i="135"/>
  <c r="BK50" i="135"/>
  <c r="HD50" i="135" s="1"/>
  <c r="BK81" i="135"/>
  <c r="HD81" i="135" s="1"/>
  <c r="BJ81" i="135"/>
  <c r="BB63" i="135"/>
  <c r="HB63" i="135" s="1"/>
  <c r="M35" i="118" s="1"/>
  <c r="BA63" i="135"/>
  <c r="BB71" i="135"/>
  <c r="HB71" i="135" s="1"/>
  <c r="M43" i="118" s="1"/>
  <c r="BA71" i="135"/>
  <c r="BK71" i="135"/>
  <c r="HD71" i="135" s="1"/>
  <c r="BJ71" i="135"/>
  <c r="BB84" i="135"/>
  <c r="HB84" i="135" s="1"/>
  <c r="M56" i="118" s="1"/>
  <c r="BA84" i="135"/>
  <c r="BA38" i="135"/>
  <c r="BB38" i="135"/>
  <c r="HB38" i="135" s="1"/>
  <c r="M10" i="118" s="1"/>
  <c r="BA43" i="135"/>
  <c r="BB43" i="135"/>
  <c r="HB43" i="135" s="1"/>
  <c r="M15" i="118" s="1"/>
  <c r="BA82" i="135"/>
  <c r="BB82" i="135"/>
  <c r="HB82" i="135" s="1"/>
  <c r="M54" i="118" s="1"/>
  <c r="BA44" i="135"/>
  <c r="BB44" i="135"/>
  <c r="HB44" i="135" s="1"/>
  <c r="M16" i="118" s="1"/>
  <c r="BB86" i="135"/>
  <c r="HB86" i="135" s="1"/>
  <c r="M58" i="118" s="1"/>
  <c r="BA86" i="135"/>
  <c r="CD95" i="135"/>
  <c r="HC95" i="135" s="1"/>
  <c r="CC95" i="135"/>
  <c r="CC51" i="135"/>
  <c r="CD51" i="135"/>
  <c r="HC51" i="135" s="1"/>
  <c r="BK82" i="135"/>
  <c r="HD82" i="135" s="1"/>
  <c r="BJ82" i="135"/>
  <c r="CD63" i="135"/>
  <c r="HC63" i="135" s="1"/>
  <c r="CC63" i="135"/>
  <c r="BB75" i="135"/>
  <c r="HB75" i="135" s="1"/>
  <c r="M47" i="118" s="1"/>
  <c r="BA75" i="135"/>
  <c r="CN37" i="135"/>
  <c r="HF37" i="135" s="1"/>
  <c r="CM37" i="135"/>
  <c r="CD71" i="135"/>
  <c r="HC71" i="135" s="1"/>
  <c r="CC71" i="135"/>
  <c r="CN63" i="135"/>
  <c r="HF63" i="135" s="1"/>
  <c r="CM63" i="135"/>
  <c r="CC83" i="135"/>
  <c r="CD83" i="135"/>
  <c r="HC83" i="135" s="1"/>
  <c r="CD59" i="135"/>
  <c r="HC59" i="135" s="1"/>
  <c r="CC59" i="135"/>
  <c r="BJ86" i="135"/>
  <c r="BK86" i="135"/>
  <c r="HD86" i="135" s="1"/>
  <c r="BA50" i="135"/>
  <c r="BB50" i="135"/>
  <c r="HB50" i="135" s="1"/>
  <c r="M22" i="118" s="1"/>
  <c r="BK95" i="135"/>
  <c r="HD95" i="135" s="1"/>
  <c r="BJ95" i="135"/>
  <c r="BK51" i="135"/>
  <c r="HD51" i="135" s="1"/>
  <c r="BJ51" i="135"/>
  <c r="CM84" i="135"/>
  <c r="CN84" i="135"/>
  <c r="HF84" i="135" s="1"/>
  <c r="BB88" i="135"/>
  <c r="HB88" i="135" s="1"/>
  <c r="M60" i="118" s="1"/>
  <c r="BA88" i="135"/>
  <c r="BB83" i="135"/>
  <c r="HB83" i="135" s="1"/>
  <c r="M55" i="118" s="1"/>
  <c r="BA83" i="135"/>
  <c r="CD43" i="135"/>
  <c r="HC43" i="135" s="1"/>
  <c r="CC43" i="135"/>
  <c r="BK88" i="135"/>
  <c r="HD88" i="135" s="1"/>
  <c r="BJ88" i="135"/>
  <c r="CN43" i="135"/>
  <c r="HF43" i="135" s="1"/>
  <c r="CM43" i="135"/>
  <c r="BJ38" i="135"/>
  <c r="BK38" i="135"/>
  <c r="HD38" i="135" s="1"/>
  <c r="CC91" i="135"/>
  <c r="CD91" i="135"/>
  <c r="HC91" i="135" s="1"/>
  <c r="CC75" i="135"/>
  <c r="CD75" i="135"/>
  <c r="HC75" i="135" s="1"/>
  <c r="BJ67" i="135"/>
  <c r="BK67" i="135"/>
  <c r="HD67" i="135" s="1"/>
  <c r="BR391" i="253"/>
  <c r="BP391" i="253"/>
  <c r="E392" i="253"/>
  <c r="D394" i="253"/>
  <c r="B395" i="253"/>
  <c r="G393" i="253"/>
  <c r="H393" i="253"/>
  <c r="F393" i="253"/>
  <c r="I393" i="253"/>
  <c r="DG33" i="135"/>
  <c r="DC33" i="135"/>
  <c r="CZ33" i="135"/>
  <c r="CY33" i="135"/>
  <c r="DE33" i="135"/>
  <c r="DK33" i="135"/>
  <c r="DF33" i="135"/>
  <c r="DB33" i="135"/>
  <c r="CX33" i="135"/>
  <c r="AW33" i="135"/>
  <c r="DI33" i="135"/>
  <c r="DH33" i="135"/>
  <c r="DA33" i="135"/>
  <c r="DJ33" i="135"/>
  <c r="DL33" i="135"/>
  <c r="DD33" i="135"/>
  <c r="AX33" i="135"/>
  <c r="AV26" i="109"/>
  <c r="AU33" i="109"/>
  <c r="AU22" i="109"/>
  <c r="CC67" i="135" l="1"/>
  <c r="BA95" i="135"/>
  <c r="CC87" i="135"/>
  <c r="CM93" i="135"/>
  <c r="CM38" i="135"/>
  <c r="CN61" i="135"/>
  <c r="HF61" i="135" s="1"/>
  <c r="BJ37" i="135"/>
  <c r="BJ94" i="135"/>
  <c r="CD97" i="135"/>
  <c r="HC97" i="135" s="1"/>
  <c r="BK25" i="135"/>
  <c r="HD25" i="135" s="1"/>
  <c r="CC80" i="135"/>
  <c r="CD69" i="135"/>
  <c r="HC69" i="135" s="1"/>
  <c r="CD84" i="135"/>
  <c r="HC84" i="135" s="1"/>
  <c r="CD38" i="135"/>
  <c r="HC38" i="135" s="1"/>
  <c r="CN67" i="135"/>
  <c r="HF67" i="135" s="1"/>
  <c r="CM95" i="135"/>
  <c r="BB93" i="135"/>
  <c r="HB93" i="135" s="1"/>
  <c r="M65" i="118" s="1"/>
  <c r="BD56" i="135"/>
  <c r="BA56" i="135" s="1"/>
  <c r="CD85" i="135"/>
  <c r="HC85" i="135" s="1"/>
  <c r="CM97" i="135"/>
  <c r="CN75" i="135"/>
  <c r="HF75" i="135" s="1"/>
  <c r="CD70" i="135"/>
  <c r="HC70" i="135" s="1"/>
  <c r="CC81" i="135"/>
  <c r="BA97" i="135"/>
  <c r="BB67" i="135"/>
  <c r="HB67" i="135" s="1"/>
  <c r="M39" i="118" s="1"/>
  <c r="CC82" i="135"/>
  <c r="CM66" i="135"/>
  <c r="CD41" i="135"/>
  <c r="HC41" i="135" s="1"/>
  <c r="CD47" i="135"/>
  <c r="HC47" i="135" s="1"/>
  <c r="BB74" i="135"/>
  <c r="HB74" i="135" s="1"/>
  <c r="M46" i="118" s="1"/>
  <c r="CM71" i="135"/>
  <c r="CN81" i="135"/>
  <c r="HF81" i="135" s="1"/>
  <c r="CM91" i="135"/>
  <c r="BK84" i="135"/>
  <c r="HD84" i="135" s="1"/>
  <c r="CN88" i="135"/>
  <c r="HF88" i="135" s="1"/>
  <c r="CD79" i="135"/>
  <c r="HC79" i="135" s="1"/>
  <c r="BB35" i="135"/>
  <c r="HB35" i="135" s="1"/>
  <c r="M7" i="118" s="1"/>
  <c r="BJ74" i="135"/>
  <c r="CN82" i="135"/>
  <c r="HF82" i="135" s="1"/>
  <c r="CM50" i="135"/>
  <c r="CC54" i="135"/>
  <c r="CN94" i="135"/>
  <c r="HF94" i="135" s="1"/>
  <c r="BJ87" i="135"/>
  <c r="CD89" i="135"/>
  <c r="HC89" i="135" s="1"/>
  <c r="BM56" i="135"/>
  <c r="BJ56" i="135" s="1"/>
  <c r="CD88" i="135"/>
  <c r="HC88" i="135" s="1"/>
  <c r="CQ56" i="135"/>
  <c r="CM56" i="135" s="1"/>
  <c r="BV56" i="135"/>
  <c r="CG56" i="135"/>
  <c r="CD56" i="135" s="1"/>
  <c r="HC56" i="135" s="1"/>
  <c r="BU56" i="135"/>
  <c r="HE56" i="135" s="1"/>
  <c r="CN83" i="135"/>
  <c r="HF83" i="135" s="1"/>
  <c r="CC25" i="135"/>
  <c r="BK46" i="135"/>
  <c r="HD46" i="135" s="1"/>
  <c r="BK41" i="135"/>
  <c r="HD41" i="135" s="1"/>
  <c r="CN47" i="135"/>
  <c r="HF47" i="135" s="1"/>
  <c r="BA80" i="135"/>
  <c r="CM74" i="135"/>
  <c r="BA89" i="135"/>
  <c r="BA51" i="135"/>
  <c r="BJ72" i="135"/>
  <c r="BK59" i="135"/>
  <c r="HD59" i="135" s="1"/>
  <c r="BJ91" i="135"/>
  <c r="BB46" i="135"/>
  <c r="HB46" i="135" s="1"/>
  <c r="M18" i="118" s="1"/>
  <c r="BJ75" i="135"/>
  <c r="BA25" i="135"/>
  <c r="BJ83" i="135"/>
  <c r="CD45" i="135"/>
  <c r="HC45" i="135" s="1"/>
  <c r="BA18" i="135"/>
  <c r="CN40" i="135"/>
  <c r="HF40" i="135" s="1"/>
  <c r="CM72" i="135"/>
  <c r="CM59" i="135"/>
  <c r="BK43" i="135"/>
  <c r="HD43" i="135" s="1"/>
  <c r="BA59" i="135"/>
  <c r="CD78" i="135"/>
  <c r="HC78" i="135" s="1"/>
  <c r="CC50" i="135"/>
  <c r="CG18" i="135"/>
  <c r="CC18" i="135" s="1"/>
  <c r="BB45" i="135"/>
  <c r="HB45" i="135" s="1"/>
  <c r="M17" i="118" s="1"/>
  <c r="BJ54" i="135"/>
  <c r="CN86" i="135"/>
  <c r="HF86" i="135" s="1"/>
  <c r="BK61" i="135"/>
  <c r="HD61" i="135" s="1"/>
  <c r="CN44" i="135"/>
  <c r="HF44" i="135" s="1"/>
  <c r="CC64" i="135"/>
  <c r="BK78" i="135"/>
  <c r="HD78" i="135" s="1"/>
  <c r="CD86" i="135"/>
  <c r="HC86" i="135" s="1"/>
  <c r="CM51" i="135"/>
  <c r="BJ64" i="135"/>
  <c r="CQ18" i="135"/>
  <c r="CN18" i="135" s="1"/>
  <c r="HF18" i="135" s="1"/>
  <c r="BJ90" i="135"/>
  <c r="CM73" i="135"/>
  <c r="CM45" i="135"/>
  <c r="BJ44" i="135"/>
  <c r="BJ97" i="135"/>
  <c r="BK85" i="135"/>
  <c r="HD85" i="135" s="1"/>
  <c r="BA70" i="135"/>
  <c r="BM18" i="135"/>
  <c r="BK18" i="135" s="1"/>
  <c r="HD18" i="135" s="1"/>
  <c r="BB76" i="135"/>
  <c r="HB76" i="135" s="1"/>
  <c r="M48" i="118" s="1"/>
  <c r="BB40" i="135"/>
  <c r="HB40" i="135" s="1"/>
  <c r="M12" i="118" s="1"/>
  <c r="BK65" i="135"/>
  <c r="HD65" i="135" s="1"/>
  <c r="BB90" i="135"/>
  <c r="HB90" i="135" s="1"/>
  <c r="M62" i="118" s="1"/>
  <c r="BK40" i="135"/>
  <c r="HD40" i="135" s="1"/>
  <c r="BJ66" i="135"/>
  <c r="CC66" i="135"/>
  <c r="CD48" i="135"/>
  <c r="HC48" i="135" s="1"/>
  <c r="CN48" i="135"/>
  <c r="HF48" i="135" s="1"/>
  <c r="CM65" i="135"/>
  <c r="AS31" i="135"/>
  <c r="BP31" i="135" s="1"/>
  <c r="AX31" i="135"/>
  <c r="BO31" i="135" s="1"/>
  <c r="AW31" i="135"/>
  <c r="BE31" i="135" s="1"/>
  <c r="CM76" i="135"/>
  <c r="CN76" i="135"/>
  <c r="HF76" i="135" s="1"/>
  <c r="AY31" i="135"/>
  <c r="CE31" i="135" s="1"/>
  <c r="BB53" i="135"/>
  <c r="HB53" i="135" s="1"/>
  <c r="M25" i="118" s="1"/>
  <c r="CM57" i="135"/>
  <c r="AV31" i="135"/>
  <c r="BY31" i="135" s="1"/>
  <c r="BX31" i="135" s="1"/>
  <c r="BU31" i="135" s="1"/>
  <c r="HE31" i="135" s="1"/>
  <c r="BK57" i="135"/>
  <c r="HD57" i="135" s="1"/>
  <c r="CN53" i="135"/>
  <c r="HF53" i="135" s="1"/>
  <c r="CC73" i="135"/>
  <c r="CD73" i="135"/>
  <c r="HC73" i="135" s="1"/>
  <c r="BJ73" i="135"/>
  <c r="BK73" i="135"/>
  <c r="HD73" i="135" s="1"/>
  <c r="AX12" i="135"/>
  <c r="CI12" i="135" s="1"/>
  <c r="AX10" i="135"/>
  <c r="AS10" i="135"/>
  <c r="BP10" i="135" s="1"/>
  <c r="CC53" i="135"/>
  <c r="BM53" i="135"/>
  <c r="BK53" i="135" s="1"/>
  <c r="HD53" i="135" s="1"/>
  <c r="AI10" i="135"/>
  <c r="AY10" i="135"/>
  <c r="CE10" i="135" s="1"/>
  <c r="AW10" i="135"/>
  <c r="AV10" i="135"/>
  <c r="CI22" i="135"/>
  <c r="CG22" i="135" s="1"/>
  <c r="BO22" i="135"/>
  <c r="BM22" i="135" s="1"/>
  <c r="BF22" i="135"/>
  <c r="BD22" i="135" s="1"/>
  <c r="CS22" i="135"/>
  <c r="CQ22" i="135" s="1"/>
  <c r="BN36" i="135"/>
  <c r="CH36" i="135"/>
  <c r="CG36" i="135" s="1"/>
  <c r="AW17" i="135"/>
  <c r="CR36" i="135"/>
  <c r="CQ36" i="135" s="1"/>
  <c r="AW12" i="135"/>
  <c r="BE36" i="135"/>
  <c r="BD36" i="135" s="1"/>
  <c r="AV12" i="135"/>
  <c r="AV17" i="135"/>
  <c r="CT36" i="135"/>
  <c r="CP36" i="135" s="1"/>
  <c r="BY36" i="135"/>
  <c r="BX36" i="135" s="1"/>
  <c r="CS13" i="135"/>
  <c r="CI13" i="135"/>
  <c r="BO13" i="135"/>
  <c r="BF13" i="135"/>
  <c r="BP36" i="135"/>
  <c r="AS17" i="135"/>
  <c r="BP17" i="135" s="1"/>
  <c r="AS12" i="135"/>
  <c r="BP12" i="135" s="1"/>
  <c r="CT13" i="135"/>
  <c r="CP13" i="135" s="1"/>
  <c r="BY13" i="135"/>
  <c r="BX13" i="135" s="1"/>
  <c r="AI24" i="135"/>
  <c r="AI13" i="135"/>
  <c r="AY12" i="135"/>
  <c r="CE12" i="135" s="1"/>
  <c r="CE36" i="135"/>
  <c r="AY17" i="135"/>
  <c r="CE17" i="135" s="1"/>
  <c r="BN13" i="135"/>
  <c r="BM13" i="135" s="1"/>
  <c r="BE13" i="135"/>
  <c r="BD13" i="135" s="1"/>
  <c r="CR13" i="135"/>
  <c r="CQ13" i="135" s="1"/>
  <c r="CH13" i="135"/>
  <c r="CG13" i="135" s="1"/>
  <c r="AI17" i="135"/>
  <c r="AI12" i="135"/>
  <c r="CH62" i="135"/>
  <c r="CR62" i="135"/>
  <c r="BE62" i="135"/>
  <c r="AW24" i="135"/>
  <c r="BN62" i="135"/>
  <c r="AX20" i="135"/>
  <c r="BF52" i="135"/>
  <c r="BD52" i="135" s="1"/>
  <c r="BO52" i="135"/>
  <c r="BM52" i="135" s="1"/>
  <c r="CI52" i="135"/>
  <c r="CG52" i="135" s="1"/>
  <c r="CS52" i="135"/>
  <c r="CQ52" i="135" s="1"/>
  <c r="AW19" i="135"/>
  <c r="BN42" i="135"/>
  <c r="CR42" i="135"/>
  <c r="CH42" i="135"/>
  <c r="BE42" i="135"/>
  <c r="BO23" i="135"/>
  <c r="BF23" i="135"/>
  <c r="CS23" i="135"/>
  <c r="CI23" i="135"/>
  <c r="BV53" i="135"/>
  <c r="BT53" i="135"/>
  <c r="BU53" i="135"/>
  <c r="HE53" i="135" s="1"/>
  <c r="BP62" i="135"/>
  <c r="AS24" i="135"/>
  <c r="BP24" i="135" s="1"/>
  <c r="BO55" i="135"/>
  <c r="BM55" i="135" s="1"/>
  <c r="AX21" i="135"/>
  <c r="CI55" i="135"/>
  <c r="CG55" i="135" s="1"/>
  <c r="CS55" i="135"/>
  <c r="CQ55" i="135" s="1"/>
  <c r="BF55" i="135"/>
  <c r="BD55" i="135" s="1"/>
  <c r="CT42" i="135"/>
  <c r="CP42" i="135" s="1"/>
  <c r="AV19" i="135"/>
  <c r="BY42" i="135"/>
  <c r="BX42" i="135" s="1"/>
  <c r="BF62" i="135"/>
  <c r="BO62" i="135"/>
  <c r="AX24" i="135"/>
  <c r="CI62" i="135"/>
  <c r="CS62" i="135"/>
  <c r="AV23" i="135"/>
  <c r="CT58" i="135"/>
  <c r="CP58" i="135" s="1"/>
  <c r="BY58" i="135"/>
  <c r="BX58" i="135" s="1"/>
  <c r="CH58" i="135"/>
  <c r="CG58" i="135" s="1"/>
  <c r="AW23" i="135"/>
  <c r="CR58" i="135"/>
  <c r="CQ58" i="135" s="1"/>
  <c r="BE58" i="135"/>
  <c r="BD58" i="135" s="1"/>
  <c r="BN58" i="135"/>
  <c r="CD57" i="135"/>
  <c r="HC57" i="135" s="1"/>
  <c r="CC57" i="135"/>
  <c r="CR20" i="135"/>
  <c r="CH20" i="135"/>
  <c r="BN20" i="135"/>
  <c r="BE20" i="135"/>
  <c r="CT62" i="135"/>
  <c r="CP62" i="135" s="1"/>
  <c r="AV24" i="135"/>
  <c r="BY62" i="135"/>
  <c r="BX62" i="135" s="1"/>
  <c r="CE42" i="135"/>
  <c r="AY19" i="135"/>
  <c r="CE19" i="135" s="1"/>
  <c r="BP58" i="135"/>
  <c r="AS23" i="135"/>
  <c r="BP23" i="135" s="1"/>
  <c r="BY20" i="135"/>
  <c r="BX20" i="135" s="1"/>
  <c r="CT20" i="135"/>
  <c r="CP20" i="135" s="1"/>
  <c r="CE62" i="135"/>
  <c r="AY24" i="135"/>
  <c r="CE24" i="135" s="1"/>
  <c r="BO42" i="135"/>
  <c r="AX19" i="135"/>
  <c r="CS42" i="135"/>
  <c r="BF42" i="135"/>
  <c r="CI42" i="135"/>
  <c r="BP42" i="135"/>
  <c r="AS19" i="135"/>
  <c r="BP19" i="135" s="1"/>
  <c r="AI19" i="135"/>
  <c r="CE58" i="135"/>
  <c r="AY23" i="135"/>
  <c r="CE23" i="135" s="1"/>
  <c r="BA57" i="135"/>
  <c r="BB57" i="135"/>
  <c r="HB57" i="135" s="1"/>
  <c r="M29" i="118" s="1"/>
  <c r="E393" i="253"/>
  <c r="F394" i="253"/>
  <c r="G394" i="253"/>
  <c r="H394" i="253"/>
  <c r="I394" i="253"/>
  <c r="BR392" i="253"/>
  <c r="BP392" i="253"/>
  <c r="B396" i="253"/>
  <c r="D395" i="253"/>
  <c r="BE33" i="135"/>
  <c r="BN33" i="135"/>
  <c r="CH33" i="135"/>
  <c r="CR33" i="135"/>
  <c r="AS33" i="135"/>
  <c r="BP33" i="135" s="1"/>
  <c r="AI33" i="135"/>
  <c r="AY33" i="135"/>
  <c r="CE33" i="135" s="1"/>
  <c r="AV33" i="135"/>
  <c r="BO33" i="135"/>
  <c r="BF33" i="135"/>
  <c r="CS33" i="135"/>
  <c r="CI33" i="135"/>
  <c r="AV33" i="109"/>
  <c r="AW26" i="109"/>
  <c r="AV22" i="109"/>
  <c r="B5" i="178"/>
  <c r="D5" i="178" s="1"/>
  <c r="CH31" i="135" l="1"/>
  <c r="CD18" i="135"/>
  <c r="HC18" i="135" s="1"/>
  <c r="CC56" i="135"/>
  <c r="BB56" i="135"/>
  <c r="HB56" i="135" s="1"/>
  <c r="M28" i="118" s="1"/>
  <c r="CN56" i="135"/>
  <c r="HF56" i="135" s="1"/>
  <c r="BK56" i="135"/>
  <c r="HD56" i="135" s="1"/>
  <c r="BJ18" i="135"/>
  <c r="CM18" i="135"/>
  <c r="BV31" i="135"/>
  <c r="CT31" i="135"/>
  <c r="CP31" i="135" s="1"/>
  <c r="BN31" i="135"/>
  <c r="BM31" i="135" s="1"/>
  <c r="BK31" i="135" s="1"/>
  <c r="HD31" i="135" s="1"/>
  <c r="CR31" i="135"/>
  <c r="BT31" i="135"/>
  <c r="BF12" i="135"/>
  <c r="BO12" i="135"/>
  <c r="CS12" i="135"/>
  <c r="BF31" i="135"/>
  <c r="BD31" i="135" s="1"/>
  <c r="BB31" i="135" s="1"/>
  <c r="HB31" i="135" s="1"/>
  <c r="CS31" i="135"/>
  <c r="CI31" i="135"/>
  <c r="BJ53" i="135"/>
  <c r="CT10" i="135"/>
  <c r="CP10" i="135" s="1"/>
  <c r="BY10" i="135"/>
  <c r="BX10" i="135" s="1"/>
  <c r="BO10" i="135"/>
  <c r="BF10" i="135"/>
  <c r="CI10" i="135"/>
  <c r="CS10" i="135"/>
  <c r="BN10" i="135"/>
  <c r="BE10" i="135"/>
  <c r="BD10" i="135" s="1"/>
  <c r="CH10" i="135"/>
  <c r="CG10" i="135" s="1"/>
  <c r="CR10" i="135"/>
  <c r="CQ10" i="135" s="1"/>
  <c r="CM22" i="135"/>
  <c r="CN22" i="135"/>
  <c r="HF22" i="135" s="1"/>
  <c r="BB22" i="135"/>
  <c r="HB22" i="135" s="1"/>
  <c r="BA22" i="135"/>
  <c r="BJ22" i="135"/>
  <c r="BK22" i="135"/>
  <c r="HD22" i="135" s="1"/>
  <c r="CC22" i="135"/>
  <c r="CD22" i="135"/>
  <c r="HC22" i="135" s="1"/>
  <c r="CN13" i="135"/>
  <c r="HF13" i="135" s="1"/>
  <c r="CM13" i="135"/>
  <c r="BT13" i="135"/>
  <c r="BU13" i="135"/>
  <c r="HE13" i="135" s="1"/>
  <c r="BV13" i="135"/>
  <c r="BY12" i="135"/>
  <c r="BX12" i="135" s="1"/>
  <c r="CT12" i="135"/>
  <c r="CP12" i="135" s="1"/>
  <c r="BN17" i="135"/>
  <c r="BM17" i="135" s="1"/>
  <c r="BE17" i="135"/>
  <c r="BD17" i="135" s="1"/>
  <c r="CR17" i="135"/>
  <c r="CQ17" i="135" s="1"/>
  <c r="CH17" i="135"/>
  <c r="CG17" i="135" s="1"/>
  <c r="BA13" i="135"/>
  <c r="BB13" i="135"/>
  <c r="HB13" i="135" s="1"/>
  <c r="BV36" i="135"/>
  <c r="BU36" i="135"/>
  <c r="HE36" i="135" s="1"/>
  <c r="BT36" i="135"/>
  <c r="BA36" i="135"/>
  <c r="BB36" i="135"/>
  <c r="HB36" i="135" s="1"/>
  <c r="M8" i="118" s="1"/>
  <c r="CD36" i="135"/>
  <c r="HC36" i="135" s="1"/>
  <c r="CC36" i="135"/>
  <c r="BJ13" i="135"/>
  <c r="BK13" i="135"/>
  <c r="HD13" i="135" s="1"/>
  <c r="CR12" i="135"/>
  <c r="BN12" i="135"/>
  <c r="BE12" i="135"/>
  <c r="CH12" i="135"/>
  <c r="CG12" i="135" s="1"/>
  <c r="BM36" i="135"/>
  <c r="CC13" i="135"/>
  <c r="CD13" i="135"/>
  <c r="HC13" i="135" s="1"/>
  <c r="BY17" i="135"/>
  <c r="BX17" i="135" s="1"/>
  <c r="CT17" i="135"/>
  <c r="CP17" i="135" s="1"/>
  <c r="CM36" i="135"/>
  <c r="CN36" i="135"/>
  <c r="HF36" i="135" s="1"/>
  <c r="BT62" i="135"/>
  <c r="BU62" i="135"/>
  <c r="HE62" i="135" s="1"/>
  <c r="BV62" i="135"/>
  <c r="BN23" i="135"/>
  <c r="BM23" i="135" s="1"/>
  <c r="BE23" i="135"/>
  <c r="BD23" i="135" s="1"/>
  <c r="CR23" i="135"/>
  <c r="CQ23" i="135" s="1"/>
  <c r="CH23" i="135"/>
  <c r="CG23" i="135" s="1"/>
  <c r="CT23" i="135"/>
  <c r="CP23" i="135" s="1"/>
  <c r="BY23" i="135"/>
  <c r="BX23" i="135" s="1"/>
  <c r="BY19" i="135"/>
  <c r="BX19" i="135" s="1"/>
  <c r="CT19" i="135"/>
  <c r="CP19" i="135" s="1"/>
  <c r="CD55" i="135"/>
  <c r="HC55" i="135" s="1"/>
  <c r="CC55" i="135"/>
  <c r="BM42" i="135"/>
  <c r="BJ52" i="135"/>
  <c r="BK52" i="135"/>
  <c r="HD52" i="135" s="1"/>
  <c r="BN24" i="135"/>
  <c r="BE24" i="135"/>
  <c r="CH24" i="135"/>
  <c r="CR24" i="135"/>
  <c r="BO19" i="135"/>
  <c r="BF19" i="135"/>
  <c r="CS19" i="135"/>
  <c r="CI19" i="135"/>
  <c r="CT24" i="135"/>
  <c r="CP24" i="135" s="1"/>
  <c r="BY24" i="135"/>
  <c r="BX24" i="135" s="1"/>
  <c r="BM58" i="135"/>
  <c r="CC58" i="135"/>
  <c r="CD58" i="135"/>
  <c r="HC58" i="135" s="1"/>
  <c r="BO21" i="135"/>
  <c r="BM21" i="135" s="1"/>
  <c r="BF21" i="135"/>
  <c r="BD21" i="135" s="1"/>
  <c r="CI21" i="135"/>
  <c r="CG21" i="135" s="1"/>
  <c r="CS21" i="135"/>
  <c r="CQ21" i="135" s="1"/>
  <c r="BD42" i="135"/>
  <c r="CR19" i="135"/>
  <c r="CQ19" i="135" s="1"/>
  <c r="CH19" i="135"/>
  <c r="CG19" i="135" s="1"/>
  <c r="BN19" i="135"/>
  <c r="BM19" i="135" s="1"/>
  <c r="BE19" i="135"/>
  <c r="BD19" i="135" s="1"/>
  <c r="BB52" i="135"/>
  <c r="HB52" i="135" s="1"/>
  <c r="M24" i="118" s="1"/>
  <c r="BA52" i="135"/>
  <c r="BD62" i="135"/>
  <c r="BU20" i="135"/>
  <c r="HE20" i="135" s="1"/>
  <c r="BT20" i="135"/>
  <c r="BV20" i="135"/>
  <c r="BA58" i="135"/>
  <c r="BB58" i="135"/>
  <c r="HB58" i="135" s="1"/>
  <c r="M30" i="118" s="1"/>
  <c r="BT58" i="135"/>
  <c r="BV58" i="135"/>
  <c r="BU58" i="135"/>
  <c r="HE58" i="135" s="1"/>
  <c r="BA55" i="135"/>
  <c r="BB55" i="135"/>
  <c r="HB55" i="135" s="1"/>
  <c r="M27" i="118" s="1"/>
  <c r="BK55" i="135"/>
  <c r="HD55" i="135" s="1"/>
  <c r="BJ55" i="135"/>
  <c r="CG42" i="135"/>
  <c r="CN52" i="135"/>
  <c r="HF52" i="135" s="1"/>
  <c r="CM52" i="135"/>
  <c r="BO20" i="135"/>
  <c r="BM20" i="135" s="1"/>
  <c r="BF20" i="135"/>
  <c r="CI20" i="135"/>
  <c r="CG20" i="135" s="1"/>
  <c r="CS20" i="135"/>
  <c r="CQ20" i="135" s="1"/>
  <c r="CQ62" i="135"/>
  <c r="BD20" i="135"/>
  <c r="CN58" i="135"/>
  <c r="HF58" i="135" s="1"/>
  <c r="CM58" i="135"/>
  <c r="BO24" i="135"/>
  <c r="BF24" i="135"/>
  <c r="CS24" i="135"/>
  <c r="CI24" i="135"/>
  <c r="BV42" i="135"/>
  <c r="BT42" i="135"/>
  <c r="BU42" i="135"/>
  <c r="HE42" i="135" s="1"/>
  <c r="CN55" i="135"/>
  <c r="HF55" i="135" s="1"/>
  <c r="CM55" i="135"/>
  <c r="CQ42" i="135"/>
  <c r="CD52" i="135"/>
  <c r="HC52" i="135" s="1"/>
  <c r="CC52" i="135"/>
  <c r="BM62" i="135"/>
  <c r="CG62" i="135"/>
  <c r="E394" i="253"/>
  <c r="BR394" i="253" s="1"/>
  <c r="D396" i="253"/>
  <c r="B397" i="253"/>
  <c r="H395" i="253"/>
  <c r="F395" i="253"/>
  <c r="I395" i="253"/>
  <c r="G395" i="253"/>
  <c r="BR393" i="253"/>
  <c r="BP393" i="253"/>
  <c r="CG33" i="135"/>
  <c r="CC33" i="135" s="1"/>
  <c r="BD33" i="135"/>
  <c r="BA33" i="135" s="1"/>
  <c r="CQ33" i="135"/>
  <c r="BM33" i="135"/>
  <c r="BJ33" i="135" s="1"/>
  <c r="CT33" i="135"/>
  <c r="CP33" i="135" s="1"/>
  <c r="BY33" i="135"/>
  <c r="BX33" i="135" s="1"/>
  <c r="AX26" i="109"/>
  <c r="AW33" i="109"/>
  <c r="AW22" i="109"/>
  <c r="BM10" i="135" l="1"/>
  <c r="BK10" i="135" s="1"/>
  <c r="HD10" i="135" s="1"/>
  <c r="CG31" i="135"/>
  <c r="CC31" i="135" s="1"/>
  <c r="BJ31" i="135"/>
  <c r="BP394" i="253"/>
  <c r="CQ31" i="135"/>
  <c r="CM31" i="135" s="1"/>
  <c r="BA31" i="135"/>
  <c r="BM12" i="135"/>
  <c r="BK12" i="135" s="1"/>
  <c r="HD12" i="135" s="1"/>
  <c r="CQ12" i="135"/>
  <c r="CN12" i="135" s="1"/>
  <c r="HF12" i="135" s="1"/>
  <c r="BD12" i="135"/>
  <c r="BA12" i="135" s="1"/>
  <c r="BB10" i="135"/>
  <c r="HB10" i="135" s="1"/>
  <c r="BA10" i="135"/>
  <c r="BJ10" i="135"/>
  <c r="CN10" i="135"/>
  <c r="HF10" i="135" s="1"/>
  <c r="CM10" i="135"/>
  <c r="BT10" i="135"/>
  <c r="BU10" i="135"/>
  <c r="HE10" i="135" s="1"/>
  <c r="BV10" i="135"/>
  <c r="CC10" i="135"/>
  <c r="CD10" i="135"/>
  <c r="HC10" i="135" s="1"/>
  <c r="BK17" i="135"/>
  <c r="HD17" i="135" s="1"/>
  <c r="BJ17" i="135"/>
  <c r="BK36" i="135"/>
  <c r="HD36" i="135" s="1"/>
  <c r="BJ36" i="135"/>
  <c r="CD17" i="135"/>
  <c r="HC17" i="135" s="1"/>
  <c r="CC17" i="135"/>
  <c r="BV17" i="135"/>
  <c r="BU17" i="135"/>
  <c r="HE17" i="135" s="1"/>
  <c r="BT17" i="135"/>
  <c r="CD12" i="135"/>
  <c r="HC12" i="135" s="1"/>
  <c r="CC12" i="135"/>
  <c r="CN17" i="135"/>
  <c r="HF17" i="135" s="1"/>
  <c r="CM17" i="135"/>
  <c r="BT12" i="135"/>
  <c r="BU12" i="135"/>
  <c r="HE12" i="135" s="1"/>
  <c r="BV12" i="135"/>
  <c r="BB17" i="135"/>
  <c r="HB17" i="135" s="1"/>
  <c r="BA17" i="135"/>
  <c r="BK20" i="135"/>
  <c r="HD20" i="135" s="1"/>
  <c r="BJ20" i="135"/>
  <c r="CM20" i="135"/>
  <c r="CN20" i="135"/>
  <c r="HF20" i="135" s="1"/>
  <c r="CD20" i="135"/>
  <c r="HC20" i="135" s="1"/>
  <c r="CC20" i="135"/>
  <c r="BB19" i="135"/>
  <c r="HB19" i="135" s="1"/>
  <c r="BA19" i="135"/>
  <c r="BB42" i="135"/>
  <c r="HB42" i="135" s="1"/>
  <c r="M14" i="118" s="1"/>
  <c r="BA42" i="135"/>
  <c r="BK21" i="135"/>
  <c r="HD21" i="135" s="1"/>
  <c r="BJ21" i="135"/>
  <c r="CG24" i="135"/>
  <c r="CC23" i="135"/>
  <c r="CD23" i="135"/>
  <c r="HC23" i="135" s="1"/>
  <c r="CC62" i="135"/>
  <c r="CD62" i="135"/>
  <c r="HC62" i="135" s="1"/>
  <c r="CM42" i="135"/>
  <c r="CN42" i="135"/>
  <c r="HF42" i="135" s="1"/>
  <c r="BB20" i="135"/>
  <c r="HB20" i="135" s="1"/>
  <c r="BA20" i="135"/>
  <c r="CD42" i="135"/>
  <c r="HC42" i="135" s="1"/>
  <c r="CC42" i="135"/>
  <c r="BB62" i="135"/>
  <c r="HB62" i="135" s="1"/>
  <c r="M34" i="118" s="1"/>
  <c r="BA62" i="135"/>
  <c r="BK19" i="135"/>
  <c r="HD19" i="135" s="1"/>
  <c r="BJ19" i="135"/>
  <c r="CM21" i="135"/>
  <c r="CN21" i="135"/>
  <c r="HF21" i="135" s="1"/>
  <c r="BT24" i="135"/>
  <c r="BU24" i="135"/>
  <c r="HE24" i="135" s="1"/>
  <c r="BV24" i="135"/>
  <c r="BD24" i="135"/>
  <c r="BJ42" i="135"/>
  <c r="BK42" i="135"/>
  <c r="HD42" i="135" s="1"/>
  <c r="BU19" i="135"/>
  <c r="HE19" i="135" s="1"/>
  <c r="BT19" i="135"/>
  <c r="BV19" i="135"/>
  <c r="CN23" i="135"/>
  <c r="HF23" i="135" s="1"/>
  <c r="CM23" i="135"/>
  <c r="BJ62" i="135"/>
  <c r="BK62" i="135"/>
  <c r="HD62" i="135" s="1"/>
  <c r="CN62" i="135"/>
  <c r="HF62" i="135" s="1"/>
  <c r="CM62" i="135"/>
  <c r="CD19" i="135"/>
  <c r="HC19" i="135" s="1"/>
  <c r="CC19" i="135"/>
  <c r="CD21" i="135"/>
  <c r="HC21" i="135" s="1"/>
  <c r="CC21" i="135"/>
  <c r="BM24" i="135"/>
  <c r="BT23" i="135"/>
  <c r="BU23" i="135"/>
  <c r="HE23" i="135" s="1"/>
  <c r="BV23" i="135"/>
  <c r="BB23" i="135"/>
  <c r="HB23" i="135" s="1"/>
  <c r="BA23" i="135"/>
  <c r="CM19" i="135"/>
  <c r="CN19" i="135"/>
  <c r="HF19" i="135" s="1"/>
  <c r="BB21" i="135"/>
  <c r="HB21" i="135" s="1"/>
  <c r="BA21" i="135"/>
  <c r="BK58" i="135"/>
  <c r="HD58" i="135" s="1"/>
  <c r="BJ58" i="135"/>
  <c r="CQ24" i="135"/>
  <c r="BK23" i="135"/>
  <c r="HD23" i="135" s="1"/>
  <c r="BJ23" i="135"/>
  <c r="BB33" i="135"/>
  <c r="HB33" i="135" s="1"/>
  <c r="E395" i="253"/>
  <c r="D397" i="253"/>
  <c r="B398" i="253"/>
  <c r="F396" i="253"/>
  <c r="G396" i="253"/>
  <c r="H396" i="253"/>
  <c r="I396" i="253"/>
  <c r="CD33" i="135"/>
  <c r="HC33" i="135" s="1"/>
  <c r="CN33" i="135"/>
  <c r="HF33" i="135" s="1"/>
  <c r="BK33" i="135"/>
  <c r="HD33" i="135" s="1"/>
  <c r="CM33" i="135"/>
  <c r="BV33" i="135"/>
  <c r="BU33" i="135"/>
  <c r="HE33" i="135" s="1"/>
  <c r="BT33" i="135"/>
  <c r="AX33" i="109"/>
  <c r="AY26" i="109"/>
  <c r="AZ26" i="109" s="1"/>
  <c r="AX22" i="109"/>
  <c r="CD31" i="135" l="1"/>
  <c r="HC31" i="135" s="1"/>
  <c r="CN31" i="135"/>
  <c r="HF31" i="135" s="1"/>
  <c r="BJ12" i="135"/>
  <c r="BB12" i="135"/>
  <c r="HB12" i="135" s="1"/>
  <c r="CM12" i="135"/>
  <c r="BK24" i="135"/>
  <c r="HD24" i="135" s="1"/>
  <c r="BJ24" i="135"/>
  <c r="CN24" i="135"/>
  <c r="HF24" i="135" s="1"/>
  <c r="CM24" i="135"/>
  <c r="BB24" i="135"/>
  <c r="HB24" i="135" s="1"/>
  <c r="BA24" i="135"/>
  <c r="CC24" i="135"/>
  <c r="CD24" i="135"/>
  <c r="HC24" i="135" s="1"/>
  <c r="E396" i="253"/>
  <c r="D398" i="253"/>
  <c r="B399" i="253"/>
  <c r="I397" i="253"/>
  <c r="H397" i="253"/>
  <c r="F397" i="253"/>
  <c r="G397" i="253"/>
  <c r="BP395" i="253"/>
  <c r="BR395" i="253"/>
  <c r="BA26" i="109"/>
  <c r="AZ33" i="109"/>
  <c r="AY33" i="109"/>
  <c r="AY22" i="109"/>
  <c r="AZ22" i="109" s="1"/>
  <c r="D399" i="253" l="1"/>
  <c r="B400" i="253"/>
  <c r="E397" i="253"/>
  <c r="H398" i="253"/>
  <c r="F398" i="253"/>
  <c r="I398" i="253"/>
  <c r="G398" i="253"/>
  <c r="BR396" i="253"/>
  <c r="BP396" i="253"/>
  <c r="BB26" i="109"/>
  <c r="BA33" i="109"/>
  <c r="BA22" i="109"/>
  <c r="BP397" i="253" l="1"/>
  <c r="BR397" i="253"/>
  <c r="B401" i="253"/>
  <c r="D400" i="253"/>
  <c r="E398" i="253"/>
  <c r="H399" i="253"/>
  <c r="I399" i="253"/>
  <c r="G399" i="253"/>
  <c r="F399" i="253"/>
  <c r="BB33" i="109"/>
  <c r="BC26" i="109"/>
  <c r="BB22" i="109"/>
  <c r="G400" i="253" l="1"/>
  <c r="H400" i="253"/>
  <c r="F400" i="253"/>
  <c r="I400" i="253"/>
  <c r="D401" i="253"/>
  <c r="B402" i="253"/>
  <c r="E399" i="253"/>
  <c r="BR398" i="253"/>
  <c r="BP398" i="253"/>
  <c r="BD26" i="109"/>
  <c r="BC33" i="109"/>
  <c r="BC22" i="109"/>
  <c r="BP399" i="253" l="1"/>
  <c r="BR399" i="253"/>
  <c r="E400" i="253"/>
  <c r="B403" i="253"/>
  <c r="D402" i="253"/>
  <c r="G401" i="253"/>
  <c r="H401" i="253"/>
  <c r="I401" i="253"/>
  <c r="F401" i="253"/>
  <c r="BE26" i="109"/>
  <c r="BD33" i="109"/>
  <c r="BD22" i="109"/>
  <c r="BR400" i="253" l="1"/>
  <c r="BP400" i="253"/>
  <c r="D403" i="253"/>
  <c r="B404" i="253"/>
  <c r="E401" i="253"/>
  <c r="F402" i="253"/>
  <c r="I402" i="253"/>
  <c r="G402" i="253"/>
  <c r="H402" i="253"/>
  <c r="BF26" i="109"/>
  <c r="BE33" i="109"/>
  <c r="BE22" i="109"/>
  <c r="E402" i="253" l="1"/>
  <c r="BR402" i="253" s="1"/>
  <c r="BP401" i="253"/>
  <c r="BR401" i="253"/>
  <c r="B405" i="253"/>
  <c r="D404" i="253"/>
  <c r="H403" i="253"/>
  <c r="F403" i="253"/>
  <c r="I403" i="253"/>
  <c r="G403" i="253"/>
  <c r="BF33" i="109"/>
  <c r="BG26" i="109"/>
  <c r="BF22" i="109"/>
  <c r="BP402" i="253" l="1"/>
  <c r="E403" i="253"/>
  <c r="BR403" i="253" s="1"/>
  <c r="H404" i="253"/>
  <c r="F404" i="253"/>
  <c r="I404" i="253"/>
  <c r="G404" i="253"/>
  <c r="D405" i="253"/>
  <c r="B406" i="253"/>
  <c r="BH26" i="109"/>
  <c r="BG33" i="109"/>
  <c r="BG22" i="109"/>
  <c r="BP403" i="253" l="1"/>
  <c r="I405" i="253"/>
  <c r="G405" i="253"/>
  <c r="H405" i="253"/>
  <c r="F405" i="253"/>
  <c r="D406" i="253"/>
  <c r="B407" i="253"/>
  <c r="E404" i="253"/>
  <c r="BI26" i="109"/>
  <c r="BH33" i="109"/>
  <c r="BH22" i="109"/>
  <c r="D407" i="253" l="1"/>
  <c r="B408" i="253"/>
  <c r="E405" i="253"/>
  <c r="BP404" i="253"/>
  <c r="BR404" i="253"/>
  <c r="G406" i="253"/>
  <c r="H406" i="253"/>
  <c r="F406" i="253"/>
  <c r="I406" i="253"/>
  <c r="BJ26" i="109"/>
  <c r="BI33" i="109"/>
  <c r="BI22" i="109"/>
  <c r="D408" i="253" l="1"/>
  <c r="B409" i="253"/>
  <c r="E406" i="253"/>
  <c r="BR405" i="253"/>
  <c r="BP405" i="253"/>
  <c r="G407" i="253"/>
  <c r="I407" i="253"/>
  <c r="H407" i="253"/>
  <c r="F407" i="253"/>
  <c r="BK26" i="109"/>
  <c r="BK33" i="109" s="1"/>
  <c r="BJ33" i="109"/>
  <c r="BJ22" i="109"/>
  <c r="BP406" i="253" l="1"/>
  <c r="BR406" i="253"/>
  <c r="D409" i="253"/>
  <c r="B410" i="253"/>
  <c r="E407" i="253"/>
  <c r="G408" i="253"/>
  <c r="H408" i="253"/>
  <c r="F408" i="253"/>
  <c r="I408" i="253"/>
  <c r="BK22" i="109"/>
  <c r="E408" i="253" l="1"/>
  <c r="B411" i="253"/>
  <c r="D410" i="253"/>
  <c r="F409" i="253"/>
  <c r="G409" i="253"/>
  <c r="H409" i="253"/>
  <c r="I409" i="253"/>
  <c r="BR407" i="253"/>
  <c r="BP407" i="253"/>
  <c r="D411" i="253" l="1"/>
  <c r="B412" i="253"/>
  <c r="E409" i="253"/>
  <c r="I410" i="253"/>
  <c r="G410" i="253"/>
  <c r="H410" i="253"/>
  <c r="F410" i="253"/>
  <c r="BR408" i="253"/>
  <c r="BP408" i="253"/>
  <c r="E410" i="253" l="1"/>
  <c r="BR409" i="253"/>
  <c r="BP409" i="253"/>
  <c r="B413" i="253"/>
  <c r="D412" i="253"/>
  <c r="I411" i="253"/>
  <c r="H411" i="253"/>
  <c r="F411" i="253"/>
  <c r="G411" i="253"/>
  <c r="E411" i="253" l="1"/>
  <c r="BP411" i="253" s="1"/>
  <c r="B414" i="253"/>
  <c r="D413" i="253"/>
  <c r="I412" i="253"/>
  <c r="F412" i="253"/>
  <c r="G412" i="253"/>
  <c r="H412" i="253"/>
  <c r="BP410" i="253"/>
  <c r="BR410" i="253"/>
  <c r="BR411" i="253" l="1"/>
  <c r="I413" i="253"/>
  <c r="H413" i="253"/>
  <c r="F413" i="253"/>
  <c r="G413" i="253"/>
  <c r="D414" i="253"/>
  <c r="B415" i="253"/>
  <c r="E412" i="253"/>
  <c r="D415" i="253" l="1"/>
  <c r="B416" i="253"/>
  <c r="BR412" i="253"/>
  <c r="BP412" i="253"/>
  <c r="E413" i="253"/>
  <c r="F414" i="253"/>
  <c r="I414" i="253"/>
  <c r="G414" i="253"/>
  <c r="H414" i="253"/>
  <c r="E414" i="253" l="1"/>
  <c r="BP414" i="253" s="1"/>
  <c r="D416" i="253"/>
  <c r="B417" i="253"/>
  <c r="BR413" i="253"/>
  <c r="BP413" i="253"/>
  <c r="I415" i="253"/>
  <c r="G415" i="253"/>
  <c r="H415" i="253"/>
  <c r="F415" i="253"/>
  <c r="BR414" i="253" l="1"/>
  <c r="B418" i="253"/>
  <c r="D417" i="253"/>
  <c r="G416" i="253"/>
  <c r="H416" i="253"/>
  <c r="F416" i="253"/>
  <c r="I416" i="253"/>
  <c r="E415" i="253"/>
  <c r="N94" i="250" l="1"/>
  <c r="N95" i="250"/>
  <c r="BR415" i="253"/>
  <c r="BP415" i="253"/>
  <c r="I417" i="253"/>
  <c r="H417" i="253"/>
  <c r="G417" i="253"/>
  <c r="F417" i="253"/>
  <c r="E416" i="253"/>
  <c r="B419" i="253"/>
  <c r="D418" i="253"/>
  <c r="M14" i="250"/>
  <c r="E417" i="253" l="1"/>
  <c r="D419" i="253"/>
  <c r="B420" i="253"/>
  <c r="BR416" i="253"/>
  <c r="BP416" i="253"/>
  <c r="F418" i="253"/>
  <c r="I418" i="253"/>
  <c r="H418" i="253"/>
  <c r="G418" i="253"/>
  <c r="N115" i="250"/>
  <c r="M15" i="250"/>
  <c r="D420" i="253" l="1"/>
  <c r="B421" i="253"/>
  <c r="E418" i="253"/>
  <c r="I419" i="253"/>
  <c r="H419" i="253"/>
  <c r="G419" i="253"/>
  <c r="F419" i="253"/>
  <c r="BP417" i="253"/>
  <c r="BR417" i="253"/>
  <c r="M13" i="250"/>
  <c r="M97" i="250"/>
  <c r="N116" i="250"/>
  <c r="E419" i="253" l="1"/>
  <c r="BR418" i="253"/>
  <c r="BP418" i="253"/>
  <c r="D421" i="253"/>
  <c r="B422" i="253"/>
  <c r="F420" i="253"/>
  <c r="I420" i="253"/>
  <c r="H420" i="253"/>
  <c r="G420" i="253"/>
  <c r="M96" i="250"/>
  <c r="M184" i="250"/>
  <c r="M245" i="250"/>
  <c r="M53" i="250"/>
  <c r="M223" i="250"/>
  <c r="M52" i="250"/>
  <c r="M204" i="250"/>
  <c r="M49" i="250"/>
  <c r="M185" i="250"/>
  <c r="M54" i="250"/>
  <c r="M166" i="250"/>
  <c r="M50" i="250"/>
  <c r="M147" i="250"/>
  <c r="M48" i="250"/>
  <c r="M118" i="250"/>
  <c r="M51" i="250"/>
  <c r="M98" i="250"/>
  <c r="N98" i="250" l="1"/>
  <c r="M27" i="250"/>
  <c r="T27" i="250" s="1"/>
  <c r="I421" i="253"/>
  <c r="F421" i="253"/>
  <c r="H421" i="253"/>
  <c r="G421" i="253"/>
  <c r="E420" i="253"/>
  <c r="B423" i="253"/>
  <c r="D422" i="253"/>
  <c r="BR419" i="253"/>
  <c r="BP419" i="253"/>
  <c r="M165" i="250"/>
  <c r="M246" i="250"/>
  <c r="N245" i="250"/>
  <c r="N136" i="250"/>
  <c r="M74" i="250"/>
  <c r="M224" i="250"/>
  <c r="N223" i="250"/>
  <c r="N204" i="250"/>
  <c r="N52" i="250"/>
  <c r="M73" i="250"/>
  <c r="M205" i="250"/>
  <c r="N184" i="250"/>
  <c r="N185" i="250"/>
  <c r="M70" i="250"/>
  <c r="M186" i="250"/>
  <c r="N166" i="250"/>
  <c r="M75" i="250"/>
  <c r="M167" i="250"/>
  <c r="M71" i="250"/>
  <c r="M148" i="250"/>
  <c r="M69" i="250"/>
  <c r="M119" i="250"/>
  <c r="M72" i="250"/>
  <c r="E421" i="253" l="1"/>
  <c r="BR421" i="253" s="1"/>
  <c r="D423" i="253"/>
  <c r="B424" i="253"/>
  <c r="F422" i="253"/>
  <c r="G422" i="253"/>
  <c r="I422" i="253"/>
  <c r="H422" i="253"/>
  <c r="BR420" i="253"/>
  <c r="BP420" i="253"/>
  <c r="M25" i="250"/>
  <c r="T25" i="250" s="1"/>
  <c r="M244" i="250"/>
  <c r="N244" i="250" s="1"/>
  <c r="M32" i="250"/>
  <c r="T32" i="250" s="1"/>
  <c r="N246" i="250"/>
  <c r="N73" i="250"/>
  <c r="N224" i="250"/>
  <c r="N205" i="250"/>
  <c r="N70" i="250"/>
  <c r="N186" i="250"/>
  <c r="N167" i="250"/>
  <c r="M194" i="250"/>
  <c r="N53" i="250"/>
  <c r="N74" i="250"/>
  <c r="BP421" i="253" l="1"/>
  <c r="N32" i="250"/>
  <c r="E422" i="253"/>
  <c r="D424" i="253"/>
  <c r="B425" i="253"/>
  <c r="G423" i="253"/>
  <c r="F423" i="253"/>
  <c r="H423" i="253"/>
  <c r="I423" i="253"/>
  <c r="M30" i="250"/>
  <c r="T30" i="250" s="1"/>
  <c r="M24" i="250"/>
  <c r="T24" i="250" s="1"/>
  <c r="M117" i="250"/>
  <c r="M175" i="250"/>
  <c r="M254" i="250"/>
  <c r="M127" i="250"/>
  <c r="M232" i="250"/>
  <c r="M213" i="250"/>
  <c r="M156" i="250"/>
  <c r="M106" i="250"/>
  <c r="N54" i="250"/>
  <c r="N49" i="250" l="1"/>
  <c r="N117" i="250"/>
  <c r="N25" i="250"/>
  <c r="G424" i="253"/>
  <c r="H424" i="253"/>
  <c r="I424" i="253"/>
  <c r="F424" i="253"/>
  <c r="B426" i="253"/>
  <c r="D425" i="253"/>
  <c r="E423" i="253"/>
  <c r="BP422" i="253"/>
  <c r="BR422" i="253"/>
  <c r="M229" i="250"/>
  <c r="M203" i="250"/>
  <c r="N203" i="250" s="1"/>
  <c r="M28" i="250"/>
  <c r="T28" i="250" s="1"/>
  <c r="M29" i="250"/>
  <c r="T29" i="250" s="1"/>
  <c r="M222" i="250"/>
  <c r="N118" i="250"/>
  <c r="N119" i="250"/>
  <c r="M62" i="250"/>
  <c r="M174" i="250"/>
  <c r="M104" i="250"/>
  <c r="M176" i="250"/>
  <c r="M252" i="250"/>
  <c r="M195" i="250"/>
  <c r="M173" i="250"/>
  <c r="M172" i="250"/>
  <c r="M125" i="250"/>
  <c r="M193" i="250"/>
  <c r="M105" i="250"/>
  <c r="M126" i="250"/>
  <c r="M191" i="250"/>
  <c r="M255" i="250"/>
  <c r="M128" i="250"/>
  <c r="M107" i="250"/>
  <c r="M251" i="250"/>
  <c r="M192" i="250"/>
  <c r="M253" i="250"/>
  <c r="M124" i="250"/>
  <c r="M103" i="250"/>
  <c r="N75" i="250"/>
  <c r="N28" i="250" l="1"/>
  <c r="E424" i="253"/>
  <c r="BR424" i="253" s="1"/>
  <c r="BP423" i="253"/>
  <c r="BR423" i="253"/>
  <c r="I425" i="253"/>
  <c r="F425" i="253"/>
  <c r="H425" i="253"/>
  <c r="G425" i="253"/>
  <c r="D426" i="253"/>
  <c r="B427" i="253"/>
  <c r="M230" i="250"/>
  <c r="M214" i="250"/>
  <c r="M211" i="250"/>
  <c r="M233" i="250"/>
  <c r="M231" i="250"/>
  <c r="M212" i="250"/>
  <c r="N29" i="250"/>
  <c r="N222" i="250"/>
  <c r="M210" i="250"/>
  <c r="N71" i="250"/>
  <c r="N148" i="250"/>
  <c r="N50" i="250"/>
  <c r="N147" i="250"/>
  <c r="M41" i="250"/>
  <c r="BP424" i="253" l="1"/>
  <c r="D427" i="253"/>
  <c r="B428" i="253"/>
  <c r="E425" i="253"/>
  <c r="G426" i="253"/>
  <c r="H426" i="253"/>
  <c r="I426" i="253"/>
  <c r="F426" i="253"/>
  <c r="E426" i="253" l="1"/>
  <c r="BR425" i="253"/>
  <c r="BP425" i="253"/>
  <c r="B429" i="253"/>
  <c r="D428" i="253"/>
  <c r="I427" i="253"/>
  <c r="H427" i="253"/>
  <c r="G427" i="253"/>
  <c r="F427" i="253"/>
  <c r="L64" i="250"/>
  <c r="N69" i="250"/>
  <c r="L57" i="250" l="1"/>
  <c r="N97" i="250"/>
  <c r="L43" i="250"/>
  <c r="S78" i="250"/>
  <c r="B430" i="253"/>
  <c r="D429" i="253"/>
  <c r="E427" i="253"/>
  <c r="I428" i="253"/>
  <c r="H428" i="253"/>
  <c r="F428" i="253"/>
  <c r="G428" i="253"/>
  <c r="BR426" i="253"/>
  <c r="BP426" i="253"/>
  <c r="M10" i="250"/>
  <c r="M26" i="250"/>
  <c r="T26" i="250" s="1"/>
  <c r="M146" i="250"/>
  <c r="N30" i="250"/>
  <c r="N165" i="250"/>
  <c r="N51" i="250"/>
  <c r="N62" i="250"/>
  <c r="O83" i="250"/>
  <c r="N72" i="250"/>
  <c r="N96" i="250"/>
  <c r="N48" i="250"/>
  <c r="S57" i="250" l="1"/>
  <c r="E428" i="253"/>
  <c r="BP428" i="253" s="1"/>
  <c r="F429" i="253"/>
  <c r="H429" i="253"/>
  <c r="G429" i="253"/>
  <c r="I429" i="253"/>
  <c r="BR427" i="253"/>
  <c r="BP427" i="253"/>
  <c r="D430" i="253"/>
  <c r="B431" i="253"/>
  <c r="M16" i="250"/>
  <c r="M34" i="250"/>
  <c r="T34" i="250" s="1"/>
  <c r="N146" i="250"/>
  <c r="M155" i="250"/>
  <c r="M153" i="250"/>
  <c r="M157" i="250"/>
  <c r="M154" i="250"/>
  <c r="N41" i="250"/>
  <c r="N26" i="250"/>
  <c r="N24" i="250"/>
  <c r="BR428" i="253" l="1"/>
  <c r="E429" i="253"/>
  <c r="B432" i="253"/>
  <c r="D431" i="253"/>
  <c r="F430" i="253"/>
  <c r="G430" i="253"/>
  <c r="I430" i="253"/>
  <c r="H430" i="253"/>
  <c r="N10" i="250"/>
  <c r="N83" i="250"/>
  <c r="L83" i="250"/>
  <c r="P83" i="250"/>
  <c r="N27" i="250"/>
  <c r="D432" i="253" l="1"/>
  <c r="B433" i="253"/>
  <c r="E430" i="253"/>
  <c r="H431" i="253"/>
  <c r="G431" i="253"/>
  <c r="I431" i="253"/>
  <c r="F431" i="253"/>
  <c r="BP429" i="253"/>
  <c r="BR429" i="253"/>
  <c r="M83" i="250"/>
  <c r="B434" i="253" l="1"/>
  <c r="D433" i="253"/>
  <c r="E431" i="253"/>
  <c r="BR430" i="253"/>
  <c r="BP430" i="253"/>
  <c r="H432" i="253"/>
  <c r="F432" i="253"/>
  <c r="G432" i="253"/>
  <c r="I432" i="253"/>
  <c r="E432" i="253" l="1"/>
  <c r="BP431" i="253"/>
  <c r="BR431" i="253"/>
  <c r="H433" i="253"/>
  <c r="F433" i="253"/>
  <c r="G433" i="253"/>
  <c r="I433" i="253"/>
  <c r="D434" i="253"/>
  <c r="B435" i="253"/>
  <c r="E433" i="253" l="1"/>
  <c r="G434" i="253"/>
  <c r="H434" i="253"/>
  <c r="I434" i="253"/>
  <c r="F434" i="253"/>
  <c r="B436" i="253"/>
  <c r="D435" i="253"/>
  <c r="BR432" i="253"/>
  <c r="BP432" i="253"/>
  <c r="E434" i="253" l="1"/>
  <c r="BP434" i="253" s="1"/>
  <c r="H435" i="253"/>
  <c r="I435" i="253"/>
  <c r="G435" i="253"/>
  <c r="F435" i="253"/>
  <c r="D436" i="253"/>
  <c r="B437" i="253"/>
  <c r="BP433" i="253"/>
  <c r="BR433" i="253"/>
  <c r="BR434" i="253" l="1"/>
  <c r="G436" i="253"/>
  <c r="F436" i="253"/>
  <c r="H436" i="253"/>
  <c r="I436" i="253"/>
  <c r="E435" i="253"/>
  <c r="B438" i="253"/>
  <c r="D437" i="253"/>
  <c r="E436" i="253" l="1"/>
  <c r="BR436" i="253" s="1"/>
  <c r="G437" i="253"/>
  <c r="F437" i="253"/>
  <c r="I437" i="253"/>
  <c r="H437" i="253"/>
  <c r="B439" i="253"/>
  <c r="D438" i="253"/>
  <c r="BP435" i="253"/>
  <c r="BR435" i="253"/>
  <c r="BP436" i="253" l="1"/>
  <c r="D439" i="253"/>
  <c r="B440" i="253"/>
  <c r="I438" i="253"/>
  <c r="G438" i="253"/>
  <c r="H438" i="253"/>
  <c r="F438" i="253"/>
  <c r="E437" i="253"/>
  <c r="E438" i="253" l="1"/>
  <c r="BP438" i="253" s="1"/>
  <c r="D440" i="253"/>
  <c r="B441" i="253"/>
  <c r="BR437" i="253"/>
  <c r="BP437" i="253"/>
  <c r="F439" i="253"/>
  <c r="G439" i="253"/>
  <c r="H439" i="253"/>
  <c r="I439" i="253"/>
  <c r="BR438" i="253" l="1"/>
  <c r="B442" i="253"/>
  <c r="D441" i="253"/>
  <c r="E439" i="253"/>
  <c r="F440" i="253"/>
  <c r="H440" i="253"/>
  <c r="G440" i="253"/>
  <c r="I440" i="253"/>
  <c r="F441" i="253" l="1"/>
  <c r="I441" i="253"/>
  <c r="G441" i="253"/>
  <c r="H441" i="253"/>
  <c r="E440" i="253"/>
  <c r="BR439" i="253"/>
  <c r="BP439" i="253"/>
  <c r="D442" i="253"/>
  <c r="B443" i="253"/>
  <c r="B444" i="253" l="1"/>
  <c r="D443" i="253"/>
  <c r="BR440" i="253"/>
  <c r="BP440" i="253"/>
  <c r="G442" i="253"/>
  <c r="I442" i="253"/>
  <c r="H442" i="253"/>
  <c r="F442" i="253"/>
  <c r="E441" i="253"/>
  <c r="F443" i="253" l="1"/>
  <c r="I443" i="253"/>
  <c r="G443" i="253"/>
  <c r="H443" i="253"/>
  <c r="E442" i="253"/>
  <c r="BR441" i="253"/>
  <c r="BP441" i="253"/>
  <c r="D444" i="253"/>
  <c r="B445" i="253"/>
  <c r="E443" i="253" l="1"/>
  <c r="BR443" i="253" s="1"/>
  <c r="B446" i="253"/>
  <c r="D445" i="253"/>
  <c r="BR442" i="253"/>
  <c r="BP442" i="253"/>
  <c r="F444" i="253"/>
  <c r="H444" i="253"/>
  <c r="G444" i="253"/>
  <c r="I444" i="253"/>
  <c r="BP443" i="253" l="1"/>
  <c r="F445" i="253"/>
  <c r="I445" i="253"/>
  <c r="G445" i="253"/>
  <c r="H445" i="253"/>
  <c r="E444" i="253"/>
  <c r="B447" i="253"/>
  <c r="D446" i="253"/>
  <c r="E445" i="253" l="1"/>
  <c r="BR445" i="253" s="1"/>
  <c r="BR444" i="253"/>
  <c r="BP444" i="253"/>
  <c r="I446" i="253"/>
  <c r="H446" i="253"/>
  <c r="F446" i="253"/>
  <c r="G446" i="253"/>
  <c r="D447" i="253"/>
  <c r="B448" i="253"/>
  <c r="BP445" i="253" l="1"/>
  <c r="I447" i="253"/>
  <c r="F447" i="253"/>
  <c r="H447" i="253"/>
  <c r="G447" i="253"/>
  <c r="B449" i="253"/>
  <c r="D448" i="253"/>
  <c r="E446" i="253"/>
  <c r="E447" i="253" l="1"/>
  <c r="BR447" i="253" s="1"/>
  <c r="F448" i="253"/>
  <c r="G448" i="253"/>
  <c r="I448" i="253"/>
  <c r="H448" i="253"/>
  <c r="BR446" i="253"/>
  <c r="BP446" i="253"/>
  <c r="B450" i="253"/>
  <c r="D449" i="253"/>
  <c r="BP447" i="253" l="1"/>
  <c r="F449" i="253"/>
  <c r="I449" i="253"/>
  <c r="G449" i="253"/>
  <c r="H449" i="253"/>
  <c r="B451" i="253"/>
  <c r="D450" i="253"/>
  <c r="E448" i="253"/>
  <c r="BR448" i="253" l="1"/>
  <c r="BP448" i="253"/>
  <c r="I450" i="253"/>
  <c r="H450" i="253"/>
  <c r="F450" i="253"/>
  <c r="G450" i="253"/>
  <c r="D451" i="253"/>
  <c r="B452" i="253"/>
  <c r="E449" i="253"/>
  <c r="BR449" i="253" l="1"/>
  <c r="BP449" i="253"/>
  <c r="E450" i="253"/>
  <c r="D452" i="253"/>
  <c r="B453" i="253"/>
  <c r="H451" i="253"/>
  <c r="I451" i="253"/>
  <c r="G451" i="253"/>
  <c r="F451" i="253"/>
  <c r="BR450" i="253" l="1"/>
  <c r="BP450" i="253"/>
  <c r="G452" i="253"/>
  <c r="I452" i="253"/>
  <c r="F452" i="253"/>
  <c r="H452" i="253"/>
  <c r="E451" i="253"/>
  <c r="D453" i="253"/>
  <c r="B454" i="253"/>
  <c r="E452" i="253" l="1"/>
  <c r="G453" i="253"/>
  <c r="F453" i="253"/>
  <c r="I453" i="253"/>
  <c r="H453" i="253"/>
  <c r="BP451" i="253"/>
  <c r="BR451" i="253"/>
  <c r="D454" i="253"/>
  <c r="B455" i="253"/>
  <c r="E453" i="253" l="1"/>
  <c r="F454" i="253"/>
  <c r="G454" i="253"/>
  <c r="I454" i="253"/>
  <c r="H454" i="253"/>
  <c r="B456" i="253"/>
  <c r="D455" i="253"/>
  <c r="BP452" i="253"/>
  <c r="BR452" i="253"/>
  <c r="E454" i="253" l="1"/>
  <c r="BR454" i="253" s="1"/>
  <c r="G455" i="253"/>
  <c r="I455" i="253"/>
  <c r="F455" i="253"/>
  <c r="H455" i="253"/>
  <c r="B457" i="253"/>
  <c r="D456" i="253"/>
  <c r="BP453" i="253"/>
  <c r="BR453" i="253"/>
  <c r="BP454" i="253" l="1"/>
  <c r="D457" i="253"/>
  <c r="B458" i="253"/>
  <c r="I456" i="253"/>
  <c r="H456" i="253"/>
  <c r="G456" i="253"/>
  <c r="F456" i="253"/>
  <c r="E455" i="253"/>
  <c r="BP455" i="253" l="1"/>
  <c r="BR455" i="253"/>
  <c r="E456" i="253"/>
  <c r="D458" i="253"/>
  <c r="B459" i="253"/>
  <c r="G457" i="253"/>
  <c r="F457" i="253"/>
  <c r="I457" i="253"/>
  <c r="H457" i="253"/>
  <c r="I458" i="253" l="1"/>
  <c r="H458" i="253"/>
  <c r="F458" i="253"/>
  <c r="G458" i="253"/>
  <c r="E457" i="253"/>
  <c r="BR456" i="253"/>
  <c r="BP456" i="253"/>
  <c r="D459" i="253"/>
  <c r="B460" i="253"/>
  <c r="D460" i="253" l="1"/>
  <c r="B461" i="253"/>
  <c r="BR457" i="253"/>
  <c r="BP457" i="253"/>
  <c r="H459" i="253"/>
  <c r="G459" i="253"/>
  <c r="I459" i="253"/>
  <c r="F459" i="253"/>
  <c r="E458" i="253"/>
  <c r="D461" i="253" l="1"/>
  <c r="B462" i="253"/>
  <c r="BP458" i="253"/>
  <c r="BR458" i="253"/>
  <c r="E459" i="253"/>
  <c r="H460" i="253"/>
  <c r="G460" i="253"/>
  <c r="I460" i="253"/>
  <c r="F460" i="253"/>
  <c r="D462" i="253" l="1"/>
  <c r="B463" i="253"/>
  <c r="E460" i="253"/>
  <c r="BR459" i="253"/>
  <c r="BP459" i="253"/>
  <c r="G461" i="253"/>
  <c r="F461" i="253"/>
  <c r="I461" i="253"/>
  <c r="H461" i="253"/>
  <c r="BP460" i="253" l="1"/>
  <c r="BR460" i="253"/>
  <c r="D463" i="253"/>
  <c r="B464" i="253"/>
  <c r="E461" i="253"/>
  <c r="F462" i="253"/>
  <c r="G462" i="253"/>
  <c r="I462" i="253"/>
  <c r="H462" i="253"/>
  <c r="E462" i="253" l="1"/>
  <c r="BP462" i="253" s="1"/>
  <c r="B465" i="253"/>
  <c r="D464" i="253"/>
  <c r="I463" i="253"/>
  <c r="F463" i="253"/>
  <c r="H463" i="253"/>
  <c r="G463" i="253"/>
  <c r="BP461" i="253"/>
  <c r="BR461" i="253"/>
  <c r="BR462" i="253" l="1"/>
  <c r="E463" i="253"/>
  <c r="BP463" i="253" s="1"/>
  <c r="F464" i="253"/>
  <c r="H464" i="253"/>
  <c r="G464" i="253"/>
  <c r="I464" i="253"/>
  <c r="B466" i="253"/>
  <c r="D465" i="253"/>
  <c r="BR463" i="253" l="1"/>
  <c r="G465" i="253"/>
  <c r="H465" i="253"/>
  <c r="F465" i="253"/>
  <c r="I465" i="253"/>
  <c r="D466" i="253"/>
  <c r="B467" i="253"/>
  <c r="E464" i="253"/>
  <c r="BR464" i="253" l="1"/>
  <c r="BP464" i="253"/>
  <c r="E465" i="253"/>
  <c r="B468" i="253"/>
  <c r="D467" i="253"/>
  <c r="H466" i="253"/>
  <c r="F466" i="253"/>
  <c r="G466" i="253"/>
  <c r="I466" i="253"/>
  <c r="D468" i="253" l="1"/>
  <c r="B469" i="253"/>
  <c r="E466" i="253"/>
  <c r="BP465" i="253"/>
  <c r="BR465" i="253"/>
  <c r="G467" i="253"/>
  <c r="F467" i="253"/>
  <c r="H467" i="253"/>
  <c r="I467" i="253"/>
  <c r="E467" i="253" l="1"/>
  <c r="BP466" i="253"/>
  <c r="BR466" i="253"/>
  <c r="D469" i="253"/>
  <c r="B470" i="253"/>
  <c r="F468" i="253"/>
  <c r="G468" i="253"/>
  <c r="H468" i="253"/>
  <c r="I468" i="253"/>
  <c r="G469" i="253" l="1"/>
  <c r="I469" i="253"/>
  <c r="H469" i="253"/>
  <c r="F469" i="253"/>
  <c r="E468" i="253"/>
  <c r="B471" i="253"/>
  <c r="D470" i="253"/>
  <c r="BP467" i="253"/>
  <c r="BR467" i="253"/>
  <c r="E469" i="253" l="1"/>
  <c r="BR469" i="253" s="1"/>
  <c r="D471" i="253"/>
  <c r="B472" i="253"/>
  <c r="F470" i="253"/>
  <c r="I470" i="253"/>
  <c r="G470" i="253"/>
  <c r="H470" i="253"/>
  <c r="BR468" i="253"/>
  <c r="BP468" i="253"/>
  <c r="BP469" i="253" l="1"/>
  <c r="B473" i="253"/>
  <c r="D472" i="253"/>
  <c r="E470" i="253"/>
  <c r="F471" i="253"/>
  <c r="I471" i="253"/>
  <c r="G471" i="253"/>
  <c r="H471" i="253"/>
  <c r="E471" i="253" l="1"/>
  <c r="BR470" i="253"/>
  <c r="BP470" i="253"/>
  <c r="H472" i="253"/>
  <c r="G472" i="253"/>
  <c r="I472" i="253"/>
  <c r="F472" i="253"/>
  <c r="B474" i="253"/>
  <c r="D473" i="253"/>
  <c r="B475" i="253" l="1"/>
  <c r="D474" i="253"/>
  <c r="E472" i="253"/>
  <c r="F473" i="253"/>
  <c r="I473" i="253"/>
  <c r="G473" i="253"/>
  <c r="H473" i="253"/>
  <c r="BR471" i="253"/>
  <c r="BP471" i="253"/>
  <c r="E473" i="253" l="1"/>
  <c r="BP472" i="253"/>
  <c r="BR472" i="253"/>
  <c r="G474" i="253"/>
  <c r="F474" i="253"/>
  <c r="I474" i="253"/>
  <c r="H474" i="253"/>
  <c r="B476" i="253"/>
  <c r="D475" i="253"/>
  <c r="B477" i="253" l="1"/>
  <c r="D476" i="253"/>
  <c r="F475" i="253"/>
  <c r="H475" i="253"/>
  <c r="I475" i="253"/>
  <c r="G475" i="253"/>
  <c r="E474" i="253"/>
  <c r="BP473" i="253"/>
  <c r="BR473" i="253"/>
  <c r="BR474" i="253" l="1"/>
  <c r="BP474" i="253"/>
  <c r="E475" i="253"/>
  <c r="H476" i="253"/>
  <c r="F476" i="253"/>
  <c r="G476" i="253"/>
  <c r="I476" i="253"/>
  <c r="B478" i="253"/>
  <c r="D477" i="253"/>
  <c r="BP475" i="253" l="1"/>
  <c r="BR475" i="253"/>
  <c r="B479" i="253"/>
  <c r="D478" i="253"/>
  <c r="F477" i="253"/>
  <c r="G477" i="253"/>
  <c r="I477" i="253"/>
  <c r="H477" i="253"/>
  <c r="E476" i="253"/>
  <c r="I478" i="253" l="1"/>
  <c r="H478" i="253"/>
  <c r="F478" i="253"/>
  <c r="G478" i="253"/>
  <c r="D479" i="253"/>
  <c r="B480" i="253"/>
  <c r="BP476" i="253"/>
  <c r="BR476" i="253"/>
  <c r="E477" i="253"/>
  <c r="E478" i="253" l="1"/>
  <c r="B481" i="253"/>
  <c r="D480" i="253"/>
  <c r="BR477" i="253"/>
  <c r="BP477" i="253"/>
  <c r="H479" i="253"/>
  <c r="I479" i="253"/>
  <c r="G479" i="253"/>
  <c r="F479" i="253"/>
  <c r="G480" i="253" l="1"/>
  <c r="F480" i="253"/>
  <c r="H480" i="253"/>
  <c r="I480" i="253"/>
  <c r="D481" i="253"/>
  <c r="B482" i="253"/>
  <c r="E479" i="253"/>
  <c r="BR478" i="253"/>
  <c r="BP478" i="253"/>
  <c r="BR479" i="253" l="1"/>
  <c r="BP479" i="253"/>
  <c r="B483" i="253"/>
  <c r="D482" i="253"/>
  <c r="E480" i="253"/>
  <c r="F481" i="253"/>
  <c r="I481" i="253"/>
  <c r="G481" i="253"/>
  <c r="H481" i="253"/>
  <c r="I482" i="253" l="1"/>
  <c r="H482" i="253"/>
  <c r="F482" i="253"/>
  <c r="G482" i="253"/>
  <c r="B484" i="253"/>
  <c r="D483" i="253"/>
  <c r="E481" i="253"/>
  <c r="BP480" i="253"/>
  <c r="BR480" i="253"/>
  <c r="B542" i="253"/>
  <c r="BP481" i="253" l="1"/>
  <c r="BR481" i="253"/>
  <c r="E482" i="253"/>
  <c r="F483" i="253"/>
  <c r="G483" i="253"/>
  <c r="H483" i="253"/>
  <c r="I483" i="253"/>
  <c r="B485" i="253"/>
  <c r="D484" i="253"/>
  <c r="B543" i="253"/>
  <c r="D542" i="253"/>
  <c r="E483" i="253" l="1"/>
  <c r="BR483" i="253" s="1"/>
  <c r="D485" i="253"/>
  <c r="B486" i="253"/>
  <c r="BR482" i="253"/>
  <c r="BP482" i="253"/>
  <c r="G484" i="253"/>
  <c r="I484" i="253"/>
  <c r="F484" i="253"/>
  <c r="H484" i="253"/>
  <c r="F542" i="253"/>
  <c r="I542" i="253"/>
  <c r="G542" i="253"/>
  <c r="H542" i="253"/>
  <c r="B544" i="253"/>
  <c r="D543" i="253"/>
  <c r="BP483" i="253" l="1"/>
  <c r="B487" i="253"/>
  <c r="D486" i="253"/>
  <c r="E484" i="253"/>
  <c r="F485" i="253"/>
  <c r="H485" i="253"/>
  <c r="I485" i="253"/>
  <c r="G485" i="253"/>
  <c r="B545" i="253"/>
  <c r="D544" i="253"/>
  <c r="E542" i="253"/>
  <c r="F543" i="253"/>
  <c r="H543" i="253"/>
  <c r="G543" i="253"/>
  <c r="I543" i="253"/>
  <c r="I486" i="253" l="1"/>
  <c r="H486" i="253"/>
  <c r="F486" i="253"/>
  <c r="G486" i="253"/>
  <c r="E485" i="253"/>
  <c r="BR484" i="253"/>
  <c r="BP484" i="253"/>
  <c r="D545" i="253"/>
  <c r="F545" i="253" s="1"/>
  <c r="B546" i="253"/>
  <c r="B488" i="253"/>
  <c r="D487" i="253"/>
  <c r="BR542" i="253"/>
  <c r="BP542" i="253"/>
  <c r="E543" i="253"/>
  <c r="F544" i="253"/>
  <c r="G544" i="253"/>
  <c r="I544" i="253"/>
  <c r="H544" i="253"/>
  <c r="G545" i="253" l="1"/>
  <c r="H545" i="253"/>
  <c r="I545" i="253"/>
  <c r="B489" i="253"/>
  <c r="D488" i="253"/>
  <c r="G487" i="253"/>
  <c r="F487" i="253"/>
  <c r="H487" i="253"/>
  <c r="I487" i="253"/>
  <c r="E486" i="253"/>
  <c r="D546" i="253"/>
  <c r="B547" i="253"/>
  <c r="BP485" i="253"/>
  <c r="BR485" i="253"/>
  <c r="BR543" i="253"/>
  <c r="BP543" i="253"/>
  <c r="E544" i="253"/>
  <c r="E545" i="253" l="1"/>
  <c r="BR545" i="253" s="1"/>
  <c r="F546" i="253"/>
  <c r="G546" i="253"/>
  <c r="H546" i="253"/>
  <c r="I546" i="253"/>
  <c r="E487" i="253"/>
  <c r="BP486" i="253"/>
  <c r="BR486" i="253"/>
  <c r="H488" i="253"/>
  <c r="G488" i="253"/>
  <c r="I488" i="253"/>
  <c r="F488" i="253"/>
  <c r="B548" i="253"/>
  <c r="D547" i="253"/>
  <c r="B490" i="253"/>
  <c r="D489" i="253"/>
  <c r="BR544" i="253"/>
  <c r="BP544" i="253"/>
  <c r="BP545" i="253"/>
  <c r="B491" i="253" l="1"/>
  <c r="D490" i="253"/>
  <c r="D548" i="253"/>
  <c r="B549" i="253"/>
  <c r="G489" i="253"/>
  <c r="H489" i="253"/>
  <c r="F489" i="253"/>
  <c r="I489" i="253"/>
  <c r="E488" i="253"/>
  <c r="F547" i="253"/>
  <c r="G547" i="253"/>
  <c r="H547" i="253"/>
  <c r="I547" i="253"/>
  <c r="BP487" i="253"/>
  <c r="BR487" i="253"/>
  <c r="E546" i="253"/>
  <c r="BP546" i="253" l="1"/>
  <c r="BR546" i="253"/>
  <c r="D549" i="253"/>
  <c r="B550" i="253"/>
  <c r="E489" i="253"/>
  <c r="G548" i="253"/>
  <c r="F548" i="253"/>
  <c r="H548" i="253"/>
  <c r="I548" i="253"/>
  <c r="E547" i="253"/>
  <c r="G490" i="253"/>
  <c r="I490" i="253"/>
  <c r="H490" i="253"/>
  <c r="F490" i="253"/>
  <c r="BR488" i="253"/>
  <c r="BP488" i="253"/>
  <c r="D491" i="253"/>
  <c r="B492" i="253"/>
  <c r="M262" i="250"/>
  <c r="N262" i="250" s="1"/>
  <c r="L32" i="135"/>
  <c r="M242" i="250" s="1"/>
  <c r="N242" i="250" s="1"/>
  <c r="L36" i="250"/>
  <c r="N15" i="250"/>
  <c r="E490" i="253" l="1"/>
  <c r="BR490" i="253" s="1"/>
  <c r="F491" i="253"/>
  <c r="H491" i="253"/>
  <c r="I491" i="253"/>
  <c r="G491" i="253"/>
  <c r="D550" i="253"/>
  <c r="B551" i="253"/>
  <c r="D492" i="253"/>
  <c r="B493" i="253"/>
  <c r="BP547" i="253"/>
  <c r="BR547" i="253"/>
  <c r="BP489" i="253"/>
  <c r="BR489" i="253"/>
  <c r="E548" i="253"/>
  <c r="I549" i="253"/>
  <c r="H549" i="253"/>
  <c r="F549" i="253"/>
  <c r="G549" i="253"/>
  <c r="N13" i="250"/>
  <c r="N14" i="250"/>
  <c r="N12" i="250"/>
  <c r="M11" i="250"/>
  <c r="AM32" i="135"/>
  <c r="U32" i="135"/>
  <c r="AC32" i="135"/>
  <c r="AK32" i="135"/>
  <c r="AL32" i="135"/>
  <c r="AJ32" i="135"/>
  <c r="Y32" i="135"/>
  <c r="Q32" i="135"/>
  <c r="AN32" i="135"/>
  <c r="AP32" i="135" s="1"/>
  <c r="M35" i="250"/>
  <c r="T35" i="250" s="1"/>
  <c r="N35" i="250" l="1"/>
  <c r="N16" i="250"/>
  <c r="BP490" i="253"/>
  <c r="BP548" i="253"/>
  <c r="BR548" i="253"/>
  <c r="D551" i="253"/>
  <c r="B552" i="253"/>
  <c r="E549" i="253"/>
  <c r="E491" i="253"/>
  <c r="F492" i="253"/>
  <c r="H492" i="253"/>
  <c r="G492" i="253"/>
  <c r="I492" i="253"/>
  <c r="B494" i="253"/>
  <c r="D493" i="253"/>
  <c r="G550" i="253"/>
  <c r="F550" i="253"/>
  <c r="I550" i="253"/>
  <c r="H550" i="253"/>
  <c r="N34" i="250"/>
  <c r="M18" i="250"/>
  <c r="T18" i="250" s="1"/>
  <c r="M17" i="250"/>
  <c r="N17" i="250" s="1"/>
  <c r="N11" i="250"/>
  <c r="AD32" i="135"/>
  <c r="V32" i="135"/>
  <c r="Z32" i="135"/>
  <c r="AT32" i="135"/>
  <c r="AR32" i="135"/>
  <c r="R32" i="135"/>
  <c r="M33" i="250"/>
  <c r="T33" i="250" s="1"/>
  <c r="M263" i="250"/>
  <c r="N33" i="250" l="1"/>
  <c r="H493" i="253"/>
  <c r="F493" i="253"/>
  <c r="I493" i="253"/>
  <c r="G493" i="253"/>
  <c r="D552" i="253"/>
  <c r="B553" i="253"/>
  <c r="E492" i="253"/>
  <c r="E550" i="253"/>
  <c r="BR491" i="253"/>
  <c r="BP491" i="253"/>
  <c r="D494" i="253"/>
  <c r="B495" i="253"/>
  <c r="F551" i="253"/>
  <c r="G551" i="253"/>
  <c r="I551" i="253"/>
  <c r="H551" i="253"/>
  <c r="BR549" i="253"/>
  <c r="BP549" i="253"/>
  <c r="N18" i="250"/>
  <c r="W32" i="135"/>
  <c r="FI32" i="135"/>
  <c r="S32" i="135"/>
  <c r="AE32" i="135"/>
  <c r="AA32" i="135"/>
  <c r="M78" i="250"/>
  <c r="N78" i="250" s="1"/>
  <c r="M57" i="250"/>
  <c r="CU32" i="135"/>
  <c r="BZ32" i="135"/>
  <c r="CJ32" i="135"/>
  <c r="CF32" i="135" s="1"/>
  <c r="CA32" i="135"/>
  <c r="BW32" i="135" s="1"/>
  <c r="BR32" i="135"/>
  <c r="BL32" i="135" s="1"/>
  <c r="BH32" i="135"/>
  <c r="BC32" i="135" s="1"/>
  <c r="M36" i="250"/>
  <c r="T23" i="250" s="1"/>
  <c r="N263" i="250"/>
  <c r="M76" i="250" l="1"/>
  <c r="N76" i="250" s="1"/>
  <c r="M77" i="250"/>
  <c r="N77" i="250" s="1"/>
  <c r="M55" i="250"/>
  <c r="N55" i="250" s="1"/>
  <c r="M56" i="250"/>
  <c r="N56" i="250" s="1"/>
  <c r="D495" i="253"/>
  <c r="B496" i="253"/>
  <c r="BR550" i="253"/>
  <c r="BP550" i="253"/>
  <c r="F494" i="253"/>
  <c r="I494" i="253"/>
  <c r="H494" i="253"/>
  <c r="G494" i="253"/>
  <c r="BP492" i="253"/>
  <c r="BR492" i="253"/>
  <c r="D553" i="253"/>
  <c r="B554" i="253"/>
  <c r="D554" i="253" s="1"/>
  <c r="E493" i="253"/>
  <c r="E551" i="253"/>
  <c r="F552" i="253"/>
  <c r="I552" i="253"/>
  <c r="H552" i="253"/>
  <c r="G552" i="253"/>
  <c r="M63" i="250"/>
  <c r="N63" i="250" s="1"/>
  <c r="DH32" i="135"/>
  <c r="DF32" i="135"/>
  <c r="DB32" i="135"/>
  <c r="DG32" i="135"/>
  <c r="FA32" i="135"/>
  <c r="FH32" i="135"/>
  <c r="DI32" i="135"/>
  <c r="FJ32" i="135"/>
  <c r="CX32" i="135"/>
  <c r="DJ32" i="135"/>
  <c r="DL32" i="135"/>
  <c r="DE32" i="135"/>
  <c r="FC32" i="135"/>
  <c r="EZ32" i="135"/>
  <c r="FG32" i="135"/>
  <c r="FK32" i="135"/>
  <c r="FL32" i="135"/>
  <c r="CZ32" i="135"/>
  <c r="CY32" i="135"/>
  <c r="FB32" i="135"/>
  <c r="DA32" i="135"/>
  <c r="FD32" i="135"/>
  <c r="DC32" i="135"/>
  <c r="DD32" i="135"/>
  <c r="DK32" i="135"/>
  <c r="FE32" i="135"/>
  <c r="FF32" i="135"/>
  <c r="FM32" i="135"/>
  <c r="FN32" i="135"/>
  <c r="M42" i="250"/>
  <c r="N42" i="250" s="1"/>
  <c r="M265" i="250"/>
  <c r="M64" i="250"/>
  <c r="M43" i="250"/>
  <c r="M264" i="250"/>
  <c r="N36" i="250"/>
  <c r="N57" i="250"/>
  <c r="T19" i="250" l="1"/>
  <c r="T21" i="250"/>
  <c r="T20" i="250"/>
  <c r="T22" i="250"/>
  <c r="N265" i="250"/>
  <c r="N64" i="250"/>
  <c r="N264" i="250"/>
  <c r="H554" i="253"/>
  <c r="G554" i="253"/>
  <c r="I554" i="253"/>
  <c r="F554" i="253"/>
  <c r="E552" i="253"/>
  <c r="G553" i="253"/>
  <c r="I553" i="253"/>
  <c r="H553" i="253"/>
  <c r="F553" i="253"/>
  <c r="BR551" i="253"/>
  <c r="BP551" i="253"/>
  <c r="D496" i="253"/>
  <c r="B497" i="253"/>
  <c r="BR493" i="253"/>
  <c r="BP493" i="253"/>
  <c r="E494" i="253"/>
  <c r="H495" i="253"/>
  <c r="I495" i="253"/>
  <c r="G495" i="253"/>
  <c r="F495" i="253"/>
  <c r="AW32" i="135"/>
  <c r="CR32" i="135" s="1"/>
  <c r="AV32" i="135"/>
  <c r="CT32" i="135" s="1"/>
  <c r="CP32" i="135" s="1"/>
  <c r="AS32" i="135"/>
  <c r="BP32" i="135" s="1"/>
  <c r="AI32" i="135"/>
  <c r="AY32" i="135"/>
  <c r="CE32" i="135" s="1"/>
  <c r="AX32" i="135"/>
  <c r="CS32" i="135" s="1"/>
  <c r="N43" i="250"/>
  <c r="CH32" i="135" l="1"/>
  <c r="BE32" i="135"/>
  <c r="BN32" i="135"/>
  <c r="CQ32" i="135"/>
  <c r="CM32" i="135" s="1"/>
  <c r="E495" i="253"/>
  <c r="BR495" i="253" s="1"/>
  <c r="BR494" i="253"/>
  <c r="BP494" i="253"/>
  <c r="G496" i="253"/>
  <c r="I496" i="253"/>
  <c r="F496" i="253"/>
  <c r="H496" i="253"/>
  <c r="E554" i="253"/>
  <c r="D497" i="253"/>
  <c r="B498" i="253"/>
  <c r="E553" i="253"/>
  <c r="BP552" i="253"/>
  <c r="BR552" i="253"/>
  <c r="BO32" i="135"/>
  <c r="CI32" i="135"/>
  <c r="BF32" i="135"/>
  <c r="BY32" i="135"/>
  <c r="BX32" i="135" s="1"/>
  <c r="BV32" i="135" s="1"/>
  <c r="L85" i="250"/>
  <c r="BM32" i="135" l="1"/>
  <c r="BK32" i="135" s="1"/>
  <c r="HD32" i="135" s="1"/>
  <c r="BD32" i="135"/>
  <c r="BB32" i="135" s="1"/>
  <c r="HB32" i="135" s="1"/>
  <c r="CG32" i="135"/>
  <c r="CC32" i="135" s="1"/>
  <c r="CN32" i="135"/>
  <c r="HF32" i="135" s="1"/>
  <c r="BP495" i="253"/>
  <c r="BR553" i="253"/>
  <c r="BP553" i="253"/>
  <c r="B499" i="253"/>
  <c r="D498" i="253"/>
  <c r="E496" i="253"/>
  <c r="I497" i="253"/>
  <c r="G497" i="253"/>
  <c r="H497" i="253"/>
  <c r="F497" i="253"/>
  <c r="BR554" i="253"/>
  <c r="BP554" i="253"/>
  <c r="BU32" i="135"/>
  <c r="HE32" i="135" s="1"/>
  <c r="BT32" i="135"/>
  <c r="O84" i="250"/>
  <c r="O85" i="250"/>
  <c r="M271" i="250"/>
  <c r="M85" i="250"/>
  <c r="M273" i="250"/>
  <c r="M270" i="250"/>
  <c r="M272" i="250"/>
  <c r="P85" i="250"/>
  <c r="BJ32" i="135" l="1"/>
  <c r="BA32" i="135"/>
  <c r="CD32" i="135"/>
  <c r="HC32" i="135" s="1"/>
  <c r="M84" i="250"/>
  <c r="I498" i="253"/>
  <c r="H498" i="253"/>
  <c r="F498" i="253"/>
  <c r="G498" i="253"/>
  <c r="D499" i="253"/>
  <c r="B500" i="253"/>
  <c r="E497" i="253"/>
  <c r="BR496" i="253"/>
  <c r="BP496" i="253"/>
  <c r="P84" i="250"/>
  <c r="L84" i="250"/>
  <c r="M274" i="250"/>
  <c r="N84" i="250"/>
  <c r="N85" i="250"/>
  <c r="BP497" i="253" l="1"/>
  <c r="BR497" i="253"/>
  <c r="E498" i="253"/>
  <c r="B501" i="253"/>
  <c r="D500" i="253"/>
  <c r="H499" i="253"/>
  <c r="I499" i="253"/>
  <c r="G499" i="253"/>
  <c r="F499" i="253"/>
  <c r="B145" i="253"/>
  <c r="B146" i="253" s="1"/>
  <c r="B502" i="253" l="1"/>
  <c r="D501" i="253"/>
  <c r="BR498" i="253"/>
  <c r="BP498" i="253"/>
  <c r="E499" i="253"/>
  <c r="F500" i="253"/>
  <c r="H500" i="253"/>
  <c r="G500" i="253"/>
  <c r="I500" i="253"/>
  <c r="B147" i="253"/>
  <c r="D146" i="253"/>
  <c r="D145" i="253"/>
  <c r="E500" i="253" l="1"/>
  <c r="F501" i="253"/>
  <c r="I501" i="253"/>
  <c r="G501" i="253"/>
  <c r="H501" i="253"/>
  <c r="BR499" i="253"/>
  <c r="BP499" i="253"/>
  <c r="D502" i="253"/>
  <c r="B503" i="253"/>
  <c r="F145" i="253"/>
  <c r="G145" i="253"/>
  <c r="H145" i="253"/>
  <c r="I145" i="253"/>
  <c r="G146" i="253"/>
  <c r="H146" i="253"/>
  <c r="I146" i="253"/>
  <c r="F146" i="253"/>
  <c r="D147" i="253"/>
  <c r="B148" i="253"/>
  <c r="I502" i="253" l="1"/>
  <c r="G502" i="253"/>
  <c r="H502" i="253"/>
  <c r="F502" i="253"/>
  <c r="E501" i="253"/>
  <c r="E146" i="253"/>
  <c r="BR146" i="253" s="1"/>
  <c r="D503" i="253"/>
  <c r="B504" i="253"/>
  <c r="BP500" i="253"/>
  <c r="BR500" i="253"/>
  <c r="D148" i="253"/>
  <c r="B149" i="253"/>
  <c r="H147" i="253"/>
  <c r="I147" i="253"/>
  <c r="F147" i="253"/>
  <c r="G147" i="253"/>
  <c r="E145" i="253"/>
  <c r="E502" i="253" l="1"/>
  <c r="BP502" i="253" s="1"/>
  <c r="BP146" i="253"/>
  <c r="D504" i="253"/>
  <c r="B505" i="253"/>
  <c r="H503" i="253"/>
  <c r="F503" i="253"/>
  <c r="G503" i="253"/>
  <c r="I503" i="253"/>
  <c r="BP501" i="253"/>
  <c r="BR501" i="253"/>
  <c r="BR145" i="253"/>
  <c r="BP145" i="253"/>
  <c r="B150" i="253"/>
  <c r="D149" i="253"/>
  <c r="E147" i="253"/>
  <c r="I148" i="253"/>
  <c r="F148" i="253"/>
  <c r="G148" i="253"/>
  <c r="H148" i="253"/>
  <c r="BR502" i="253" l="1"/>
  <c r="E503" i="253"/>
  <c r="D505" i="253"/>
  <c r="B506" i="253"/>
  <c r="G504" i="253"/>
  <c r="I504" i="253"/>
  <c r="H504" i="253"/>
  <c r="F504" i="253"/>
  <c r="B151" i="253"/>
  <c r="D150" i="253"/>
  <c r="BR147" i="253"/>
  <c r="BP147" i="253"/>
  <c r="E148" i="253"/>
  <c r="F149" i="253"/>
  <c r="G149" i="253"/>
  <c r="H149" i="253"/>
  <c r="I149" i="253"/>
  <c r="H505" i="253" l="1"/>
  <c r="F505" i="253"/>
  <c r="G505" i="253"/>
  <c r="I505" i="253"/>
  <c r="E504" i="253"/>
  <c r="D506" i="253"/>
  <c r="B507" i="253"/>
  <c r="BP503" i="253"/>
  <c r="BR503" i="253"/>
  <c r="E149" i="253"/>
  <c r="G150" i="253"/>
  <c r="H150" i="253"/>
  <c r="I150" i="253"/>
  <c r="F150" i="253"/>
  <c r="BR148" i="253"/>
  <c r="BP148" i="253"/>
  <c r="D151" i="253"/>
  <c r="B152" i="253"/>
  <c r="E505" i="253" l="1"/>
  <c r="BR505" i="253" s="1"/>
  <c r="D507" i="253"/>
  <c r="B508" i="253"/>
  <c r="G506" i="253"/>
  <c r="I506" i="253"/>
  <c r="H506" i="253"/>
  <c r="F506" i="253"/>
  <c r="BP505" i="253"/>
  <c r="BR504" i="253"/>
  <c r="BP504" i="253"/>
  <c r="H151" i="253"/>
  <c r="I151" i="253"/>
  <c r="F151" i="253"/>
  <c r="G151" i="253"/>
  <c r="E150" i="253"/>
  <c r="BR149" i="253"/>
  <c r="BP149" i="253"/>
  <c r="D152" i="253"/>
  <c r="B153" i="253"/>
  <c r="E506" i="253" l="1"/>
  <c r="BP506" i="253" s="1"/>
  <c r="D508" i="253"/>
  <c r="B509" i="253"/>
  <c r="H507" i="253"/>
  <c r="F507" i="253"/>
  <c r="G507" i="253"/>
  <c r="I507" i="253"/>
  <c r="E151" i="253"/>
  <c r="BR151" i="253" s="1"/>
  <c r="I152" i="253"/>
  <c r="F152" i="253"/>
  <c r="G152" i="253"/>
  <c r="H152" i="253"/>
  <c r="B154" i="253"/>
  <c r="D153" i="253"/>
  <c r="BR150" i="253"/>
  <c r="BP150" i="253"/>
  <c r="BP151" i="253" l="1"/>
  <c r="BR506" i="253"/>
  <c r="E507" i="253"/>
  <c r="B510" i="253"/>
  <c r="D509" i="253"/>
  <c r="H508" i="253"/>
  <c r="F508" i="253"/>
  <c r="G508" i="253"/>
  <c r="I508" i="253"/>
  <c r="B155" i="253"/>
  <c r="D154" i="253"/>
  <c r="E152" i="253"/>
  <c r="F153" i="253"/>
  <c r="G153" i="253"/>
  <c r="H153" i="253"/>
  <c r="I153" i="253"/>
  <c r="D510" i="253" l="1"/>
  <c r="B511" i="253"/>
  <c r="G509" i="253"/>
  <c r="F509" i="253"/>
  <c r="I509" i="253"/>
  <c r="H509" i="253"/>
  <c r="E508" i="253"/>
  <c r="BR507" i="253"/>
  <c r="BP507" i="253"/>
  <c r="E153" i="253"/>
  <c r="BR153" i="253" s="1"/>
  <c r="BR152" i="253"/>
  <c r="BP152" i="253"/>
  <c r="G154" i="253"/>
  <c r="H154" i="253"/>
  <c r="I154" i="253"/>
  <c r="F154" i="253"/>
  <c r="D155" i="253"/>
  <c r="B156" i="253"/>
  <c r="E509" i="253" l="1"/>
  <c r="BP509" i="253" s="1"/>
  <c r="BR508" i="253"/>
  <c r="BP508" i="253"/>
  <c r="B512" i="253"/>
  <c r="D511" i="253"/>
  <c r="I510" i="253"/>
  <c r="H510" i="253"/>
  <c r="F510" i="253"/>
  <c r="G510" i="253"/>
  <c r="BP153" i="253"/>
  <c r="E154" i="253"/>
  <c r="D156" i="253"/>
  <c r="B157" i="253"/>
  <c r="H155" i="253"/>
  <c r="I155" i="253"/>
  <c r="F155" i="253"/>
  <c r="G155" i="253"/>
  <c r="BR509" i="253" l="1"/>
  <c r="G511" i="253"/>
  <c r="F511" i="253"/>
  <c r="I511" i="253"/>
  <c r="H511" i="253"/>
  <c r="E510" i="253"/>
  <c r="D512" i="253"/>
  <c r="B513" i="253"/>
  <c r="B158" i="253"/>
  <c r="D157" i="253"/>
  <c r="I156" i="253"/>
  <c r="F156" i="253"/>
  <c r="G156" i="253"/>
  <c r="H156" i="253"/>
  <c r="E155" i="253"/>
  <c r="BR154" i="253"/>
  <c r="BP154" i="253"/>
  <c r="B514" i="253" l="1"/>
  <c r="D513" i="253"/>
  <c r="H512" i="253"/>
  <c r="F512" i="253"/>
  <c r="G512" i="253"/>
  <c r="I512" i="253"/>
  <c r="E511" i="253"/>
  <c r="BR510" i="253"/>
  <c r="BP510" i="253"/>
  <c r="E156" i="253"/>
  <c r="BR156" i="253" s="1"/>
  <c r="BR155" i="253"/>
  <c r="BP155" i="253"/>
  <c r="F157" i="253"/>
  <c r="G157" i="253"/>
  <c r="H157" i="253"/>
  <c r="I157" i="253"/>
  <c r="B159" i="253"/>
  <c r="D158" i="253"/>
  <c r="E512" i="253" l="1"/>
  <c r="BR511" i="253"/>
  <c r="BP511" i="253"/>
  <c r="F513" i="253"/>
  <c r="G513" i="253"/>
  <c r="I513" i="253"/>
  <c r="H513" i="253"/>
  <c r="D514" i="253"/>
  <c r="B515" i="253"/>
  <c r="BP156" i="253"/>
  <c r="E157" i="253"/>
  <c r="BR157" i="253" s="1"/>
  <c r="G158" i="253"/>
  <c r="H158" i="253"/>
  <c r="I158" i="253"/>
  <c r="F158" i="253"/>
  <c r="D159" i="253"/>
  <c r="B160" i="253"/>
  <c r="E513" i="253" l="1"/>
  <c r="BR513" i="253" s="1"/>
  <c r="BP157" i="253"/>
  <c r="H514" i="253"/>
  <c r="F514" i="253"/>
  <c r="G514" i="253"/>
  <c r="I514" i="253"/>
  <c r="D515" i="253"/>
  <c r="B516" i="253"/>
  <c r="BP512" i="253"/>
  <c r="BR512" i="253"/>
  <c r="E158" i="253"/>
  <c r="BP158" i="253" s="1"/>
  <c r="D160" i="253"/>
  <c r="B161" i="253"/>
  <c r="H159" i="253"/>
  <c r="I159" i="253"/>
  <c r="F159" i="253"/>
  <c r="G159" i="253"/>
  <c r="BP513" i="253" l="1"/>
  <c r="B517" i="253"/>
  <c r="D516" i="253"/>
  <c r="E514" i="253"/>
  <c r="H515" i="253"/>
  <c r="F515" i="253"/>
  <c r="G515" i="253"/>
  <c r="I515" i="253"/>
  <c r="BR158" i="253"/>
  <c r="E159" i="253"/>
  <c r="B162" i="253"/>
  <c r="D161" i="253"/>
  <c r="BR159" i="253"/>
  <c r="BP159" i="253"/>
  <c r="I160" i="253"/>
  <c r="F160" i="253"/>
  <c r="G160" i="253"/>
  <c r="H160" i="253"/>
  <c r="BP514" i="253" l="1"/>
  <c r="BR514" i="253"/>
  <c r="H516" i="253"/>
  <c r="F516" i="253"/>
  <c r="G516" i="253"/>
  <c r="I516" i="253"/>
  <c r="E515" i="253"/>
  <c r="D517" i="253"/>
  <c r="B518" i="253"/>
  <c r="E160" i="253"/>
  <c r="BP160" i="253" s="1"/>
  <c r="F161" i="253"/>
  <c r="G161" i="253"/>
  <c r="H161" i="253"/>
  <c r="I161" i="253"/>
  <c r="B163" i="253"/>
  <c r="D162" i="253"/>
  <c r="E516" i="253" l="1"/>
  <c r="BR516" i="253" s="1"/>
  <c r="I517" i="253"/>
  <c r="H517" i="253"/>
  <c r="F517" i="253"/>
  <c r="G517" i="253"/>
  <c r="BR515" i="253"/>
  <c r="BP515" i="253"/>
  <c r="B519" i="253"/>
  <c r="D518" i="253"/>
  <c r="BR160" i="253"/>
  <c r="G162" i="253"/>
  <c r="H162" i="253"/>
  <c r="I162" i="253"/>
  <c r="F162" i="253"/>
  <c r="D163" i="253"/>
  <c r="B164" i="253"/>
  <c r="E161" i="253"/>
  <c r="BP516" i="253" l="1"/>
  <c r="E517" i="253"/>
  <c r="I518" i="253"/>
  <c r="H518" i="253"/>
  <c r="F518" i="253"/>
  <c r="G518" i="253"/>
  <c r="B520" i="253"/>
  <c r="D519" i="253"/>
  <c r="BR161" i="253"/>
  <c r="BP161" i="253"/>
  <c r="E162" i="253"/>
  <c r="H163" i="253"/>
  <c r="I163" i="253"/>
  <c r="F163" i="253"/>
  <c r="G163" i="253"/>
  <c r="D164" i="253"/>
  <c r="B165" i="253"/>
  <c r="E518" i="253" l="1"/>
  <c r="BR518" i="253" s="1"/>
  <c r="D520" i="253"/>
  <c r="B521" i="253"/>
  <c r="G519" i="253"/>
  <c r="I519" i="253"/>
  <c r="F519" i="253"/>
  <c r="H519" i="253"/>
  <c r="BP517" i="253"/>
  <c r="BR517" i="253"/>
  <c r="E163" i="253"/>
  <c r="BR163" i="253" s="1"/>
  <c r="B166" i="253"/>
  <c r="D165" i="253"/>
  <c r="I164" i="253"/>
  <c r="F164" i="253"/>
  <c r="G164" i="253"/>
  <c r="H164" i="253"/>
  <c r="BR162" i="253"/>
  <c r="BP162" i="253"/>
  <c r="BP518" i="253" l="1"/>
  <c r="B522" i="253"/>
  <c r="D521" i="253"/>
  <c r="E519" i="253"/>
  <c r="I520" i="253"/>
  <c r="H520" i="253"/>
  <c r="F520" i="253"/>
  <c r="G520" i="253"/>
  <c r="BP163" i="253"/>
  <c r="E164" i="253"/>
  <c r="F165" i="253"/>
  <c r="G165" i="253"/>
  <c r="H165" i="253"/>
  <c r="I165" i="253"/>
  <c r="B167" i="253"/>
  <c r="D166" i="253"/>
  <c r="BR519" i="253" l="1"/>
  <c r="BP519" i="253"/>
  <c r="E520" i="253"/>
  <c r="I521" i="253"/>
  <c r="H521" i="253"/>
  <c r="F521" i="253"/>
  <c r="G521" i="253"/>
  <c r="B523" i="253"/>
  <c r="D522" i="253"/>
  <c r="E165" i="253"/>
  <c r="BR164" i="253"/>
  <c r="BP164" i="253"/>
  <c r="G166" i="253"/>
  <c r="H166" i="253"/>
  <c r="I166" i="253"/>
  <c r="F166" i="253"/>
  <c r="D167" i="253"/>
  <c r="B168" i="253"/>
  <c r="E521" i="253" l="1"/>
  <c r="BR521" i="253" s="1"/>
  <c r="B524" i="253"/>
  <c r="D523" i="253"/>
  <c r="BR520" i="253"/>
  <c r="BP520" i="253"/>
  <c r="I522" i="253"/>
  <c r="H522" i="253"/>
  <c r="F522" i="253"/>
  <c r="G522" i="253"/>
  <c r="D168" i="253"/>
  <c r="B169" i="253"/>
  <c r="H167" i="253"/>
  <c r="I167" i="253"/>
  <c r="F167" i="253"/>
  <c r="G167" i="253"/>
  <c r="E166" i="253"/>
  <c r="BR165" i="253"/>
  <c r="BP165" i="253"/>
  <c r="BP521" i="253" l="1"/>
  <c r="G523" i="253"/>
  <c r="I523" i="253"/>
  <c r="F523" i="253"/>
  <c r="H523" i="253"/>
  <c r="E522" i="253"/>
  <c r="B525" i="253"/>
  <c r="D524" i="253"/>
  <c r="E167" i="253"/>
  <c r="BR167" i="253" s="1"/>
  <c r="B170" i="253"/>
  <c r="D169" i="253"/>
  <c r="I168" i="253"/>
  <c r="F168" i="253"/>
  <c r="G168" i="253"/>
  <c r="H168" i="253"/>
  <c r="BR166" i="253"/>
  <c r="BP166" i="253"/>
  <c r="BP167" i="253" l="1"/>
  <c r="G524" i="253"/>
  <c r="I524" i="253"/>
  <c r="H524" i="253"/>
  <c r="F524" i="253"/>
  <c r="E523" i="253"/>
  <c r="D525" i="253"/>
  <c r="B526" i="253"/>
  <c r="BR522" i="253"/>
  <c r="BP522" i="253"/>
  <c r="F169" i="253"/>
  <c r="G169" i="253"/>
  <c r="H169" i="253"/>
  <c r="I169" i="253"/>
  <c r="B171" i="253"/>
  <c r="D170" i="253"/>
  <c r="E168" i="253"/>
  <c r="D526" i="253" l="1"/>
  <c r="B527" i="253"/>
  <c r="BP523" i="253"/>
  <c r="BR523" i="253"/>
  <c r="G525" i="253"/>
  <c r="I525" i="253"/>
  <c r="H525" i="253"/>
  <c r="F525" i="253"/>
  <c r="E524" i="253"/>
  <c r="E169" i="253"/>
  <c r="BR169" i="253" s="1"/>
  <c r="BR168" i="253"/>
  <c r="BP168" i="253"/>
  <c r="G170" i="253"/>
  <c r="H170" i="253"/>
  <c r="I170" i="253"/>
  <c r="F170" i="253"/>
  <c r="D171" i="253"/>
  <c r="B172" i="253"/>
  <c r="E525" i="253" l="1"/>
  <c r="BR525" i="253" s="1"/>
  <c r="D527" i="253"/>
  <c r="B528" i="253"/>
  <c r="BP524" i="253"/>
  <c r="BR524" i="253"/>
  <c r="G526" i="253"/>
  <c r="F526" i="253"/>
  <c r="I526" i="253"/>
  <c r="H526" i="253"/>
  <c r="BP169" i="253"/>
  <c r="E170" i="253"/>
  <c r="BR170" i="253" s="1"/>
  <c r="D172" i="253"/>
  <c r="B173" i="253"/>
  <c r="H171" i="253"/>
  <c r="I171" i="253"/>
  <c r="F171" i="253"/>
  <c r="G171" i="253"/>
  <c r="BP525" i="253" l="1"/>
  <c r="E526" i="253"/>
  <c r="B529" i="253"/>
  <c r="D528" i="253"/>
  <c r="G527" i="253"/>
  <c r="H527" i="253"/>
  <c r="I527" i="253"/>
  <c r="F527" i="253"/>
  <c r="BP170" i="253"/>
  <c r="B174" i="253"/>
  <c r="D173" i="253"/>
  <c r="E171" i="253"/>
  <c r="I172" i="253"/>
  <c r="F172" i="253"/>
  <c r="G172" i="253"/>
  <c r="H172" i="253"/>
  <c r="E527" i="253" l="1"/>
  <c r="H528" i="253"/>
  <c r="G528" i="253"/>
  <c r="I528" i="253"/>
  <c r="F528" i="253"/>
  <c r="D529" i="253"/>
  <c r="B530" i="253"/>
  <c r="BR526" i="253"/>
  <c r="BP526" i="253"/>
  <c r="E172" i="253"/>
  <c r="F173" i="253"/>
  <c r="G173" i="253"/>
  <c r="H173" i="253"/>
  <c r="I173" i="253"/>
  <c r="BR171" i="253"/>
  <c r="BP171" i="253"/>
  <c r="B175" i="253"/>
  <c r="D174" i="253"/>
  <c r="B531" i="253" l="1"/>
  <c r="D530" i="253"/>
  <c r="I529" i="253"/>
  <c r="H529" i="253"/>
  <c r="G529" i="253"/>
  <c r="F529" i="253"/>
  <c r="E528" i="253"/>
  <c r="BP527" i="253"/>
  <c r="BR527" i="253"/>
  <c r="E173" i="253"/>
  <c r="G174" i="253"/>
  <c r="H174" i="253"/>
  <c r="I174" i="253"/>
  <c r="F174" i="253"/>
  <c r="D175" i="253"/>
  <c r="B176" i="253"/>
  <c r="BR172" i="253"/>
  <c r="BP172" i="253"/>
  <c r="E529" i="253" l="1"/>
  <c r="BR529" i="253" s="1"/>
  <c r="BR528" i="253"/>
  <c r="BP528" i="253"/>
  <c r="H530" i="253"/>
  <c r="I530" i="253"/>
  <c r="G530" i="253"/>
  <c r="F530" i="253"/>
  <c r="D531" i="253"/>
  <c r="B532" i="253"/>
  <c r="E174" i="253"/>
  <c r="BR174" i="253" s="1"/>
  <c r="D176" i="253"/>
  <c r="B177" i="253"/>
  <c r="H175" i="253"/>
  <c r="I175" i="253"/>
  <c r="F175" i="253"/>
  <c r="G175" i="253"/>
  <c r="BR173" i="253"/>
  <c r="BP173" i="253"/>
  <c r="BP529" i="253" l="1"/>
  <c r="BP174" i="253"/>
  <c r="E530" i="253"/>
  <c r="BP530" i="253" s="1"/>
  <c r="B533" i="253"/>
  <c r="D532" i="253"/>
  <c r="F531" i="253"/>
  <c r="G531" i="253"/>
  <c r="I531" i="253"/>
  <c r="H531" i="253"/>
  <c r="E175" i="253"/>
  <c r="BR175" i="253" s="1"/>
  <c r="B178" i="253"/>
  <c r="D177" i="253"/>
  <c r="I176" i="253"/>
  <c r="F176" i="253"/>
  <c r="G176" i="253"/>
  <c r="H176" i="253"/>
  <c r="BR530" i="253" l="1"/>
  <c r="H532" i="253"/>
  <c r="F532" i="253"/>
  <c r="G532" i="253"/>
  <c r="I532" i="253"/>
  <c r="D533" i="253"/>
  <c r="B534" i="253"/>
  <c r="E531" i="253"/>
  <c r="BP175" i="253"/>
  <c r="E176" i="253"/>
  <c r="B179" i="253"/>
  <c r="D178" i="253"/>
  <c r="F177" i="253"/>
  <c r="G177" i="253"/>
  <c r="H177" i="253"/>
  <c r="I177" i="253"/>
  <c r="BR531" i="253" l="1"/>
  <c r="BP531" i="253"/>
  <c r="B535" i="253"/>
  <c r="D534" i="253"/>
  <c r="E532" i="253"/>
  <c r="F533" i="253"/>
  <c r="G533" i="253"/>
  <c r="I533" i="253"/>
  <c r="H533" i="253"/>
  <c r="G178" i="253"/>
  <c r="H178" i="253"/>
  <c r="I178" i="253"/>
  <c r="F178" i="253"/>
  <c r="D179" i="253"/>
  <c r="B180" i="253"/>
  <c r="E177" i="253"/>
  <c r="BR176" i="253"/>
  <c r="BP176" i="253"/>
  <c r="E533" i="253" l="1"/>
  <c r="BR533" i="253" s="1"/>
  <c r="G534" i="253"/>
  <c r="I534" i="253"/>
  <c r="H534" i="253"/>
  <c r="F534" i="253"/>
  <c r="B536" i="253"/>
  <c r="D535" i="253"/>
  <c r="E178" i="253"/>
  <c r="BR178" i="253" s="1"/>
  <c r="BR532" i="253"/>
  <c r="BP532" i="253"/>
  <c r="BR177" i="253"/>
  <c r="BP177" i="253"/>
  <c r="D180" i="253"/>
  <c r="B181" i="253"/>
  <c r="H179" i="253"/>
  <c r="I179" i="253"/>
  <c r="F179" i="253"/>
  <c r="G179" i="253"/>
  <c r="BP533" i="253" l="1"/>
  <c r="BP178" i="253"/>
  <c r="E534" i="253"/>
  <c r="BR534" i="253" s="1"/>
  <c r="G535" i="253"/>
  <c r="F535" i="253"/>
  <c r="H535" i="253"/>
  <c r="I535" i="253"/>
  <c r="B537" i="253"/>
  <c r="D536" i="253"/>
  <c r="E179" i="253"/>
  <c r="BR179" i="253" s="1"/>
  <c r="B182" i="253"/>
  <c r="D181" i="253"/>
  <c r="I180" i="253"/>
  <c r="F180" i="253"/>
  <c r="G180" i="253"/>
  <c r="H180" i="253"/>
  <c r="BP534" i="253" l="1"/>
  <c r="F536" i="253"/>
  <c r="I536" i="253"/>
  <c r="H536" i="253"/>
  <c r="G536" i="253"/>
  <c r="E535" i="253"/>
  <c r="B538" i="253"/>
  <c r="D537" i="253"/>
  <c r="BP179" i="253"/>
  <c r="B183" i="253"/>
  <c r="D182" i="253"/>
  <c r="E180" i="253"/>
  <c r="F181" i="253"/>
  <c r="G181" i="253"/>
  <c r="H181" i="253"/>
  <c r="I181" i="253"/>
  <c r="I537" i="253" l="1"/>
  <c r="F537" i="253"/>
  <c r="G537" i="253"/>
  <c r="H537" i="253"/>
  <c r="D538" i="253"/>
  <c r="B539" i="253"/>
  <c r="BR535" i="253"/>
  <c r="BP535" i="253"/>
  <c r="E536" i="253"/>
  <c r="E181" i="253"/>
  <c r="BR181" i="253" s="1"/>
  <c r="BR180" i="253"/>
  <c r="BP180" i="253"/>
  <c r="G182" i="253"/>
  <c r="H182" i="253"/>
  <c r="I182" i="253"/>
  <c r="F182" i="253"/>
  <c r="D183" i="253"/>
  <c r="B184" i="253"/>
  <c r="BP181" i="253" l="1"/>
  <c r="B540" i="253"/>
  <c r="D539" i="253"/>
  <c r="E537" i="253"/>
  <c r="BR536" i="253"/>
  <c r="BP536" i="253"/>
  <c r="F538" i="253"/>
  <c r="I538" i="253"/>
  <c r="G538" i="253"/>
  <c r="H538" i="253"/>
  <c r="E182" i="253"/>
  <c r="H183" i="253"/>
  <c r="I183" i="253"/>
  <c r="F183" i="253"/>
  <c r="G183" i="253"/>
  <c r="D184" i="253"/>
  <c r="B185" i="253"/>
  <c r="BP537" i="253" l="1"/>
  <c r="BR537" i="253"/>
  <c r="E538" i="253"/>
  <c r="G539" i="253"/>
  <c r="I539" i="253"/>
  <c r="F539" i="253"/>
  <c r="H539" i="253"/>
  <c r="D540" i="253"/>
  <c r="B541" i="253"/>
  <c r="D541" i="253" s="1"/>
  <c r="B186" i="253"/>
  <c r="D185" i="253"/>
  <c r="BR182" i="253"/>
  <c r="BP182" i="253"/>
  <c r="I184" i="253"/>
  <c r="F184" i="253"/>
  <c r="G184" i="253"/>
  <c r="H184" i="253"/>
  <c r="E183" i="253"/>
  <c r="E539" i="253" l="1"/>
  <c r="BR539" i="253" s="1"/>
  <c r="F540" i="253"/>
  <c r="G540" i="253"/>
  <c r="I540" i="253"/>
  <c r="H540" i="253"/>
  <c r="BR538" i="253"/>
  <c r="BP538" i="253"/>
  <c r="G541" i="253"/>
  <c r="I541" i="253"/>
  <c r="F541" i="253"/>
  <c r="H541" i="253"/>
  <c r="E184" i="253"/>
  <c r="BR184" i="253" s="1"/>
  <c r="F185" i="253"/>
  <c r="G185" i="253"/>
  <c r="H185" i="253"/>
  <c r="I185" i="253"/>
  <c r="BR183" i="253"/>
  <c r="BP183" i="253"/>
  <c r="B187" i="253"/>
  <c r="D186" i="253"/>
  <c r="BP539" i="253" l="1"/>
  <c r="E541" i="253"/>
  <c r="E540" i="253"/>
  <c r="E185" i="253"/>
  <c r="BP185" i="253" s="1"/>
  <c r="BP184" i="253"/>
  <c r="G186" i="253"/>
  <c r="H186" i="253"/>
  <c r="I186" i="253"/>
  <c r="F186" i="253"/>
  <c r="D187" i="253"/>
  <c r="B188" i="253"/>
  <c r="BR185" i="253" l="1"/>
  <c r="BR540" i="253"/>
  <c r="BP540" i="253"/>
  <c r="BP541" i="253"/>
  <c r="BR541" i="253"/>
  <c r="D188" i="253"/>
  <c r="B189" i="253"/>
  <c r="H187" i="253"/>
  <c r="I187" i="253"/>
  <c r="F187" i="253"/>
  <c r="G187" i="253"/>
  <c r="E186" i="253"/>
  <c r="B190" i="253" l="1"/>
  <c r="D189" i="253"/>
  <c r="E187" i="253"/>
  <c r="I188" i="253"/>
  <c r="F188" i="253"/>
  <c r="G188" i="253"/>
  <c r="H188" i="253"/>
  <c r="BR186" i="253"/>
  <c r="BP186" i="253"/>
  <c r="BR187" i="253" l="1"/>
  <c r="BP187" i="253"/>
  <c r="F189" i="253"/>
  <c r="G189" i="253"/>
  <c r="H189" i="253"/>
  <c r="I189" i="253"/>
  <c r="E188" i="253"/>
  <c r="B191" i="253"/>
  <c r="D190" i="253"/>
  <c r="BR188" i="253" l="1"/>
  <c r="BP188" i="253"/>
  <c r="E189" i="253"/>
  <c r="D191" i="253"/>
  <c r="B192" i="253"/>
  <c r="G190" i="253"/>
  <c r="H190" i="253"/>
  <c r="F190" i="253"/>
  <c r="I190" i="253"/>
  <c r="H191" i="253" l="1"/>
  <c r="I191" i="253"/>
  <c r="G191" i="253"/>
  <c r="F191" i="253"/>
  <c r="BR189" i="253"/>
  <c r="BP189" i="253"/>
  <c r="E190" i="253"/>
  <c r="D192" i="253"/>
  <c r="B193" i="253"/>
  <c r="E191" i="253" l="1"/>
  <c r="BR191" i="253" s="1"/>
  <c r="D193" i="253"/>
  <c r="B194" i="253"/>
  <c r="I192" i="253"/>
  <c r="F192" i="253"/>
  <c r="H192" i="253"/>
  <c r="G192" i="253"/>
  <c r="BR190" i="253"/>
  <c r="BP190" i="253"/>
  <c r="BP191" i="253" l="1"/>
  <c r="E192" i="253"/>
  <c r="BP192" i="253" s="1"/>
  <c r="F193" i="253"/>
  <c r="G193" i="253"/>
  <c r="H193" i="253"/>
  <c r="I193" i="253"/>
  <c r="D194" i="253"/>
  <c r="B195" i="253"/>
  <c r="BR192" i="253" l="1"/>
  <c r="E193" i="253"/>
  <c r="BR193" i="253" s="1"/>
  <c r="D195" i="253"/>
  <c r="B196" i="253"/>
  <c r="H194" i="253"/>
  <c r="I194" i="253"/>
  <c r="F194" i="253"/>
  <c r="G194" i="253"/>
  <c r="E194" i="253" l="1"/>
  <c r="BR194" i="253" s="1"/>
  <c r="BP193" i="253"/>
  <c r="B197" i="253"/>
  <c r="D196" i="253"/>
  <c r="I195" i="253"/>
  <c r="F195" i="253"/>
  <c r="G195" i="253"/>
  <c r="H195" i="253"/>
  <c r="BP194" i="253" l="1"/>
  <c r="E195" i="253"/>
  <c r="B198" i="253"/>
  <c r="D197" i="253"/>
  <c r="F196" i="253"/>
  <c r="G196" i="253"/>
  <c r="H196" i="253"/>
  <c r="I196" i="253"/>
  <c r="D198" i="253" l="1"/>
  <c r="B199" i="253"/>
  <c r="E196" i="253"/>
  <c r="BR195" i="253"/>
  <c r="BP195" i="253"/>
  <c r="G197" i="253"/>
  <c r="H197" i="253"/>
  <c r="I197" i="253"/>
  <c r="F197" i="253"/>
  <c r="E197" i="253" l="1"/>
  <c r="BR196" i="253"/>
  <c r="BP196" i="253"/>
  <c r="D199" i="253"/>
  <c r="B200" i="253"/>
  <c r="H198" i="253"/>
  <c r="I198" i="253"/>
  <c r="F198" i="253"/>
  <c r="G198" i="253"/>
  <c r="E198" i="253" l="1"/>
  <c r="B201" i="253"/>
  <c r="D200" i="253"/>
  <c r="I199" i="253"/>
  <c r="F199" i="253"/>
  <c r="G199" i="253"/>
  <c r="H199" i="253"/>
  <c r="BR197" i="253"/>
  <c r="BP197" i="253"/>
  <c r="F200" i="253" l="1"/>
  <c r="G200" i="253"/>
  <c r="H200" i="253"/>
  <c r="I200" i="253"/>
  <c r="B202" i="253"/>
  <c r="D201" i="253"/>
  <c r="E199" i="253"/>
  <c r="BR198" i="253"/>
  <c r="BP198" i="253"/>
  <c r="E200" i="253" l="1"/>
  <c r="BR200" i="253" s="1"/>
  <c r="G201" i="253"/>
  <c r="H201" i="253"/>
  <c r="I201" i="253"/>
  <c r="F201" i="253"/>
  <c r="D202" i="253"/>
  <c r="B203" i="253"/>
  <c r="BR199" i="253"/>
  <c r="BP199" i="253"/>
  <c r="BP200" i="253" l="1"/>
  <c r="D203" i="253"/>
  <c r="B204" i="253"/>
  <c r="H202" i="253"/>
  <c r="I202" i="253"/>
  <c r="F202" i="253"/>
  <c r="G202" i="253"/>
  <c r="E201" i="253"/>
  <c r="B205" i="253" l="1"/>
  <c r="D204" i="253"/>
  <c r="E202" i="253"/>
  <c r="I203" i="253"/>
  <c r="F203" i="253"/>
  <c r="G203" i="253"/>
  <c r="H203" i="253"/>
  <c r="BR201" i="253"/>
  <c r="BP201" i="253"/>
  <c r="BR202" i="253" l="1"/>
  <c r="BP202" i="253"/>
  <c r="F204" i="253"/>
  <c r="G204" i="253"/>
  <c r="H204" i="253"/>
  <c r="I204" i="253"/>
  <c r="E203" i="253"/>
  <c r="B206" i="253"/>
  <c r="D205" i="253"/>
  <c r="D206" i="253" l="1"/>
  <c r="B207" i="253"/>
  <c r="BR203" i="253"/>
  <c r="BP203" i="253"/>
  <c r="E204" i="253"/>
  <c r="G205" i="253"/>
  <c r="H205" i="253"/>
  <c r="I205" i="253"/>
  <c r="F205" i="253"/>
  <c r="E205" i="253" l="1"/>
  <c r="BR205" i="253" s="1"/>
  <c r="BR204" i="253"/>
  <c r="BP204" i="253"/>
  <c r="D207" i="253"/>
  <c r="B208" i="253"/>
  <c r="H206" i="253"/>
  <c r="I206" i="253"/>
  <c r="F206" i="253"/>
  <c r="G206" i="253"/>
  <c r="BP205" i="253" l="1"/>
  <c r="E206" i="253"/>
  <c r="B209" i="253"/>
  <c r="D208" i="253"/>
  <c r="I207" i="253"/>
  <c r="F207" i="253"/>
  <c r="G207" i="253"/>
  <c r="H207" i="253"/>
  <c r="E207" i="253" l="1"/>
  <c r="BR207" i="253" s="1"/>
  <c r="B210" i="253"/>
  <c r="D209" i="253"/>
  <c r="BR206" i="253"/>
  <c r="BP206" i="253"/>
  <c r="F208" i="253"/>
  <c r="G208" i="253"/>
  <c r="H208" i="253"/>
  <c r="I208" i="253"/>
  <c r="BP207" i="253" l="1"/>
  <c r="E208" i="253"/>
  <c r="G209" i="253"/>
  <c r="H209" i="253"/>
  <c r="I209" i="253"/>
  <c r="F209" i="253"/>
  <c r="D210" i="253"/>
  <c r="B211" i="253"/>
  <c r="E209" i="253" l="1"/>
  <c r="BR208" i="253"/>
  <c r="BP208" i="253"/>
  <c r="D211" i="253"/>
  <c r="B212" i="253"/>
  <c r="H210" i="253"/>
  <c r="I210" i="253"/>
  <c r="F210" i="253"/>
  <c r="G210" i="253"/>
  <c r="B213" i="253" l="1"/>
  <c r="D212" i="253"/>
  <c r="E210" i="253"/>
  <c r="I211" i="253"/>
  <c r="F211" i="253"/>
  <c r="G211" i="253"/>
  <c r="H211" i="253"/>
  <c r="BR209" i="253"/>
  <c r="BP209" i="253"/>
  <c r="F212" i="253" l="1"/>
  <c r="G212" i="253"/>
  <c r="H212" i="253"/>
  <c r="I212" i="253"/>
  <c r="E211" i="253"/>
  <c r="B214" i="253"/>
  <c r="D213" i="253"/>
  <c r="BR210" i="253"/>
  <c r="BP210" i="253"/>
  <c r="G213" i="253" l="1"/>
  <c r="H213" i="253"/>
  <c r="I213" i="253"/>
  <c r="F213" i="253"/>
  <c r="D214" i="253"/>
  <c r="B215" i="253"/>
  <c r="BR211" i="253"/>
  <c r="BP211" i="253"/>
  <c r="E212" i="253"/>
  <c r="E213" i="253" l="1"/>
  <c r="BR212" i="253"/>
  <c r="BP212" i="253"/>
  <c r="D215" i="253"/>
  <c r="B216" i="253"/>
  <c r="H214" i="253"/>
  <c r="I214" i="253"/>
  <c r="F214" i="253"/>
  <c r="G214" i="253"/>
  <c r="BR213" i="253"/>
  <c r="BP213" i="253"/>
  <c r="E214" i="253" l="1"/>
  <c r="BR214" i="253" s="1"/>
  <c r="I215" i="253"/>
  <c r="F215" i="253"/>
  <c r="G215" i="253"/>
  <c r="H215" i="253"/>
  <c r="B217" i="253"/>
  <c r="D216" i="253"/>
  <c r="BP214" i="253" l="1"/>
  <c r="B218" i="253"/>
  <c r="D217" i="253"/>
  <c r="E215" i="253"/>
  <c r="F216" i="253"/>
  <c r="G216" i="253"/>
  <c r="H216" i="253"/>
  <c r="I216" i="253"/>
  <c r="E216" i="253" l="1"/>
  <c r="BR216" i="253" s="1"/>
  <c r="BR215" i="253"/>
  <c r="BP215" i="253"/>
  <c r="G217" i="253"/>
  <c r="H217" i="253"/>
  <c r="I217" i="253"/>
  <c r="F217" i="253"/>
  <c r="D218" i="253"/>
  <c r="B219" i="253"/>
  <c r="BP216" i="253" l="1"/>
  <c r="H218" i="253"/>
  <c r="I218" i="253"/>
  <c r="F218" i="253"/>
  <c r="G218" i="253"/>
  <c r="E217" i="253"/>
  <c r="D219" i="253"/>
  <c r="B220" i="253"/>
  <c r="B221" i="253" l="1"/>
  <c r="D220" i="253"/>
  <c r="I219" i="253"/>
  <c r="F219" i="253"/>
  <c r="G219" i="253"/>
  <c r="H219" i="253"/>
  <c r="E218" i="253"/>
  <c r="BR217" i="253"/>
  <c r="BP217" i="253"/>
  <c r="E219" i="253" l="1"/>
  <c r="BR218" i="253"/>
  <c r="BP218" i="253"/>
  <c r="F220" i="253"/>
  <c r="G220" i="253"/>
  <c r="H220" i="253"/>
  <c r="I220" i="253"/>
  <c r="B222" i="253"/>
  <c r="D221" i="253"/>
  <c r="G221" i="253" l="1"/>
  <c r="H221" i="253"/>
  <c r="I221" i="253"/>
  <c r="F221" i="253"/>
  <c r="D222" i="253"/>
  <c r="B223" i="253"/>
  <c r="BR219" i="253"/>
  <c r="BP219" i="253"/>
  <c r="E220" i="253"/>
  <c r="E221" i="253" l="1"/>
  <c r="BR221" i="253" s="1"/>
  <c r="D223" i="253"/>
  <c r="B224" i="253"/>
  <c r="BR220" i="253"/>
  <c r="BP220" i="253"/>
  <c r="H222" i="253"/>
  <c r="I222" i="253"/>
  <c r="F222" i="253"/>
  <c r="G222" i="253"/>
  <c r="BP221" i="253" l="1"/>
  <c r="E222" i="253"/>
  <c r="B225" i="253"/>
  <c r="D224" i="253"/>
  <c r="I223" i="253"/>
  <c r="F223" i="253"/>
  <c r="G223" i="253"/>
  <c r="H223" i="253"/>
  <c r="E223" i="253" l="1"/>
  <c r="BR223" i="253" s="1"/>
  <c r="F224" i="253"/>
  <c r="G224" i="253"/>
  <c r="H224" i="253"/>
  <c r="I224" i="253"/>
  <c r="B226" i="253"/>
  <c r="D225" i="253"/>
  <c r="BR222" i="253"/>
  <c r="BP222" i="253"/>
  <c r="E224" i="253" l="1"/>
  <c r="BP224" i="253" s="1"/>
  <c r="BP223" i="253"/>
  <c r="G225" i="253"/>
  <c r="H225" i="253"/>
  <c r="I225" i="253"/>
  <c r="F225" i="253"/>
  <c r="D226" i="253"/>
  <c r="B227" i="253"/>
  <c r="BR224" i="253" l="1"/>
  <c r="D227" i="253"/>
  <c r="B228" i="253"/>
  <c r="E225" i="253"/>
  <c r="H226" i="253"/>
  <c r="I226" i="253"/>
  <c r="F226" i="253"/>
  <c r="G226" i="253"/>
  <c r="E226" i="253" l="1"/>
  <c r="BR226" i="253" s="1"/>
  <c r="BR225" i="253"/>
  <c r="BP225" i="253"/>
  <c r="B229" i="253"/>
  <c r="D228" i="253"/>
  <c r="I227" i="253"/>
  <c r="F227" i="253"/>
  <c r="G227" i="253"/>
  <c r="H227" i="253"/>
  <c r="BP226" i="253" l="1"/>
  <c r="E227" i="253"/>
  <c r="F228" i="253"/>
  <c r="G228" i="253"/>
  <c r="H228" i="253"/>
  <c r="I228" i="253"/>
  <c r="B230" i="253"/>
  <c r="D229" i="253"/>
  <c r="E228" i="253" l="1"/>
  <c r="BR228" i="253" s="1"/>
  <c r="D230" i="253"/>
  <c r="B231" i="253"/>
  <c r="G229" i="253"/>
  <c r="H229" i="253"/>
  <c r="I229" i="253"/>
  <c r="F229" i="253"/>
  <c r="BR227" i="253"/>
  <c r="BP227" i="253"/>
  <c r="BP228" i="253" l="1"/>
  <c r="E229" i="253"/>
  <c r="BR229" i="253" s="1"/>
  <c r="D231" i="253"/>
  <c r="B232" i="253"/>
  <c r="H230" i="253"/>
  <c r="I230" i="253"/>
  <c r="F230" i="253"/>
  <c r="G230" i="253"/>
  <c r="BP229" i="253" l="1"/>
  <c r="B233" i="253"/>
  <c r="D232" i="253"/>
  <c r="I231" i="253"/>
  <c r="F231" i="253"/>
  <c r="G231" i="253"/>
  <c r="H231" i="253"/>
  <c r="E230" i="253"/>
  <c r="E231" i="253" l="1"/>
  <c r="BR231" i="253" s="1"/>
  <c r="BR230" i="253"/>
  <c r="BP230" i="253"/>
  <c r="F232" i="253"/>
  <c r="G232" i="253"/>
  <c r="H232" i="253"/>
  <c r="I232" i="253"/>
  <c r="B234" i="253"/>
  <c r="D233" i="253"/>
  <c r="BP231" i="253" l="1"/>
  <c r="G233" i="253"/>
  <c r="H233" i="253"/>
  <c r="I233" i="253"/>
  <c r="F233" i="253"/>
  <c r="D234" i="253"/>
  <c r="B235" i="253"/>
  <c r="E232" i="253"/>
  <c r="BR232" i="253" l="1"/>
  <c r="BP232" i="253"/>
  <c r="H234" i="253"/>
  <c r="I234" i="253"/>
  <c r="F234" i="253"/>
  <c r="G234" i="253"/>
  <c r="E233" i="253"/>
  <c r="D235" i="253"/>
  <c r="B236" i="253"/>
  <c r="E234" i="253" l="1"/>
  <c r="BR234" i="253" s="1"/>
  <c r="B237" i="253"/>
  <c r="D236" i="253"/>
  <c r="I235" i="253"/>
  <c r="F235" i="253"/>
  <c r="G235" i="253"/>
  <c r="H235" i="253"/>
  <c r="BR233" i="253"/>
  <c r="BP233" i="253"/>
  <c r="BP234" i="253" l="1"/>
  <c r="E235" i="253"/>
  <c r="F236" i="253"/>
  <c r="G236" i="253"/>
  <c r="H236" i="253"/>
  <c r="I236" i="253"/>
  <c r="B238" i="253"/>
  <c r="D237" i="253"/>
  <c r="D238" i="253" l="1"/>
  <c r="B239" i="253"/>
  <c r="E236" i="253"/>
  <c r="G237" i="253"/>
  <c r="H237" i="253"/>
  <c r="I237" i="253"/>
  <c r="F237" i="253"/>
  <c r="BR235" i="253"/>
  <c r="BP235" i="253"/>
  <c r="E237" i="253" l="1"/>
  <c r="BR237" i="253" s="1"/>
  <c r="BR236" i="253"/>
  <c r="BP236" i="253"/>
  <c r="D239" i="253"/>
  <c r="B240" i="253"/>
  <c r="H238" i="253"/>
  <c r="I238" i="253"/>
  <c r="F238" i="253"/>
  <c r="G238" i="253"/>
  <c r="BP237" i="253" l="1"/>
  <c r="E238" i="253"/>
  <c r="B241" i="253"/>
  <c r="D240" i="253"/>
  <c r="I239" i="253"/>
  <c r="F239" i="253"/>
  <c r="H239" i="253"/>
  <c r="G239" i="253"/>
  <c r="E239" i="253" l="1"/>
  <c r="BR239" i="253" s="1"/>
  <c r="F240" i="253"/>
  <c r="G240" i="253"/>
  <c r="I240" i="253"/>
  <c r="H240" i="253"/>
  <c r="D241" i="253"/>
  <c r="B242" i="253"/>
  <c r="BR238" i="253"/>
  <c r="BP238" i="253"/>
  <c r="BP239" i="253" l="1"/>
  <c r="D242" i="253"/>
  <c r="B243" i="253"/>
  <c r="G241" i="253"/>
  <c r="H241" i="253"/>
  <c r="I241" i="253"/>
  <c r="F241" i="253"/>
  <c r="E240" i="253"/>
  <c r="E241" i="253" l="1"/>
  <c r="BR241" i="253" s="1"/>
  <c r="B244" i="253"/>
  <c r="D243" i="253"/>
  <c r="BR240" i="253"/>
  <c r="BP240" i="253"/>
  <c r="I242" i="253"/>
  <c r="F242" i="253"/>
  <c r="G242" i="253"/>
  <c r="H242" i="253"/>
  <c r="BP241" i="253" l="1"/>
  <c r="E242" i="253"/>
  <c r="BR242" i="253" s="1"/>
  <c r="F243" i="253"/>
  <c r="G243" i="253"/>
  <c r="H243" i="253"/>
  <c r="I243" i="253"/>
  <c r="B245" i="253"/>
  <c r="D244" i="253"/>
  <c r="BP242" i="253" l="1"/>
  <c r="D245" i="253"/>
  <c r="B246" i="253"/>
  <c r="G244" i="253"/>
  <c r="H244" i="253"/>
  <c r="I244" i="253"/>
  <c r="F244" i="253"/>
  <c r="E243" i="253"/>
  <c r="E244" i="253" l="1"/>
  <c r="BR244" i="253" s="1"/>
  <c r="D246" i="253"/>
  <c r="B247" i="253"/>
  <c r="H245" i="253"/>
  <c r="I245" i="253"/>
  <c r="F245" i="253"/>
  <c r="G245" i="253"/>
  <c r="BR243" i="253"/>
  <c r="BP243" i="253"/>
  <c r="BP244" i="253" l="1"/>
  <c r="B248" i="253"/>
  <c r="D247" i="253"/>
  <c r="E245" i="253"/>
  <c r="I246" i="253"/>
  <c r="F246" i="253"/>
  <c r="G246" i="253"/>
  <c r="H246" i="253"/>
  <c r="E246" i="253" l="1"/>
  <c r="BR246" i="253" s="1"/>
  <c r="F247" i="253"/>
  <c r="G247" i="253"/>
  <c r="H247" i="253"/>
  <c r="I247" i="253"/>
  <c r="B249" i="253"/>
  <c r="D248" i="253"/>
  <c r="BR245" i="253"/>
  <c r="BP245" i="253"/>
  <c r="BP246" i="253" l="1"/>
  <c r="G248" i="253"/>
  <c r="H248" i="253"/>
  <c r="I248" i="253"/>
  <c r="F248" i="253"/>
  <c r="D249" i="253"/>
  <c r="B250" i="253"/>
  <c r="E247" i="253"/>
  <c r="E248" i="253" l="1"/>
  <c r="BR248" i="253" s="1"/>
  <c r="BR247" i="253"/>
  <c r="BP247" i="253"/>
  <c r="H249" i="253"/>
  <c r="I249" i="253"/>
  <c r="F249" i="253"/>
  <c r="G249" i="253"/>
  <c r="D250" i="253"/>
  <c r="B251" i="253"/>
  <c r="BP248" i="253" l="1"/>
  <c r="I250" i="253"/>
  <c r="F250" i="253"/>
  <c r="G250" i="253"/>
  <c r="H250" i="253"/>
  <c r="E249" i="253"/>
  <c r="B252" i="253"/>
  <c r="D251" i="253"/>
  <c r="E250" i="253" l="1"/>
  <c r="BR250" i="253" s="1"/>
  <c r="B253" i="253"/>
  <c r="D252" i="253"/>
  <c r="BR249" i="253"/>
  <c r="BP249" i="253"/>
  <c r="F251" i="253"/>
  <c r="G251" i="253"/>
  <c r="H251" i="253"/>
  <c r="I251" i="253"/>
  <c r="BP250" i="253" l="1"/>
  <c r="E251" i="253"/>
  <c r="G252" i="253"/>
  <c r="H252" i="253"/>
  <c r="I252" i="253"/>
  <c r="F252" i="253"/>
  <c r="D253" i="253"/>
  <c r="B254" i="253"/>
  <c r="E252" i="253" l="1"/>
  <c r="BR252" i="253" s="1"/>
  <c r="BR251" i="253"/>
  <c r="BP251" i="253"/>
  <c r="D254" i="253"/>
  <c r="B255" i="253"/>
  <c r="H253" i="253"/>
  <c r="I253" i="253"/>
  <c r="F253" i="253"/>
  <c r="G253" i="253"/>
  <c r="BP252" i="253" l="1"/>
  <c r="B256" i="253"/>
  <c r="D255" i="253"/>
  <c r="E253" i="253"/>
  <c r="I254" i="253"/>
  <c r="F254" i="253"/>
  <c r="G254" i="253"/>
  <c r="H254" i="253"/>
  <c r="E254" i="253" l="1"/>
  <c r="BR254" i="253" s="1"/>
  <c r="B257" i="253"/>
  <c r="D256" i="253"/>
  <c r="BR253" i="253"/>
  <c r="BP253" i="253"/>
  <c r="F255" i="253"/>
  <c r="G255" i="253"/>
  <c r="H255" i="253"/>
  <c r="I255" i="253"/>
  <c r="BP254" i="253" l="1"/>
  <c r="G256" i="253"/>
  <c r="H256" i="253"/>
  <c r="I256" i="253"/>
  <c r="F256" i="253"/>
  <c r="E255" i="253"/>
  <c r="D257" i="253"/>
  <c r="B258" i="253"/>
  <c r="E256" i="253" l="1"/>
  <c r="BR256" i="253" s="1"/>
  <c r="BR255" i="253"/>
  <c r="BP255" i="253"/>
  <c r="D258" i="253"/>
  <c r="B259" i="253"/>
  <c r="H257" i="253"/>
  <c r="I257" i="253"/>
  <c r="F257" i="253"/>
  <c r="G257" i="253"/>
  <c r="BP256" i="253" l="1"/>
  <c r="E257" i="253"/>
  <c r="BR257" i="253" s="1"/>
  <c r="I258" i="253"/>
  <c r="F258" i="253"/>
  <c r="G258" i="253"/>
  <c r="H258" i="253"/>
  <c r="B260" i="253"/>
  <c r="D259" i="253"/>
  <c r="BP257" i="253" l="1"/>
  <c r="F259" i="253"/>
  <c r="G259" i="253"/>
  <c r="H259" i="253"/>
  <c r="I259" i="253"/>
  <c r="B261" i="253"/>
  <c r="D260" i="253"/>
  <c r="E258" i="253"/>
  <c r="G260" i="253" l="1"/>
  <c r="H260" i="253"/>
  <c r="I260" i="253"/>
  <c r="F260" i="253"/>
  <c r="D261" i="253"/>
  <c r="B262" i="253"/>
  <c r="BR258" i="253"/>
  <c r="BP258" i="253"/>
  <c r="E259" i="253"/>
  <c r="E260" i="253" l="1"/>
  <c r="BP260" i="253" s="1"/>
  <c r="BR259" i="253"/>
  <c r="BP259" i="253"/>
  <c r="D262" i="253"/>
  <c r="B263" i="253"/>
  <c r="H261" i="253"/>
  <c r="I261" i="253"/>
  <c r="F261" i="253"/>
  <c r="G261" i="253"/>
  <c r="BR260" i="253" l="1"/>
  <c r="B264" i="253"/>
  <c r="D263" i="253"/>
  <c r="E261" i="253"/>
  <c r="I262" i="253"/>
  <c r="F262" i="253"/>
  <c r="G262" i="253"/>
  <c r="H262" i="253"/>
  <c r="E262" i="253" l="1"/>
  <c r="F263" i="253"/>
  <c r="G263" i="253"/>
  <c r="H263" i="253"/>
  <c r="I263" i="253"/>
  <c r="B265" i="253"/>
  <c r="D264" i="253"/>
  <c r="BR261" i="253"/>
  <c r="BP261" i="253"/>
  <c r="G264" i="253" l="1"/>
  <c r="H264" i="253"/>
  <c r="I264" i="253"/>
  <c r="F264" i="253"/>
  <c r="D265" i="253"/>
  <c r="B266" i="253"/>
  <c r="E263" i="253"/>
  <c r="BR262" i="253"/>
  <c r="BP262" i="253"/>
  <c r="D266" i="253" l="1"/>
  <c r="B267" i="253"/>
  <c r="H265" i="253"/>
  <c r="I265" i="253"/>
  <c r="F265" i="253"/>
  <c r="G265" i="253"/>
  <c r="BR263" i="253"/>
  <c r="BP263" i="253"/>
  <c r="E264" i="253"/>
  <c r="B268" i="253" l="1"/>
  <c r="D267" i="253"/>
  <c r="E265" i="253"/>
  <c r="I266" i="253"/>
  <c r="F266" i="253"/>
  <c r="G266" i="253"/>
  <c r="H266" i="253"/>
  <c r="BR264" i="253"/>
  <c r="BP264" i="253"/>
  <c r="E266" i="253" l="1"/>
  <c r="BR266" i="253" s="1"/>
  <c r="BR265" i="253"/>
  <c r="BP265" i="253"/>
  <c r="F267" i="253"/>
  <c r="G267" i="253"/>
  <c r="H267" i="253"/>
  <c r="I267" i="253"/>
  <c r="B269" i="253"/>
  <c r="D268" i="253"/>
  <c r="BP266" i="253" l="1"/>
  <c r="G268" i="253"/>
  <c r="H268" i="253"/>
  <c r="I268" i="253"/>
  <c r="F268" i="253"/>
  <c r="D269" i="253"/>
  <c r="B270" i="253"/>
  <c r="E267" i="253"/>
  <c r="E268" i="253" l="1"/>
  <c r="BR268" i="253" s="1"/>
  <c r="D270" i="253"/>
  <c r="B271" i="253"/>
  <c r="BR267" i="253"/>
  <c r="BP267" i="253"/>
  <c r="H269" i="253"/>
  <c r="I269" i="253"/>
  <c r="F269" i="253"/>
  <c r="G269" i="253"/>
  <c r="BP268" i="253" l="1"/>
  <c r="E269" i="253"/>
  <c r="BR269" i="253" s="1"/>
  <c r="B272" i="253"/>
  <c r="D271" i="253"/>
  <c r="I270" i="253"/>
  <c r="F270" i="253"/>
  <c r="G270" i="253"/>
  <c r="H270" i="253"/>
  <c r="BP269" i="253" l="1"/>
  <c r="E270" i="253"/>
  <c r="F271" i="253"/>
  <c r="G271" i="253"/>
  <c r="H271" i="253"/>
  <c r="I271" i="253"/>
  <c r="B273" i="253"/>
  <c r="D272" i="253"/>
  <c r="E271" i="253" l="1"/>
  <c r="BR271" i="253" s="1"/>
  <c r="G272" i="253"/>
  <c r="H272" i="253"/>
  <c r="I272" i="253"/>
  <c r="F272" i="253"/>
  <c r="D273" i="253"/>
  <c r="B274" i="253"/>
  <c r="D274" i="253" s="1"/>
  <c r="BR270" i="253"/>
  <c r="BP270" i="253"/>
  <c r="BP271" i="253" l="1"/>
  <c r="E272" i="253"/>
  <c r="BR272" i="253" s="1"/>
  <c r="I274" i="253"/>
  <c r="F274" i="253"/>
  <c r="G274" i="253"/>
  <c r="H274" i="253"/>
  <c r="H273" i="253"/>
  <c r="I273" i="253"/>
  <c r="F273" i="253"/>
  <c r="G273" i="253"/>
  <c r="BP272" i="253" l="1"/>
  <c r="E274" i="253"/>
  <c r="BR274" i="253" s="1"/>
  <c r="E273" i="253"/>
  <c r="Q16" i="255"/>
  <c r="L10" i="255"/>
  <c r="Q20" i="255"/>
  <c r="BP274" i="253" l="1"/>
  <c r="BR273" i="253"/>
  <c r="BP273" i="253"/>
  <c r="T11" i="255" a="1"/>
  <c r="T11" i="255" s="1"/>
  <c r="N23" i="255" a="1"/>
  <c r="N23" i="255" s="1"/>
  <c r="T28" i="255" a="1"/>
  <c r="T28" i="255" s="1"/>
  <c r="T14" i="255" a="1"/>
  <c r="T14" i="255" s="1"/>
  <c r="N25" i="255" a="1"/>
  <c r="N25" i="255" s="1"/>
  <c r="N18" i="255" a="1"/>
  <c r="N18" i="255" s="1"/>
  <c r="N17" i="255" a="1"/>
  <c r="N17" i="255" s="1"/>
  <c r="T27" i="255" a="1"/>
  <c r="T27" i="255" s="1"/>
  <c r="T16" i="255" a="1"/>
  <c r="T16" i="255" s="1"/>
  <c r="N24" i="255" a="1"/>
  <c r="N24" i="255" s="1"/>
  <c r="N30" i="255" a="1"/>
  <c r="N30" i="255" s="1"/>
  <c r="N21" i="255" a="1"/>
  <c r="N21" i="255" s="1"/>
  <c r="T25" i="255" a="1"/>
  <c r="T25" i="255" s="1"/>
  <c r="T23" i="255" a="1"/>
  <c r="T23" i="255" s="1"/>
  <c r="T20" i="255" a="1"/>
  <c r="T20" i="255" s="1"/>
  <c r="T19" i="255" a="1"/>
  <c r="T19" i="255" s="1"/>
  <c r="N9" i="255" a="1"/>
  <c r="N9" i="255" s="1"/>
  <c r="T15" i="255" a="1"/>
  <c r="T15" i="255" s="1"/>
  <c r="T17" i="255" a="1"/>
  <c r="T17" i="255" s="1"/>
  <c r="N20" i="255" a="1"/>
  <c r="N20" i="255" s="1"/>
  <c r="BQ560" i="253" s="1"/>
  <c r="J560" i="253" s="1"/>
  <c r="L560" i="253" s="1"/>
  <c r="N8" i="255" a="1"/>
  <c r="N8" i="255" s="1"/>
  <c r="BQ581" i="253" s="1"/>
  <c r="J581" i="253" s="1"/>
  <c r="L581" i="253" s="1"/>
  <c r="T24" i="255" a="1"/>
  <c r="T24" i="255" s="1"/>
  <c r="N28" i="255" a="1"/>
  <c r="N28" i="255" s="1"/>
  <c r="T8" i="255" a="1"/>
  <c r="T8" i="255" s="1"/>
  <c r="BS581" i="253" s="1"/>
  <c r="K581" i="253" s="1"/>
  <c r="M581" i="253" s="1"/>
  <c r="N22" i="255" a="1"/>
  <c r="N22" i="255" s="1"/>
  <c r="N16" i="255" a="1"/>
  <c r="N16" i="255" s="1"/>
  <c r="T21" i="255" a="1"/>
  <c r="T21" i="255" s="1"/>
  <c r="T26" i="255" a="1"/>
  <c r="T26" i="255" s="1"/>
  <c r="BS273" i="253" s="1"/>
  <c r="N5" i="255" a="1"/>
  <c r="N5" i="255" s="1"/>
  <c r="BQ546" i="253" s="1"/>
  <c r="J546" i="253" s="1"/>
  <c r="L546" i="253" s="1"/>
  <c r="T18" i="255" a="1"/>
  <c r="T18" i="255" s="1"/>
  <c r="T9" i="255" a="1"/>
  <c r="T9" i="255" s="1"/>
  <c r="T22" i="255" a="1"/>
  <c r="T22" i="255" s="1"/>
  <c r="T12" i="255" a="1"/>
  <c r="T12" i="255" s="1"/>
  <c r="N10" i="255" a="1"/>
  <c r="N10" i="255" s="1"/>
  <c r="BQ594" i="253" s="1"/>
  <c r="J594" i="253" s="1"/>
  <c r="L594" i="253" s="1"/>
  <c r="T13" i="255" a="1"/>
  <c r="T13" i="255" s="1"/>
  <c r="T6" i="255" a="1"/>
  <c r="T6" i="255" s="1"/>
  <c r="BS335" i="253" s="1"/>
  <c r="K335" i="253" s="1"/>
  <c r="M335" i="253" s="1"/>
  <c r="N11" i="255" a="1"/>
  <c r="N11" i="255" s="1"/>
  <c r="N12" i="255" a="1"/>
  <c r="N12" i="255" s="1"/>
  <c r="T10" i="255" a="1"/>
  <c r="T10" i="255" s="1"/>
  <c r="BS594" i="253" s="1"/>
  <c r="K594" i="253" s="1"/>
  <c r="M594" i="253" s="1"/>
  <c r="N19" i="255" a="1"/>
  <c r="N19" i="255" s="1"/>
  <c r="T5" i="255" a="1"/>
  <c r="T5" i="255" s="1"/>
  <c r="BS546" i="253" s="1"/>
  <c r="K546" i="253" s="1"/>
  <c r="M546" i="253" s="1"/>
  <c r="N27" i="255" a="1"/>
  <c r="N27" i="255" s="1"/>
  <c r="N7" i="255" a="1"/>
  <c r="N7" i="255" s="1"/>
  <c r="N14" i="255" a="1"/>
  <c r="N14" i="255" s="1"/>
  <c r="N26" i="255" a="1"/>
  <c r="N26" i="255" s="1"/>
  <c r="T29" i="255" a="1"/>
  <c r="T29" i="255" s="1"/>
  <c r="N29" i="255" a="1"/>
  <c r="N29" i="255" s="1"/>
  <c r="N13" i="255" a="1"/>
  <c r="N13" i="255" s="1"/>
  <c r="T30" i="255" a="1"/>
  <c r="T30" i="255" s="1"/>
  <c r="N15" i="255" a="1"/>
  <c r="N15" i="255" s="1"/>
  <c r="N6" i="255" a="1"/>
  <c r="N6" i="255" s="1"/>
  <c r="BQ335" i="253" s="1"/>
  <c r="J335" i="253" s="1"/>
  <c r="L335" i="253" s="1"/>
  <c r="T7" i="255" a="1"/>
  <c r="T7" i="255" s="1"/>
  <c r="Q27" i="255"/>
  <c r="L8" i="255"/>
  <c r="K28" i="255"/>
  <c r="L20" i="255"/>
  <c r="L14" i="255"/>
  <c r="L12" i="255"/>
  <c r="K8" i="255"/>
  <c r="L5" i="255"/>
  <c r="Q22" i="255"/>
  <c r="K10" i="255"/>
  <c r="R18" i="255"/>
  <c r="R13" i="255"/>
  <c r="K27" i="255"/>
  <c r="R17" i="255"/>
  <c r="R9" i="255"/>
  <c r="Q23" i="255"/>
  <c r="Q28" i="255"/>
  <c r="R7" i="255"/>
  <c r="R5" i="255"/>
  <c r="R25" i="255"/>
  <c r="R10" i="255"/>
  <c r="L22" i="255"/>
  <c r="L23" i="255"/>
  <c r="K19" i="255"/>
  <c r="R12" i="255"/>
  <c r="R11" i="255"/>
  <c r="R24" i="255"/>
  <c r="L7" i="255"/>
  <c r="L21" i="255"/>
  <c r="R15" i="255"/>
  <c r="Q12" i="255"/>
  <c r="K25" i="255"/>
  <c r="Q21" i="255"/>
  <c r="Q25" i="255"/>
  <c r="K21" i="255"/>
  <c r="L18" i="255"/>
  <c r="K16" i="255"/>
  <c r="L26" i="255"/>
  <c r="Q8" i="255"/>
  <c r="L11" i="255"/>
  <c r="Q18" i="255"/>
  <c r="Q30" i="255"/>
  <c r="L30" i="255"/>
  <c r="K26" i="255"/>
  <c r="K5" i="255"/>
  <c r="Q26" i="255"/>
  <c r="Q15" i="255"/>
  <c r="K13" i="255"/>
  <c r="K30" i="255"/>
  <c r="L24" i="255"/>
  <c r="K14" i="255"/>
  <c r="R23" i="255"/>
  <c r="K22" i="255"/>
  <c r="L16" i="255"/>
  <c r="K24" i="255"/>
  <c r="K23" i="255"/>
  <c r="R29" i="255"/>
  <c r="K15" i="255"/>
  <c r="Q19" i="255"/>
  <c r="L9" i="255"/>
  <c r="L15" i="255"/>
  <c r="L6" i="255"/>
  <c r="R27" i="255"/>
  <c r="Q24" i="255"/>
  <c r="Q13" i="255"/>
  <c r="L19" i="255"/>
  <c r="R6" i="255"/>
  <c r="Q5" i="255"/>
  <c r="Q10" i="255"/>
  <c r="K7" i="255"/>
  <c r="Q14" i="255"/>
  <c r="L29" i="255"/>
  <c r="L27" i="255"/>
  <c r="Q11" i="255"/>
  <c r="Q17" i="255"/>
  <c r="K11" i="255"/>
  <c r="L28" i="255"/>
  <c r="R19" i="255"/>
  <c r="Q29" i="255"/>
  <c r="R14" i="255"/>
  <c r="K17" i="255"/>
  <c r="Q6" i="255"/>
  <c r="L25" i="255"/>
  <c r="R16" i="255"/>
  <c r="R21" i="255"/>
  <c r="R30" i="255"/>
  <c r="R26" i="255"/>
  <c r="K29" i="255"/>
  <c r="R28" i="255"/>
  <c r="Q7" i="255"/>
  <c r="K12" i="255"/>
  <c r="Q9" i="255"/>
  <c r="R20" i="255"/>
  <c r="K9" i="255"/>
  <c r="L13" i="255"/>
  <c r="L17" i="255"/>
  <c r="K6" i="255"/>
  <c r="K20" i="255"/>
  <c r="K18" i="255"/>
  <c r="R8" i="255"/>
  <c r="R22" i="255"/>
  <c r="BS560" i="253" l="1"/>
  <c r="K560" i="253" s="1"/>
  <c r="M560" i="253" s="1"/>
  <c r="BS266" i="253"/>
  <c r="K266" i="253" s="1"/>
  <c r="M266" i="253" s="1"/>
  <c r="BQ266" i="253"/>
  <c r="J266" i="253" s="1"/>
  <c r="L266" i="253" s="1"/>
  <c r="BQ278" i="253"/>
  <c r="J278" i="253" s="1"/>
  <c r="L278" i="253" s="1"/>
  <c r="BQ294" i="253"/>
  <c r="J294" i="253" s="1"/>
  <c r="L294" i="253" s="1"/>
  <c r="BQ298" i="253"/>
  <c r="J298" i="253" s="1"/>
  <c r="L298" i="253" s="1"/>
  <c r="BQ326" i="253"/>
  <c r="J326" i="253" s="1"/>
  <c r="L326" i="253" s="1"/>
  <c r="BQ334" i="253"/>
  <c r="J334" i="253" s="1"/>
  <c r="L334" i="253" s="1"/>
  <c r="BQ292" i="253"/>
  <c r="J292" i="253" s="1"/>
  <c r="L292" i="253" s="1"/>
  <c r="BQ299" i="253"/>
  <c r="J299" i="253" s="1"/>
  <c r="L299" i="253" s="1"/>
  <c r="BQ333" i="253"/>
  <c r="J333" i="253" s="1"/>
  <c r="L333" i="253" s="1"/>
  <c r="BQ285" i="253"/>
  <c r="J285" i="253" s="1"/>
  <c r="L285" i="253" s="1"/>
  <c r="BQ295" i="253"/>
  <c r="J295" i="253" s="1"/>
  <c r="L295" i="253" s="1"/>
  <c r="BQ320" i="253"/>
  <c r="J320" i="253" s="1"/>
  <c r="L320" i="253" s="1"/>
  <c r="BQ297" i="253"/>
  <c r="J297" i="253" s="1"/>
  <c r="L297" i="253" s="1"/>
  <c r="BQ312" i="253"/>
  <c r="J312" i="253" s="1"/>
  <c r="L312" i="253" s="1"/>
  <c r="BS133" i="253"/>
  <c r="K133" i="253" s="1"/>
  <c r="M133" i="253" s="1"/>
  <c r="BS141" i="253"/>
  <c r="K141" i="253" s="1"/>
  <c r="M141" i="253" s="1"/>
  <c r="BS147" i="253"/>
  <c r="K147" i="253" s="1"/>
  <c r="M147" i="253" s="1"/>
  <c r="BS153" i="253"/>
  <c r="K153" i="253" s="1"/>
  <c r="M153" i="253" s="1"/>
  <c r="BS156" i="253"/>
  <c r="K156" i="253" s="1"/>
  <c r="M156" i="253" s="1"/>
  <c r="BS157" i="253"/>
  <c r="K157" i="253" s="1"/>
  <c r="M157" i="253" s="1"/>
  <c r="BS160" i="253"/>
  <c r="K160" i="253" s="1"/>
  <c r="M160" i="253" s="1"/>
  <c r="BS164" i="253"/>
  <c r="K164" i="253" s="1"/>
  <c r="M164" i="253" s="1"/>
  <c r="BS172" i="253"/>
  <c r="K172" i="253" s="1"/>
  <c r="M172" i="253" s="1"/>
  <c r="BS175" i="253"/>
  <c r="K175" i="253" s="1"/>
  <c r="M175" i="253" s="1"/>
  <c r="BS178" i="253"/>
  <c r="K178" i="253" s="1"/>
  <c r="M178" i="253" s="1"/>
  <c r="BS177" i="253"/>
  <c r="K177" i="253" s="1"/>
  <c r="M177" i="253" s="1"/>
  <c r="BS182" i="253"/>
  <c r="K182" i="253" s="1"/>
  <c r="M182" i="253" s="1"/>
  <c r="BS193" i="253"/>
  <c r="K193" i="253" s="1"/>
  <c r="M193" i="253" s="1"/>
  <c r="BS205" i="253"/>
  <c r="K205" i="253" s="1"/>
  <c r="M205" i="253" s="1"/>
  <c r="BS206" i="253"/>
  <c r="K206" i="253" s="1"/>
  <c r="M206" i="253" s="1"/>
  <c r="BS210" i="253"/>
  <c r="K210" i="253" s="1"/>
  <c r="M210" i="253" s="1"/>
  <c r="BS219" i="253"/>
  <c r="K219" i="253" s="1"/>
  <c r="M219" i="253" s="1"/>
  <c r="BS226" i="253"/>
  <c r="K226" i="253" s="1"/>
  <c r="M226" i="253" s="1"/>
  <c r="BS241" i="253"/>
  <c r="K241" i="253" s="1"/>
  <c r="M241" i="253" s="1"/>
  <c r="BS248" i="253"/>
  <c r="K248" i="253" s="1"/>
  <c r="M248" i="253" s="1"/>
  <c r="BS260" i="253"/>
  <c r="K260" i="253" s="1"/>
  <c r="M260" i="253" s="1"/>
  <c r="BS262" i="253"/>
  <c r="K262" i="253" s="1"/>
  <c r="M262" i="253" s="1"/>
  <c r="BS268" i="253"/>
  <c r="K268" i="253" s="1"/>
  <c r="M268" i="253" s="1"/>
  <c r="BS271" i="253"/>
  <c r="K271" i="253" s="1"/>
  <c r="M271" i="253" s="1"/>
  <c r="BQ123" i="253"/>
  <c r="J123" i="253" s="1"/>
  <c r="L123" i="253" s="1"/>
  <c r="BQ139" i="253"/>
  <c r="J139" i="253" s="1"/>
  <c r="L139" i="253" s="1"/>
  <c r="BQ132" i="253"/>
  <c r="J132" i="253" s="1"/>
  <c r="L132" i="253" s="1"/>
  <c r="BQ140" i="253"/>
  <c r="J140" i="253" s="1"/>
  <c r="L140" i="253" s="1"/>
  <c r="BQ122" i="253"/>
  <c r="J122" i="253" s="1"/>
  <c r="L122" i="253" s="1"/>
  <c r="BQ152" i="253"/>
  <c r="J152" i="253" s="1"/>
  <c r="L152" i="253" s="1"/>
  <c r="BQ162" i="253"/>
  <c r="J162" i="253" s="1"/>
  <c r="L162" i="253" s="1"/>
  <c r="BQ165" i="253"/>
  <c r="J165" i="253" s="1"/>
  <c r="L165" i="253" s="1"/>
  <c r="BQ171" i="253"/>
  <c r="J171" i="253" s="1"/>
  <c r="L171" i="253" s="1"/>
  <c r="BQ181" i="253"/>
  <c r="J181" i="253" s="1"/>
  <c r="L181" i="253" s="1"/>
  <c r="BQ209" i="253"/>
  <c r="J209" i="253" s="1"/>
  <c r="L209" i="253" s="1"/>
  <c r="BQ216" i="253"/>
  <c r="J216" i="253" s="1"/>
  <c r="L216" i="253" s="1"/>
  <c r="BQ217" i="253"/>
  <c r="J217" i="253" s="1"/>
  <c r="L217" i="253" s="1"/>
  <c r="BQ227" i="253"/>
  <c r="J227" i="253" s="1"/>
  <c r="L227" i="253" s="1"/>
  <c r="BQ238" i="253"/>
  <c r="J238" i="253" s="1"/>
  <c r="L238" i="253" s="1"/>
  <c r="BQ239" i="253"/>
  <c r="J239" i="253" s="1"/>
  <c r="L239" i="253" s="1"/>
  <c r="BQ243" i="253"/>
  <c r="J243" i="253" s="1"/>
  <c r="L243" i="253" s="1"/>
  <c r="BQ259" i="253"/>
  <c r="J259" i="253" s="1"/>
  <c r="L259" i="253" s="1"/>
  <c r="BQ261" i="253"/>
  <c r="J261" i="253" s="1"/>
  <c r="L261" i="253" s="1"/>
  <c r="BQ272" i="253"/>
  <c r="J272" i="253" s="1"/>
  <c r="L272" i="253" s="1"/>
  <c r="BQ6" i="253"/>
  <c r="J6" i="253" s="1"/>
  <c r="L6" i="253" s="1"/>
  <c r="BQ10" i="253"/>
  <c r="J10" i="253" s="1"/>
  <c r="L10" i="253" s="1"/>
  <c r="BQ14" i="253"/>
  <c r="J14" i="253" s="1"/>
  <c r="L14" i="253" s="1"/>
  <c r="BQ16" i="253"/>
  <c r="J16" i="253" s="1"/>
  <c r="L16" i="253" s="1"/>
  <c r="BQ20" i="253"/>
  <c r="J20" i="253" s="1"/>
  <c r="L20" i="253" s="1"/>
  <c r="BQ24" i="253"/>
  <c r="J24" i="253" s="1"/>
  <c r="L24" i="253" s="1"/>
  <c r="BQ28" i="253"/>
  <c r="J28" i="253" s="1"/>
  <c r="L28" i="253" s="1"/>
  <c r="BQ32" i="253"/>
  <c r="J32" i="253" s="1"/>
  <c r="L32" i="253" s="1"/>
  <c r="BQ36" i="253"/>
  <c r="J36" i="253" s="1"/>
  <c r="L36" i="253" s="1"/>
  <c r="BQ40" i="253"/>
  <c r="J40" i="253" s="1"/>
  <c r="L40" i="253" s="1"/>
  <c r="BQ44" i="253"/>
  <c r="J44" i="253" s="1"/>
  <c r="L44" i="253" s="1"/>
  <c r="BQ48" i="253"/>
  <c r="J48" i="253" s="1"/>
  <c r="L48" i="253" s="1"/>
  <c r="BQ9" i="253"/>
  <c r="J9" i="253" s="1"/>
  <c r="L9" i="253" s="1"/>
  <c r="BQ13" i="253"/>
  <c r="J13" i="253" s="1"/>
  <c r="L13" i="253" s="1"/>
  <c r="BQ19" i="253"/>
  <c r="J19" i="253" s="1"/>
  <c r="L19" i="253" s="1"/>
  <c r="BQ23" i="253"/>
  <c r="J23" i="253" s="1"/>
  <c r="L23" i="253" s="1"/>
  <c r="BQ31" i="253"/>
  <c r="J31" i="253" s="1"/>
  <c r="L31" i="253" s="1"/>
  <c r="BQ35" i="253"/>
  <c r="J35" i="253" s="1"/>
  <c r="L35" i="253" s="1"/>
  <c r="BQ43" i="253"/>
  <c r="J43" i="253" s="1"/>
  <c r="L43" i="253" s="1"/>
  <c r="BQ11" i="253"/>
  <c r="J11" i="253" s="1"/>
  <c r="L11" i="253" s="1"/>
  <c r="BQ21" i="253"/>
  <c r="J21" i="253" s="1"/>
  <c r="L21" i="253" s="1"/>
  <c r="BQ29" i="253"/>
  <c r="J29" i="253" s="1"/>
  <c r="L29" i="253" s="1"/>
  <c r="BQ37" i="253"/>
  <c r="J37" i="253" s="1"/>
  <c r="L37" i="253" s="1"/>
  <c r="BQ45" i="253"/>
  <c r="J45" i="253" s="1"/>
  <c r="L45" i="253" s="1"/>
  <c r="BQ12" i="253"/>
  <c r="J12" i="253" s="1"/>
  <c r="L12" i="253" s="1"/>
  <c r="BQ30" i="253"/>
  <c r="J30" i="253" s="1"/>
  <c r="L30" i="253" s="1"/>
  <c r="BQ38" i="253"/>
  <c r="J38" i="253" s="1"/>
  <c r="L38" i="253" s="1"/>
  <c r="BQ46" i="253"/>
  <c r="J46" i="253" s="1"/>
  <c r="L46" i="253" s="1"/>
  <c r="BQ7" i="253"/>
  <c r="J7" i="253" s="1"/>
  <c r="L7" i="253" s="1"/>
  <c r="BQ18" i="253"/>
  <c r="J18" i="253" s="1"/>
  <c r="L18" i="253" s="1"/>
  <c r="BQ25" i="253"/>
  <c r="J25" i="253" s="1"/>
  <c r="L25" i="253" s="1"/>
  <c r="BQ41" i="253"/>
  <c r="J41" i="253" s="1"/>
  <c r="L41" i="253" s="1"/>
  <c r="BQ26" i="253"/>
  <c r="J26" i="253" s="1"/>
  <c r="L26" i="253" s="1"/>
  <c r="BQ8" i="253"/>
  <c r="J8" i="253" s="1"/>
  <c r="L8" i="253" s="1"/>
  <c r="BQ17" i="253"/>
  <c r="J17" i="253" s="1"/>
  <c r="L17" i="253" s="1"/>
  <c r="BQ33" i="253"/>
  <c r="J33" i="253" s="1"/>
  <c r="L33" i="253" s="1"/>
  <c r="BQ49" i="253"/>
  <c r="J49" i="253" s="1"/>
  <c r="L49" i="253" s="1"/>
  <c r="BQ596" i="253"/>
  <c r="J596" i="253" s="1"/>
  <c r="L596" i="253" s="1"/>
  <c r="BQ600" i="253"/>
  <c r="J600" i="253" s="1"/>
  <c r="L600" i="253" s="1"/>
  <c r="BQ604" i="253"/>
  <c r="J604" i="253" s="1"/>
  <c r="L604" i="253" s="1"/>
  <c r="BQ608" i="253"/>
  <c r="J608" i="253" s="1"/>
  <c r="L608" i="253" s="1"/>
  <c r="BQ612" i="253"/>
  <c r="J612" i="253" s="1"/>
  <c r="L612" i="253" s="1"/>
  <c r="BQ624" i="253"/>
  <c r="J624" i="253" s="1"/>
  <c r="L624" i="253" s="1"/>
  <c r="BQ628" i="253"/>
  <c r="J628" i="253" s="1"/>
  <c r="L628" i="253" s="1"/>
  <c r="BQ636" i="253"/>
  <c r="J636" i="253" s="1"/>
  <c r="L636" i="253" s="1"/>
  <c r="BQ640" i="253"/>
  <c r="J640" i="253" s="1"/>
  <c r="L640" i="253" s="1"/>
  <c r="BQ652" i="253"/>
  <c r="J652" i="253" s="1"/>
  <c r="L652" i="253" s="1"/>
  <c r="BQ660" i="253"/>
  <c r="J660" i="253" s="1"/>
  <c r="L660" i="253" s="1"/>
  <c r="BQ619" i="253"/>
  <c r="J619" i="253" s="1"/>
  <c r="L619" i="253" s="1"/>
  <c r="BQ626" i="253"/>
  <c r="J626" i="253" s="1"/>
  <c r="L626" i="253" s="1"/>
  <c r="BQ633" i="253"/>
  <c r="J633" i="253" s="1"/>
  <c r="L633" i="253" s="1"/>
  <c r="BQ642" i="253"/>
  <c r="J642" i="253" s="1"/>
  <c r="L642" i="253" s="1"/>
  <c r="BQ665" i="253"/>
  <c r="J665" i="253" s="1"/>
  <c r="L665" i="253" s="1"/>
  <c r="BQ667" i="253"/>
  <c r="J667" i="253" s="1"/>
  <c r="L667" i="253" s="1"/>
  <c r="BQ598" i="253"/>
  <c r="J598" i="253" s="1"/>
  <c r="L598" i="253" s="1"/>
  <c r="BQ621" i="253"/>
  <c r="J621" i="253" s="1"/>
  <c r="L621" i="253" s="1"/>
  <c r="BQ630" i="253"/>
  <c r="J630" i="253" s="1"/>
  <c r="L630" i="253" s="1"/>
  <c r="BQ637" i="253"/>
  <c r="J637" i="253" s="1"/>
  <c r="L637" i="253" s="1"/>
  <c r="BQ655" i="253"/>
  <c r="J655" i="253" s="1"/>
  <c r="L655" i="253" s="1"/>
  <c r="BQ602" i="253"/>
  <c r="J602" i="253" s="1"/>
  <c r="L602" i="253" s="1"/>
  <c r="BQ609" i="253"/>
  <c r="J609" i="253" s="1"/>
  <c r="L609" i="253" s="1"/>
  <c r="BQ618" i="253"/>
  <c r="J618" i="253" s="1"/>
  <c r="L618" i="253" s="1"/>
  <c r="BQ643" i="253"/>
  <c r="J643" i="253" s="1"/>
  <c r="L643" i="253" s="1"/>
  <c r="BQ650" i="253"/>
  <c r="J650" i="253" s="1"/>
  <c r="L650" i="253" s="1"/>
  <c r="BQ657" i="253"/>
  <c r="J657" i="253" s="1"/>
  <c r="L657" i="253" s="1"/>
  <c r="BQ606" i="253"/>
  <c r="J606" i="253" s="1"/>
  <c r="L606" i="253" s="1"/>
  <c r="BQ613" i="253"/>
  <c r="J613" i="253" s="1"/>
  <c r="L613" i="253" s="1"/>
  <c r="BQ615" i="253"/>
  <c r="J615" i="253" s="1"/>
  <c r="L615" i="253" s="1"/>
  <c r="BQ631" i="253"/>
  <c r="J631" i="253" s="1"/>
  <c r="L631" i="253" s="1"/>
  <c r="BQ645" i="253"/>
  <c r="J645" i="253" s="1"/>
  <c r="L645" i="253" s="1"/>
  <c r="BQ647" i="253"/>
  <c r="J647" i="253" s="1"/>
  <c r="L647" i="253" s="1"/>
  <c r="BQ654" i="253"/>
  <c r="J654" i="253" s="1"/>
  <c r="L654" i="253" s="1"/>
  <c r="BS281" i="253"/>
  <c r="K281" i="253" s="1"/>
  <c r="M281" i="253" s="1"/>
  <c r="BS324" i="253"/>
  <c r="K324" i="253" s="1"/>
  <c r="M324" i="253" s="1"/>
  <c r="BS318" i="253"/>
  <c r="K318" i="253" s="1"/>
  <c r="M318" i="253" s="1"/>
  <c r="BQ290" i="253"/>
  <c r="J290" i="253" s="1"/>
  <c r="L290" i="253" s="1"/>
  <c r="BQ314" i="253"/>
  <c r="J314" i="253" s="1"/>
  <c r="L314" i="253" s="1"/>
  <c r="BQ316" i="253"/>
  <c r="J316" i="253" s="1"/>
  <c r="L316" i="253" s="1"/>
  <c r="BQ323" i="253"/>
  <c r="J323" i="253" s="1"/>
  <c r="L323" i="253" s="1"/>
  <c r="BQ331" i="253"/>
  <c r="J331" i="253" s="1"/>
  <c r="L331" i="253" s="1"/>
  <c r="BQ296" i="253"/>
  <c r="J296" i="253" s="1"/>
  <c r="L296" i="253" s="1"/>
  <c r="BQ328" i="253"/>
  <c r="J328" i="253" s="1"/>
  <c r="L328" i="253" s="1"/>
  <c r="BQ329" i="253"/>
  <c r="J329" i="253" s="1"/>
  <c r="L329" i="253" s="1"/>
  <c r="BQ319" i="253"/>
  <c r="J319" i="253" s="1"/>
  <c r="L319" i="253" s="1"/>
  <c r="BS143" i="253"/>
  <c r="K143" i="253" s="1"/>
  <c r="M143" i="253" s="1"/>
  <c r="BS138" i="253"/>
  <c r="K138" i="253" s="1"/>
  <c r="M138" i="253" s="1"/>
  <c r="BS146" i="253"/>
  <c r="K146" i="253" s="1"/>
  <c r="M146" i="253" s="1"/>
  <c r="BS149" i="253"/>
  <c r="K149" i="253" s="1"/>
  <c r="M149" i="253" s="1"/>
  <c r="BS184" i="253"/>
  <c r="K184" i="253" s="1"/>
  <c r="M184" i="253" s="1"/>
  <c r="BS207" i="253"/>
  <c r="K207" i="253" s="1"/>
  <c r="M207" i="253" s="1"/>
  <c r="BS278" i="253"/>
  <c r="K278" i="253" s="1"/>
  <c r="M278" i="253" s="1"/>
  <c r="BS297" i="253"/>
  <c r="K297" i="253" s="1"/>
  <c r="M297" i="253" s="1"/>
  <c r="BS333" i="253"/>
  <c r="K333" i="253" s="1"/>
  <c r="M333" i="253" s="1"/>
  <c r="BS285" i="253"/>
  <c r="K285" i="253" s="1"/>
  <c r="M285" i="253" s="1"/>
  <c r="BS295" i="253"/>
  <c r="K295" i="253" s="1"/>
  <c r="M295" i="253" s="1"/>
  <c r="BS299" i="253"/>
  <c r="K299" i="253" s="1"/>
  <c r="M299" i="253" s="1"/>
  <c r="BS292" i="253"/>
  <c r="K292" i="253" s="1"/>
  <c r="M292" i="253" s="1"/>
  <c r="BS298" i="253"/>
  <c r="K298" i="253" s="1"/>
  <c r="M298" i="253" s="1"/>
  <c r="BS312" i="253"/>
  <c r="K312" i="253" s="1"/>
  <c r="M312" i="253" s="1"/>
  <c r="BS320" i="253"/>
  <c r="K320" i="253" s="1"/>
  <c r="M320" i="253" s="1"/>
  <c r="BS294" i="253"/>
  <c r="K294" i="253" s="1"/>
  <c r="M294" i="253" s="1"/>
  <c r="BS326" i="253"/>
  <c r="K326" i="253" s="1"/>
  <c r="M326" i="253" s="1"/>
  <c r="BS334" i="253"/>
  <c r="K334" i="253" s="1"/>
  <c r="M334" i="253" s="1"/>
  <c r="BS126" i="253"/>
  <c r="K126" i="253" s="1"/>
  <c r="M126" i="253" s="1"/>
  <c r="BS191" i="253"/>
  <c r="K191" i="253" s="1"/>
  <c r="M191" i="253" s="1"/>
  <c r="BQ143" i="253"/>
  <c r="J143" i="253" s="1"/>
  <c r="L143" i="253" s="1"/>
  <c r="BQ138" i="253"/>
  <c r="J138" i="253" s="1"/>
  <c r="L138" i="253" s="1"/>
  <c r="BQ146" i="253"/>
  <c r="J146" i="253" s="1"/>
  <c r="L146" i="253" s="1"/>
  <c r="BQ149" i="253"/>
  <c r="J149" i="253" s="1"/>
  <c r="L149" i="253" s="1"/>
  <c r="BQ184" i="253"/>
  <c r="J184" i="253" s="1"/>
  <c r="L184" i="253" s="1"/>
  <c r="BQ207" i="253"/>
  <c r="J207" i="253" s="1"/>
  <c r="L207" i="253" s="1"/>
  <c r="BQ318" i="253"/>
  <c r="J318" i="253" s="1"/>
  <c r="L318" i="253" s="1"/>
  <c r="BQ281" i="253"/>
  <c r="J281" i="253" s="1"/>
  <c r="L281" i="253" s="1"/>
  <c r="BQ324" i="253"/>
  <c r="J324" i="253" s="1"/>
  <c r="L324" i="253" s="1"/>
  <c r="BQ126" i="253"/>
  <c r="J126" i="253" s="1"/>
  <c r="L126" i="253" s="1"/>
  <c r="BQ191" i="253"/>
  <c r="J191" i="253" s="1"/>
  <c r="L191" i="253" s="1"/>
  <c r="K273" i="253"/>
  <c r="M273" i="253" s="1"/>
  <c r="BS195" i="253"/>
  <c r="K195" i="253" s="1"/>
  <c r="M195" i="253" s="1"/>
  <c r="BS213" i="253"/>
  <c r="K213" i="253" s="1"/>
  <c r="M213" i="253" s="1"/>
  <c r="BS252" i="253"/>
  <c r="K252" i="253" s="1"/>
  <c r="M252" i="253" s="1"/>
  <c r="BQ116" i="253"/>
  <c r="J116" i="253" s="1"/>
  <c r="L116" i="253" s="1"/>
  <c r="BQ118" i="253"/>
  <c r="J118" i="253" s="1"/>
  <c r="L118" i="253" s="1"/>
  <c r="BQ124" i="253"/>
  <c r="J124" i="253" s="1"/>
  <c r="L124" i="253" s="1"/>
  <c r="BQ121" i="253"/>
  <c r="J121" i="253" s="1"/>
  <c r="L121" i="253" s="1"/>
  <c r="BQ130" i="253"/>
  <c r="J130" i="253" s="1"/>
  <c r="L130" i="253" s="1"/>
  <c r="BQ135" i="253"/>
  <c r="J135" i="253" s="1"/>
  <c r="L135" i="253" s="1"/>
  <c r="BQ154" i="253"/>
  <c r="J154" i="253" s="1"/>
  <c r="L154" i="253" s="1"/>
  <c r="BQ180" i="253"/>
  <c r="J180" i="253" s="1"/>
  <c r="L180" i="253" s="1"/>
  <c r="BQ186" i="253"/>
  <c r="J186" i="253" s="1"/>
  <c r="L186" i="253" s="1"/>
  <c r="BQ187" i="253"/>
  <c r="J187" i="253" s="1"/>
  <c r="L187" i="253" s="1"/>
  <c r="BQ188" i="253"/>
  <c r="J188" i="253" s="1"/>
  <c r="L188" i="253" s="1"/>
  <c r="BQ194" i="253"/>
  <c r="J194" i="253" s="1"/>
  <c r="L194" i="253" s="1"/>
  <c r="BQ197" i="253"/>
  <c r="J197" i="253" s="1"/>
  <c r="L197" i="253" s="1"/>
  <c r="BQ208" i="253"/>
  <c r="J208" i="253" s="1"/>
  <c r="L208" i="253" s="1"/>
  <c r="BQ222" i="253"/>
  <c r="J222" i="253" s="1"/>
  <c r="L222" i="253" s="1"/>
  <c r="BQ228" i="253"/>
  <c r="J228" i="253" s="1"/>
  <c r="L228" i="253" s="1"/>
  <c r="BQ229" i="253"/>
  <c r="J229" i="253" s="1"/>
  <c r="L229" i="253" s="1"/>
  <c r="BQ230" i="253"/>
  <c r="J230" i="253" s="1"/>
  <c r="L230" i="253" s="1"/>
  <c r="BQ233" i="253"/>
  <c r="J233" i="253" s="1"/>
  <c r="L233" i="253" s="1"/>
  <c r="BQ253" i="253"/>
  <c r="J253" i="253" s="1"/>
  <c r="L253" i="253" s="1"/>
  <c r="BQ255" i="253"/>
  <c r="J255" i="253" s="1"/>
  <c r="L255" i="253" s="1"/>
  <c r="BQ274" i="253"/>
  <c r="J274" i="253" s="1"/>
  <c r="L274" i="253" s="1"/>
  <c r="BS547" i="253"/>
  <c r="K547" i="253" s="1"/>
  <c r="M547" i="253" s="1"/>
  <c r="BS551" i="253"/>
  <c r="K551" i="253" s="1"/>
  <c r="M551" i="253" s="1"/>
  <c r="BS555" i="253"/>
  <c r="K555" i="253" s="1"/>
  <c r="M555" i="253" s="1"/>
  <c r="BS559" i="253"/>
  <c r="K559" i="253" s="1"/>
  <c r="M559" i="253" s="1"/>
  <c r="BS550" i="253"/>
  <c r="K550" i="253" s="1"/>
  <c r="M550" i="253" s="1"/>
  <c r="BS554" i="253"/>
  <c r="K554" i="253" s="1"/>
  <c r="M554" i="253" s="1"/>
  <c r="BS558" i="253"/>
  <c r="K558" i="253" s="1"/>
  <c r="M558" i="253" s="1"/>
  <c r="BS548" i="253"/>
  <c r="K548" i="253" s="1"/>
  <c r="M548" i="253" s="1"/>
  <c r="BS549" i="253"/>
  <c r="K549" i="253" s="1"/>
  <c r="M549" i="253" s="1"/>
  <c r="BS553" i="253"/>
  <c r="K553" i="253" s="1"/>
  <c r="M553" i="253" s="1"/>
  <c r="BS556" i="253"/>
  <c r="K556" i="253" s="1"/>
  <c r="M556" i="253" s="1"/>
  <c r="BS557" i="253"/>
  <c r="K557" i="253" s="1"/>
  <c r="M557" i="253" s="1"/>
  <c r="BS552" i="253"/>
  <c r="K552" i="253" s="1"/>
  <c r="M552" i="253" s="1"/>
  <c r="BQ616" i="253"/>
  <c r="J616" i="253" s="1"/>
  <c r="L616" i="253" s="1"/>
  <c r="BQ620" i="253"/>
  <c r="J620" i="253" s="1"/>
  <c r="L620" i="253" s="1"/>
  <c r="BQ632" i="253"/>
  <c r="J632" i="253" s="1"/>
  <c r="L632" i="253" s="1"/>
  <c r="BQ644" i="253"/>
  <c r="J644" i="253" s="1"/>
  <c r="L644" i="253" s="1"/>
  <c r="BQ648" i="253"/>
  <c r="J648" i="253" s="1"/>
  <c r="L648" i="253" s="1"/>
  <c r="BQ656" i="253"/>
  <c r="J656" i="253" s="1"/>
  <c r="L656" i="253" s="1"/>
  <c r="BQ664" i="253"/>
  <c r="J664" i="253" s="1"/>
  <c r="L664" i="253" s="1"/>
  <c r="BQ601" i="253"/>
  <c r="J601" i="253" s="1"/>
  <c r="L601" i="253" s="1"/>
  <c r="BQ603" i="253"/>
  <c r="J603" i="253" s="1"/>
  <c r="L603" i="253" s="1"/>
  <c r="BQ610" i="253"/>
  <c r="J610" i="253" s="1"/>
  <c r="L610" i="253" s="1"/>
  <c r="BQ617" i="253"/>
  <c r="J617" i="253" s="1"/>
  <c r="L617" i="253" s="1"/>
  <c r="BQ635" i="253"/>
  <c r="J635" i="253" s="1"/>
  <c r="L635" i="253" s="1"/>
  <c r="BQ649" i="253"/>
  <c r="J649" i="253" s="1"/>
  <c r="L649" i="253" s="1"/>
  <c r="BQ651" i="253"/>
  <c r="J651" i="253" s="1"/>
  <c r="L651" i="253" s="1"/>
  <c r="BQ658" i="253"/>
  <c r="J658" i="253" s="1"/>
  <c r="L658" i="253" s="1"/>
  <c r="BQ595" i="253"/>
  <c r="J595" i="253" s="1"/>
  <c r="L595" i="253" s="1"/>
  <c r="BQ605" i="253"/>
  <c r="J605" i="253" s="1"/>
  <c r="L605" i="253" s="1"/>
  <c r="BQ607" i="253"/>
  <c r="J607" i="253" s="1"/>
  <c r="L607" i="253" s="1"/>
  <c r="BQ614" i="253"/>
  <c r="J614" i="253" s="1"/>
  <c r="L614" i="253" s="1"/>
  <c r="BQ623" i="253"/>
  <c r="J623" i="253" s="1"/>
  <c r="L623" i="253" s="1"/>
  <c r="BQ639" i="253"/>
  <c r="J639" i="253" s="1"/>
  <c r="L639" i="253" s="1"/>
  <c r="BQ646" i="253"/>
  <c r="J646" i="253" s="1"/>
  <c r="L646" i="253" s="1"/>
  <c r="BQ653" i="253"/>
  <c r="J653" i="253" s="1"/>
  <c r="L653" i="253" s="1"/>
  <c r="BQ662" i="253"/>
  <c r="J662" i="253" s="1"/>
  <c r="L662" i="253" s="1"/>
  <c r="BQ611" i="253"/>
  <c r="J611" i="253" s="1"/>
  <c r="L611" i="253" s="1"/>
  <c r="BQ625" i="253"/>
  <c r="J625" i="253" s="1"/>
  <c r="L625" i="253" s="1"/>
  <c r="BQ627" i="253"/>
  <c r="J627" i="253" s="1"/>
  <c r="L627" i="253" s="1"/>
  <c r="BQ634" i="253"/>
  <c r="J634" i="253" s="1"/>
  <c r="L634" i="253" s="1"/>
  <c r="BQ641" i="253"/>
  <c r="J641" i="253" s="1"/>
  <c r="L641" i="253" s="1"/>
  <c r="BQ659" i="253"/>
  <c r="J659" i="253" s="1"/>
  <c r="L659" i="253" s="1"/>
  <c r="BQ666" i="253"/>
  <c r="J666" i="253" s="1"/>
  <c r="L666" i="253" s="1"/>
  <c r="BQ597" i="253"/>
  <c r="J597" i="253" s="1"/>
  <c r="L597" i="253" s="1"/>
  <c r="BQ599" i="253"/>
  <c r="J599" i="253" s="1"/>
  <c r="L599" i="253" s="1"/>
  <c r="BQ622" i="253"/>
  <c r="J622" i="253" s="1"/>
  <c r="L622" i="253" s="1"/>
  <c r="BQ629" i="253"/>
  <c r="J629" i="253" s="1"/>
  <c r="L629" i="253" s="1"/>
  <c r="BQ638" i="253"/>
  <c r="J638" i="253" s="1"/>
  <c r="L638" i="253" s="1"/>
  <c r="BQ661" i="253"/>
  <c r="J661" i="253" s="1"/>
  <c r="L661" i="253" s="1"/>
  <c r="BQ663" i="253"/>
  <c r="J663" i="253" s="1"/>
  <c r="L663" i="253" s="1"/>
  <c r="BS6" i="253"/>
  <c r="K6" i="253" s="1"/>
  <c r="M6" i="253" s="1"/>
  <c r="BS10" i="253"/>
  <c r="K10" i="253" s="1"/>
  <c r="M10" i="253" s="1"/>
  <c r="BS14" i="253"/>
  <c r="K14" i="253" s="1"/>
  <c r="M14" i="253" s="1"/>
  <c r="BS16" i="253"/>
  <c r="K16" i="253" s="1"/>
  <c r="M16" i="253" s="1"/>
  <c r="BS20" i="253"/>
  <c r="K20" i="253" s="1"/>
  <c r="M20" i="253" s="1"/>
  <c r="BS24" i="253"/>
  <c r="K24" i="253" s="1"/>
  <c r="M24" i="253" s="1"/>
  <c r="BS28" i="253"/>
  <c r="K28" i="253" s="1"/>
  <c r="M28" i="253" s="1"/>
  <c r="BS32" i="253"/>
  <c r="K32" i="253" s="1"/>
  <c r="M32" i="253" s="1"/>
  <c r="BS36" i="253"/>
  <c r="K36" i="253" s="1"/>
  <c r="M36" i="253" s="1"/>
  <c r="BS9" i="253"/>
  <c r="K9" i="253" s="1"/>
  <c r="M9" i="253" s="1"/>
  <c r="BS13" i="253"/>
  <c r="K13" i="253" s="1"/>
  <c r="M13" i="253" s="1"/>
  <c r="BS19" i="253"/>
  <c r="K19" i="253" s="1"/>
  <c r="M19" i="253" s="1"/>
  <c r="BS23" i="253"/>
  <c r="K23" i="253" s="1"/>
  <c r="M23" i="253" s="1"/>
  <c r="BS31" i="253"/>
  <c r="K31" i="253" s="1"/>
  <c r="M31" i="253" s="1"/>
  <c r="BS35" i="253"/>
  <c r="K35" i="253" s="1"/>
  <c r="M35" i="253" s="1"/>
  <c r="BS7" i="253"/>
  <c r="K7" i="253" s="1"/>
  <c r="M7" i="253" s="1"/>
  <c r="BS11" i="253"/>
  <c r="K11" i="253" s="1"/>
  <c r="M11" i="253" s="1"/>
  <c r="BS8" i="253"/>
  <c r="K8" i="253" s="1"/>
  <c r="M8" i="253" s="1"/>
  <c r="BS30" i="253"/>
  <c r="K30" i="253" s="1"/>
  <c r="M30" i="253" s="1"/>
  <c r="BS38" i="253"/>
  <c r="K38" i="253" s="1"/>
  <c r="M38" i="253" s="1"/>
  <c r="BS46" i="253"/>
  <c r="K46" i="253" s="1"/>
  <c r="M46" i="253" s="1"/>
  <c r="BS17" i="253"/>
  <c r="K17" i="253" s="1"/>
  <c r="M17" i="253" s="1"/>
  <c r="BS25" i="253"/>
  <c r="K25" i="253" s="1"/>
  <c r="M25" i="253" s="1"/>
  <c r="BS33" i="253"/>
  <c r="K33" i="253" s="1"/>
  <c r="M33" i="253" s="1"/>
  <c r="BS41" i="253"/>
  <c r="K41" i="253" s="1"/>
  <c r="M41" i="253" s="1"/>
  <c r="BS45" i="253"/>
  <c r="K45" i="253" s="1"/>
  <c r="M45" i="253" s="1"/>
  <c r="BS49" i="253"/>
  <c r="K49" i="253" s="1"/>
  <c r="M49" i="253" s="1"/>
  <c r="BS18" i="253"/>
  <c r="K18" i="253" s="1"/>
  <c r="M18" i="253" s="1"/>
  <c r="BS26" i="253"/>
  <c r="K26" i="253" s="1"/>
  <c r="M26" i="253" s="1"/>
  <c r="BS40" i="253"/>
  <c r="K40" i="253" s="1"/>
  <c r="M40" i="253" s="1"/>
  <c r="BS44" i="253"/>
  <c r="K44" i="253" s="1"/>
  <c r="M44" i="253" s="1"/>
  <c r="BS48" i="253"/>
  <c r="K48" i="253" s="1"/>
  <c r="M48" i="253" s="1"/>
  <c r="BS12" i="253"/>
  <c r="K12" i="253" s="1"/>
  <c r="M12" i="253" s="1"/>
  <c r="BS21" i="253"/>
  <c r="K21" i="253" s="1"/>
  <c r="M21" i="253" s="1"/>
  <c r="BS29" i="253"/>
  <c r="K29" i="253" s="1"/>
  <c r="M29" i="253" s="1"/>
  <c r="BS37" i="253"/>
  <c r="K37" i="253" s="1"/>
  <c r="M37" i="253" s="1"/>
  <c r="BS43" i="253"/>
  <c r="K43" i="253" s="1"/>
  <c r="M43" i="253" s="1"/>
  <c r="BQ547" i="253"/>
  <c r="J547" i="253" s="1"/>
  <c r="L547" i="253" s="1"/>
  <c r="BQ551" i="253"/>
  <c r="J551" i="253" s="1"/>
  <c r="L551" i="253" s="1"/>
  <c r="BQ555" i="253"/>
  <c r="J555" i="253" s="1"/>
  <c r="L555" i="253" s="1"/>
  <c r="BQ559" i="253"/>
  <c r="J559" i="253" s="1"/>
  <c r="L559" i="253" s="1"/>
  <c r="BQ549" i="253"/>
  <c r="J549" i="253" s="1"/>
  <c r="L549" i="253" s="1"/>
  <c r="BQ553" i="253"/>
  <c r="J553" i="253" s="1"/>
  <c r="L553" i="253" s="1"/>
  <c r="BQ557" i="253"/>
  <c r="J557" i="253" s="1"/>
  <c r="L557" i="253" s="1"/>
  <c r="BQ550" i="253"/>
  <c r="J550" i="253" s="1"/>
  <c r="L550" i="253" s="1"/>
  <c r="BQ558" i="253"/>
  <c r="J558" i="253" s="1"/>
  <c r="L558" i="253" s="1"/>
  <c r="BQ548" i="253"/>
  <c r="J548" i="253" s="1"/>
  <c r="L548" i="253" s="1"/>
  <c r="BQ556" i="253"/>
  <c r="J556" i="253" s="1"/>
  <c r="L556" i="253" s="1"/>
  <c r="BQ554" i="253"/>
  <c r="J554" i="253" s="1"/>
  <c r="L554" i="253" s="1"/>
  <c r="BQ552" i="253"/>
  <c r="J552" i="253" s="1"/>
  <c r="L552" i="253" s="1"/>
  <c r="BQ117" i="253"/>
  <c r="J117" i="253" s="1"/>
  <c r="L117" i="253" s="1"/>
  <c r="BQ131" i="253"/>
  <c r="J131" i="253" s="1"/>
  <c r="L131" i="253" s="1"/>
  <c r="BQ137" i="253"/>
  <c r="J137" i="253" s="1"/>
  <c r="L137" i="253" s="1"/>
  <c r="BQ128" i="253"/>
  <c r="J128" i="253" s="1"/>
  <c r="L128" i="253" s="1"/>
  <c r="BQ119" i="253"/>
  <c r="J119" i="253" s="1"/>
  <c r="L119" i="253" s="1"/>
  <c r="BQ129" i="253"/>
  <c r="J129" i="253" s="1"/>
  <c r="L129" i="253" s="1"/>
  <c r="BQ142" i="253"/>
  <c r="J142" i="253" s="1"/>
  <c r="L142" i="253" s="1"/>
  <c r="BQ120" i="253"/>
  <c r="J120" i="253" s="1"/>
  <c r="L120" i="253" s="1"/>
  <c r="BQ134" i="253"/>
  <c r="J134" i="253" s="1"/>
  <c r="L134" i="253" s="1"/>
  <c r="BQ145" i="253"/>
  <c r="J145" i="253" s="1"/>
  <c r="L145" i="253" s="1"/>
  <c r="BQ148" i="253"/>
  <c r="J148" i="253" s="1"/>
  <c r="L148" i="253" s="1"/>
  <c r="BQ151" i="253"/>
  <c r="J151" i="253" s="1"/>
  <c r="L151" i="253" s="1"/>
  <c r="BQ158" i="253"/>
  <c r="J158" i="253" s="1"/>
  <c r="L158" i="253" s="1"/>
  <c r="BQ159" i="253"/>
  <c r="J159" i="253" s="1"/>
  <c r="L159" i="253" s="1"/>
  <c r="BQ161" i="253"/>
  <c r="J161" i="253" s="1"/>
  <c r="L161" i="253" s="1"/>
  <c r="BQ163" i="253"/>
  <c r="J163" i="253" s="1"/>
  <c r="L163" i="253" s="1"/>
  <c r="BQ167" i="253"/>
  <c r="J167" i="253" s="1"/>
  <c r="L167" i="253" s="1"/>
  <c r="BQ166" i="253"/>
  <c r="J166" i="253" s="1"/>
  <c r="L166" i="253" s="1"/>
  <c r="BQ170" i="253"/>
  <c r="J170" i="253" s="1"/>
  <c r="L170" i="253" s="1"/>
  <c r="BQ174" i="253"/>
  <c r="J174" i="253" s="1"/>
  <c r="L174" i="253" s="1"/>
  <c r="BQ173" i="253"/>
  <c r="J173" i="253" s="1"/>
  <c r="L173" i="253" s="1"/>
  <c r="BQ176" i="253"/>
  <c r="J176" i="253" s="1"/>
  <c r="L176" i="253" s="1"/>
  <c r="BQ179" i="253"/>
  <c r="J179" i="253" s="1"/>
  <c r="L179" i="253" s="1"/>
  <c r="BQ183" i="253"/>
  <c r="J183" i="253" s="1"/>
  <c r="L183" i="253" s="1"/>
  <c r="BQ190" i="253"/>
  <c r="J190" i="253" s="1"/>
  <c r="L190" i="253" s="1"/>
  <c r="BQ192" i="253"/>
  <c r="J192" i="253" s="1"/>
  <c r="L192" i="253" s="1"/>
  <c r="BQ196" i="253"/>
  <c r="J196" i="253" s="1"/>
  <c r="L196" i="253" s="1"/>
  <c r="BQ200" i="253"/>
  <c r="J200" i="253" s="1"/>
  <c r="L200" i="253" s="1"/>
  <c r="BQ201" i="253"/>
  <c r="J201" i="253" s="1"/>
  <c r="L201" i="253" s="1"/>
  <c r="BQ202" i="253"/>
  <c r="J202" i="253" s="1"/>
  <c r="L202" i="253" s="1"/>
  <c r="BQ203" i="253"/>
  <c r="J203" i="253" s="1"/>
  <c r="L203" i="253" s="1"/>
  <c r="BQ204" i="253"/>
  <c r="J204" i="253" s="1"/>
  <c r="L204" i="253" s="1"/>
  <c r="BQ211" i="253"/>
  <c r="J211" i="253" s="1"/>
  <c r="L211" i="253" s="1"/>
  <c r="BQ212" i="253"/>
  <c r="J212" i="253" s="1"/>
  <c r="L212" i="253" s="1"/>
  <c r="BQ214" i="253"/>
  <c r="J214" i="253" s="1"/>
  <c r="L214" i="253" s="1"/>
  <c r="BQ218" i="253"/>
  <c r="J218" i="253" s="1"/>
  <c r="L218" i="253" s="1"/>
  <c r="BQ220" i="253"/>
  <c r="J220" i="253" s="1"/>
  <c r="L220" i="253" s="1"/>
  <c r="BQ221" i="253"/>
  <c r="J221" i="253" s="1"/>
  <c r="L221" i="253" s="1"/>
  <c r="BQ224" i="253"/>
  <c r="J224" i="253" s="1"/>
  <c r="L224" i="253" s="1"/>
  <c r="BQ225" i="253"/>
  <c r="J225" i="253" s="1"/>
  <c r="L225" i="253" s="1"/>
  <c r="BQ235" i="253"/>
  <c r="J235" i="253" s="1"/>
  <c r="L235" i="253" s="1"/>
  <c r="BQ237" i="253"/>
  <c r="J237" i="253" s="1"/>
  <c r="L237" i="253" s="1"/>
  <c r="BQ240" i="253"/>
  <c r="J240" i="253" s="1"/>
  <c r="L240" i="253" s="1"/>
  <c r="BQ242" i="253"/>
  <c r="J242" i="253" s="1"/>
  <c r="L242" i="253" s="1"/>
  <c r="BQ244" i="253"/>
  <c r="J244" i="253" s="1"/>
  <c r="L244" i="253" s="1"/>
  <c r="BQ245" i="253"/>
  <c r="J245" i="253" s="1"/>
  <c r="L245" i="253" s="1"/>
  <c r="BQ246" i="253"/>
  <c r="J246" i="253" s="1"/>
  <c r="L246" i="253" s="1"/>
  <c r="BQ247" i="253"/>
  <c r="J247" i="253" s="1"/>
  <c r="L247" i="253" s="1"/>
  <c r="BQ250" i="253"/>
  <c r="J250" i="253" s="1"/>
  <c r="L250" i="253" s="1"/>
  <c r="BQ249" i="253"/>
  <c r="J249" i="253" s="1"/>
  <c r="L249" i="253" s="1"/>
  <c r="BQ251" i="253"/>
  <c r="J251" i="253" s="1"/>
  <c r="L251" i="253" s="1"/>
  <c r="BQ254" i="253"/>
  <c r="J254" i="253" s="1"/>
  <c r="L254" i="253" s="1"/>
  <c r="BQ256" i="253"/>
  <c r="J256" i="253" s="1"/>
  <c r="L256" i="253" s="1"/>
  <c r="BQ257" i="253"/>
  <c r="J257" i="253" s="1"/>
  <c r="L257" i="253" s="1"/>
  <c r="BQ258" i="253"/>
  <c r="J258" i="253" s="1"/>
  <c r="L258" i="253" s="1"/>
  <c r="BQ263" i="253"/>
  <c r="J263" i="253" s="1"/>
  <c r="L263" i="253" s="1"/>
  <c r="BQ269" i="253"/>
  <c r="J269" i="253" s="1"/>
  <c r="L269" i="253" s="1"/>
  <c r="BQ270" i="253"/>
  <c r="J270" i="253" s="1"/>
  <c r="L270" i="253" s="1"/>
  <c r="BQ582" i="253"/>
  <c r="J582" i="253" s="1"/>
  <c r="L582" i="253" s="1"/>
  <c r="BQ585" i="253"/>
  <c r="J585" i="253" s="1"/>
  <c r="L585" i="253" s="1"/>
  <c r="BQ589" i="253"/>
  <c r="J589" i="253" s="1"/>
  <c r="L589" i="253" s="1"/>
  <c r="BQ586" i="253"/>
  <c r="J586" i="253" s="1"/>
  <c r="L586" i="253" s="1"/>
  <c r="BQ593" i="253"/>
  <c r="J593" i="253" s="1"/>
  <c r="L593" i="253" s="1"/>
  <c r="BQ590" i="253"/>
  <c r="J590" i="253" s="1"/>
  <c r="L590" i="253" s="1"/>
  <c r="BQ583" i="253"/>
  <c r="J583" i="253" s="1"/>
  <c r="L583" i="253" s="1"/>
  <c r="BQ587" i="253"/>
  <c r="J587" i="253" s="1"/>
  <c r="L587" i="253" s="1"/>
  <c r="BQ591" i="253"/>
  <c r="J591" i="253" s="1"/>
  <c r="L591" i="253" s="1"/>
  <c r="BQ592" i="253"/>
  <c r="J592" i="253" s="1"/>
  <c r="L592" i="253" s="1"/>
  <c r="BQ584" i="253"/>
  <c r="J584" i="253" s="1"/>
  <c r="L584" i="253" s="1"/>
  <c r="BQ588" i="253"/>
  <c r="J588" i="253" s="1"/>
  <c r="L588" i="253" s="1"/>
  <c r="BS329" i="253"/>
  <c r="K329" i="253" s="1"/>
  <c r="M329" i="253" s="1"/>
  <c r="BS319" i="253"/>
  <c r="K319" i="253" s="1"/>
  <c r="M319" i="253" s="1"/>
  <c r="BS323" i="253"/>
  <c r="K323" i="253" s="1"/>
  <c r="M323" i="253" s="1"/>
  <c r="BS331" i="253"/>
  <c r="K331" i="253" s="1"/>
  <c r="M331" i="253" s="1"/>
  <c r="BS316" i="253"/>
  <c r="K316" i="253" s="1"/>
  <c r="M316" i="253" s="1"/>
  <c r="BS290" i="253"/>
  <c r="K290" i="253" s="1"/>
  <c r="M290" i="253" s="1"/>
  <c r="BS314" i="253"/>
  <c r="K314" i="253" s="1"/>
  <c r="M314" i="253" s="1"/>
  <c r="BS296" i="253"/>
  <c r="K296" i="253" s="1"/>
  <c r="M296" i="253" s="1"/>
  <c r="BS328" i="253"/>
  <c r="K328" i="253" s="1"/>
  <c r="M328" i="253" s="1"/>
  <c r="BS595" i="253"/>
  <c r="K595" i="253" s="1"/>
  <c r="M595" i="253" s="1"/>
  <c r="BS597" i="253"/>
  <c r="K597" i="253" s="1"/>
  <c r="M597" i="253" s="1"/>
  <c r="BS601" i="253"/>
  <c r="K601" i="253" s="1"/>
  <c r="M601" i="253" s="1"/>
  <c r="BS605" i="253"/>
  <c r="K605" i="253" s="1"/>
  <c r="M605" i="253" s="1"/>
  <c r="BS617" i="253"/>
  <c r="K617" i="253" s="1"/>
  <c r="M617" i="253" s="1"/>
  <c r="BS625" i="253"/>
  <c r="K625" i="253" s="1"/>
  <c r="M625" i="253" s="1"/>
  <c r="BS629" i="253"/>
  <c r="K629" i="253" s="1"/>
  <c r="M629" i="253" s="1"/>
  <c r="BS641" i="253"/>
  <c r="K641" i="253" s="1"/>
  <c r="M641" i="253" s="1"/>
  <c r="BS649" i="253"/>
  <c r="K649" i="253" s="1"/>
  <c r="M649" i="253" s="1"/>
  <c r="BS653" i="253"/>
  <c r="K653" i="253" s="1"/>
  <c r="M653" i="253" s="1"/>
  <c r="BS661" i="253"/>
  <c r="K661" i="253" s="1"/>
  <c r="M661" i="253" s="1"/>
  <c r="BS616" i="253"/>
  <c r="K616" i="253" s="1"/>
  <c r="M616" i="253" s="1"/>
  <c r="BS620" i="253"/>
  <c r="K620" i="253" s="1"/>
  <c r="M620" i="253" s="1"/>
  <c r="BS632" i="253"/>
  <c r="K632" i="253" s="1"/>
  <c r="M632" i="253" s="1"/>
  <c r="BS644" i="253"/>
  <c r="K644" i="253" s="1"/>
  <c r="M644" i="253" s="1"/>
  <c r="BS648" i="253"/>
  <c r="K648" i="253" s="1"/>
  <c r="M648" i="253" s="1"/>
  <c r="BS656" i="253"/>
  <c r="K656" i="253" s="1"/>
  <c r="M656" i="253" s="1"/>
  <c r="BS664" i="253"/>
  <c r="K664" i="253" s="1"/>
  <c r="M664" i="253" s="1"/>
  <c r="BS610" i="253"/>
  <c r="K610" i="253" s="1"/>
  <c r="M610" i="253" s="1"/>
  <c r="BS634" i="253"/>
  <c r="K634" i="253" s="1"/>
  <c r="M634" i="253" s="1"/>
  <c r="BS658" i="253"/>
  <c r="K658" i="253" s="1"/>
  <c r="M658" i="253" s="1"/>
  <c r="BS666" i="253"/>
  <c r="K666" i="253" s="1"/>
  <c r="M666" i="253" s="1"/>
  <c r="BS603" i="253"/>
  <c r="K603" i="253" s="1"/>
  <c r="M603" i="253" s="1"/>
  <c r="BS611" i="253"/>
  <c r="K611" i="253" s="1"/>
  <c r="M611" i="253" s="1"/>
  <c r="BS627" i="253"/>
  <c r="K627" i="253" s="1"/>
  <c r="M627" i="253" s="1"/>
  <c r="BS635" i="253"/>
  <c r="K635" i="253" s="1"/>
  <c r="M635" i="253" s="1"/>
  <c r="BS651" i="253"/>
  <c r="K651" i="253" s="1"/>
  <c r="M651" i="253" s="1"/>
  <c r="BS659" i="253"/>
  <c r="K659" i="253" s="1"/>
  <c r="M659" i="253" s="1"/>
  <c r="BS614" i="253"/>
  <c r="K614" i="253" s="1"/>
  <c r="M614" i="253" s="1"/>
  <c r="BS622" i="253"/>
  <c r="K622" i="253" s="1"/>
  <c r="M622" i="253" s="1"/>
  <c r="BS638" i="253"/>
  <c r="K638" i="253" s="1"/>
  <c r="M638" i="253" s="1"/>
  <c r="BS646" i="253"/>
  <c r="K646" i="253" s="1"/>
  <c r="M646" i="253" s="1"/>
  <c r="BS662" i="253"/>
  <c r="K662" i="253" s="1"/>
  <c r="M662" i="253" s="1"/>
  <c r="BS599" i="253"/>
  <c r="K599" i="253" s="1"/>
  <c r="M599" i="253" s="1"/>
  <c r="BS607" i="253"/>
  <c r="K607" i="253" s="1"/>
  <c r="M607" i="253" s="1"/>
  <c r="BS623" i="253"/>
  <c r="K623" i="253" s="1"/>
  <c r="M623" i="253" s="1"/>
  <c r="BS639" i="253"/>
  <c r="K639" i="253" s="1"/>
  <c r="M639" i="253" s="1"/>
  <c r="BS663" i="253"/>
  <c r="K663" i="253" s="1"/>
  <c r="M663" i="253" s="1"/>
  <c r="BS402" i="253"/>
  <c r="K402" i="253" s="1"/>
  <c r="M402" i="253" s="1"/>
  <c r="BS416" i="253"/>
  <c r="K416" i="253" s="1"/>
  <c r="M416" i="253" s="1"/>
  <c r="BS456" i="253"/>
  <c r="K456" i="253" s="1"/>
  <c r="M456" i="253" s="1"/>
  <c r="BS464" i="253"/>
  <c r="K464" i="253" s="1"/>
  <c r="M464" i="253" s="1"/>
  <c r="BS504" i="253"/>
  <c r="K504" i="253" s="1"/>
  <c r="M504" i="253" s="1"/>
  <c r="BS401" i="253"/>
  <c r="K401" i="253" s="1"/>
  <c r="M401" i="253" s="1"/>
  <c r="BS415" i="253"/>
  <c r="K415" i="253" s="1"/>
  <c r="M415" i="253" s="1"/>
  <c r="BS455" i="253"/>
  <c r="K455" i="253" s="1"/>
  <c r="M455" i="253" s="1"/>
  <c r="BS463" i="253"/>
  <c r="K463" i="253" s="1"/>
  <c r="M463" i="253" s="1"/>
  <c r="BS467" i="253"/>
  <c r="K467" i="253" s="1"/>
  <c r="M467" i="253" s="1"/>
  <c r="BS487" i="253"/>
  <c r="K487" i="253" s="1"/>
  <c r="M487" i="253" s="1"/>
  <c r="BS503" i="253"/>
  <c r="K503" i="253" s="1"/>
  <c r="M503" i="253" s="1"/>
  <c r="BS507" i="253"/>
  <c r="K507" i="253" s="1"/>
  <c r="M507" i="253" s="1"/>
  <c r="BS519" i="253"/>
  <c r="K519" i="253" s="1"/>
  <c r="M519" i="253" s="1"/>
  <c r="BS403" i="253"/>
  <c r="K403" i="253" s="1"/>
  <c r="M403" i="253" s="1"/>
  <c r="BS466" i="253"/>
  <c r="K466" i="253" s="1"/>
  <c r="M466" i="253" s="1"/>
  <c r="BS486" i="253"/>
  <c r="K486" i="253" s="1"/>
  <c r="M486" i="253" s="1"/>
  <c r="BS352" i="253"/>
  <c r="K352" i="253" s="1"/>
  <c r="M352" i="253" s="1"/>
  <c r="BS377" i="253"/>
  <c r="K377" i="253" s="1"/>
  <c r="M377" i="253" s="1"/>
  <c r="BS417" i="253"/>
  <c r="K417" i="253" s="1"/>
  <c r="M417" i="253" s="1"/>
  <c r="BS441" i="253"/>
  <c r="K441" i="253" s="1"/>
  <c r="M441" i="253" s="1"/>
  <c r="BQ15" i="253"/>
  <c r="J15" i="253" s="1"/>
  <c r="L15" i="253" s="1"/>
  <c r="BQ27" i="253"/>
  <c r="J27" i="253" s="1"/>
  <c r="L27" i="253" s="1"/>
  <c r="BQ39" i="253"/>
  <c r="J39" i="253" s="1"/>
  <c r="L39" i="253" s="1"/>
  <c r="BQ47" i="253"/>
  <c r="J47" i="253" s="1"/>
  <c r="L47" i="253" s="1"/>
  <c r="BQ22" i="253"/>
  <c r="J22" i="253" s="1"/>
  <c r="L22" i="253" s="1"/>
  <c r="BQ34" i="253"/>
  <c r="J34" i="253" s="1"/>
  <c r="L34" i="253" s="1"/>
  <c r="BQ42" i="253"/>
  <c r="J42" i="253" s="1"/>
  <c r="L42" i="253" s="1"/>
  <c r="BQ276" i="253"/>
  <c r="J276" i="253" s="1"/>
  <c r="L276" i="253" s="1"/>
  <c r="BQ280" i="253"/>
  <c r="J280" i="253" s="1"/>
  <c r="L280" i="253" s="1"/>
  <c r="BQ322" i="253"/>
  <c r="J322" i="253" s="1"/>
  <c r="L322" i="253" s="1"/>
  <c r="BQ330" i="253"/>
  <c r="J330" i="253" s="1"/>
  <c r="L330" i="253" s="1"/>
  <c r="BQ325" i="253"/>
  <c r="J325" i="253" s="1"/>
  <c r="L325" i="253" s="1"/>
  <c r="BQ277" i="253"/>
  <c r="J277" i="253" s="1"/>
  <c r="L277" i="253" s="1"/>
  <c r="BQ313" i="253"/>
  <c r="J313" i="253" s="1"/>
  <c r="L313" i="253" s="1"/>
  <c r="BQ327" i="253"/>
  <c r="J327" i="253" s="1"/>
  <c r="L327" i="253" s="1"/>
  <c r="BQ288" i="253"/>
  <c r="J288" i="253" s="1"/>
  <c r="L288" i="253" s="1"/>
  <c r="BQ302" i="253"/>
  <c r="J302" i="253" s="1"/>
  <c r="L302" i="253" s="1"/>
  <c r="BQ306" i="253"/>
  <c r="J306" i="253" s="1"/>
  <c r="L306" i="253" s="1"/>
  <c r="BQ310" i="253"/>
  <c r="J310" i="253" s="1"/>
  <c r="L310" i="253" s="1"/>
  <c r="BQ283" i="253"/>
  <c r="J283" i="253" s="1"/>
  <c r="L283" i="253" s="1"/>
  <c r="BQ291" i="253"/>
  <c r="J291" i="253" s="1"/>
  <c r="L291" i="253" s="1"/>
  <c r="BQ293" i="253"/>
  <c r="J293" i="253" s="1"/>
  <c r="L293" i="253" s="1"/>
  <c r="BQ300" i="253"/>
  <c r="J300" i="253" s="1"/>
  <c r="L300" i="253" s="1"/>
  <c r="BQ307" i="253"/>
  <c r="J307" i="253" s="1"/>
  <c r="L307" i="253" s="1"/>
  <c r="BQ309" i="253"/>
  <c r="J309" i="253" s="1"/>
  <c r="L309" i="253" s="1"/>
  <c r="BQ282" i="253"/>
  <c r="J282" i="253" s="1"/>
  <c r="L282" i="253" s="1"/>
  <c r="BQ289" i="253"/>
  <c r="J289" i="253" s="1"/>
  <c r="L289" i="253" s="1"/>
  <c r="BQ308" i="253"/>
  <c r="J308" i="253" s="1"/>
  <c r="L308" i="253" s="1"/>
  <c r="BQ315" i="253"/>
  <c r="J315" i="253" s="1"/>
  <c r="L315" i="253" s="1"/>
  <c r="BQ317" i="253"/>
  <c r="J317" i="253" s="1"/>
  <c r="L317" i="253" s="1"/>
  <c r="BQ286" i="253"/>
  <c r="J286" i="253" s="1"/>
  <c r="L286" i="253" s="1"/>
  <c r="BQ287" i="253"/>
  <c r="J287" i="253" s="1"/>
  <c r="L287" i="253" s="1"/>
  <c r="BQ304" i="253"/>
  <c r="J304" i="253" s="1"/>
  <c r="L304" i="253" s="1"/>
  <c r="BQ311" i="253"/>
  <c r="J311" i="253" s="1"/>
  <c r="L311" i="253" s="1"/>
  <c r="BS336" i="253"/>
  <c r="K336" i="253" s="1"/>
  <c r="M336" i="253" s="1"/>
  <c r="BS340" i="253"/>
  <c r="K340" i="253" s="1"/>
  <c r="M340" i="253" s="1"/>
  <c r="BS344" i="253"/>
  <c r="K344" i="253" s="1"/>
  <c r="M344" i="253" s="1"/>
  <c r="BS348" i="253"/>
  <c r="K348" i="253" s="1"/>
  <c r="M348" i="253" s="1"/>
  <c r="BS354" i="253"/>
  <c r="K354" i="253" s="1"/>
  <c r="M354" i="253" s="1"/>
  <c r="BS358" i="253"/>
  <c r="K358" i="253" s="1"/>
  <c r="M358" i="253" s="1"/>
  <c r="BS362" i="253"/>
  <c r="K362" i="253" s="1"/>
  <c r="M362" i="253" s="1"/>
  <c r="BS366" i="253"/>
  <c r="K366" i="253" s="1"/>
  <c r="M366" i="253" s="1"/>
  <c r="BS370" i="253"/>
  <c r="K370" i="253" s="1"/>
  <c r="M370" i="253" s="1"/>
  <c r="BS374" i="253"/>
  <c r="K374" i="253" s="1"/>
  <c r="M374" i="253" s="1"/>
  <c r="BS378" i="253"/>
  <c r="K378" i="253" s="1"/>
  <c r="M378" i="253" s="1"/>
  <c r="BS382" i="253"/>
  <c r="K382" i="253" s="1"/>
  <c r="M382" i="253" s="1"/>
  <c r="BS386" i="253"/>
  <c r="K386" i="253" s="1"/>
  <c r="M386" i="253" s="1"/>
  <c r="BS390" i="253"/>
  <c r="K390" i="253" s="1"/>
  <c r="M390" i="253" s="1"/>
  <c r="BS394" i="253"/>
  <c r="K394" i="253" s="1"/>
  <c r="M394" i="253" s="1"/>
  <c r="BS398" i="253"/>
  <c r="K398" i="253" s="1"/>
  <c r="M398" i="253" s="1"/>
  <c r="BS406" i="253"/>
  <c r="K406" i="253" s="1"/>
  <c r="M406" i="253" s="1"/>
  <c r="BS410" i="253"/>
  <c r="K410" i="253" s="1"/>
  <c r="M410" i="253" s="1"/>
  <c r="BS414" i="253"/>
  <c r="K414" i="253" s="1"/>
  <c r="M414" i="253" s="1"/>
  <c r="BS337" i="253"/>
  <c r="K337" i="253" s="1"/>
  <c r="M337" i="253" s="1"/>
  <c r="BS339" i="253"/>
  <c r="K339" i="253" s="1"/>
  <c r="M339" i="253" s="1"/>
  <c r="BS346" i="253"/>
  <c r="K346" i="253" s="1"/>
  <c r="M346" i="253" s="1"/>
  <c r="BS356" i="253"/>
  <c r="K356" i="253" s="1"/>
  <c r="M356" i="253" s="1"/>
  <c r="BS363" i="253"/>
  <c r="K363" i="253" s="1"/>
  <c r="M363" i="253" s="1"/>
  <c r="BS365" i="253"/>
  <c r="K365" i="253" s="1"/>
  <c r="M365" i="253" s="1"/>
  <c r="BS372" i="253"/>
  <c r="K372" i="253" s="1"/>
  <c r="M372" i="253" s="1"/>
  <c r="BS379" i="253"/>
  <c r="K379" i="253" s="1"/>
  <c r="M379" i="253" s="1"/>
  <c r="BS381" i="253"/>
  <c r="K381" i="253" s="1"/>
  <c r="M381" i="253" s="1"/>
  <c r="BS388" i="253"/>
  <c r="K388" i="253" s="1"/>
  <c r="M388" i="253" s="1"/>
  <c r="BS395" i="253"/>
  <c r="K395" i="253" s="1"/>
  <c r="M395" i="253" s="1"/>
  <c r="BS397" i="253"/>
  <c r="K397" i="253" s="1"/>
  <c r="M397" i="253" s="1"/>
  <c r="BS404" i="253"/>
  <c r="K404" i="253" s="1"/>
  <c r="M404" i="253" s="1"/>
  <c r="BS411" i="253"/>
  <c r="K411" i="253" s="1"/>
  <c r="M411" i="253" s="1"/>
  <c r="BS413" i="253"/>
  <c r="K413" i="253" s="1"/>
  <c r="M413" i="253" s="1"/>
  <c r="BS420" i="253"/>
  <c r="K420" i="253" s="1"/>
  <c r="M420" i="253" s="1"/>
  <c r="BS424" i="253"/>
  <c r="K424" i="253" s="1"/>
  <c r="M424" i="253" s="1"/>
  <c r="BS428" i="253"/>
  <c r="K428" i="253" s="1"/>
  <c r="M428" i="253" s="1"/>
  <c r="BS432" i="253"/>
  <c r="K432" i="253" s="1"/>
  <c r="M432" i="253" s="1"/>
  <c r="BS436" i="253"/>
  <c r="K436" i="253" s="1"/>
  <c r="M436" i="253" s="1"/>
  <c r="BS440" i="253"/>
  <c r="K440" i="253" s="1"/>
  <c r="M440" i="253" s="1"/>
  <c r="BS444" i="253"/>
  <c r="K444" i="253" s="1"/>
  <c r="M444" i="253" s="1"/>
  <c r="BS448" i="253"/>
  <c r="K448" i="253" s="1"/>
  <c r="M448" i="253" s="1"/>
  <c r="BS452" i="253"/>
  <c r="K452" i="253" s="1"/>
  <c r="M452" i="253" s="1"/>
  <c r="BS460" i="253"/>
  <c r="K460" i="253" s="1"/>
  <c r="M460" i="253" s="1"/>
  <c r="BS468" i="253"/>
  <c r="K468" i="253" s="1"/>
  <c r="M468" i="253" s="1"/>
  <c r="BS472" i="253"/>
  <c r="K472" i="253" s="1"/>
  <c r="M472" i="253" s="1"/>
  <c r="BS476" i="253"/>
  <c r="K476" i="253" s="1"/>
  <c r="M476" i="253" s="1"/>
  <c r="BS480" i="253"/>
  <c r="K480" i="253" s="1"/>
  <c r="M480" i="253" s="1"/>
  <c r="BS484" i="253"/>
  <c r="K484" i="253" s="1"/>
  <c r="M484" i="253" s="1"/>
  <c r="BS488" i="253"/>
  <c r="K488" i="253" s="1"/>
  <c r="M488" i="253" s="1"/>
  <c r="BS492" i="253"/>
  <c r="K492" i="253" s="1"/>
  <c r="M492" i="253" s="1"/>
  <c r="BS496" i="253"/>
  <c r="K496" i="253" s="1"/>
  <c r="M496" i="253" s="1"/>
  <c r="BS500" i="253"/>
  <c r="K500" i="253" s="1"/>
  <c r="M500" i="253" s="1"/>
  <c r="BS508" i="253"/>
  <c r="K508" i="253" s="1"/>
  <c r="M508" i="253" s="1"/>
  <c r="BS512" i="253"/>
  <c r="K512" i="253" s="1"/>
  <c r="M512" i="253" s="1"/>
  <c r="BS516" i="253"/>
  <c r="K516" i="253" s="1"/>
  <c r="M516" i="253" s="1"/>
  <c r="BS520" i="253"/>
  <c r="K520" i="253" s="1"/>
  <c r="M520" i="253" s="1"/>
  <c r="BS524" i="253"/>
  <c r="K524" i="253" s="1"/>
  <c r="M524" i="253" s="1"/>
  <c r="BS528" i="253"/>
  <c r="K528" i="253" s="1"/>
  <c r="M528" i="253" s="1"/>
  <c r="BS532" i="253"/>
  <c r="K532" i="253" s="1"/>
  <c r="M532" i="253" s="1"/>
  <c r="BS536" i="253"/>
  <c r="K536" i="253" s="1"/>
  <c r="M536" i="253" s="1"/>
  <c r="BS540" i="253"/>
  <c r="K540" i="253" s="1"/>
  <c r="M540" i="253" s="1"/>
  <c r="BS544" i="253"/>
  <c r="K544" i="253" s="1"/>
  <c r="M544" i="253" s="1"/>
  <c r="BS341" i="253"/>
  <c r="K341" i="253" s="1"/>
  <c r="M341" i="253" s="1"/>
  <c r="BS343" i="253"/>
  <c r="K343" i="253" s="1"/>
  <c r="M343" i="253" s="1"/>
  <c r="BS350" i="253"/>
  <c r="K350" i="253" s="1"/>
  <c r="M350" i="253" s="1"/>
  <c r="BS353" i="253"/>
  <c r="K353" i="253" s="1"/>
  <c r="M353" i="253" s="1"/>
  <c r="BS360" i="253"/>
  <c r="K360" i="253" s="1"/>
  <c r="M360" i="253" s="1"/>
  <c r="BS367" i="253"/>
  <c r="K367" i="253" s="1"/>
  <c r="M367" i="253" s="1"/>
  <c r="BS369" i="253"/>
  <c r="K369" i="253" s="1"/>
  <c r="M369" i="253" s="1"/>
  <c r="BS376" i="253"/>
  <c r="K376" i="253" s="1"/>
  <c r="M376" i="253" s="1"/>
  <c r="BS383" i="253"/>
  <c r="K383" i="253" s="1"/>
  <c r="M383" i="253" s="1"/>
  <c r="BS385" i="253"/>
  <c r="K385" i="253" s="1"/>
  <c r="M385" i="253" s="1"/>
  <c r="BS392" i="253"/>
  <c r="K392" i="253" s="1"/>
  <c r="M392" i="253" s="1"/>
  <c r="BS399" i="253"/>
  <c r="K399" i="253" s="1"/>
  <c r="M399" i="253" s="1"/>
  <c r="BS408" i="253"/>
  <c r="K408" i="253" s="1"/>
  <c r="M408" i="253" s="1"/>
  <c r="BS419" i="253"/>
  <c r="K419" i="253" s="1"/>
  <c r="M419" i="253" s="1"/>
  <c r="BS423" i="253"/>
  <c r="K423" i="253" s="1"/>
  <c r="M423" i="253" s="1"/>
  <c r="BS427" i="253"/>
  <c r="K427" i="253" s="1"/>
  <c r="M427" i="253" s="1"/>
  <c r="BS431" i="253"/>
  <c r="K431" i="253" s="1"/>
  <c r="M431" i="253" s="1"/>
  <c r="BS435" i="253"/>
  <c r="K435" i="253" s="1"/>
  <c r="M435" i="253" s="1"/>
  <c r="BS439" i="253"/>
  <c r="K439" i="253" s="1"/>
  <c r="M439" i="253" s="1"/>
  <c r="BS443" i="253"/>
  <c r="K443" i="253" s="1"/>
  <c r="M443" i="253" s="1"/>
  <c r="BS447" i="253"/>
  <c r="K447" i="253" s="1"/>
  <c r="M447" i="253" s="1"/>
  <c r="BS451" i="253"/>
  <c r="K451" i="253" s="1"/>
  <c r="M451" i="253" s="1"/>
  <c r="BS459" i="253"/>
  <c r="K459" i="253" s="1"/>
  <c r="M459" i="253" s="1"/>
  <c r="BS471" i="253"/>
  <c r="K471" i="253" s="1"/>
  <c r="M471" i="253" s="1"/>
  <c r="BS475" i="253"/>
  <c r="K475" i="253" s="1"/>
  <c r="M475" i="253" s="1"/>
  <c r="BS479" i="253"/>
  <c r="K479" i="253" s="1"/>
  <c r="M479" i="253" s="1"/>
  <c r="BS483" i="253"/>
  <c r="K483" i="253" s="1"/>
  <c r="M483" i="253" s="1"/>
  <c r="BS491" i="253"/>
  <c r="K491" i="253" s="1"/>
  <c r="M491" i="253" s="1"/>
  <c r="BS495" i="253"/>
  <c r="K495" i="253" s="1"/>
  <c r="M495" i="253" s="1"/>
  <c r="BS499" i="253"/>
  <c r="K499" i="253" s="1"/>
  <c r="M499" i="253" s="1"/>
  <c r="BS511" i="253"/>
  <c r="K511" i="253" s="1"/>
  <c r="M511" i="253" s="1"/>
  <c r="BS515" i="253"/>
  <c r="K515" i="253" s="1"/>
  <c r="M515" i="253" s="1"/>
  <c r="BS523" i="253"/>
  <c r="K523" i="253" s="1"/>
  <c r="M523" i="253" s="1"/>
  <c r="BS527" i="253"/>
  <c r="K527" i="253" s="1"/>
  <c r="M527" i="253" s="1"/>
  <c r="BS531" i="253"/>
  <c r="K531" i="253" s="1"/>
  <c r="M531" i="253" s="1"/>
  <c r="BS535" i="253"/>
  <c r="K535" i="253" s="1"/>
  <c r="M535" i="253" s="1"/>
  <c r="BS539" i="253"/>
  <c r="K539" i="253" s="1"/>
  <c r="M539" i="253" s="1"/>
  <c r="BS543" i="253"/>
  <c r="K543" i="253" s="1"/>
  <c r="M543" i="253" s="1"/>
  <c r="BS338" i="253"/>
  <c r="K338" i="253" s="1"/>
  <c r="M338" i="253" s="1"/>
  <c r="BS345" i="253"/>
  <c r="K345" i="253" s="1"/>
  <c r="M345" i="253" s="1"/>
  <c r="BS347" i="253"/>
  <c r="K347" i="253" s="1"/>
  <c r="M347" i="253" s="1"/>
  <c r="BS355" i="253"/>
  <c r="K355" i="253" s="1"/>
  <c r="M355" i="253" s="1"/>
  <c r="BS357" i="253"/>
  <c r="K357" i="253" s="1"/>
  <c r="M357" i="253" s="1"/>
  <c r="BS364" i="253"/>
  <c r="K364" i="253" s="1"/>
  <c r="M364" i="253" s="1"/>
  <c r="BS371" i="253"/>
  <c r="K371" i="253" s="1"/>
  <c r="M371" i="253" s="1"/>
  <c r="BS373" i="253"/>
  <c r="K373" i="253" s="1"/>
  <c r="M373" i="253" s="1"/>
  <c r="BS380" i="253"/>
  <c r="K380" i="253" s="1"/>
  <c r="M380" i="253" s="1"/>
  <c r="BS387" i="253"/>
  <c r="K387" i="253" s="1"/>
  <c r="M387" i="253" s="1"/>
  <c r="BS389" i="253"/>
  <c r="K389" i="253" s="1"/>
  <c r="M389" i="253" s="1"/>
  <c r="BS396" i="253"/>
  <c r="K396" i="253" s="1"/>
  <c r="M396" i="253" s="1"/>
  <c r="BS405" i="253"/>
  <c r="K405" i="253" s="1"/>
  <c r="M405" i="253" s="1"/>
  <c r="BS412" i="253"/>
  <c r="K412" i="253" s="1"/>
  <c r="M412" i="253" s="1"/>
  <c r="BS418" i="253"/>
  <c r="K418" i="253" s="1"/>
  <c r="M418" i="253" s="1"/>
  <c r="BS422" i="253"/>
  <c r="K422" i="253" s="1"/>
  <c r="M422" i="253" s="1"/>
  <c r="BS426" i="253"/>
  <c r="K426" i="253" s="1"/>
  <c r="M426" i="253" s="1"/>
  <c r="BS430" i="253"/>
  <c r="K430" i="253" s="1"/>
  <c r="M430" i="253" s="1"/>
  <c r="BS434" i="253"/>
  <c r="K434" i="253" s="1"/>
  <c r="M434" i="253" s="1"/>
  <c r="BS438" i="253"/>
  <c r="K438" i="253" s="1"/>
  <c r="M438" i="253" s="1"/>
  <c r="BS442" i="253"/>
  <c r="K442" i="253" s="1"/>
  <c r="M442" i="253" s="1"/>
  <c r="BS446" i="253"/>
  <c r="K446" i="253" s="1"/>
  <c r="M446" i="253" s="1"/>
  <c r="BS450" i="253"/>
  <c r="K450" i="253" s="1"/>
  <c r="M450" i="253" s="1"/>
  <c r="BS454" i="253"/>
  <c r="K454" i="253" s="1"/>
  <c r="M454" i="253" s="1"/>
  <c r="BS458" i="253"/>
  <c r="K458" i="253" s="1"/>
  <c r="M458" i="253" s="1"/>
  <c r="BS462" i="253"/>
  <c r="K462" i="253" s="1"/>
  <c r="M462" i="253" s="1"/>
  <c r="BS470" i="253"/>
  <c r="K470" i="253" s="1"/>
  <c r="M470" i="253" s="1"/>
  <c r="BS474" i="253"/>
  <c r="K474" i="253" s="1"/>
  <c r="M474" i="253" s="1"/>
  <c r="BS478" i="253"/>
  <c r="K478" i="253" s="1"/>
  <c r="M478" i="253" s="1"/>
  <c r="BS482" i="253"/>
  <c r="K482" i="253" s="1"/>
  <c r="M482" i="253" s="1"/>
  <c r="BS490" i="253"/>
  <c r="K490" i="253" s="1"/>
  <c r="M490" i="253" s="1"/>
  <c r="BS494" i="253"/>
  <c r="K494" i="253" s="1"/>
  <c r="M494" i="253" s="1"/>
  <c r="BS498" i="253"/>
  <c r="K498" i="253" s="1"/>
  <c r="M498" i="253" s="1"/>
  <c r="BS502" i="253"/>
  <c r="K502" i="253" s="1"/>
  <c r="M502" i="253" s="1"/>
  <c r="BS506" i="253"/>
  <c r="K506" i="253" s="1"/>
  <c r="M506" i="253" s="1"/>
  <c r="BS510" i="253"/>
  <c r="K510" i="253" s="1"/>
  <c r="M510" i="253" s="1"/>
  <c r="BS514" i="253"/>
  <c r="K514" i="253" s="1"/>
  <c r="M514" i="253" s="1"/>
  <c r="BS518" i="253"/>
  <c r="K518" i="253" s="1"/>
  <c r="M518" i="253" s="1"/>
  <c r="BS522" i="253"/>
  <c r="K522" i="253" s="1"/>
  <c r="M522" i="253" s="1"/>
  <c r="BS526" i="253"/>
  <c r="K526" i="253" s="1"/>
  <c r="M526" i="253" s="1"/>
  <c r="BS530" i="253"/>
  <c r="K530" i="253" s="1"/>
  <c r="M530" i="253" s="1"/>
  <c r="BS534" i="253"/>
  <c r="K534" i="253" s="1"/>
  <c r="M534" i="253" s="1"/>
  <c r="BS538" i="253"/>
  <c r="K538" i="253" s="1"/>
  <c r="M538" i="253" s="1"/>
  <c r="BS542" i="253"/>
  <c r="K542" i="253" s="1"/>
  <c r="M542" i="253" s="1"/>
  <c r="BS342" i="253"/>
  <c r="K342" i="253" s="1"/>
  <c r="M342" i="253" s="1"/>
  <c r="BS349" i="253"/>
  <c r="K349" i="253" s="1"/>
  <c r="M349" i="253" s="1"/>
  <c r="BS351" i="253"/>
  <c r="K351" i="253" s="1"/>
  <c r="M351" i="253" s="1"/>
  <c r="BS359" i="253"/>
  <c r="K359" i="253" s="1"/>
  <c r="M359" i="253" s="1"/>
  <c r="BS361" i="253"/>
  <c r="K361" i="253" s="1"/>
  <c r="M361" i="253" s="1"/>
  <c r="BS368" i="253"/>
  <c r="K368" i="253" s="1"/>
  <c r="M368" i="253" s="1"/>
  <c r="BS375" i="253"/>
  <c r="K375" i="253" s="1"/>
  <c r="M375" i="253" s="1"/>
  <c r="BS384" i="253"/>
  <c r="K384" i="253" s="1"/>
  <c r="M384" i="253" s="1"/>
  <c r="BS391" i="253"/>
  <c r="K391" i="253" s="1"/>
  <c r="M391" i="253" s="1"/>
  <c r="BS393" i="253"/>
  <c r="K393" i="253" s="1"/>
  <c r="M393" i="253" s="1"/>
  <c r="BS400" i="253"/>
  <c r="K400" i="253" s="1"/>
  <c r="M400" i="253" s="1"/>
  <c r="BS407" i="253"/>
  <c r="K407" i="253" s="1"/>
  <c r="M407" i="253" s="1"/>
  <c r="BS409" i="253"/>
  <c r="K409" i="253" s="1"/>
  <c r="M409" i="253" s="1"/>
  <c r="BS421" i="253"/>
  <c r="K421" i="253" s="1"/>
  <c r="M421" i="253" s="1"/>
  <c r="BS425" i="253"/>
  <c r="K425" i="253" s="1"/>
  <c r="M425" i="253" s="1"/>
  <c r="BS429" i="253"/>
  <c r="K429" i="253" s="1"/>
  <c r="M429" i="253" s="1"/>
  <c r="BS433" i="253"/>
  <c r="K433" i="253" s="1"/>
  <c r="M433" i="253" s="1"/>
  <c r="BS437" i="253"/>
  <c r="K437" i="253" s="1"/>
  <c r="M437" i="253" s="1"/>
  <c r="BS445" i="253"/>
  <c r="K445" i="253" s="1"/>
  <c r="M445" i="253" s="1"/>
  <c r="BS449" i="253"/>
  <c r="K449" i="253" s="1"/>
  <c r="M449" i="253" s="1"/>
  <c r="BS453" i="253"/>
  <c r="K453" i="253" s="1"/>
  <c r="M453" i="253" s="1"/>
  <c r="BS457" i="253"/>
  <c r="K457" i="253" s="1"/>
  <c r="M457" i="253" s="1"/>
  <c r="BS461" i="253"/>
  <c r="K461" i="253" s="1"/>
  <c r="M461" i="253" s="1"/>
  <c r="BS465" i="253"/>
  <c r="K465" i="253" s="1"/>
  <c r="M465" i="253" s="1"/>
  <c r="BS469" i="253"/>
  <c r="K469" i="253" s="1"/>
  <c r="M469" i="253" s="1"/>
  <c r="BS473" i="253"/>
  <c r="K473" i="253" s="1"/>
  <c r="M473" i="253" s="1"/>
  <c r="BS477" i="253"/>
  <c r="K477" i="253" s="1"/>
  <c r="M477" i="253" s="1"/>
  <c r="BS481" i="253"/>
  <c r="K481" i="253" s="1"/>
  <c r="M481" i="253" s="1"/>
  <c r="BS485" i="253"/>
  <c r="K485" i="253" s="1"/>
  <c r="M485" i="253" s="1"/>
  <c r="BS489" i="253"/>
  <c r="K489" i="253" s="1"/>
  <c r="M489" i="253" s="1"/>
  <c r="BS493" i="253"/>
  <c r="K493" i="253" s="1"/>
  <c r="M493" i="253" s="1"/>
  <c r="BS497" i="253"/>
  <c r="K497" i="253" s="1"/>
  <c r="M497" i="253" s="1"/>
  <c r="BS501" i="253"/>
  <c r="K501" i="253" s="1"/>
  <c r="M501" i="253" s="1"/>
  <c r="BS505" i="253"/>
  <c r="K505" i="253" s="1"/>
  <c r="M505" i="253" s="1"/>
  <c r="BS509" i="253"/>
  <c r="K509" i="253" s="1"/>
  <c r="M509" i="253" s="1"/>
  <c r="BS513" i="253"/>
  <c r="K513" i="253" s="1"/>
  <c r="M513" i="253" s="1"/>
  <c r="BS517" i="253"/>
  <c r="K517" i="253" s="1"/>
  <c r="M517" i="253" s="1"/>
  <c r="BS521" i="253"/>
  <c r="K521" i="253" s="1"/>
  <c r="M521" i="253" s="1"/>
  <c r="BS525" i="253"/>
  <c r="K525" i="253" s="1"/>
  <c r="M525" i="253" s="1"/>
  <c r="BS529" i="253"/>
  <c r="K529" i="253" s="1"/>
  <c r="M529" i="253" s="1"/>
  <c r="BS533" i="253"/>
  <c r="K533" i="253" s="1"/>
  <c r="M533" i="253" s="1"/>
  <c r="BS537" i="253"/>
  <c r="K537" i="253" s="1"/>
  <c r="M537" i="253" s="1"/>
  <c r="BS541" i="253"/>
  <c r="K541" i="253" s="1"/>
  <c r="M541" i="253" s="1"/>
  <c r="BS545" i="253"/>
  <c r="K545" i="253" s="1"/>
  <c r="M545" i="253" s="1"/>
  <c r="BS117" i="253"/>
  <c r="K117" i="253" s="1"/>
  <c r="M117" i="253" s="1"/>
  <c r="BS131" i="253"/>
  <c r="K131" i="253" s="1"/>
  <c r="M131" i="253" s="1"/>
  <c r="BS137" i="253"/>
  <c r="K137" i="253" s="1"/>
  <c r="M137" i="253" s="1"/>
  <c r="BS120" i="253"/>
  <c r="K120" i="253" s="1"/>
  <c r="M120" i="253" s="1"/>
  <c r="BS119" i="253"/>
  <c r="K119" i="253" s="1"/>
  <c r="M119" i="253" s="1"/>
  <c r="BS134" i="253"/>
  <c r="K134" i="253" s="1"/>
  <c r="M134" i="253" s="1"/>
  <c r="BS128" i="253"/>
  <c r="K128" i="253" s="1"/>
  <c r="M128" i="253" s="1"/>
  <c r="BS129" i="253"/>
  <c r="K129" i="253" s="1"/>
  <c r="M129" i="253" s="1"/>
  <c r="BS142" i="253"/>
  <c r="K142" i="253" s="1"/>
  <c r="M142" i="253" s="1"/>
  <c r="BS145" i="253"/>
  <c r="K145" i="253" s="1"/>
  <c r="M145" i="253" s="1"/>
  <c r="BS148" i="253"/>
  <c r="K148" i="253" s="1"/>
  <c r="M148" i="253" s="1"/>
  <c r="BS151" i="253"/>
  <c r="K151" i="253" s="1"/>
  <c r="M151" i="253" s="1"/>
  <c r="BS158" i="253"/>
  <c r="K158" i="253" s="1"/>
  <c r="M158" i="253" s="1"/>
  <c r="BS159" i="253"/>
  <c r="K159" i="253" s="1"/>
  <c r="M159" i="253" s="1"/>
  <c r="BS161" i="253"/>
  <c r="K161" i="253" s="1"/>
  <c r="M161" i="253" s="1"/>
  <c r="BS163" i="253"/>
  <c r="K163" i="253" s="1"/>
  <c r="M163" i="253" s="1"/>
  <c r="BS167" i="253"/>
  <c r="K167" i="253" s="1"/>
  <c r="M167" i="253" s="1"/>
  <c r="BS166" i="253"/>
  <c r="K166" i="253" s="1"/>
  <c r="M166" i="253" s="1"/>
  <c r="BS170" i="253"/>
  <c r="K170" i="253" s="1"/>
  <c r="M170" i="253" s="1"/>
  <c r="BS174" i="253"/>
  <c r="K174" i="253" s="1"/>
  <c r="M174" i="253" s="1"/>
  <c r="BS173" i="253"/>
  <c r="K173" i="253" s="1"/>
  <c r="M173" i="253" s="1"/>
  <c r="BS176" i="253"/>
  <c r="K176" i="253" s="1"/>
  <c r="M176" i="253" s="1"/>
  <c r="BS179" i="253"/>
  <c r="K179" i="253" s="1"/>
  <c r="M179" i="253" s="1"/>
  <c r="BS183" i="253"/>
  <c r="K183" i="253" s="1"/>
  <c r="M183" i="253" s="1"/>
  <c r="BS190" i="253"/>
  <c r="K190" i="253" s="1"/>
  <c r="M190" i="253" s="1"/>
  <c r="BS192" i="253"/>
  <c r="K192" i="253" s="1"/>
  <c r="M192" i="253" s="1"/>
  <c r="BS196" i="253"/>
  <c r="K196" i="253" s="1"/>
  <c r="M196" i="253" s="1"/>
  <c r="BS200" i="253"/>
  <c r="K200" i="253" s="1"/>
  <c r="M200" i="253" s="1"/>
  <c r="BS201" i="253"/>
  <c r="K201" i="253" s="1"/>
  <c r="M201" i="253" s="1"/>
  <c r="BS202" i="253"/>
  <c r="K202" i="253" s="1"/>
  <c r="M202" i="253" s="1"/>
  <c r="BS203" i="253"/>
  <c r="K203" i="253" s="1"/>
  <c r="M203" i="253" s="1"/>
  <c r="BS204" i="253"/>
  <c r="K204" i="253" s="1"/>
  <c r="M204" i="253" s="1"/>
  <c r="BS211" i="253"/>
  <c r="K211" i="253" s="1"/>
  <c r="M211" i="253" s="1"/>
  <c r="BS212" i="253"/>
  <c r="K212" i="253" s="1"/>
  <c r="M212" i="253" s="1"/>
  <c r="BS214" i="253"/>
  <c r="K214" i="253" s="1"/>
  <c r="M214" i="253" s="1"/>
  <c r="BS218" i="253"/>
  <c r="K218" i="253" s="1"/>
  <c r="M218" i="253" s="1"/>
  <c r="BS220" i="253"/>
  <c r="K220" i="253" s="1"/>
  <c r="M220" i="253" s="1"/>
  <c r="BS221" i="253"/>
  <c r="K221" i="253" s="1"/>
  <c r="M221" i="253" s="1"/>
  <c r="BS224" i="253"/>
  <c r="K224" i="253" s="1"/>
  <c r="M224" i="253" s="1"/>
  <c r="BS225" i="253"/>
  <c r="K225" i="253" s="1"/>
  <c r="M225" i="253" s="1"/>
  <c r="BS235" i="253"/>
  <c r="K235" i="253" s="1"/>
  <c r="M235" i="253" s="1"/>
  <c r="BS237" i="253"/>
  <c r="K237" i="253" s="1"/>
  <c r="M237" i="253" s="1"/>
  <c r="BS240" i="253"/>
  <c r="K240" i="253" s="1"/>
  <c r="M240" i="253" s="1"/>
  <c r="BS242" i="253"/>
  <c r="K242" i="253" s="1"/>
  <c r="M242" i="253" s="1"/>
  <c r="BS244" i="253"/>
  <c r="K244" i="253" s="1"/>
  <c r="M244" i="253" s="1"/>
  <c r="BS246" i="253"/>
  <c r="K246" i="253" s="1"/>
  <c r="M246" i="253" s="1"/>
  <c r="BS245" i="253"/>
  <c r="K245" i="253" s="1"/>
  <c r="M245" i="253" s="1"/>
  <c r="BS247" i="253"/>
  <c r="K247" i="253" s="1"/>
  <c r="M247" i="253" s="1"/>
  <c r="BS250" i="253"/>
  <c r="K250" i="253" s="1"/>
  <c r="M250" i="253" s="1"/>
  <c r="BS249" i="253"/>
  <c r="K249" i="253" s="1"/>
  <c r="M249" i="253" s="1"/>
  <c r="BS251" i="253"/>
  <c r="K251" i="253" s="1"/>
  <c r="M251" i="253" s="1"/>
  <c r="BS254" i="253"/>
  <c r="K254" i="253" s="1"/>
  <c r="M254" i="253" s="1"/>
  <c r="BS256" i="253"/>
  <c r="K256" i="253" s="1"/>
  <c r="M256" i="253" s="1"/>
  <c r="BS257" i="253"/>
  <c r="K257" i="253" s="1"/>
  <c r="M257" i="253" s="1"/>
  <c r="BS258" i="253"/>
  <c r="K258" i="253" s="1"/>
  <c r="M258" i="253" s="1"/>
  <c r="BS263" i="253"/>
  <c r="K263" i="253" s="1"/>
  <c r="M263" i="253" s="1"/>
  <c r="BS269" i="253"/>
  <c r="K269" i="253" s="1"/>
  <c r="M269" i="253" s="1"/>
  <c r="BS270" i="253"/>
  <c r="K270" i="253" s="1"/>
  <c r="M270" i="253" s="1"/>
  <c r="BS121" i="253"/>
  <c r="K121" i="253" s="1"/>
  <c r="M121" i="253" s="1"/>
  <c r="BS118" i="253"/>
  <c r="K118" i="253" s="1"/>
  <c r="M118" i="253" s="1"/>
  <c r="BS135" i="253"/>
  <c r="K135" i="253" s="1"/>
  <c r="M135" i="253" s="1"/>
  <c r="BS116" i="253"/>
  <c r="K116" i="253" s="1"/>
  <c r="M116" i="253" s="1"/>
  <c r="BS124" i="253"/>
  <c r="K124" i="253" s="1"/>
  <c r="M124" i="253" s="1"/>
  <c r="BS130" i="253"/>
  <c r="K130" i="253" s="1"/>
  <c r="M130" i="253" s="1"/>
  <c r="BS154" i="253"/>
  <c r="K154" i="253" s="1"/>
  <c r="M154" i="253" s="1"/>
  <c r="BS180" i="253"/>
  <c r="K180" i="253" s="1"/>
  <c r="M180" i="253" s="1"/>
  <c r="BS186" i="253"/>
  <c r="K186" i="253" s="1"/>
  <c r="M186" i="253" s="1"/>
  <c r="BS187" i="253"/>
  <c r="K187" i="253" s="1"/>
  <c r="M187" i="253" s="1"/>
  <c r="BS188" i="253"/>
  <c r="K188" i="253" s="1"/>
  <c r="M188" i="253" s="1"/>
  <c r="BS194" i="253"/>
  <c r="K194" i="253" s="1"/>
  <c r="M194" i="253" s="1"/>
  <c r="BS197" i="253"/>
  <c r="K197" i="253" s="1"/>
  <c r="M197" i="253" s="1"/>
  <c r="BS208" i="253"/>
  <c r="K208" i="253" s="1"/>
  <c r="M208" i="253" s="1"/>
  <c r="BS222" i="253"/>
  <c r="K222" i="253" s="1"/>
  <c r="M222" i="253" s="1"/>
  <c r="BS228" i="253"/>
  <c r="K228" i="253" s="1"/>
  <c r="M228" i="253" s="1"/>
  <c r="BS229" i="253"/>
  <c r="K229" i="253" s="1"/>
  <c r="M229" i="253" s="1"/>
  <c r="BS230" i="253"/>
  <c r="K230" i="253" s="1"/>
  <c r="M230" i="253" s="1"/>
  <c r="BS233" i="253"/>
  <c r="K233" i="253" s="1"/>
  <c r="M233" i="253" s="1"/>
  <c r="BS253" i="253"/>
  <c r="K253" i="253" s="1"/>
  <c r="M253" i="253" s="1"/>
  <c r="BS255" i="253"/>
  <c r="K255" i="253" s="1"/>
  <c r="M255" i="253" s="1"/>
  <c r="BS274" i="253"/>
  <c r="K274" i="253" s="1"/>
  <c r="M274" i="253" s="1"/>
  <c r="BS582" i="253"/>
  <c r="K582" i="253" s="1"/>
  <c r="M582" i="253" s="1"/>
  <c r="BS589" i="253"/>
  <c r="K589" i="253" s="1"/>
  <c r="M589" i="253" s="1"/>
  <c r="BS590" i="253"/>
  <c r="K590" i="253" s="1"/>
  <c r="M590" i="253" s="1"/>
  <c r="BS585" i="253"/>
  <c r="K585" i="253" s="1"/>
  <c r="M585" i="253" s="1"/>
  <c r="BS593" i="253"/>
  <c r="K593" i="253" s="1"/>
  <c r="M593" i="253" s="1"/>
  <c r="BS586" i="253"/>
  <c r="K586" i="253" s="1"/>
  <c r="M586" i="253" s="1"/>
  <c r="BQ562" i="253"/>
  <c r="J562" i="253" s="1"/>
  <c r="L562" i="253" s="1"/>
  <c r="BQ566" i="253"/>
  <c r="J566" i="253" s="1"/>
  <c r="L566" i="253" s="1"/>
  <c r="BQ570" i="253"/>
  <c r="J570" i="253" s="1"/>
  <c r="L570" i="253" s="1"/>
  <c r="BQ574" i="253"/>
  <c r="J574" i="253" s="1"/>
  <c r="L574" i="253" s="1"/>
  <c r="BQ578" i="253"/>
  <c r="J578" i="253" s="1"/>
  <c r="L578" i="253" s="1"/>
  <c r="BQ564" i="253"/>
  <c r="J564" i="253" s="1"/>
  <c r="L564" i="253" s="1"/>
  <c r="BQ568" i="253"/>
  <c r="J568" i="253" s="1"/>
  <c r="L568" i="253" s="1"/>
  <c r="BQ572" i="253"/>
  <c r="J572" i="253" s="1"/>
  <c r="L572" i="253" s="1"/>
  <c r="BQ576" i="253"/>
  <c r="J576" i="253" s="1"/>
  <c r="L576" i="253" s="1"/>
  <c r="BQ580" i="253"/>
  <c r="J580" i="253" s="1"/>
  <c r="L580" i="253" s="1"/>
  <c r="BQ561" i="253"/>
  <c r="J561" i="253" s="1"/>
  <c r="L561" i="253" s="1"/>
  <c r="BQ569" i="253"/>
  <c r="J569" i="253" s="1"/>
  <c r="L569" i="253" s="1"/>
  <c r="BQ577" i="253"/>
  <c r="J577" i="253" s="1"/>
  <c r="L577" i="253" s="1"/>
  <c r="BQ567" i="253"/>
  <c r="J567" i="253" s="1"/>
  <c r="L567" i="253" s="1"/>
  <c r="BQ575" i="253"/>
  <c r="J575" i="253" s="1"/>
  <c r="L575" i="253" s="1"/>
  <c r="BQ565" i="253"/>
  <c r="J565" i="253" s="1"/>
  <c r="L565" i="253" s="1"/>
  <c r="BQ573" i="253"/>
  <c r="J573" i="253" s="1"/>
  <c r="L573" i="253" s="1"/>
  <c r="BQ563" i="253"/>
  <c r="J563" i="253" s="1"/>
  <c r="L563" i="253" s="1"/>
  <c r="BQ571" i="253"/>
  <c r="J571" i="253" s="1"/>
  <c r="L571" i="253" s="1"/>
  <c r="BQ579" i="253"/>
  <c r="J579" i="253" s="1"/>
  <c r="L579" i="253" s="1"/>
  <c r="BS283" i="253"/>
  <c r="K283" i="253" s="1"/>
  <c r="M283" i="253" s="1"/>
  <c r="BS287" i="253"/>
  <c r="K287" i="253" s="1"/>
  <c r="M287" i="253" s="1"/>
  <c r="BS293" i="253"/>
  <c r="K293" i="253" s="1"/>
  <c r="M293" i="253" s="1"/>
  <c r="BS309" i="253"/>
  <c r="K309" i="253" s="1"/>
  <c r="M309" i="253" s="1"/>
  <c r="BS317" i="253"/>
  <c r="K317" i="253" s="1"/>
  <c r="M317" i="253" s="1"/>
  <c r="BS289" i="253"/>
  <c r="K289" i="253" s="1"/>
  <c r="M289" i="253" s="1"/>
  <c r="BS291" i="253"/>
  <c r="K291" i="253" s="1"/>
  <c r="M291" i="253" s="1"/>
  <c r="BS307" i="253"/>
  <c r="K307" i="253" s="1"/>
  <c r="M307" i="253" s="1"/>
  <c r="BS311" i="253"/>
  <c r="K311" i="253" s="1"/>
  <c r="M311" i="253" s="1"/>
  <c r="BS315" i="253"/>
  <c r="K315" i="253" s="1"/>
  <c r="M315" i="253" s="1"/>
  <c r="BS282" i="253"/>
  <c r="K282" i="253" s="1"/>
  <c r="M282" i="253" s="1"/>
  <c r="BS300" i="253"/>
  <c r="K300" i="253" s="1"/>
  <c r="M300" i="253" s="1"/>
  <c r="BS308" i="253"/>
  <c r="K308" i="253" s="1"/>
  <c r="M308" i="253" s="1"/>
  <c r="BS288" i="253"/>
  <c r="K288" i="253" s="1"/>
  <c r="M288" i="253" s="1"/>
  <c r="BS306" i="253"/>
  <c r="K306" i="253" s="1"/>
  <c r="M306" i="253" s="1"/>
  <c r="BS286" i="253"/>
  <c r="K286" i="253" s="1"/>
  <c r="M286" i="253" s="1"/>
  <c r="BS304" i="253"/>
  <c r="K304" i="253" s="1"/>
  <c r="M304" i="253" s="1"/>
  <c r="BS302" i="253"/>
  <c r="K302" i="253" s="1"/>
  <c r="M302" i="253" s="1"/>
  <c r="BS310" i="253"/>
  <c r="K310" i="253" s="1"/>
  <c r="M310" i="253" s="1"/>
  <c r="BQ51" i="253"/>
  <c r="J51" i="253" s="1"/>
  <c r="L51" i="253" s="1"/>
  <c r="BQ55" i="253"/>
  <c r="J55" i="253" s="1"/>
  <c r="L55" i="253" s="1"/>
  <c r="BQ59" i="253"/>
  <c r="J59" i="253" s="1"/>
  <c r="L59" i="253" s="1"/>
  <c r="BQ63" i="253"/>
  <c r="J63" i="253" s="1"/>
  <c r="L63" i="253" s="1"/>
  <c r="BQ67" i="253"/>
  <c r="J67" i="253" s="1"/>
  <c r="L67" i="253" s="1"/>
  <c r="BQ71" i="253"/>
  <c r="J71" i="253" s="1"/>
  <c r="L71" i="253" s="1"/>
  <c r="BQ75" i="253"/>
  <c r="J75" i="253" s="1"/>
  <c r="L75" i="253" s="1"/>
  <c r="BQ79" i="253"/>
  <c r="J79" i="253" s="1"/>
  <c r="L79" i="253" s="1"/>
  <c r="BQ83" i="253"/>
  <c r="J83" i="253" s="1"/>
  <c r="L83" i="253" s="1"/>
  <c r="BQ87" i="253"/>
  <c r="J87" i="253" s="1"/>
  <c r="L87" i="253" s="1"/>
  <c r="BQ91" i="253"/>
  <c r="J91" i="253" s="1"/>
  <c r="L91" i="253" s="1"/>
  <c r="BQ95" i="253"/>
  <c r="J95" i="253" s="1"/>
  <c r="L95" i="253" s="1"/>
  <c r="BQ99" i="253"/>
  <c r="J99" i="253" s="1"/>
  <c r="L99" i="253" s="1"/>
  <c r="BQ103" i="253"/>
  <c r="J103" i="253" s="1"/>
  <c r="L103" i="253" s="1"/>
  <c r="BQ107" i="253"/>
  <c r="J107" i="253" s="1"/>
  <c r="L107" i="253" s="1"/>
  <c r="BQ111" i="253"/>
  <c r="J111" i="253" s="1"/>
  <c r="L111" i="253" s="1"/>
  <c r="BQ54" i="253"/>
  <c r="J54" i="253" s="1"/>
  <c r="L54" i="253" s="1"/>
  <c r="BQ58" i="253"/>
  <c r="J58" i="253" s="1"/>
  <c r="L58" i="253" s="1"/>
  <c r="BQ62" i="253"/>
  <c r="J62" i="253" s="1"/>
  <c r="L62" i="253" s="1"/>
  <c r="BQ66" i="253"/>
  <c r="J66" i="253" s="1"/>
  <c r="L66" i="253" s="1"/>
  <c r="BQ70" i="253"/>
  <c r="J70" i="253" s="1"/>
  <c r="L70" i="253" s="1"/>
  <c r="BQ74" i="253"/>
  <c r="J74" i="253" s="1"/>
  <c r="L74" i="253" s="1"/>
  <c r="BQ78" i="253"/>
  <c r="J78" i="253" s="1"/>
  <c r="L78" i="253" s="1"/>
  <c r="BQ82" i="253"/>
  <c r="J82" i="253" s="1"/>
  <c r="L82" i="253" s="1"/>
  <c r="BQ86" i="253"/>
  <c r="J86" i="253" s="1"/>
  <c r="L86" i="253" s="1"/>
  <c r="BQ90" i="253"/>
  <c r="J90" i="253" s="1"/>
  <c r="L90" i="253" s="1"/>
  <c r="BQ94" i="253"/>
  <c r="J94" i="253" s="1"/>
  <c r="L94" i="253" s="1"/>
  <c r="BQ98" i="253"/>
  <c r="J98" i="253" s="1"/>
  <c r="L98" i="253" s="1"/>
  <c r="BQ102" i="253"/>
  <c r="J102" i="253" s="1"/>
  <c r="L102" i="253" s="1"/>
  <c r="BQ106" i="253"/>
  <c r="J106" i="253" s="1"/>
  <c r="L106" i="253" s="1"/>
  <c r="BQ110" i="253"/>
  <c r="J110" i="253" s="1"/>
  <c r="L110" i="253" s="1"/>
  <c r="BQ56" i="253"/>
  <c r="J56" i="253" s="1"/>
  <c r="L56" i="253" s="1"/>
  <c r="BQ64" i="253"/>
  <c r="J64" i="253" s="1"/>
  <c r="L64" i="253" s="1"/>
  <c r="BQ72" i="253"/>
  <c r="J72" i="253" s="1"/>
  <c r="L72" i="253" s="1"/>
  <c r="BQ80" i="253"/>
  <c r="J80" i="253" s="1"/>
  <c r="L80" i="253" s="1"/>
  <c r="BQ88" i="253"/>
  <c r="J88" i="253" s="1"/>
  <c r="L88" i="253" s="1"/>
  <c r="BQ96" i="253"/>
  <c r="J96" i="253" s="1"/>
  <c r="L96" i="253" s="1"/>
  <c r="BQ104" i="253"/>
  <c r="J104" i="253" s="1"/>
  <c r="L104" i="253" s="1"/>
  <c r="BQ113" i="253"/>
  <c r="J113" i="253" s="1"/>
  <c r="L113" i="253" s="1"/>
  <c r="BQ57" i="253"/>
  <c r="J57" i="253" s="1"/>
  <c r="L57" i="253" s="1"/>
  <c r="BQ65" i="253"/>
  <c r="J65" i="253" s="1"/>
  <c r="L65" i="253" s="1"/>
  <c r="BQ73" i="253"/>
  <c r="J73" i="253" s="1"/>
  <c r="L73" i="253" s="1"/>
  <c r="BQ81" i="253"/>
  <c r="J81" i="253" s="1"/>
  <c r="L81" i="253" s="1"/>
  <c r="BQ89" i="253"/>
  <c r="J89" i="253" s="1"/>
  <c r="L89" i="253" s="1"/>
  <c r="BQ97" i="253"/>
  <c r="J97" i="253" s="1"/>
  <c r="L97" i="253" s="1"/>
  <c r="BQ105" i="253"/>
  <c r="J105" i="253" s="1"/>
  <c r="L105" i="253" s="1"/>
  <c r="BQ112" i="253"/>
  <c r="J112" i="253" s="1"/>
  <c r="L112" i="253" s="1"/>
  <c r="BQ61" i="253"/>
  <c r="J61" i="253" s="1"/>
  <c r="L61" i="253" s="1"/>
  <c r="BQ77" i="253"/>
  <c r="J77" i="253" s="1"/>
  <c r="L77" i="253" s="1"/>
  <c r="BQ93" i="253"/>
  <c r="J93" i="253" s="1"/>
  <c r="L93" i="253" s="1"/>
  <c r="BQ109" i="253"/>
  <c r="J109" i="253" s="1"/>
  <c r="L109" i="253" s="1"/>
  <c r="BQ52" i="253"/>
  <c r="J52" i="253" s="1"/>
  <c r="L52" i="253" s="1"/>
  <c r="BQ68" i="253"/>
  <c r="J68" i="253" s="1"/>
  <c r="L68" i="253" s="1"/>
  <c r="BQ84" i="253"/>
  <c r="J84" i="253" s="1"/>
  <c r="L84" i="253" s="1"/>
  <c r="BQ100" i="253"/>
  <c r="J100" i="253" s="1"/>
  <c r="L100" i="253" s="1"/>
  <c r="BQ53" i="253"/>
  <c r="J53" i="253" s="1"/>
  <c r="L53" i="253" s="1"/>
  <c r="BQ69" i="253"/>
  <c r="J69" i="253" s="1"/>
  <c r="L69" i="253" s="1"/>
  <c r="BQ85" i="253"/>
  <c r="J85" i="253" s="1"/>
  <c r="L85" i="253" s="1"/>
  <c r="BQ101" i="253"/>
  <c r="J101" i="253" s="1"/>
  <c r="L101" i="253" s="1"/>
  <c r="BQ114" i="253"/>
  <c r="J114" i="253" s="1"/>
  <c r="L114" i="253" s="1"/>
  <c r="BQ60" i="253"/>
  <c r="J60" i="253" s="1"/>
  <c r="L60" i="253" s="1"/>
  <c r="BQ76" i="253"/>
  <c r="J76" i="253" s="1"/>
  <c r="L76" i="253" s="1"/>
  <c r="BQ92" i="253"/>
  <c r="J92" i="253" s="1"/>
  <c r="L92" i="253" s="1"/>
  <c r="BQ108" i="253"/>
  <c r="J108" i="253" s="1"/>
  <c r="L108" i="253" s="1"/>
  <c r="BS123" i="253"/>
  <c r="K123" i="253" s="1"/>
  <c r="M123" i="253" s="1"/>
  <c r="BS139" i="253"/>
  <c r="K139" i="253" s="1"/>
  <c r="M139" i="253" s="1"/>
  <c r="BS132" i="253"/>
  <c r="K132" i="253" s="1"/>
  <c r="M132" i="253" s="1"/>
  <c r="BS122" i="253"/>
  <c r="K122" i="253" s="1"/>
  <c r="M122" i="253" s="1"/>
  <c r="BS140" i="253"/>
  <c r="K140" i="253" s="1"/>
  <c r="M140" i="253" s="1"/>
  <c r="BS152" i="253"/>
  <c r="K152" i="253" s="1"/>
  <c r="M152" i="253" s="1"/>
  <c r="BS162" i="253"/>
  <c r="K162" i="253" s="1"/>
  <c r="M162" i="253" s="1"/>
  <c r="BS165" i="253"/>
  <c r="K165" i="253" s="1"/>
  <c r="M165" i="253" s="1"/>
  <c r="BS171" i="253"/>
  <c r="K171" i="253" s="1"/>
  <c r="M171" i="253" s="1"/>
  <c r="BS181" i="253"/>
  <c r="K181" i="253" s="1"/>
  <c r="M181" i="253" s="1"/>
  <c r="BS209" i="253"/>
  <c r="K209" i="253" s="1"/>
  <c r="M209" i="253" s="1"/>
  <c r="BS216" i="253"/>
  <c r="K216" i="253" s="1"/>
  <c r="M216" i="253" s="1"/>
  <c r="BS217" i="253"/>
  <c r="K217" i="253" s="1"/>
  <c r="M217" i="253" s="1"/>
  <c r="BS227" i="253"/>
  <c r="K227" i="253" s="1"/>
  <c r="M227" i="253" s="1"/>
  <c r="BS239" i="253"/>
  <c r="K239" i="253" s="1"/>
  <c r="M239" i="253" s="1"/>
  <c r="BS238" i="253"/>
  <c r="K238" i="253" s="1"/>
  <c r="M238" i="253" s="1"/>
  <c r="BS243" i="253"/>
  <c r="K243" i="253" s="1"/>
  <c r="M243" i="253" s="1"/>
  <c r="BS259" i="253"/>
  <c r="K259" i="253" s="1"/>
  <c r="M259" i="253" s="1"/>
  <c r="BS261" i="253"/>
  <c r="K261" i="253" s="1"/>
  <c r="M261" i="253" s="1"/>
  <c r="BS272" i="253"/>
  <c r="K272" i="253" s="1"/>
  <c r="M272" i="253" s="1"/>
  <c r="BS277" i="253"/>
  <c r="K277" i="253" s="1"/>
  <c r="M277" i="253" s="1"/>
  <c r="BS313" i="253"/>
  <c r="K313" i="253" s="1"/>
  <c r="M313" i="253" s="1"/>
  <c r="BS325" i="253"/>
  <c r="K325" i="253" s="1"/>
  <c r="M325" i="253" s="1"/>
  <c r="BS276" i="253"/>
  <c r="K276" i="253" s="1"/>
  <c r="M276" i="253" s="1"/>
  <c r="BS327" i="253"/>
  <c r="K327" i="253" s="1"/>
  <c r="M327" i="253" s="1"/>
  <c r="BS322" i="253"/>
  <c r="K322" i="253" s="1"/>
  <c r="M322" i="253" s="1"/>
  <c r="BS330" i="253"/>
  <c r="K330" i="253" s="1"/>
  <c r="M330" i="253" s="1"/>
  <c r="BS280" i="253"/>
  <c r="K280" i="253" s="1"/>
  <c r="M280" i="253" s="1"/>
  <c r="BQ337" i="253"/>
  <c r="J337" i="253" s="1"/>
  <c r="L337" i="253" s="1"/>
  <c r="BQ341" i="253"/>
  <c r="J341" i="253" s="1"/>
  <c r="L341" i="253" s="1"/>
  <c r="BQ345" i="253"/>
  <c r="J345" i="253" s="1"/>
  <c r="L345" i="253" s="1"/>
  <c r="BQ349" i="253"/>
  <c r="J349" i="253" s="1"/>
  <c r="L349" i="253" s="1"/>
  <c r="BQ355" i="253"/>
  <c r="J355" i="253" s="1"/>
  <c r="L355" i="253" s="1"/>
  <c r="BQ359" i="253"/>
  <c r="J359" i="253" s="1"/>
  <c r="L359" i="253" s="1"/>
  <c r="BQ363" i="253"/>
  <c r="J363" i="253" s="1"/>
  <c r="L363" i="253" s="1"/>
  <c r="BQ367" i="253"/>
  <c r="J367" i="253" s="1"/>
  <c r="L367" i="253" s="1"/>
  <c r="BQ371" i="253"/>
  <c r="J371" i="253" s="1"/>
  <c r="L371" i="253" s="1"/>
  <c r="BQ375" i="253"/>
  <c r="J375" i="253" s="1"/>
  <c r="L375" i="253" s="1"/>
  <c r="BQ379" i="253"/>
  <c r="J379" i="253" s="1"/>
  <c r="L379" i="253" s="1"/>
  <c r="BQ383" i="253"/>
  <c r="J383" i="253" s="1"/>
  <c r="L383" i="253" s="1"/>
  <c r="BQ387" i="253"/>
  <c r="J387" i="253" s="1"/>
  <c r="L387" i="253" s="1"/>
  <c r="BQ391" i="253"/>
  <c r="J391" i="253" s="1"/>
  <c r="L391" i="253" s="1"/>
  <c r="BQ395" i="253"/>
  <c r="J395" i="253" s="1"/>
  <c r="L395" i="253" s="1"/>
  <c r="BQ399" i="253"/>
  <c r="J399" i="253" s="1"/>
  <c r="L399" i="253" s="1"/>
  <c r="BQ407" i="253"/>
  <c r="J407" i="253" s="1"/>
  <c r="L407" i="253" s="1"/>
  <c r="BQ336" i="253"/>
  <c r="J336" i="253" s="1"/>
  <c r="L336" i="253" s="1"/>
  <c r="BQ343" i="253"/>
  <c r="J343" i="253" s="1"/>
  <c r="L343" i="253" s="1"/>
  <c r="BQ350" i="253"/>
  <c r="J350" i="253" s="1"/>
  <c r="L350" i="253" s="1"/>
  <c r="BQ353" i="253"/>
  <c r="J353" i="253" s="1"/>
  <c r="L353" i="253" s="1"/>
  <c r="BQ360" i="253"/>
  <c r="J360" i="253" s="1"/>
  <c r="L360" i="253" s="1"/>
  <c r="BQ362" i="253"/>
  <c r="J362" i="253" s="1"/>
  <c r="L362" i="253" s="1"/>
  <c r="BQ369" i="253"/>
  <c r="J369" i="253" s="1"/>
  <c r="L369" i="253" s="1"/>
  <c r="BQ376" i="253"/>
  <c r="J376" i="253" s="1"/>
  <c r="L376" i="253" s="1"/>
  <c r="BQ378" i="253"/>
  <c r="J378" i="253" s="1"/>
  <c r="L378" i="253" s="1"/>
  <c r="BQ385" i="253"/>
  <c r="J385" i="253" s="1"/>
  <c r="L385" i="253" s="1"/>
  <c r="BQ392" i="253"/>
  <c r="J392" i="253" s="1"/>
  <c r="L392" i="253" s="1"/>
  <c r="BQ394" i="253"/>
  <c r="J394" i="253" s="1"/>
  <c r="L394" i="253" s="1"/>
  <c r="BQ408" i="253"/>
  <c r="J408" i="253" s="1"/>
  <c r="L408" i="253" s="1"/>
  <c r="BQ412" i="253"/>
  <c r="J412" i="253" s="1"/>
  <c r="L412" i="253" s="1"/>
  <c r="BQ420" i="253"/>
  <c r="J420" i="253" s="1"/>
  <c r="L420" i="253" s="1"/>
  <c r="BQ424" i="253"/>
  <c r="J424" i="253" s="1"/>
  <c r="L424" i="253" s="1"/>
  <c r="BQ428" i="253"/>
  <c r="J428" i="253" s="1"/>
  <c r="L428" i="253" s="1"/>
  <c r="BQ432" i="253"/>
  <c r="J432" i="253" s="1"/>
  <c r="L432" i="253" s="1"/>
  <c r="BQ436" i="253"/>
  <c r="J436" i="253" s="1"/>
  <c r="L436" i="253" s="1"/>
  <c r="BQ440" i="253"/>
  <c r="J440" i="253" s="1"/>
  <c r="L440" i="253" s="1"/>
  <c r="BQ444" i="253"/>
  <c r="J444" i="253" s="1"/>
  <c r="L444" i="253" s="1"/>
  <c r="BQ448" i="253"/>
  <c r="J448" i="253" s="1"/>
  <c r="L448" i="253" s="1"/>
  <c r="BQ452" i="253"/>
  <c r="J452" i="253" s="1"/>
  <c r="L452" i="253" s="1"/>
  <c r="BQ460" i="253"/>
  <c r="J460" i="253" s="1"/>
  <c r="L460" i="253" s="1"/>
  <c r="BQ468" i="253"/>
  <c r="J468" i="253" s="1"/>
  <c r="L468" i="253" s="1"/>
  <c r="BQ472" i="253"/>
  <c r="J472" i="253" s="1"/>
  <c r="L472" i="253" s="1"/>
  <c r="BQ476" i="253"/>
  <c r="J476" i="253" s="1"/>
  <c r="L476" i="253" s="1"/>
  <c r="BQ480" i="253"/>
  <c r="J480" i="253" s="1"/>
  <c r="L480" i="253" s="1"/>
  <c r="BQ484" i="253"/>
  <c r="J484" i="253" s="1"/>
  <c r="L484" i="253" s="1"/>
  <c r="BQ488" i="253"/>
  <c r="J488" i="253" s="1"/>
  <c r="L488" i="253" s="1"/>
  <c r="BQ492" i="253"/>
  <c r="J492" i="253" s="1"/>
  <c r="L492" i="253" s="1"/>
  <c r="BQ496" i="253"/>
  <c r="J496" i="253" s="1"/>
  <c r="L496" i="253" s="1"/>
  <c r="BQ500" i="253"/>
  <c r="J500" i="253" s="1"/>
  <c r="L500" i="253" s="1"/>
  <c r="BQ508" i="253"/>
  <c r="J508" i="253" s="1"/>
  <c r="L508" i="253" s="1"/>
  <c r="BQ512" i="253"/>
  <c r="J512" i="253" s="1"/>
  <c r="L512" i="253" s="1"/>
  <c r="BQ516" i="253"/>
  <c r="J516" i="253" s="1"/>
  <c r="L516" i="253" s="1"/>
  <c r="BQ520" i="253"/>
  <c r="J520" i="253" s="1"/>
  <c r="L520" i="253" s="1"/>
  <c r="BQ524" i="253"/>
  <c r="J524" i="253" s="1"/>
  <c r="L524" i="253" s="1"/>
  <c r="BQ528" i="253"/>
  <c r="J528" i="253" s="1"/>
  <c r="L528" i="253" s="1"/>
  <c r="BQ532" i="253"/>
  <c r="J532" i="253" s="1"/>
  <c r="L532" i="253" s="1"/>
  <c r="BQ536" i="253"/>
  <c r="J536" i="253" s="1"/>
  <c r="L536" i="253" s="1"/>
  <c r="BQ540" i="253"/>
  <c r="J540" i="253" s="1"/>
  <c r="L540" i="253" s="1"/>
  <c r="BQ544" i="253"/>
  <c r="J544" i="253" s="1"/>
  <c r="L544" i="253" s="1"/>
  <c r="BQ342" i="253"/>
  <c r="J342" i="253" s="1"/>
  <c r="L342" i="253" s="1"/>
  <c r="BQ344" i="253"/>
  <c r="J344" i="253" s="1"/>
  <c r="L344" i="253" s="1"/>
  <c r="BQ351" i="253"/>
  <c r="J351" i="253" s="1"/>
  <c r="L351" i="253" s="1"/>
  <c r="BQ354" i="253"/>
  <c r="J354" i="253" s="1"/>
  <c r="L354" i="253" s="1"/>
  <c r="BQ361" i="253"/>
  <c r="J361" i="253" s="1"/>
  <c r="L361" i="253" s="1"/>
  <c r="BQ368" i="253"/>
  <c r="J368" i="253" s="1"/>
  <c r="L368" i="253" s="1"/>
  <c r="BQ370" i="253"/>
  <c r="J370" i="253" s="1"/>
  <c r="L370" i="253" s="1"/>
  <c r="BQ384" i="253"/>
  <c r="J384" i="253" s="1"/>
  <c r="L384" i="253" s="1"/>
  <c r="BQ386" i="253"/>
  <c r="J386" i="253" s="1"/>
  <c r="L386" i="253" s="1"/>
  <c r="BQ393" i="253"/>
  <c r="J393" i="253" s="1"/>
  <c r="L393" i="253" s="1"/>
  <c r="BQ400" i="253"/>
  <c r="J400" i="253" s="1"/>
  <c r="L400" i="253" s="1"/>
  <c r="BQ410" i="253"/>
  <c r="J410" i="253" s="1"/>
  <c r="L410" i="253" s="1"/>
  <c r="BQ414" i="253"/>
  <c r="J414" i="253" s="1"/>
  <c r="L414" i="253" s="1"/>
  <c r="BQ418" i="253"/>
  <c r="J418" i="253" s="1"/>
  <c r="L418" i="253" s="1"/>
  <c r="BQ422" i="253"/>
  <c r="J422" i="253" s="1"/>
  <c r="L422" i="253" s="1"/>
  <c r="BQ426" i="253"/>
  <c r="J426" i="253" s="1"/>
  <c r="L426" i="253" s="1"/>
  <c r="BQ430" i="253"/>
  <c r="J430" i="253" s="1"/>
  <c r="L430" i="253" s="1"/>
  <c r="BQ434" i="253"/>
  <c r="J434" i="253" s="1"/>
  <c r="L434" i="253" s="1"/>
  <c r="BQ438" i="253"/>
  <c r="J438" i="253" s="1"/>
  <c r="L438" i="253" s="1"/>
  <c r="BQ442" i="253"/>
  <c r="J442" i="253" s="1"/>
  <c r="L442" i="253" s="1"/>
  <c r="BQ446" i="253"/>
  <c r="J446" i="253" s="1"/>
  <c r="L446" i="253" s="1"/>
  <c r="BQ450" i="253"/>
  <c r="J450" i="253" s="1"/>
  <c r="L450" i="253" s="1"/>
  <c r="BQ454" i="253"/>
  <c r="J454" i="253" s="1"/>
  <c r="L454" i="253" s="1"/>
  <c r="BQ458" i="253"/>
  <c r="J458" i="253" s="1"/>
  <c r="L458" i="253" s="1"/>
  <c r="BQ462" i="253"/>
  <c r="J462" i="253" s="1"/>
  <c r="L462" i="253" s="1"/>
  <c r="BQ470" i="253"/>
  <c r="J470" i="253" s="1"/>
  <c r="L470" i="253" s="1"/>
  <c r="BQ474" i="253"/>
  <c r="J474" i="253" s="1"/>
  <c r="L474" i="253" s="1"/>
  <c r="BQ478" i="253"/>
  <c r="J478" i="253" s="1"/>
  <c r="L478" i="253" s="1"/>
  <c r="BQ482" i="253"/>
  <c r="J482" i="253" s="1"/>
  <c r="L482" i="253" s="1"/>
  <c r="BQ490" i="253"/>
  <c r="J490" i="253" s="1"/>
  <c r="L490" i="253" s="1"/>
  <c r="BQ494" i="253"/>
  <c r="J494" i="253" s="1"/>
  <c r="L494" i="253" s="1"/>
  <c r="BQ498" i="253"/>
  <c r="J498" i="253" s="1"/>
  <c r="L498" i="253" s="1"/>
  <c r="BQ502" i="253"/>
  <c r="J502" i="253" s="1"/>
  <c r="L502" i="253" s="1"/>
  <c r="BQ506" i="253"/>
  <c r="J506" i="253" s="1"/>
  <c r="L506" i="253" s="1"/>
  <c r="BQ510" i="253"/>
  <c r="J510" i="253" s="1"/>
  <c r="L510" i="253" s="1"/>
  <c r="BQ514" i="253"/>
  <c r="J514" i="253" s="1"/>
  <c r="L514" i="253" s="1"/>
  <c r="BQ518" i="253"/>
  <c r="J518" i="253" s="1"/>
  <c r="L518" i="253" s="1"/>
  <c r="BQ522" i="253"/>
  <c r="J522" i="253" s="1"/>
  <c r="L522" i="253" s="1"/>
  <c r="BQ526" i="253"/>
  <c r="J526" i="253" s="1"/>
  <c r="L526" i="253" s="1"/>
  <c r="BQ530" i="253"/>
  <c r="J530" i="253" s="1"/>
  <c r="L530" i="253" s="1"/>
  <c r="BQ534" i="253"/>
  <c r="J534" i="253" s="1"/>
  <c r="L534" i="253" s="1"/>
  <c r="BQ538" i="253"/>
  <c r="J538" i="253" s="1"/>
  <c r="L538" i="253" s="1"/>
  <c r="BQ542" i="253"/>
  <c r="J542" i="253" s="1"/>
  <c r="L542" i="253" s="1"/>
  <c r="BQ338" i="253"/>
  <c r="J338" i="253" s="1"/>
  <c r="L338" i="253" s="1"/>
  <c r="BQ366" i="253"/>
  <c r="J366" i="253" s="1"/>
  <c r="L366" i="253" s="1"/>
  <c r="BQ373" i="253"/>
  <c r="J373" i="253" s="1"/>
  <c r="L373" i="253" s="1"/>
  <c r="BQ380" i="253"/>
  <c r="J380" i="253" s="1"/>
  <c r="L380" i="253" s="1"/>
  <c r="BQ398" i="253"/>
  <c r="J398" i="253" s="1"/>
  <c r="L398" i="253" s="1"/>
  <c r="BQ405" i="253"/>
  <c r="J405" i="253" s="1"/>
  <c r="L405" i="253" s="1"/>
  <c r="BQ411" i="253"/>
  <c r="J411" i="253" s="1"/>
  <c r="L411" i="253" s="1"/>
  <c r="BQ419" i="253"/>
  <c r="J419" i="253" s="1"/>
  <c r="L419" i="253" s="1"/>
  <c r="BQ427" i="253"/>
  <c r="J427" i="253" s="1"/>
  <c r="L427" i="253" s="1"/>
  <c r="BQ435" i="253"/>
  <c r="J435" i="253" s="1"/>
  <c r="L435" i="253" s="1"/>
  <c r="BQ443" i="253"/>
  <c r="J443" i="253" s="1"/>
  <c r="L443" i="253" s="1"/>
  <c r="BQ451" i="253"/>
  <c r="J451" i="253" s="1"/>
  <c r="L451" i="253" s="1"/>
  <c r="BQ459" i="253"/>
  <c r="J459" i="253" s="1"/>
  <c r="L459" i="253" s="1"/>
  <c r="BQ475" i="253"/>
  <c r="J475" i="253" s="1"/>
  <c r="L475" i="253" s="1"/>
  <c r="BQ483" i="253"/>
  <c r="J483" i="253" s="1"/>
  <c r="L483" i="253" s="1"/>
  <c r="BQ491" i="253"/>
  <c r="J491" i="253" s="1"/>
  <c r="L491" i="253" s="1"/>
  <c r="BQ499" i="253"/>
  <c r="J499" i="253" s="1"/>
  <c r="L499" i="253" s="1"/>
  <c r="BQ515" i="253"/>
  <c r="J515" i="253" s="1"/>
  <c r="L515" i="253" s="1"/>
  <c r="BQ523" i="253"/>
  <c r="J523" i="253" s="1"/>
  <c r="L523" i="253" s="1"/>
  <c r="BQ531" i="253"/>
  <c r="J531" i="253" s="1"/>
  <c r="L531" i="253" s="1"/>
  <c r="BQ539" i="253"/>
  <c r="J539" i="253" s="1"/>
  <c r="L539" i="253" s="1"/>
  <c r="BQ339" i="253"/>
  <c r="J339" i="253" s="1"/>
  <c r="L339" i="253" s="1"/>
  <c r="BQ346" i="253"/>
  <c r="J346" i="253" s="1"/>
  <c r="L346" i="253" s="1"/>
  <c r="BQ356" i="253"/>
  <c r="J356" i="253" s="1"/>
  <c r="L356" i="253" s="1"/>
  <c r="BQ374" i="253"/>
  <c r="J374" i="253" s="1"/>
  <c r="L374" i="253" s="1"/>
  <c r="BQ381" i="253"/>
  <c r="J381" i="253" s="1"/>
  <c r="L381" i="253" s="1"/>
  <c r="BQ388" i="253"/>
  <c r="J388" i="253" s="1"/>
  <c r="L388" i="253" s="1"/>
  <c r="BQ406" i="253"/>
  <c r="J406" i="253" s="1"/>
  <c r="L406" i="253" s="1"/>
  <c r="BQ409" i="253"/>
  <c r="J409" i="253" s="1"/>
  <c r="L409" i="253" s="1"/>
  <c r="BQ425" i="253"/>
  <c r="J425" i="253" s="1"/>
  <c r="L425" i="253" s="1"/>
  <c r="BQ433" i="253"/>
  <c r="J433" i="253" s="1"/>
  <c r="L433" i="253" s="1"/>
  <c r="BQ449" i="253"/>
  <c r="J449" i="253" s="1"/>
  <c r="L449" i="253" s="1"/>
  <c r="BQ457" i="253"/>
  <c r="J457" i="253" s="1"/>
  <c r="L457" i="253" s="1"/>
  <c r="BQ465" i="253"/>
  <c r="J465" i="253" s="1"/>
  <c r="L465" i="253" s="1"/>
  <c r="BQ473" i="253"/>
  <c r="J473" i="253" s="1"/>
  <c r="L473" i="253" s="1"/>
  <c r="BQ481" i="253"/>
  <c r="J481" i="253" s="1"/>
  <c r="L481" i="253" s="1"/>
  <c r="BQ489" i="253"/>
  <c r="J489" i="253" s="1"/>
  <c r="L489" i="253" s="1"/>
  <c r="BQ497" i="253"/>
  <c r="J497" i="253" s="1"/>
  <c r="L497" i="253" s="1"/>
  <c r="BQ505" i="253"/>
  <c r="J505" i="253" s="1"/>
  <c r="L505" i="253" s="1"/>
  <c r="BQ513" i="253"/>
  <c r="J513" i="253" s="1"/>
  <c r="L513" i="253" s="1"/>
  <c r="BQ521" i="253"/>
  <c r="J521" i="253" s="1"/>
  <c r="L521" i="253" s="1"/>
  <c r="BQ529" i="253"/>
  <c r="J529" i="253" s="1"/>
  <c r="L529" i="253" s="1"/>
  <c r="BQ537" i="253"/>
  <c r="J537" i="253" s="1"/>
  <c r="L537" i="253" s="1"/>
  <c r="BQ545" i="253"/>
  <c r="J545" i="253" s="1"/>
  <c r="L545" i="253" s="1"/>
  <c r="BQ340" i="253"/>
  <c r="J340" i="253" s="1"/>
  <c r="L340" i="253" s="1"/>
  <c r="BQ347" i="253"/>
  <c r="J347" i="253" s="1"/>
  <c r="L347" i="253" s="1"/>
  <c r="BQ357" i="253"/>
  <c r="J357" i="253" s="1"/>
  <c r="L357" i="253" s="1"/>
  <c r="BQ364" i="253"/>
  <c r="J364" i="253" s="1"/>
  <c r="L364" i="253" s="1"/>
  <c r="BQ382" i="253"/>
  <c r="J382" i="253" s="1"/>
  <c r="L382" i="253" s="1"/>
  <c r="BQ389" i="253"/>
  <c r="J389" i="253" s="1"/>
  <c r="L389" i="253" s="1"/>
  <c r="BQ396" i="253"/>
  <c r="J396" i="253" s="1"/>
  <c r="L396" i="253" s="1"/>
  <c r="BQ423" i="253"/>
  <c r="J423" i="253" s="1"/>
  <c r="L423" i="253" s="1"/>
  <c r="BQ431" i="253"/>
  <c r="J431" i="253" s="1"/>
  <c r="L431" i="253" s="1"/>
  <c r="BQ439" i="253"/>
  <c r="J439" i="253" s="1"/>
  <c r="L439" i="253" s="1"/>
  <c r="BQ447" i="253"/>
  <c r="J447" i="253" s="1"/>
  <c r="L447" i="253" s="1"/>
  <c r="BQ471" i="253"/>
  <c r="J471" i="253" s="1"/>
  <c r="L471" i="253" s="1"/>
  <c r="BQ479" i="253"/>
  <c r="J479" i="253" s="1"/>
  <c r="L479" i="253" s="1"/>
  <c r="BQ495" i="253"/>
  <c r="J495" i="253" s="1"/>
  <c r="L495" i="253" s="1"/>
  <c r="BQ511" i="253"/>
  <c r="J511" i="253" s="1"/>
  <c r="L511" i="253" s="1"/>
  <c r="BQ527" i="253"/>
  <c r="J527" i="253" s="1"/>
  <c r="L527" i="253" s="1"/>
  <c r="BQ535" i="253"/>
  <c r="J535" i="253" s="1"/>
  <c r="L535" i="253" s="1"/>
  <c r="BQ543" i="253"/>
  <c r="J543" i="253" s="1"/>
  <c r="L543" i="253" s="1"/>
  <c r="BQ348" i="253"/>
  <c r="J348" i="253" s="1"/>
  <c r="L348" i="253" s="1"/>
  <c r="BQ358" i="253"/>
  <c r="J358" i="253" s="1"/>
  <c r="L358" i="253" s="1"/>
  <c r="BQ365" i="253"/>
  <c r="J365" i="253" s="1"/>
  <c r="L365" i="253" s="1"/>
  <c r="BQ372" i="253"/>
  <c r="J372" i="253" s="1"/>
  <c r="L372" i="253" s="1"/>
  <c r="BQ390" i="253"/>
  <c r="J390" i="253" s="1"/>
  <c r="L390" i="253" s="1"/>
  <c r="BQ397" i="253"/>
  <c r="J397" i="253" s="1"/>
  <c r="L397" i="253" s="1"/>
  <c r="BQ404" i="253"/>
  <c r="J404" i="253" s="1"/>
  <c r="L404" i="253" s="1"/>
  <c r="BQ413" i="253"/>
  <c r="J413" i="253" s="1"/>
  <c r="L413" i="253" s="1"/>
  <c r="BQ421" i="253"/>
  <c r="J421" i="253" s="1"/>
  <c r="L421" i="253" s="1"/>
  <c r="BQ429" i="253"/>
  <c r="J429" i="253" s="1"/>
  <c r="L429" i="253" s="1"/>
  <c r="BQ437" i="253"/>
  <c r="J437" i="253" s="1"/>
  <c r="L437" i="253" s="1"/>
  <c r="BQ445" i="253"/>
  <c r="J445" i="253" s="1"/>
  <c r="L445" i="253" s="1"/>
  <c r="BQ453" i="253"/>
  <c r="J453" i="253" s="1"/>
  <c r="L453" i="253" s="1"/>
  <c r="BQ461" i="253"/>
  <c r="J461" i="253" s="1"/>
  <c r="L461" i="253" s="1"/>
  <c r="BQ469" i="253"/>
  <c r="J469" i="253" s="1"/>
  <c r="L469" i="253" s="1"/>
  <c r="BQ477" i="253"/>
  <c r="J477" i="253" s="1"/>
  <c r="L477" i="253" s="1"/>
  <c r="BQ485" i="253"/>
  <c r="J485" i="253" s="1"/>
  <c r="L485" i="253" s="1"/>
  <c r="BQ493" i="253"/>
  <c r="J493" i="253" s="1"/>
  <c r="L493" i="253" s="1"/>
  <c r="BQ501" i="253"/>
  <c r="J501" i="253" s="1"/>
  <c r="L501" i="253" s="1"/>
  <c r="BQ509" i="253"/>
  <c r="J509" i="253" s="1"/>
  <c r="L509" i="253" s="1"/>
  <c r="BQ517" i="253"/>
  <c r="J517" i="253" s="1"/>
  <c r="L517" i="253" s="1"/>
  <c r="BQ525" i="253"/>
  <c r="J525" i="253" s="1"/>
  <c r="L525" i="253" s="1"/>
  <c r="BQ533" i="253"/>
  <c r="J533" i="253" s="1"/>
  <c r="L533" i="253" s="1"/>
  <c r="BQ541" i="253"/>
  <c r="J541" i="253" s="1"/>
  <c r="L541" i="253" s="1"/>
  <c r="BQ133" i="253"/>
  <c r="J133" i="253" s="1"/>
  <c r="L133" i="253" s="1"/>
  <c r="BQ141" i="253"/>
  <c r="J141" i="253" s="1"/>
  <c r="L141" i="253" s="1"/>
  <c r="BQ147" i="253"/>
  <c r="J147" i="253" s="1"/>
  <c r="L147" i="253" s="1"/>
  <c r="BQ153" i="253"/>
  <c r="J153" i="253" s="1"/>
  <c r="L153" i="253" s="1"/>
  <c r="BQ156" i="253"/>
  <c r="J156" i="253" s="1"/>
  <c r="L156" i="253" s="1"/>
  <c r="BQ157" i="253"/>
  <c r="J157" i="253" s="1"/>
  <c r="L157" i="253" s="1"/>
  <c r="BQ160" i="253"/>
  <c r="J160" i="253" s="1"/>
  <c r="L160" i="253" s="1"/>
  <c r="BQ164" i="253"/>
  <c r="J164" i="253" s="1"/>
  <c r="L164" i="253" s="1"/>
  <c r="BQ172" i="253"/>
  <c r="J172" i="253" s="1"/>
  <c r="L172" i="253" s="1"/>
  <c r="BQ175" i="253"/>
  <c r="J175" i="253" s="1"/>
  <c r="L175" i="253" s="1"/>
  <c r="BQ177" i="253"/>
  <c r="J177" i="253" s="1"/>
  <c r="L177" i="253" s="1"/>
  <c r="BQ178" i="253"/>
  <c r="J178" i="253" s="1"/>
  <c r="L178" i="253" s="1"/>
  <c r="BQ182" i="253"/>
  <c r="J182" i="253" s="1"/>
  <c r="L182" i="253" s="1"/>
  <c r="BQ193" i="253"/>
  <c r="J193" i="253" s="1"/>
  <c r="L193" i="253" s="1"/>
  <c r="BQ205" i="253"/>
  <c r="J205" i="253" s="1"/>
  <c r="L205" i="253" s="1"/>
  <c r="BQ206" i="253"/>
  <c r="J206" i="253" s="1"/>
  <c r="L206" i="253" s="1"/>
  <c r="BQ210" i="253"/>
  <c r="J210" i="253" s="1"/>
  <c r="L210" i="253" s="1"/>
  <c r="BQ219" i="253"/>
  <c r="J219" i="253" s="1"/>
  <c r="L219" i="253" s="1"/>
  <c r="BQ226" i="253"/>
  <c r="J226" i="253" s="1"/>
  <c r="L226" i="253" s="1"/>
  <c r="BQ241" i="253"/>
  <c r="J241" i="253" s="1"/>
  <c r="L241" i="253" s="1"/>
  <c r="BQ248" i="253"/>
  <c r="J248" i="253" s="1"/>
  <c r="L248" i="253" s="1"/>
  <c r="BQ260" i="253"/>
  <c r="J260" i="253" s="1"/>
  <c r="L260" i="253" s="1"/>
  <c r="BQ262" i="253"/>
  <c r="J262" i="253" s="1"/>
  <c r="L262" i="253" s="1"/>
  <c r="BQ268" i="253"/>
  <c r="J268" i="253" s="1"/>
  <c r="L268" i="253" s="1"/>
  <c r="BQ271" i="253"/>
  <c r="J271" i="253" s="1"/>
  <c r="L271" i="253" s="1"/>
  <c r="BQ403" i="253"/>
  <c r="J403" i="253" s="1"/>
  <c r="L403" i="253" s="1"/>
  <c r="BQ401" i="253"/>
  <c r="J401" i="253" s="1"/>
  <c r="L401" i="253" s="1"/>
  <c r="BQ416" i="253"/>
  <c r="J416" i="253" s="1"/>
  <c r="L416" i="253" s="1"/>
  <c r="BQ456" i="253"/>
  <c r="J456" i="253" s="1"/>
  <c r="L456" i="253" s="1"/>
  <c r="BQ464" i="253"/>
  <c r="J464" i="253" s="1"/>
  <c r="L464" i="253" s="1"/>
  <c r="BQ504" i="253"/>
  <c r="J504" i="253" s="1"/>
  <c r="L504" i="253" s="1"/>
  <c r="BQ352" i="253"/>
  <c r="J352" i="253" s="1"/>
  <c r="L352" i="253" s="1"/>
  <c r="BQ377" i="253"/>
  <c r="J377" i="253" s="1"/>
  <c r="L377" i="253" s="1"/>
  <c r="BQ402" i="253"/>
  <c r="J402" i="253" s="1"/>
  <c r="L402" i="253" s="1"/>
  <c r="BQ466" i="253"/>
  <c r="J466" i="253" s="1"/>
  <c r="L466" i="253" s="1"/>
  <c r="BQ486" i="253"/>
  <c r="J486" i="253" s="1"/>
  <c r="L486" i="253" s="1"/>
  <c r="BQ467" i="253"/>
  <c r="J467" i="253" s="1"/>
  <c r="L467" i="253" s="1"/>
  <c r="BQ507" i="253"/>
  <c r="J507" i="253" s="1"/>
  <c r="L507" i="253" s="1"/>
  <c r="BQ417" i="253"/>
  <c r="J417" i="253" s="1"/>
  <c r="L417" i="253" s="1"/>
  <c r="BQ441" i="253"/>
  <c r="J441" i="253" s="1"/>
  <c r="L441" i="253" s="1"/>
  <c r="BQ415" i="253"/>
  <c r="J415" i="253" s="1"/>
  <c r="L415" i="253" s="1"/>
  <c r="BQ455" i="253"/>
  <c r="J455" i="253" s="1"/>
  <c r="L455" i="253" s="1"/>
  <c r="BQ463" i="253"/>
  <c r="J463" i="253" s="1"/>
  <c r="L463" i="253" s="1"/>
  <c r="BQ487" i="253"/>
  <c r="J487" i="253" s="1"/>
  <c r="L487" i="253" s="1"/>
  <c r="BQ503" i="253"/>
  <c r="J503" i="253" s="1"/>
  <c r="L503" i="253" s="1"/>
  <c r="BQ519" i="253"/>
  <c r="J519" i="253" s="1"/>
  <c r="L519" i="253" s="1"/>
  <c r="BS609" i="253"/>
  <c r="K609" i="253" s="1"/>
  <c r="M609" i="253" s="1"/>
  <c r="BS613" i="253"/>
  <c r="K613" i="253" s="1"/>
  <c r="M613" i="253" s="1"/>
  <c r="BS621" i="253"/>
  <c r="K621" i="253" s="1"/>
  <c r="M621" i="253" s="1"/>
  <c r="BS633" i="253"/>
  <c r="K633" i="253" s="1"/>
  <c r="M633" i="253" s="1"/>
  <c r="BS637" i="253"/>
  <c r="K637" i="253" s="1"/>
  <c r="M637" i="253" s="1"/>
  <c r="BS645" i="253"/>
  <c r="K645" i="253" s="1"/>
  <c r="M645" i="253" s="1"/>
  <c r="BS657" i="253"/>
  <c r="K657" i="253" s="1"/>
  <c r="M657" i="253" s="1"/>
  <c r="BS665" i="253"/>
  <c r="K665" i="253" s="1"/>
  <c r="M665" i="253" s="1"/>
  <c r="BS596" i="253"/>
  <c r="K596" i="253" s="1"/>
  <c r="M596" i="253" s="1"/>
  <c r="BS600" i="253"/>
  <c r="K600" i="253" s="1"/>
  <c r="M600" i="253" s="1"/>
  <c r="BS604" i="253"/>
  <c r="K604" i="253" s="1"/>
  <c r="M604" i="253" s="1"/>
  <c r="BS608" i="253"/>
  <c r="K608" i="253" s="1"/>
  <c r="M608" i="253" s="1"/>
  <c r="BS612" i="253"/>
  <c r="K612" i="253" s="1"/>
  <c r="M612" i="253" s="1"/>
  <c r="BS624" i="253"/>
  <c r="K624" i="253" s="1"/>
  <c r="M624" i="253" s="1"/>
  <c r="BS628" i="253"/>
  <c r="K628" i="253" s="1"/>
  <c r="M628" i="253" s="1"/>
  <c r="BS636" i="253"/>
  <c r="K636" i="253" s="1"/>
  <c r="M636" i="253" s="1"/>
  <c r="BS640" i="253"/>
  <c r="K640" i="253" s="1"/>
  <c r="M640" i="253" s="1"/>
  <c r="BS652" i="253"/>
  <c r="K652" i="253" s="1"/>
  <c r="M652" i="253" s="1"/>
  <c r="BS660" i="253"/>
  <c r="K660" i="253" s="1"/>
  <c r="M660" i="253" s="1"/>
  <c r="BS602" i="253"/>
  <c r="K602" i="253" s="1"/>
  <c r="M602" i="253" s="1"/>
  <c r="BS618" i="253"/>
  <c r="K618" i="253" s="1"/>
  <c r="M618" i="253" s="1"/>
  <c r="BS626" i="253"/>
  <c r="K626" i="253" s="1"/>
  <c r="M626" i="253" s="1"/>
  <c r="BS642" i="253"/>
  <c r="K642" i="253" s="1"/>
  <c r="M642" i="253" s="1"/>
  <c r="BS650" i="253"/>
  <c r="K650" i="253" s="1"/>
  <c r="M650" i="253" s="1"/>
  <c r="BS619" i="253"/>
  <c r="K619" i="253" s="1"/>
  <c r="M619" i="253" s="1"/>
  <c r="BS643" i="253"/>
  <c r="K643" i="253" s="1"/>
  <c r="M643" i="253" s="1"/>
  <c r="BS667" i="253"/>
  <c r="K667" i="253" s="1"/>
  <c r="M667" i="253" s="1"/>
  <c r="BS598" i="253"/>
  <c r="K598" i="253" s="1"/>
  <c r="M598" i="253" s="1"/>
  <c r="BS606" i="253"/>
  <c r="K606" i="253" s="1"/>
  <c r="M606" i="253" s="1"/>
  <c r="BS630" i="253"/>
  <c r="K630" i="253" s="1"/>
  <c r="M630" i="253" s="1"/>
  <c r="BS654" i="253"/>
  <c r="K654" i="253" s="1"/>
  <c r="M654" i="253" s="1"/>
  <c r="BS615" i="253"/>
  <c r="K615" i="253" s="1"/>
  <c r="M615" i="253" s="1"/>
  <c r="BS631" i="253"/>
  <c r="K631" i="253" s="1"/>
  <c r="M631" i="253" s="1"/>
  <c r="BS647" i="253"/>
  <c r="K647" i="253" s="1"/>
  <c r="M647" i="253" s="1"/>
  <c r="BS655" i="253"/>
  <c r="K655" i="253" s="1"/>
  <c r="M655" i="253" s="1"/>
  <c r="BS15" i="253"/>
  <c r="K15" i="253" s="1"/>
  <c r="M15" i="253" s="1"/>
  <c r="BS27" i="253"/>
  <c r="K27" i="253" s="1"/>
  <c r="M27" i="253" s="1"/>
  <c r="BS22" i="253"/>
  <c r="K22" i="253" s="1"/>
  <c r="M22" i="253" s="1"/>
  <c r="BS42" i="253"/>
  <c r="K42" i="253" s="1"/>
  <c r="M42" i="253" s="1"/>
  <c r="BS34" i="253"/>
  <c r="K34" i="253" s="1"/>
  <c r="M34" i="253" s="1"/>
  <c r="BS39" i="253"/>
  <c r="K39" i="253" s="1"/>
  <c r="M39" i="253" s="1"/>
  <c r="BS47" i="253"/>
  <c r="K47" i="253" s="1"/>
  <c r="M47" i="253" s="1"/>
  <c r="BS584" i="253"/>
  <c r="K584" i="253" s="1"/>
  <c r="M584" i="253" s="1"/>
  <c r="BS588" i="253"/>
  <c r="K588" i="253" s="1"/>
  <c r="M588" i="253" s="1"/>
  <c r="BS592" i="253"/>
  <c r="K592" i="253" s="1"/>
  <c r="M592" i="253" s="1"/>
  <c r="BS583" i="253"/>
  <c r="K583" i="253" s="1"/>
  <c r="M583" i="253" s="1"/>
  <c r="BS587" i="253"/>
  <c r="K587" i="253" s="1"/>
  <c r="M587" i="253" s="1"/>
  <c r="BS591" i="253"/>
  <c r="K591" i="253" s="1"/>
  <c r="M591" i="253" s="1"/>
  <c r="BS52" i="253"/>
  <c r="K52" i="253" s="1"/>
  <c r="M52" i="253" s="1"/>
  <c r="BS56" i="253"/>
  <c r="K56" i="253" s="1"/>
  <c r="M56" i="253" s="1"/>
  <c r="BS60" i="253"/>
  <c r="K60" i="253" s="1"/>
  <c r="M60" i="253" s="1"/>
  <c r="BS64" i="253"/>
  <c r="K64" i="253" s="1"/>
  <c r="M64" i="253" s="1"/>
  <c r="BS68" i="253"/>
  <c r="K68" i="253" s="1"/>
  <c r="M68" i="253" s="1"/>
  <c r="BS72" i="253"/>
  <c r="K72" i="253" s="1"/>
  <c r="M72" i="253" s="1"/>
  <c r="BS76" i="253"/>
  <c r="K76" i="253" s="1"/>
  <c r="M76" i="253" s="1"/>
  <c r="BS80" i="253"/>
  <c r="K80" i="253" s="1"/>
  <c r="M80" i="253" s="1"/>
  <c r="BS84" i="253"/>
  <c r="K84" i="253" s="1"/>
  <c r="M84" i="253" s="1"/>
  <c r="BS88" i="253"/>
  <c r="K88" i="253" s="1"/>
  <c r="M88" i="253" s="1"/>
  <c r="BS92" i="253"/>
  <c r="K92" i="253" s="1"/>
  <c r="M92" i="253" s="1"/>
  <c r="BS96" i="253"/>
  <c r="K96" i="253" s="1"/>
  <c r="M96" i="253" s="1"/>
  <c r="BS100" i="253"/>
  <c r="K100" i="253" s="1"/>
  <c r="M100" i="253" s="1"/>
  <c r="BS104" i="253"/>
  <c r="K104" i="253" s="1"/>
  <c r="M104" i="253" s="1"/>
  <c r="BS108" i="253"/>
  <c r="K108" i="253" s="1"/>
  <c r="M108" i="253" s="1"/>
  <c r="BS112" i="253"/>
  <c r="K112" i="253" s="1"/>
  <c r="M112" i="253" s="1"/>
  <c r="BS51" i="253"/>
  <c r="K51" i="253" s="1"/>
  <c r="M51" i="253" s="1"/>
  <c r="BS55" i="253"/>
  <c r="K55" i="253" s="1"/>
  <c r="M55" i="253" s="1"/>
  <c r="BS59" i="253"/>
  <c r="K59" i="253" s="1"/>
  <c r="M59" i="253" s="1"/>
  <c r="BS63" i="253"/>
  <c r="K63" i="253" s="1"/>
  <c r="M63" i="253" s="1"/>
  <c r="BS67" i="253"/>
  <c r="K67" i="253" s="1"/>
  <c r="M67" i="253" s="1"/>
  <c r="BS71" i="253"/>
  <c r="K71" i="253" s="1"/>
  <c r="M71" i="253" s="1"/>
  <c r="BS75" i="253"/>
  <c r="K75" i="253" s="1"/>
  <c r="M75" i="253" s="1"/>
  <c r="BS79" i="253"/>
  <c r="K79" i="253" s="1"/>
  <c r="M79" i="253" s="1"/>
  <c r="BS83" i="253"/>
  <c r="K83" i="253" s="1"/>
  <c r="M83" i="253" s="1"/>
  <c r="BS87" i="253"/>
  <c r="K87" i="253" s="1"/>
  <c r="M87" i="253" s="1"/>
  <c r="BS91" i="253"/>
  <c r="K91" i="253" s="1"/>
  <c r="M91" i="253" s="1"/>
  <c r="BS95" i="253"/>
  <c r="K95" i="253" s="1"/>
  <c r="M95" i="253" s="1"/>
  <c r="BS99" i="253"/>
  <c r="K99" i="253" s="1"/>
  <c r="M99" i="253" s="1"/>
  <c r="BS103" i="253"/>
  <c r="K103" i="253" s="1"/>
  <c r="M103" i="253" s="1"/>
  <c r="BS107" i="253"/>
  <c r="K107" i="253" s="1"/>
  <c r="M107" i="253" s="1"/>
  <c r="BS111" i="253"/>
  <c r="K111" i="253" s="1"/>
  <c r="M111" i="253" s="1"/>
  <c r="BS54" i="253"/>
  <c r="K54" i="253" s="1"/>
  <c r="M54" i="253" s="1"/>
  <c r="BS58" i="253"/>
  <c r="K58" i="253" s="1"/>
  <c r="M58" i="253" s="1"/>
  <c r="BS62" i="253"/>
  <c r="K62" i="253" s="1"/>
  <c r="M62" i="253" s="1"/>
  <c r="BS66" i="253"/>
  <c r="K66" i="253" s="1"/>
  <c r="M66" i="253" s="1"/>
  <c r="BS70" i="253"/>
  <c r="K70" i="253" s="1"/>
  <c r="M70" i="253" s="1"/>
  <c r="BS74" i="253"/>
  <c r="K74" i="253" s="1"/>
  <c r="M74" i="253" s="1"/>
  <c r="BS78" i="253"/>
  <c r="K78" i="253" s="1"/>
  <c r="M78" i="253" s="1"/>
  <c r="BS82" i="253"/>
  <c r="K82" i="253" s="1"/>
  <c r="M82" i="253" s="1"/>
  <c r="BS86" i="253"/>
  <c r="K86" i="253" s="1"/>
  <c r="M86" i="253" s="1"/>
  <c r="BS90" i="253"/>
  <c r="K90" i="253" s="1"/>
  <c r="M90" i="253" s="1"/>
  <c r="BS94" i="253"/>
  <c r="K94" i="253" s="1"/>
  <c r="M94" i="253" s="1"/>
  <c r="BS98" i="253"/>
  <c r="K98" i="253" s="1"/>
  <c r="M98" i="253" s="1"/>
  <c r="BS102" i="253"/>
  <c r="K102" i="253" s="1"/>
  <c r="M102" i="253" s="1"/>
  <c r="BS106" i="253"/>
  <c r="K106" i="253" s="1"/>
  <c r="M106" i="253" s="1"/>
  <c r="BS110" i="253"/>
  <c r="K110" i="253" s="1"/>
  <c r="M110" i="253" s="1"/>
  <c r="BS114" i="253"/>
  <c r="K114" i="253" s="1"/>
  <c r="M114" i="253" s="1"/>
  <c r="BS53" i="253"/>
  <c r="K53" i="253" s="1"/>
  <c r="M53" i="253" s="1"/>
  <c r="BS69" i="253"/>
  <c r="K69" i="253" s="1"/>
  <c r="M69" i="253" s="1"/>
  <c r="BS85" i="253"/>
  <c r="K85" i="253" s="1"/>
  <c r="M85" i="253" s="1"/>
  <c r="BS101" i="253"/>
  <c r="K101" i="253" s="1"/>
  <c r="M101" i="253" s="1"/>
  <c r="BS65" i="253"/>
  <c r="K65" i="253" s="1"/>
  <c r="M65" i="253" s="1"/>
  <c r="BS81" i="253"/>
  <c r="K81" i="253" s="1"/>
  <c r="M81" i="253" s="1"/>
  <c r="BS97" i="253"/>
  <c r="K97" i="253" s="1"/>
  <c r="M97" i="253" s="1"/>
  <c r="BS113" i="253"/>
  <c r="K113" i="253" s="1"/>
  <c r="M113" i="253" s="1"/>
  <c r="BS61" i="253"/>
  <c r="K61" i="253" s="1"/>
  <c r="M61" i="253" s="1"/>
  <c r="BS77" i="253"/>
  <c r="K77" i="253" s="1"/>
  <c r="M77" i="253" s="1"/>
  <c r="BS93" i="253"/>
  <c r="K93" i="253" s="1"/>
  <c r="M93" i="253" s="1"/>
  <c r="BS109" i="253"/>
  <c r="K109" i="253" s="1"/>
  <c r="M109" i="253" s="1"/>
  <c r="BS57" i="253"/>
  <c r="K57" i="253" s="1"/>
  <c r="M57" i="253" s="1"/>
  <c r="BS73" i="253"/>
  <c r="K73" i="253" s="1"/>
  <c r="M73" i="253" s="1"/>
  <c r="BS89" i="253"/>
  <c r="K89" i="253" s="1"/>
  <c r="M89" i="253" s="1"/>
  <c r="BS105" i="253"/>
  <c r="K105" i="253" s="1"/>
  <c r="M105" i="253" s="1"/>
  <c r="BQ125" i="253"/>
  <c r="J125" i="253" s="1"/>
  <c r="L125" i="253" s="1"/>
  <c r="BQ127" i="253"/>
  <c r="J127" i="253" s="1"/>
  <c r="L127" i="253" s="1"/>
  <c r="BQ136" i="253"/>
  <c r="J136" i="253" s="1"/>
  <c r="L136" i="253" s="1"/>
  <c r="BQ144" i="253"/>
  <c r="J144" i="253" s="1"/>
  <c r="L144" i="253" s="1"/>
  <c r="BQ150" i="253"/>
  <c r="J150" i="253" s="1"/>
  <c r="L150" i="253" s="1"/>
  <c r="BQ155" i="253"/>
  <c r="J155" i="253" s="1"/>
  <c r="L155" i="253" s="1"/>
  <c r="BQ169" i="253"/>
  <c r="J169" i="253" s="1"/>
  <c r="L169" i="253" s="1"/>
  <c r="BQ168" i="253"/>
  <c r="J168" i="253" s="1"/>
  <c r="L168" i="253" s="1"/>
  <c r="BQ185" i="253"/>
  <c r="J185" i="253" s="1"/>
  <c r="L185" i="253" s="1"/>
  <c r="BQ189" i="253"/>
  <c r="J189" i="253" s="1"/>
  <c r="L189" i="253" s="1"/>
  <c r="BQ198" i="253"/>
  <c r="J198" i="253" s="1"/>
  <c r="L198" i="253" s="1"/>
  <c r="BQ199" i="253"/>
  <c r="J199" i="253" s="1"/>
  <c r="L199" i="253" s="1"/>
  <c r="BQ215" i="253"/>
  <c r="J215" i="253" s="1"/>
  <c r="L215" i="253" s="1"/>
  <c r="BQ223" i="253"/>
  <c r="J223" i="253" s="1"/>
  <c r="L223" i="253" s="1"/>
  <c r="BQ231" i="253"/>
  <c r="J231" i="253" s="1"/>
  <c r="L231" i="253" s="1"/>
  <c r="BQ232" i="253"/>
  <c r="J232" i="253" s="1"/>
  <c r="L232" i="253" s="1"/>
  <c r="BQ234" i="253"/>
  <c r="J234" i="253" s="1"/>
  <c r="L234" i="253" s="1"/>
  <c r="BQ236" i="253"/>
  <c r="J236" i="253" s="1"/>
  <c r="L236" i="253" s="1"/>
  <c r="BQ264" i="253"/>
  <c r="J264" i="253" s="1"/>
  <c r="L264" i="253" s="1"/>
  <c r="BQ265" i="253"/>
  <c r="J265" i="253" s="1"/>
  <c r="L265" i="253" s="1"/>
  <c r="BQ267" i="253"/>
  <c r="J267" i="253" s="1"/>
  <c r="L267" i="253" s="1"/>
  <c r="BS279" i="253"/>
  <c r="K279" i="253" s="1"/>
  <c r="M279" i="253" s="1"/>
  <c r="BS301" i="253"/>
  <c r="K301" i="253" s="1"/>
  <c r="M301" i="253" s="1"/>
  <c r="BS305" i="253"/>
  <c r="K305" i="253" s="1"/>
  <c r="M305" i="253" s="1"/>
  <c r="BS321" i="253"/>
  <c r="K321" i="253" s="1"/>
  <c r="M321" i="253" s="1"/>
  <c r="BS303" i="253"/>
  <c r="K303" i="253" s="1"/>
  <c r="M303" i="253" s="1"/>
  <c r="BS332" i="253"/>
  <c r="K332" i="253" s="1"/>
  <c r="M332" i="253" s="1"/>
  <c r="BS284" i="253"/>
  <c r="K284" i="253" s="1"/>
  <c r="M284" i="253" s="1"/>
  <c r="BS562" i="253"/>
  <c r="K562" i="253" s="1"/>
  <c r="M562" i="253" s="1"/>
  <c r="BS561" i="253"/>
  <c r="K561" i="253" s="1"/>
  <c r="M561" i="253" s="1"/>
  <c r="BS565" i="253"/>
  <c r="K565" i="253" s="1"/>
  <c r="M565" i="253" s="1"/>
  <c r="BS569" i="253"/>
  <c r="K569" i="253" s="1"/>
  <c r="M569" i="253" s="1"/>
  <c r="BS573" i="253"/>
  <c r="K573" i="253" s="1"/>
  <c r="M573" i="253" s="1"/>
  <c r="BS577" i="253"/>
  <c r="K577" i="253" s="1"/>
  <c r="M577" i="253" s="1"/>
  <c r="BS567" i="253"/>
  <c r="K567" i="253" s="1"/>
  <c r="M567" i="253" s="1"/>
  <c r="BS574" i="253"/>
  <c r="K574" i="253" s="1"/>
  <c r="M574" i="253" s="1"/>
  <c r="BS576" i="253"/>
  <c r="K576" i="253" s="1"/>
  <c r="M576" i="253" s="1"/>
  <c r="BS564" i="253"/>
  <c r="K564" i="253" s="1"/>
  <c r="M564" i="253" s="1"/>
  <c r="BS571" i="253"/>
  <c r="K571" i="253" s="1"/>
  <c r="M571" i="253" s="1"/>
  <c r="BS578" i="253"/>
  <c r="K578" i="253" s="1"/>
  <c r="M578" i="253" s="1"/>
  <c r="BS580" i="253"/>
  <c r="K580" i="253" s="1"/>
  <c r="M580" i="253" s="1"/>
  <c r="BS566" i="253"/>
  <c r="K566" i="253" s="1"/>
  <c r="M566" i="253" s="1"/>
  <c r="BS568" i="253"/>
  <c r="K568" i="253" s="1"/>
  <c r="M568" i="253" s="1"/>
  <c r="BS575" i="253"/>
  <c r="K575" i="253" s="1"/>
  <c r="M575" i="253" s="1"/>
  <c r="BS572" i="253"/>
  <c r="K572" i="253" s="1"/>
  <c r="M572" i="253" s="1"/>
  <c r="BS579" i="253"/>
  <c r="K579" i="253" s="1"/>
  <c r="M579" i="253" s="1"/>
  <c r="BS563" i="253"/>
  <c r="K563" i="253" s="1"/>
  <c r="M563" i="253" s="1"/>
  <c r="BS570" i="253"/>
  <c r="K570" i="253" s="1"/>
  <c r="M570" i="253" s="1"/>
  <c r="BQ195" i="253"/>
  <c r="J195" i="253" s="1"/>
  <c r="L195" i="253" s="1"/>
  <c r="BQ213" i="253"/>
  <c r="J213" i="253" s="1"/>
  <c r="L213" i="253" s="1"/>
  <c r="BQ252" i="253"/>
  <c r="J252" i="253" s="1"/>
  <c r="L252" i="253" s="1"/>
  <c r="BQ284" i="253"/>
  <c r="J284" i="253" s="1"/>
  <c r="L284" i="253" s="1"/>
  <c r="BQ279" i="253"/>
  <c r="J279" i="253" s="1"/>
  <c r="L279" i="253" s="1"/>
  <c r="BQ332" i="253"/>
  <c r="J332" i="253" s="1"/>
  <c r="L332" i="253" s="1"/>
  <c r="BQ301" i="253"/>
  <c r="J301" i="253" s="1"/>
  <c r="L301" i="253" s="1"/>
  <c r="BQ303" i="253"/>
  <c r="J303" i="253" s="1"/>
  <c r="L303" i="253" s="1"/>
  <c r="BQ321" i="253"/>
  <c r="J321" i="253" s="1"/>
  <c r="L321" i="253" s="1"/>
  <c r="BQ305" i="253"/>
  <c r="J305" i="253" s="1"/>
  <c r="L305" i="253" s="1"/>
  <c r="BS125" i="253"/>
  <c r="K125" i="253" s="1"/>
  <c r="M125" i="253" s="1"/>
  <c r="BS127" i="253"/>
  <c r="K127" i="253" s="1"/>
  <c r="M127" i="253" s="1"/>
  <c r="BS136" i="253"/>
  <c r="K136" i="253" s="1"/>
  <c r="M136" i="253" s="1"/>
  <c r="BS144" i="253"/>
  <c r="K144" i="253" s="1"/>
  <c r="M144" i="253" s="1"/>
  <c r="BS150" i="253"/>
  <c r="K150" i="253" s="1"/>
  <c r="M150" i="253" s="1"/>
  <c r="BS155" i="253"/>
  <c r="K155" i="253" s="1"/>
  <c r="M155" i="253" s="1"/>
  <c r="BS168" i="253"/>
  <c r="K168" i="253" s="1"/>
  <c r="M168" i="253" s="1"/>
  <c r="BS169" i="253"/>
  <c r="K169" i="253" s="1"/>
  <c r="M169" i="253" s="1"/>
  <c r="BS185" i="253"/>
  <c r="K185" i="253" s="1"/>
  <c r="M185" i="253" s="1"/>
  <c r="BS189" i="253"/>
  <c r="K189" i="253" s="1"/>
  <c r="M189" i="253" s="1"/>
  <c r="BS198" i="253"/>
  <c r="K198" i="253" s="1"/>
  <c r="M198" i="253" s="1"/>
  <c r="BS199" i="253"/>
  <c r="K199" i="253" s="1"/>
  <c r="M199" i="253" s="1"/>
  <c r="BS215" i="253"/>
  <c r="K215" i="253" s="1"/>
  <c r="M215" i="253" s="1"/>
  <c r="BS223" i="253"/>
  <c r="K223" i="253" s="1"/>
  <c r="M223" i="253" s="1"/>
  <c r="BS231" i="253"/>
  <c r="K231" i="253" s="1"/>
  <c r="M231" i="253" s="1"/>
  <c r="BS232" i="253"/>
  <c r="K232" i="253" s="1"/>
  <c r="M232" i="253" s="1"/>
  <c r="BS234" i="253"/>
  <c r="K234" i="253" s="1"/>
  <c r="M234" i="253" s="1"/>
  <c r="BS236" i="253"/>
  <c r="K236" i="253" s="1"/>
  <c r="M236" i="253" s="1"/>
  <c r="BS264" i="253"/>
  <c r="K264" i="253" s="1"/>
  <c r="M264" i="253" s="1"/>
  <c r="BS265" i="253"/>
  <c r="K265" i="253" s="1"/>
  <c r="M265" i="253" s="1"/>
  <c r="BS267" i="253"/>
  <c r="K267" i="253" s="1"/>
  <c r="M267" i="253" s="1"/>
  <c r="BQ273" i="253"/>
  <c r="J273" i="253" s="1"/>
  <c r="L273" i="253" s="1"/>
  <c r="O23" i="255" l="1"/>
  <c r="O9" i="255"/>
  <c r="O28" i="255"/>
  <c r="O11" i="255"/>
  <c r="O22" i="255"/>
  <c r="O29" i="255"/>
  <c r="O17" i="255"/>
  <c r="O20" i="255"/>
  <c r="O15" i="255"/>
  <c r="O30" i="255"/>
  <c r="O12" i="255"/>
  <c r="O26" i="255"/>
  <c r="O10" i="255"/>
  <c r="O8" i="255"/>
  <c r="O7" i="255"/>
  <c r="O14" i="255"/>
  <c r="O13" i="255"/>
  <c r="O24" i="255"/>
  <c r="O21" i="255"/>
  <c r="O6" i="255"/>
  <c r="O19" i="255"/>
  <c r="O27" i="255"/>
  <c r="O5" i="255"/>
  <c r="O16" i="255"/>
  <c r="O18" i="255"/>
  <c r="O25" i="255"/>
  <c r="U12" i="255"/>
  <c r="U26" i="255"/>
  <c r="U6" i="255"/>
  <c r="U14" i="255"/>
  <c r="U20" i="255"/>
  <c r="U18" i="255"/>
  <c r="U29" i="255"/>
  <c r="U27" i="255"/>
  <c r="U11" i="255"/>
  <c r="U28" i="255"/>
  <c r="U24" i="255"/>
  <c r="U16" i="255"/>
  <c r="U21" i="255"/>
  <c r="U10" i="255"/>
  <c r="U8" i="255"/>
  <c r="U9" i="255"/>
  <c r="U23" i="255"/>
  <c r="U17" i="255"/>
  <c r="U13" i="255"/>
  <c r="U19" i="255"/>
  <c r="U25" i="255"/>
  <c r="U30" i="255"/>
  <c r="U15" i="255"/>
  <c r="U7" i="255"/>
  <c r="U5" i="255"/>
  <c r="U22" i="255"/>
</calcChain>
</file>

<file path=xl/comments1.xml><?xml version="1.0" encoding="utf-8"?>
<comments xmlns="http://schemas.openxmlformats.org/spreadsheetml/2006/main">
  <authors>
    <author>Martinez, Don</author>
  </authors>
  <commentList>
    <comment ref="Q26" author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Number of kits that were picked up by participants used in savings/TRC calculations.</t>
        </r>
      </text>
    </comment>
  </commentList>
</comments>
</file>

<file path=xl/comments2.xml><?xml version="1.0" encoding="utf-8"?>
<comments xmlns="http://schemas.openxmlformats.org/spreadsheetml/2006/main">
  <authors>
    <author>Joe Reilly</author>
  </authors>
  <commentList>
    <comment ref="K27" authorId="0">
      <text>
        <r>
          <rPr>
            <b/>
            <sz val="8"/>
            <color indexed="81"/>
            <rFont val="Tahoma"/>
            <family val="2"/>
          </rPr>
          <t>Joe Reilly:</t>
        </r>
        <r>
          <rPr>
            <sz val="8"/>
            <color indexed="81"/>
            <rFont val="Tahoma"/>
            <family val="2"/>
          </rPr>
          <t xml:space="preserve">
How many participants?</t>
        </r>
      </text>
    </comment>
    <comment ref="K32" authorId="0">
      <text>
        <r>
          <rPr>
            <b/>
            <sz val="8"/>
            <color indexed="81"/>
            <rFont val="Tahoma"/>
            <family val="2"/>
          </rPr>
          <t>Joe Reilly:</t>
        </r>
        <r>
          <rPr>
            <sz val="8"/>
            <color indexed="81"/>
            <rFont val="Tahoma"/>
            <family val="2"/>
          </rPr>
          <t xml:space="preserve">
How many participants?</t>
        </r>
      </text>
    </comment>
    <comment ref="K37" authorId="0">
      <text>
        <r>
          <rPr>
            <b/>
            <sz val="8"/>
            <color indexed="81"/>
            <rFont val="Tahoma"/>
            <family val="2"/>
          </rPr>
          <t>Joe Reilly:</t>
        </r>
        <r>
          <rPr>
            <sz val="8"/>
            <color indexed="81"/>
            <rFont val="Tahoma"/>
            <family val="2"/>
          </rPr>
          <t xml:space="preserve">
How many participants?</t>
        </r>
      </text>
    </comment>
    <comment ref="K38" authorId="0">
      <text>
        <r>
          <rPr>
            <b/>
            <sz val="8"/>
            <color indexed="81"/>
            <rFont val="Tahoma"/>
            <family val="2"/>
          </rPr>
          <t>Joe Reilly:</t>
        </r>
        <r>
          <rPr>
            <sz val="8"/>
            <color indexed="81"/>
            <rFont val="Tahoma"/>
            <family val="2"/>
          </rPr>
          <t xml:space="preserve">
How many participants?</t>
        </r>
      </text>
    </comment>
  </commentList>
</comments>
</file>

<file path=xl/comments3.xml><?xml version="1.0" encoding="utf-8"?>
<comments xmlns="http://schemas.openxmlformats.org/spreadsheetml/2006/main">
  <authors>
    <author>Martinez, Don</author>
  </authors>
  <commentList>
    <comment ref="H35" author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The $3,373.95 costs associated with the Hardware Store reachout are removed.  BHP will not claim savings or costs.</t>
        </r>
      </text>
    </comment>
    <comment ref="H39" author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The $3,984.63 was removed from the program to recognize the BHP costs of the home audit.  The 3rd party contractor completed at a cost of $484.12.  </t>
        </r>
      </text>
    </comment>
  </commentList>
</comments>
</file>

<file path=xl/sharedStrings.xml><?xml version="1.0" encoding="utf-8"?>
<sst xmlns="http://schemas.openxmlformats.org/spreadsheetml/2006/main" count="31196" uniqueCount="3428">
  <si>
    <t>Measure Life</t>
  </si>
  <si>
    <t>Residential</t>
  </si>
  <si>
    <t>Measure</t>
  </si>
  <si>
    <t>Sector</t>
  </si>
  <si>
    <t>TRC</t>
  </si>
  <si>
    <t>Program</t>
  </si>
  <si>
    <t>RIM</t>
  </si>
  <si>
    <t>Participation</t>
  </si>
  <si>
    <t>Key</t>
  </si>
  <si>
    <t>Non-incentives</t>
  </si>
  <si>
    <t>Incremental Costs</t>
  </si>
  <si>
    <t>Incentives</t>
  </si>
  <si>
    <t>kWh</t>
  </si>
  <si>
    <t>kW</t>
  </si>
  <si>
    <t>Units</t>
  </si>
  <si>
    <t>UCT</t>
  </si>
  <si>
    <t>PCT</t>
  </si>
  <si>
    <t>Description</t>
  </si>
  <si>
    <t>Section</t>
  </si>
  <si>
    <t>Inputs</t>
  </si>
  <si>
    <t>Analysis</t>
  </si>
  <si>
    <t>Worksheet</t>
  </si>
  <si>
    <t>Measure-level savings, lifetimes, incremental costs, and incentives.</t>
  </si>
  <si>
    <t>Variable</t>
  </si>
  <si>
    <t>space</t>
  </si>
  <si>
    <t>Value</t>
  </si>
  <si>
    <t>Unique measure key</t>
  </si>
  <si>
    <t>Unique program key</t>
  </si>
  <si>
    <t>All</t>
  </si>
  <si>
    <t>Measure Economics</t>
  </si>
  <si>
    <t>Cycle Start Year</t>
  </si>
  <si>
    <t>Model Start Year</t>
  </si>
  <si>
    <t>Model End Year</t>
  </si>
  <si>
    <t>Cycle End Year</t>
  </si>
  <si>
    <t>Max measure life</t>
  </si>
  <si>
    <t>Max measure life is greater than model forecast</t>
  </si>
  <si>
    <t>Error Check</t>
  </si>
  <si>
    <t>Metadata</t>
  </si>
  <si>
    <t>Measure line items</t>
  </si>
  <si>
    <t>Program line items</t>
  </si>
  <si>
    <t>Losses</t>
  </si>
  <si>
    <t>Forecast</t>
  </si>
  <si>
    <t>InModel</t>
  </si>
  <si>
    <t>All measures included in model</t>
  </si>
  <si>
    <t>Cycle years</t>
  </si>
  <si>
    <t>Model years</t>
  </si>
  <si>
    <t>End uses</t>
  </si>
  <si>
    <t>Discount Rate &amp; Cash Flows</t>
  </si>
  <si>
    <t>BENEFIT</t>
  </si>
  <si>
    <t>COST</t>
  </si>
  <si>
    <t>Lost Revenue, Electric</t>
  </si>
  <si>
    <t>Benefit-cost analysis.</t>
  </si>
  <si>
    <t>Measure Inputs</t>
  </si>
  <si>
    <t>Program Inputs</t>
  </si>
  <si>
    <t>Avoided Energy Cost, Electricity</t>
  </si>
  <si>
    <t>Rows</t>
  </si>
  <si>
    <t>Avoided costs, discount rates, line losses, retail rates, etc.</t>
  </si>
  <si>
    <t>Program Year</t>
  </si>
  <si>
    <t>Index</t>
  </si>
  <si>
    <t>Non-Incentives</t>
  </si>
  <si>
    <t>Net First Year Impacts</t>
  </si>
  <si>
    <t>Net Remaining Year Impacts</t>
  </si>
  <si>
    <t>Measure Index</t>
  </si>
  <si>
    <t>Label</t>
  </si>
  <si>
    <t>Program-level budgets and partcipation.</t>
  </si>
  <si>
    <t>Participants</t>
  </si>
  <si>
    <t>UniqueKey</t>
  </si>
  <si>
    <t>Unique Key</t>
  </si>
  <si>
    <t>Max Program Year</t>
  </si>
  <si>
    <t>Non-incentive Costs</t>
  </si>
  <si>
    <t>Existing Life</t>
  </si>
  <si>
    <t>Discount Factor</t>
  </si>
  <si>
    <t>Units / Participant</t>
  </si>
  <si>
    <t>Total Budget</t>
  </si>
  <si>
    <t>General Inputs</t>
  </si>
  <si>
    <t>Appendix</t>
  </si>
  <si>
    <t>Results</t>
  </si>
  <si>
    <t>Non-Incentives ($)</t>
  </si>
  <si>
    <t>Included?</t>
  </si>
  <si>
    <t>Include?</t>
  </si>
  <si>
    <t>Analysis Year</t>
  </si>
  <si>
    <t>Administration</t>
  </si>
  <si>
    <t>Non-Incentives Total</t>
  </si>
  <si>
    <t>Weatherization</t>
  </si>
  <si>
    <t>Unit Description</t>
  </si>
  <si>
    <t>HVAC</t>
  </si>
  <si>
    <t>Lighting</t>
  </si>
  <si>
    <t>Non-energy benefits ($/yr)</t>
  </si>
  <si>
    <t>Realization Rate</t>
  </si>
  <si>
    <t>Retail Rate Escalator</t>
  </si>
  <si>
    <t>NEBs</t>
  </si>
  <si>
    <t>Benefits Bonus Adder</t>
  </si>
  <si>
    <t>Future Replacement Cost</t>
  </si>
  <si>
    <t>Annual O&amp;M</t>
  </si>
  <si>
    <t>Bill Savings</t>
  </si>
  <si>
    <t>BCR</t>
  </si>
  <si>
    <t>NPV</t>
  </si>
  <si>
    <t>BCA</t>
  </si>
  <si>
    <t>Utility Cost Test</t>
  </si>
  <si>
    <t>Participant Cost Test</t>
  </si>
  <si>
    <t>Total Resource Cost Test</t>
  </si>
  <si>
    <t>Lifecycle Revenue Impact ($/kWh)</t>
  </si>
  <si>
    <t>Ratepayer Impact Test</t>
  </si>
  <si>
    <t>First Year</t>
  </si>
  <si>
    <t>Remaining Year</t>
  </si>
  <si>
    <t>Incremental cost per unit ($)</t>
  </si>
  <si>
    <t>Incentive per unit ($)</t>
  </si>
  <si>
    <t>Net-to-Gross</t>
  </si>
  <si>
    <t>Measure life (years)</t>
  </si>
  <si>
    <t>Remaining Life of Existing Unit (years)</t>
  </si>
  <si>
    <t>Future Replacement Cost ($)</t>
  </si>
  <si>
    <t>Avoided O&amp;M Cost ($/yr)</t>
  </si>
  <si>
    <t>RIM Costs</t>
  </si>
  <si>
    <t>RIM Benefits</t>
  </si>
  <si>
    <t>TRC Costs</t>
  </si>
  <si>
    <t>TRC Benefits</t>
  </si>
  <si>
    <t>PCT Costs</t>
  </si>
  <si>
    <t>PCT Benefits</t>
  </si>
  <si>
    <t>UCT Costs</t>
  </si>
  <si>
    <t>UCT Benefits</t>
  </si>
  <si>
    <t>Discounted Participant Payback (Years)</t>
  </si>
  <si>
    <t>Units per Measure</t>
  </si>
  <si>
    <t>Link to Algorithm</t>
  </si>
  <si>
    <t>Discount Rate</t>
  </si>
  <si>
    <t>LCOE ($/kWh)</t>
  </si>
  <si>
    <t>NTG (%)</t>
  </si>
  <si>
    <t>Realization Rate (%)</t>
  </si>
  <si>
    <t>Tables</t>
  </si>
  <si>
    <t>Retail Costs ($/kWh)</t>
  </si>
  <si>
    <t>Source Notes</t>
  </si>
  <si>
    <t>Measure Source Notes</t>
  </si>
  <si>
    <t>[Placeholder]</t>
  </si>
  <si>
    <t>Measure Cost</t>
  </si>
  <si>
    <t>Net Present Value</t>
  </si>
  <si>
    <t>Consumption, Electricity</t>
  </si>
  <si>
    <t>Demand, Electricity</t>
  </si>
  <si>
    <t>Consumption, Gas</t>
  </si>
  <si>
    <t>Demand, Gas</t>
  </si>
  <si>
    <t>Dth</t>
  </si>
  <si>
    <t>Source Link</t>
  </si>
  <si>
    <t>n/a</t>
  </si>
  <si>
    <t>End Use</t>
  </si>
  <si>
    <t>C&amp;I</t>
  </si>
  <si>
    <t>Residential Appliance Recycling</t>
  </si>
  <si>
    <t>Residential Audit</t>
  </si>
  <si>
    <t>Residential Lighting</t>
  </si>
  <si>
    <t>School Based Energy Education</t>
  </si>
  <si>
    <t>Whole House Efficiency</t>
  </si>
  <si>
    <t>Refrigerator Recycle</t>
  </si>
  <si>
    <t>Online Audit</t>
  </si>
  <si>
    <t>ENERGY STAR LED Fixture</t>
  </si>
  <si>
    <t>LED</t>
  </si>
  <si>
    <t>EE Kit/Education Materials</t>
  </si>
  <si>
    <t>Recommended Audit Measures</t>
  </si>
  <si>
    <t>Freezer Recycle</t>
  </si>
  <si>
    <t>Various</t>
  </si>
  <si>
    <t>Total Units, Actual</t>
  </si>
  <si>
    <t>Line Loss</t>
  </si>
  <si>
    <t>\\ameresco.com\d\aeg\Clients\Black Hills\Black Hills So Dakota\2015-16 DSM Planning\Draft\[Black Hills South Dakota PY2-3 (8.19.15).xlsx]</t>
  </si>
  <si>
    <t>Avoided Energy Cost ($/kWh)</t>
  </si>
  <si>
    <t>Avoided Demand Forecast ($/kW-year)</t>
  </si>
  <si>
    <t>Environmental Costs ($/kWh)</t>
  </si>
  <si>
    <t>Cross Marketing and Training</t>
  </si>
  <si>
    <t>General Administration</t>
  </si>
  <si>
    <t>Executive Summary</t>
  </si>
  <si>
    <t>Budget by Sector</t>
  </si>
  <si>
    <t>Goal</t>
  </si>
  <si>
    <t>Actual</t>
  </si>
  <si>
    <t>% Goal Achieved</t>
  </si>
  <si>
    <t>Non-Residential</t>
  </si>
  <si>
    <t>Cross Marketing &amp; Training</t>
  </si>
  <si>
    <t>Total</t>
  </si>
  <si>
    <t>Budget by Program</t>
  </si>
  <si>
    <t>Residential Programs</t>
  </si>
  <si>
    <t>C&amp;I Programs</t>
  </si>
  <si>
    <t>Energy Impacts by Sector</t>
  </si>
  <si>
    <t>Energy Impacts by Program</t>
  </si>
  <si>
    <t>Demand Impacts by Sector</t>
  </si>
  <si>
    <t>Demand Impacts by Program</t>
  </si>
  <si>
    <t>Cost-effectiveness Results</t>
  </si>
  <si>
    <t>SCT</t>
  </si>
  <si>
    <t>Summary</t>
  </si>
  <si>
    <t>Expenditures</t>
  </si>
  <si>
    <t>Energy Impacts (kWh)</t>
  </si>
  <si>
    <t>Demand Impacts (kW)</t>
  </si>
  <si>
    <t>Cost-Effectiveness</t>
  </si>
  <si>
    <t>Test</t>
  </si>
  <si>
    <t>C&amp;I Custom</t>
  </si>
  <si>
    <t>BLT</t>
  </si>
  <si>
    <t>Avoided Demand Cost, Electricity</t>
  </si>
  <si>
    <t>Avoided Environmental Cost</t>
  </si>
  <si>
    <t>Social Cost Test</t>
  </si>
  <si>
    <t>LED Linear Replacement Lamp (≤4ft)</t>
  </si>
  <si>
    <t>Energy Star LED Lamp (≤5W)</t>
  </si>
  <si>
    <t>LED Linear Replacement Lamp (5-8ft)</t>
  </si>
  <si>
    <t>Fixture Mount Occupancy</t>
  </si>
  <si>
    <t>Gross Impacts / Unit</t>
  </si>
  <si>
    <t>kEy</t>
  </si>
  <si>
    <t>Notes</t>
  </si>
  <si>
    <t>Year</t>
  </si>
  <si>
    <t>Total Portfolio</t>
  </si>
  <si>
    <t>ENERGY STAR Fixture</t>
  </si>
  <si>
    <t>Advanced Power Strip</t>
  </si>
  <si>
    <t>Appliance Recycling</t>
  </si>
  <si>
    <t>Recycle and Replace - ENERGY STAR Refrigerator</t>
  </si>
  <si>
    <t>High Efficiency HVAC</t>
  </si>
  <si>
    <t>Heat Pump SEER 15</t>
  </si>
  <si>
    <t>Early Retirement Heat Pump SEER 15</t>
  </si>
  <si>
    <t>Heat Pump SEER 15 Replace Electric Furnace</t>
  </si>
  <si>
    <t>CAC SEER 15</t>
  </si>
  <si>
    <t>Ductless Mini-Split AC SEER ≥19</t>
  </si>
  <si>
    <t>Ductless Mini-Split HP SEER ≥19</t>
  </si>
  <si>
    <t>Heat Pump Water Heater</t>
  </si>
  <si>
    <t>Electric Storage Water Heater EF 0.95</t>
  </si>
  <si>
    <t>Electric Storage Water Heater EF &gt;0.95</t>
  </si>
  <si>
    <t>Geothermal EER ≥21</t>
  </si>
  <si>
    <t>Early Retirement Geothermal EER ≥21</t>
  </si>
  <si>
    <t>Air Sealing (Electric Heat)</t>
  </si>
  <si>
    <t>Air Sealing (Gas Heat)</t>
  </si>
  <si>
    <t>Hot Water Pipe Insulation</t>
  </si>
  <si>
    <t>Water Heater Tank Wrap</t>
  </si>
  <si>
    <t>Residential Kit</t>
  </si>
  <si>
    <t>Faucet Aerator - Bathroom</t>
  </si>
  <si>
    <t>Low Flow Showerhead</t>
  </si>
  <si>
    <t>School-Based Education</t>
  </si>
  <si>
    <t xml:space="preserve"> Measures</t>
  </si>
  <si>
    <t>Air Sealing</t>
  </si>
  <si>
    <t>Water Heater Temperature Setback</t>
  </si>
  <si>
    <t>C&amp;I Prescriptive</t>
  </si>
  <si>
    <t>High Bay Fluorescent Fixture w/ HE Electronic Ballast (T5 4-6 lamp)</t>
  </si>
  <si>
    <t>High Bay Fluorescent Fixture w/ HE Electronic Ballast (T5 8-lamp)</t>
  </si>
  <si>
    <t>High Bay Fluorescent Fixture w/ HE Electronic Ballast (T5 10-lamp)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</si>
  <si>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</si>
  <si>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</si>
  <si>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</si>
  <si>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</si>
  <si>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</si>
  <si>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 xml:space="preserve">Low-Wattage T8 </t>
  </si>
  <si>
    <t>Ceramic Metal Halide Fixture (≤150W)</t>
  </si>
  <si>
    <t>Ceramic Metal Halide Fixture (150-250W)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</si>
  <si>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</si>
  <si>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</si>
  <si>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</si>
  <si>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</si>
  <si>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</si>
  <si>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(5-10W)</t>
  </si>
  <si>
    <t>Energy Star LED Lamp (&gt;10W)</t>
  </si>
  <si>
    <t>High Performance T8 (1-2 Lamp)</t>
  </si>
  <si>
    <t>High Performance T8 (3-4 Lamp)</t>
  </si>
  <si>
    <t>LED Parking Garage/Canopy (&lt;30W)</t>
  </si>
  <si>
    <t>LED Parking Garage/Canopy (30-75W)</t>
  </si>
  <si>
    <t>LED Parking Garage/Canopy (≥75W)</t>
  </si>
  <si>
    <t>Lighting Optimization - Remove Lamp from T8 System</t>
  </si>
  <si>
    <t>Lighting Optimization - Remove 2 Lamps from T8 System</t>
  </si>
  <si>
    <t>T8 (≤4 ft, 1-2 Lamp)</t>
  </si>
  <si>
    <t>T8 (≤4 ft, 3-4 Lamp)</t>
  </si>
  <si>
    <t>T8 (5-8 ft, 1-2 Lamp)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</si>
  <si>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</si>
  <si>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</si>
  <si>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</si>
  <si>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</si>
  <si>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Multi-CFL Fixture</t>
  </si>
  <si>
    <t>Indirect Fixture</t>
  </si>
  <si>
    <t>Ceiling Mount Occupancy</t>
  </si>
  <si>
    <t>Wall Mount Occupancy</t>
  </si>
  <si>
    <t>Fixture Mount Photo Sensor</t>
  </si>
  <si>
    <t>Exit Sign</t>
  </si>
  <si>
    <t>Split Package Heat Pump</t>
  </si>
  <si>
    <t>Single System Heat Pump</t>
  </si>
  <si>
    <t>Geothermal Heat Pump</t>
  </si>
  <si>
    <t>Motors</t>
  </si>
  <si>
    <t>ODC Motor</t>
  </si>
  <si>
    <t>TEFC Motor</t>
  </si>
  <si>
    <t>Remaining Life</t>
  </si>
  <si>
    <t>Total Annual Savings</t>
  </si>
  <si>
    <t>Ret. kWh</t>
  </si>
  <si>
    <t>Ret. kW</t>
  </si>
  <si>
    <t>Incremental Cost per Unit</t>
  </si>
  <si>
    <t>Future Avoided Cost</t>
  </si>
  <si>
    <t>Total Costs</t>
  </si>
  <si>
    <t>Admin</t>
  </si>
  <si>
    <t>Plan/Actual</t>
  </si>
  <si>
    <t>Plan</t>
  </si>
  <si>
    <t>Measures</t>
  </si>
  <si>
    <t>Water Heating</t>
  </si>
  <si>
    <t>First Year kWh</t>
  </si>
  <si>
    <t>First Year kW</t>
  </si>
  <si>
    <t>Remaining Year kWh</t>
  </si>
  <si>
    <t>Remaining Year kW</t>
  </si>
  <si>
    <t/>
  </si>
  <si>
    <t>Grand Total:</t>
  </si>
  <si>
    <t>Utility BHPSD Total:</t>
  </si>
  <si>
    <t>7CB762333F8E4A0E993C3DC248D09BAC</t>
  </si>
  <si>
    <t>Application Completed</t>
  </si>
  <si>
    <t>Single Family</t>
  </si>
  <si>
    <t>Whole House :- Utility Direct Costs</t>
  </si>
  <si>
    <t>57769</t>
  </si>
  <si>
    <t>SD</t>
  </si>
  <si>
    <t>PIEDMONT</t>
  </si>
  <si>
    <t>11469 PIEDMONT MEADOWS RD</t>
  </si>
  <si>
    <t>CROSSE</t>
  </si>
  <si>
    <t>MELANI</t>
  </si>
  <si>
    <t>3418864460</t>
  </si>
  <si>
    <t>BHHAPS1534761482</t>
  </si>
  <si>
    <t>6FFC39D3276F42129D71343B33EA4754</t>
  </si>
  <si>
    <t>Residential EE Kit</t>
  </si>
  <si>
    <t>726633E717BD4176927D082FB592D540</t>
  </si>
  <si>
    <t>57745</t>
  </si>
  <si>
    <t>HILL CITY</t>
  </si>
  <si>
    <t>12746 HAPPY TRAILS RD</t>
  </si>
  <si>
    <t>FRANKENFELD</t>
  </si>
  <si>
    <t>RUSSELL</t>
  </si>
  <si>
    <t>2697985323</t>
  </si>
  <si>
    <t>BHHAPS1534761480</t>
  </si>
  <si>
    <t>0FA857365741430BBE24EC56EBC51B41</t>
  </si>
  <si>
    <t>262CFD7E5F4842DD93094D7F1F1705FA</t>
  </si>
  <si>
    <t>BHHAPS1534761478</t>
  </si>
  <si>
    <t>957DD4B9420D424A9EF8B762CC6FA8B4</t>
  </si>
  <si>
    <t>BBF4F50F9E3A44D194D5AB16E7362A58</t>
  </si>
  <si>
    <t>57747</t>
  </si>
  <si>
    <t>HOT SPRINGS</t>
  </si>
  <si>
    <t>13060 EAGLE CT</t>
  </si>
  <si>
    <t>RAYMER</t>
  </si>
  <si>
    <t>JOHN C</t>
  </si>
  <si>
    <t>6748065107</t>
  </si>
  <si>
    <t>BHHAPS1534694821</t>
  </si>
  <si>
    <t>FC3FC121F280499CAEEAD8B2EB533C93</t>
  </si>
  <si>
    <t>0EC20D2C72A64636956BAF63EBAD8FD0</t>
  </si>
  <si>
    <t>57702</t>
  </si>
  <si>
    <t>RAPID CITY</t>
  </si>
  <si>
    <t>3600 SHERIDAN LAKE RD                             APT 201</t>
  </si>
  <si>
    <t>CONRAD</t>
  </si>
  <si>
    <t>SYLVIA</t>
  </si>
  <si>
    <t>5301295834</t>
  </si>
  <si>
    <t>BHHAPS1534674834</t>
  </si>
  <si>
    <t>532EFA12848B468EB7677124EBD24209</t>
  </si>
  <si>
    <t>57783</t>
  </si>
  <si>
    <t>SPEARFISH</t>
  </si>
  <si>
    <t>4213 PARTRIDGE PL</t>
  </si>
  <si>
    <t>FINKBEINER</t>
  </si>
  <si>
    <t>CHRISTY</t>
  </si>
  <si>
    <t>2437789709</t>
  </si>
  <si>
    <t>BHHAPS1534674823</t>
  </si>
  <si>
    <t>7C109410C0D841CBAB325E7FB6D2AB38</t>
  </si>
  <si>
    <t>57730</t>
  </si>
  <si>
    <t>CUSTER</t>
  </si>
  <si>
    <t>12246 EAGLE RIDGE DR</t>
  </si>
  <si>
    <t>WHEELER</t>
  </si>
  <si>
    <t>GERALD L</t>
  </si>
  <si>
    <t>3083415336</t>
  </si>
  <si>
    <t>BHHAPS1534535410</t>
  </si>
  <si>
    <t>B2B89237400241919CF206F2461B7F18</t>
  </si>
  <si>
    <t>77D204E5EB374ED58985D0D791EDB868</t>
  </si>
  <si>
    <t>13145 DEER MEADOW RD</t>
  </si>
  <si>
    <t>ALLEN</t>
  </si>
  <si>
    <t>JEAN</t>
  </si>
  <si>
    <t>9366709507</t>
  </si>
  <si>
    <t>BHHAPS1534377969</t>
  </si>
  <si>
    <t>D7273AFD42AF44B88170FB14D938B6C7</t>
  </si>
  <si>
    <t>322E3677CD234BBD976FE8FAB98EBF6D</t>
  </si>
  <si>
    <t>11387 BIG HORN LOOP</t>
  </si>
  <si>
    <t>WALDO</t>
  </si>
  <si>
    <t>CAROLYN</t>
  </si>
  <si>
    <t>0117100059</t>
  </si>
  <si>
    <t>BHHAPS1534374980</t>
  </si>
  <si>
    <t>1B2FC37B705C475C953F97F996277C1D</t>
  </si>
  <si>
    <t>2F222582568D4012BAA8C3F80C655FF1</t>
  </si>
  <si>
    <t>25341 MCCURRAN RANCH RD</t>
  </si>
  <si>
    <t>CHRISTENSEN</t>
  </si>
  <si>
    <t>DALE</t>
  </si>
  <si>
    <t>7133765514</t>
  </si>
  <si>
    <t>BHHAPS1534223402</t>
  </si>
  <si>
    <t>BF45952B1394478E94EFE322CEC9C7F4</t>
  </si>
  <si>
    <t>1CE7A8BB2C814EDDBB829DBC57BAAB79</t>
  </si>
  <si>
    <t>3734 MAITLAND RD</t>
  </si>
  <si>
    <t>LOCKWOOD</t>
  </si>
  <si>
    <t>JANE E</t>
  </si>
  <si>
    <t>7652363484</t>
  </si>
  <si>
    <t>BHHAPS1534223387</t>
  </si>
  <si>
    <t>6BB94B55493E465BA3B3F04029B366BD</t>
  </si>
  <si>
    <t>C4243799699349E1B9AFCC0B11FC928C</t>
  </si>
  <si>
    <t>57754</t>
  </si>
  <si>
    <t>LEAD</t>
  </si>
  <si>
    <t>20745 DYNASTY RD</t>
  </si>
  <si>
    <t>HRUBY</t>
  </si>
  <si>
    <t>KATHLEEN</t>
  </si>
  <si>
    <t>6386883495</t>
  </si>
  <si>
    <t>BHHAPS1534223371</t>
  </si>
  <si>
    <t>340645980D86467AABB509FE8944D70F</t>
  </si>
  <si>
    <t>BEB4EFE817324055B0DA927C0B92D1D6</t>
  </si>
  <si>
    <t>4402 RIDGEWOOD ST</t>
  </si>
  <si>
    <t>HYRONIMUS</t>
  </si>
  <si>
    <t>TODD J</t>
  </si>
  <si>
    <t>6163350116</t>
  </si>
  <si>
    <t>BHHAPS1534196262</t>
  </si>
  <si>
    <t>AA50B64F4745427D8C15A0AAFD02D006</t>
  </si>
  <si>
    <t>10839C54EA0D482D8BE1AD0270173614</t>
  </si>
  <si>
    <t>57701</t>
  </si>
  <si>
    <t>1124 WOODRIDGE DR</t>
  </si>
  <si>
    <t>LA ROCCA</t>
  </si>
  <si>
    <t>JACK</t>
  </si>
  <si>
    <t>4554032089</t>
  </si>
  <si>
    <t>BHHAPS1534112094</t>
  </si>
  <si>
    <t>4B9232B0029648D9B622EA5EF9BFFAF4</t>
  </si>
  <si>
    <t>49D3E23D0DB54992829DBE2BCEAE68C6</t>
  </si>
  <si>
    <t>5548 SIERRA CT</t>
  </si>
  <si>
    <t>LEE</t>
  </si>
  <si>
    <t>SCOTT</t>
  </si>
  <si>
    <t>9242367261</t>
  </si>
  <si>
    <t>BHHAPS1534098450</t>
  </si>
  <si>
    <t>6416C43CFA154D17B07F033EC863EEFB</t>
  </si>
  <si>
    <t>52E4D3C3533849D2B0CA913BC6557988</t>
  </si>
  <si>
    <t>57718</t>
  </si>
  <si>
    <t>BLACK HAWK</t>
  </si>
  <si>
    <t>6201 W ELMWOOD DR</t>
  </si>
  <si>
    <t>CHAMBERS</t>
  </si>
  <si>
    <t>JOHN L</t>
  </si>
  <si>
    <t>0482316651</t>
  </si>
  <si>
    <t>BHHAPS1534098235</t>
  </si>
  <si>
    <t>48B12A6637114D38AA52EF01B0860C6C</t>
  </si>
  <si>
    <t>C8EB4FD2A54B45CCA38BDD2741CE1B8B</t>
  </si>
  <si>
    <t>4526 LOOKOUT MTN</t>
  </si>
  <si>
    <t>WERNER</t>
  </si>
  <si>
    <t>CORWYN</t>
  </si>
  <si>
    <t>3167878916</t>
  </si>
  <si>
    <t>BHHAPS1534071775</t>
  </si>
  <si>
    <t>91C3AFCD2CB647D1B7FD043E75081C81</t>
  </si>
  <si>
    <t>F98F4407516A42BCB8C07526134BCC7A</t>
  </si>
  <si>
    <t>821 HARNEY ST</t>
  </si>
  <si>
    <t>MCGUIRE</t>
  </si>
  <si>
    <t>MILLARD E</t>
  </si>
  <si>
    <t>3715846437</t>
  </si>
  <si>
    <t>BHHAPS1534071767</t>
  </si>
  <si>
    <t>A243F2156B97447F84A2F2D964E485AA</t>
  </si>
  <si>
    <t>1820C79BC5E24CD3A24BFDD1608865F9</t>
  </si>
  <si>
    <t>12795 TAYLOR RANCH RD</t>
  </si>
  <si>
    <t>MCGIBBON</t>
  </si>
  <si>
    <t>BRIDGET</t>
  </si>
  <si>
    <t>1204361757</t>
  </si>
  <si>
    <t>BHHAPS1534071757</t>
  </si>
  <si>
    <t>FF8425050D9E4DC3ACD2350206B4224D</t>
  </si>
  <si>
    <t>680B61836F3E40D79A9E40A760F2C241</t>
  </si>
  <si>
    <t>1741 ALBANY AVE</t>
  </si>
  <si>
    <t>LARRANAGA</t>
  </si>
  <si>
    <t>MELANIE</t>
  </si>
  <si>
    <t>2802407731</t>
  </si>
  <si>
    <t>BHHAPS1534066523</t>
  </si>
  <si>
    <t>F8FE1E6B9F5945439F9CF3E567C87458</t>
  </si>
  <si>
    <t>10C05FE8B0E34654BCEFFA80BB9133FA</t>
  </si>
  <si>
    <t>110 MINOR LAKE CIRCLE</t>
  </si>
  <si>
    <t>HALEY</t>
  </si>
  <si>
    <t>PATRICK B</t>
  </si>
  <si>
    <t>5170797141</t>
  </si>
  <si>
    <t>BHHAPS1534033037</t>
  </si>
  <si>
    <t>652B25D9BEF84FC7B105A31DA1FCE5C2</t>
  </si>
  <si>
    <t>17CABBC7D1A943A0BB556A1CEA6734D2</t>
  </si>
  <si>
    <t>3849 S LORETTA DR</t>
  </si>
  <si>
    <t>BUTTON</t>
  </si>
  <si>
    <t>JEROME</t>
  </si>
  <si>
    <t>6194654443</t>
  </si>
  <si>
    <t>BHHAPS1534032961</t>
  </si>
  <si>
    <t>833CD71263F64958B2007270CF0B78A5</t>
  </si>
  <si>
    <t>6AA56F6494484D1BBEE19ACA6A2856A5</t>
  </si>
  <si>
    <t>1221 N AMES ST</t>
  </si>
  <si>
    <t>GRIMES</t>
  </si>
  <si>
    <t>JASON A</t>
  </si>
  <si>
    <t>0886054971</t>
  </si>
  <si>
    <t>BHHAPS1533988454</t>
  </si>
  <si>
    <t>800959F0561D48FAA67DF5017FC3C030</t>
  </si>
  <si>
    <t>5CBBBD8ECC064B2B8DCC2ED4F5DAF6A5</t>
  </si>
  <si>
    <t>57719</t>
  </si>
  <si>
    <t>BOX ELDER</t>
  </si>
  <si>
    <t>4 SPOKE LN</t>
  </si>
  <si>
    <t>STYMIEST</t>
  </si>
  <si>
    <t>TAMMY K</t>
  </si>
  <si>
    <t>7232013499</t>
  </si>
  <si>
    <t>BHHAPS1533988443</t>
  </si>
  <si>
    <t>60055A3A17E84EC1B986ED603C76A1A8</t>
  </si>
  <si>
    <t>40579B98965D4DFCA4A15485B5D190FF</t>
  </si>
  <si>
    <t>57732</t>
  </si>
  <si>
    <t>DEADWOOD</t>
  </si>
  <si>
    <t>23 VAN BUREN ST</t>
  </si>
  <si>
    <t>SULENTIC</t>
  </si>
  <si>
    <t>MARGARET E</t>
  </si>
  <si>
    <t>0790112642</t>
  </si>
  <si>
    <t>BHHAPS1533988437</t>
  </si>
  <si>
    <t>1649F85B22E8459286621AF66BBFE586</t>
  </si>
  <si>
    <t>DFB7AC951C0049C3B86B4D920FCE8557</t>
  </si>
  <si>
    <t>7308 WONDERLAND CT</t>
  </si>
  <si>
    <t>FOSTER</t>
  </si>
  <si>
    <t>TRAVIS J</t>
  </si>
  <si>
    <t>0770295976</t>
  </si>
  <si>
    <t>BHHAPS1533988211</t>
  </si>
  <si>
    <t>4DE20A851E0B47D48DDAE39CFD733B6A</t>
  </si>
  <si>
    <t>708C9DC394A04742ACA5BE723524458C</t>
  </si>
  <si>
    <t>921 N AMES ST</t>
  </si>
  <si>
    <t>MATTESON</t>
  </si>
  <si>
    <t>PATRICK</t>
  </si>
  <si>
    <t>4612953918</t>
  </si>
  <si>
    <t>BHHAPS1533794127</t>
  </si>
  <si>
    <t>6C2A518A1374430CB73E12B44F76CFB7</t>
  </si>
  <si>
    <t>005C4A725DD2455F8DDC496E5634CADF</t>
  </si>
  <si>
    <t>5296 RED CLIFF LN</t>
  </si>
  <si>
    <t>RITCHIE</t>
  </si>
  <si>
    <t>JAIME L</t>
  </si>
  <si>
    <t>0761934741</t>
  </si>
  <si>
    <t>BHHAPS1533072061</t>
  </si>
  <si>
    <t>A9EEAFCE4FD74A2BB8024B84ED8EA50D</t>
  </si>
  <si>
    <t>B8CF4760B7E04806BFEF7B34B9139C8E</t>
  </si>
  <si>
    <t>221 E SAINT CHARLES ST</t>
  </si>
  <si>
    <t>ABY</t>
  </si>
  <si>
    <t>TANYA L</t>
  </si>
  <si>
    <t>3523630411</t>
  </si>
  <si>
    <t>BHHAPS1533072057</t>
  </si>
  <si>
    <t>48A121C2494C4ADDA42410859FB5BCBF</t>
  </si>
  <si>
    <t>F1F460345B6C48A4A2C4E6C35504C0AA</t>
  </si>
  <si>
    <t>1009 PARK HILL DR</t>
  </si>
  <si>
    <t>HAMMOND</t>
  </si>
  <si>
    <t>TIFANIE C</t>
  </si>
  <si>
    <t>4797470572</t>
  </si>
  <si>
    <t>BHHAPS1533072056</t>
  </si>
  <si>
    <t>0AC1A2E2563A4D84944AF04A1448A7A4</t>
  </si>
  <si>
    <t>736F6FE6589347C7B8E832F8F42C5D14</t>
  </si>
  <si>
    <t>398 UPPER VALLEY RD</t>
  </si>
  <si>
    <t>PETERS</t>
  </si>
  <si>
    <t>J S</t>
  </si>
  <si>
    <t>0663782970</t>
  </si>
  <si>
    <t>BHHAPS1533031705</t>
  </si>
  <si>
    <t>5AA349771920429AB657455957B2D6CF</t>
  </si>
  <si>
    <t>B2F08F0A25E9423DAC3906C2847D7B66</t>
  </si>
  <si>
    <t>57785</t>
  </si>
  <si>
    <t>STURGIS</t>
  </si>
  <si>
    <t>1440 DAVENPORT ST</t>
  </si>
  <si>
    <t>RATH</t>
  </si>
  <si>
    <t>JASON C</t>
  </si>
  <si>
    <t>6204711030</t>
  </si>
  <si>
    <t>BHHAPS1532971507</t>
  </si>
  <si>
    <t>11BF70AAB87448B08169B3ACC256F2B1</t>
  </si>
  <si>
    <t>8FFA683BA5E04ED9B7830282D2C6C0F7</t>
  </si>
  <si>
    <t>4707 POWDERHORN CIR</t>
  </si>
  <si>
    <t>EDWARDS</t>
  </si>
  <si>
    <t>JOHN</t>
  </si>
  <si>
    <t>6455598798</t>
  </si>
  <si>
    <t>BHHAPS1532971403</t>
  </si>
  <si>
    <t>8F7483CBE81F446D893F29DD5E8A0D4E</t>
  </si>
  <si>
    <t>4471E52D230C4DB981E2D44C9F432EC4</t>
  </si>
  <si>
    <t>1415 MINUTEMAN DR</t>
  </si>
  <si>
    <t>CUMMINGS</t>
  </si>
  <si>
    <t>TIM</t>
  </si>
  <si>
    <t>6546788684</t>
  </si>
  <si>
    <t>BHHAPS1532958687</t>
  </si>
  <si>
    <t>5BD152305FED4949833F9623976FC609</t>
  </si>
  <si>
    <t>133FC19FC6834ACB8119D509123D692B</t>
  </si>
  <si>
    <t>3341 BROADMOOR DR</t>
  </si>
  <si>
    <t>HARRIS</t>
  </si>
  <si>
    <t>REX T</t>
  </si>
  <si>
    <t>1607412849</t>
  </si>
  <si>
    <t>BHHAPS1532958683</t>
  </si>
  <si>
    <t>0EC680616F58461A97771D8FC428FD39</t>
  </si>
  <si>
    <t>E55BBF70FD5842FFB613D606D87D7C51</t>
  </si>
  <si>
    <t>1120 N AMES ST</t>
  </si>
  <si>
    <t>BERRY</t>
  </si>
  <si>
    <t>LYLE</t>
  </si>
  <si>
    <t>2379083918</t>
  </si>
  <si>
    <t>BHHAPS1532958674</t>
  </si>
  <si>
    <t>31919501EC3C4FC8BAA14A595BC19DA6</t>
  </si>
  <si>
    <t>70B4C14C05E64A209795EAAA04336D6E</t>
  </si>
  <si>
    <t>57793</t>
  </si>
  <si>
    <t>WHITEWOOD</t>
  </si>
  <si>
    <t>1117 CUSTER ST</t>
  </si>
  <si>
    <t>SCHWARTING</t>
  </si>
  <si>
    <t>CLYDE D</t>
  </si>
  <si>
    <t>1190911554</t>
  </si>
  <si>
    <t>BHHAPS1532958668</t>
  </si>
  <si>
    <t>57B5877D659F4AB1AD0B522F7F098E9A</t>
  </si>
  <si>
    <t>06123CB25A2244BCA933B147085DEF2A</t>
  </si>
  <si>
    <t>822 PINEDALE DR</t>
  </si>
  <si>
    <t>PARROW</t>
  </si>
  <si>
    <t>KATHLEEN A</t>
  </si>
  <si>
    <t>2686429643</t>
  </si>
  <si>
    <t>BHHAPS1532958665</t>
  </si>
  <si>
    <t>91B9513BBBED4ECE8C59F9C614E0B9D8</t>
  </si>
  <si>
    <t>F011A0B80E12442B998632C9756C53DB</t>
  </si>
  <si>
    <t>2809 IVY AVE</t>
  </si>
  <si>
    <t>SHOEMAKER</t>
  </si>
  <si>
    <t>LISA</t>
  </si>
  <si>
    <t>0135168736</t>
  </si>
  <si>
    <t>BHHAPS1532958661</t>
  </si>
  <si>
    <t>6BC26F9E536C46768B34622B6CE7902C</t>
  </si>
  <si>
    <t>6201AAAEBA7A42A6844D845944CC6018</t>
  </si>
  <si>
    <t>4320 CIRCLE DR</t>
  </si>
  <si>
    <t>MCCOY</t>
  </si>
  <si>
    <t>REID E</t>
  </si>
  <si>
    <t>3031965092</t>
  </si>
  <si>
    <t>BHHAPS1532958654</t>
  </si>
  <si>
    <t>45509FDD77464583A0214155D418DB1F</t>
  </si>
  <si>
    <t>Residential - BHPSD - Whole House Efficiency</t>
  </si>
  <si>
    <t>AEB60D5CAC844FE6811C8D0ED1B3DEAC</t>
  </si>
  <si>
    <t>605-721-2687</t>
  </si>
  <si>
    <t>57709</t>
  </si>
  <si>
    <t>PO BOX 1400</t>
  </si>
  <si>
    <t>BHE</t>
  </si>
  <si>
    <t>2124 4TH AVE</t>
  </si>
  <si>
    <t>MULDOON</t>
  </si>
  <si>
    <t>ESTHER</t>
  </si>
  <si>
    <t>2120657575</t>
  </si>
  <si>
    <t>BHHTPS1533178148</t>
  </si>
  <si>
    <t>F9141D68DF4442768520506718A7AB72</t>
  </si>
  <si>
    <t>568AA905C0C14E4B918D865CEC4EFC68</t>
  </si>
  <si>
    <t>1533 SPRUCE ST</t>
  </si>
  <si>
    <t>CADY</t>
  </si>
  <si>
    <t>MARIETTA</t>
  </si>
  <si>
    <t>2489584873</t>
  </si>
  <si>
    <t>BHHTPS1533178147</t>
  </si>
  <si>
    <t>CE865DAD13E943218616DCCD0EC5F6D5</t>
  </si>
  <si>
    <t>003A994CE5674E6492E818582F799A95</t>
  </si>
  <si>
    <t>3908 MARATHON CT</t>
  </si>
  <si>
    <t>WILKINSON</t>
  </si>
  <si>
    <t>GARY L</t>
  </si>
  <si>
    <t>5840208221</t>
  </si>
  <si>
    <t>BHHTPS1533178049</t>
  </si>
  <si>
    <t>579C02136C404D199087E3F30FE171DB</t>
  </si>
  <si>
    <t>D341AF298BAB431786CDAA465AF65FA0</t>
  </si>
  <si>
    <t>2345 S BALDWIN ST</t>
  </si>
  <si>
    <t>DAUER</t>
  </si>
  <si>
    <t>DEBRA L</t>
  </si>
  <si>
    <t>2945592301</t>
  </si>
  <si>
    <t>BHHTPS1533178044</t>
  </si>
  <si>
    <t>CE9019E206EF4A1998F4C1D0D6922252</t>
  </si>
  <si>
    <t>81F6CBB9C68045AC98DAFF2054CA645A</t>
  </si>
  <si>
    <t>134 MONTANA ST</t>
  </si>
  <si>
    <t>SCHWAB</t>
  </si>
  <si>
    <t>RALPH</t>
  </si>
  <si>
    <t>1411605512</t>
  </si>
  <si>
    <t>BHHTPS1533172321</t>
  </si>
  <si>
    <t>E603B2108DC14D319C03D903FF5729A3</t>
  </si>
  <si>
    <t>618AAC03CF02420BA07D218C60545B63</t>
  </si>
  <si>
    <t>349 E SAINT ANNE ST</t>
  </si>
  <si>
    <t>MORGAN</t>
  </si>
  <si>
    <t>MELANIE S</t>
  </si>
  <si>
    <t>1657559093</t>
  </si>
  <si>
    <t>BHHTPS1533172316</t>
  </si>
  <si>
    <t>40146A945E844FECB5466CC0AA0D40FB</t>
  </si>
  <si>
    <t>Special - BHPSD - Weatherization Team</t>
  </si>
  <si>
    <t>760DC70E5ADA4E3D9A71F1C931E5C1A6</t>
  </si>
  <si>
    <t>School Based Education</t>
  </si>
  <si>
    <t>4901 W CHICAGO ST</t>
  </si>
  <si>
    <t>PINEDALE ELEMENTARY</t>
  </si>
  <si>
    <t>RCAS BUSINESS OFFICE</t>
  </si>
  <si>
    <t>1230125967</t>
  </si>
  <si>
    <t>BHBLPS1534315754</t>
  </si>
  <si>
    <t>BDF37082F2894B9F8DBC46CC287FA9F5</t>
  </si>
  <si>
    <t>1415 WILDCAT LN                                    G SVC MTR</t>
  </si>
  <si>
    <t>CUSTER SCHOOL ADMIN</t>
  </si>
  <si>
    <t>5275041365</t>
  </si>
  <si>
    <t>BHBLPS1534205586</t>
  </si>
  <si>
    <t>72183F6F635249A4AA40039F0415283E</t>
  </si>
  <si>
    <t>1121 BALLPARK RD</t>
  </si>
  <si>
    <t>MEADE BOARD OF ED</t>
  </si>
  <si>
    <t>STURGIS ELEMETARY</t>
  </si>
  <si>
    <t>5045772714</t>
  </si>
  <si>
    <t>BHBLPS1534072010</t>
  </si>
  <si>
    <t>B770C5DB781A4E63BD66015807DFA581</t>
  </si>
  <si>
    <t>424 E INDIANA ST</t>
  </si>
  <si>
    <t>ROBBINSDALE</t>
  </si>
  <si>
    <t>3681599520</t>
  </si>
  <si>
    <t>BHBLPS1534072007</t>
  </si>
  <si>
    <t>E66DA412350F42288C90483E26DBC92E</t>
  </si>
  <si>
    <t>1701 DOWNING ST</t>
  </si>
  <si>
    <t>KNOLLWOOD</t>
  </si>
  <si>
    <t>1198002784</t>
  </si>
  <si>
    <t>BHBLPS1534071998</t>
  </si>
  <si>
    <t>2270C548F7214A199B0A9AD0782DCA3A</t>
  </si>
  <si>
    <t>7108 SEEAIRE ST</t>
  </si>
  <si>
    <t>BLACK HAWK ELEMENTARY</t>
  </si>
  <si>
    <t>1949946745</t>
  </si>
  <si>
    <t>BHBLPS1534071994</t>
  </si>
  <si>
    <t>34AC32F37CAA41F8844D4BA6DB7CBCC2</t>
  </si>
  <si>
    <t>305 N 39TH ST</t>
  </si>
  <si>
    <t>SDA CHURCH SCHOOL</t>
  </si>
  <si>
    <t>3514001916</t>
  </si>
  <si>
    <t>BHBLPS1534071989</t>
  </si>
  <si>
    <t>35BB302AA5234B63A0A47939E504D608</t>
  </si>
  <si>
    <t>835 E FAIRMONT BLVD</t>
  </si>
  <si>
    <t>ST PAULS EV LUTH CH</t>
  </si>
  <si>
    <t>4665440133</t>
  </si>
  <si>
    <t>BHBLPS1534071986</t>
  </si>
  <si>
    <t>0FBD3C3F0F1046C68005B248756916D6</t>
  </si>
  <si>
    <t>2101 CITY SPRINGS RD</t>
  </si>
  <si>
    <t>TERRA SANCTA</t>
  </si>
  <si>
    <t>ST ELIZABETH SEATON</t>
  </si>
  <si>
    <t>4765894355</t>
  </si>
  <si>
    <t>BHBLPS1534071976</t>
  </si>
  <si>
    <t>4D2AC27929A24C7D9227C3A3D714DA30</t>
  </si>
  <si>
    <t>278 N 19TH ST</t>
  </si>
  <si>
    <t>HOT SPRINGS SCHOOL DIST</t>
  </si>
  <si>
    <t>SCHOOL DISTRICT</t>
  </si>
  <si>
    <t>6013746720</t>
  </si>
  <si>
    <t>BHBLPS1534071970</t>
  </si>
  <si>
    <t>52F5A9A00E45436EB842AF776EF56CA7</t>
  </si>
  <si>
    <t>561 BRIGGS ST                                      SCHOOL</t>
  </si>
  <si>
    <t>DOUGLAS SCHOOL</t>
  </si>
  <si>
    <t>2853481500</t>
  </si>
  <si>
    <t>BHBLPS1534071962</t>
  </si>
  <si>
    <t>06A5A6718C284B9CA71067EDF99A6A12</t>
  </si>
  <si>
    <t>302 MAIN ST</t>
  </si>
  <si>
    <t>HILL CITY SCHOOL</t>
  </si>
  <si>
    <t>5119773180</t>
  </si>
  <si>
    <t>BHBLPS1534071951</t>
  </si>
  <si>
    <t>CDB026AD22134582B8C025E5D9FDAE44</t>
  </si>
  <si>
    <t>STURGIS ELEMENTARY</t>
  </si>
  <si>
    <t>BHBLPS1534071938</t>
  </si>
  <si>
    <t>83DA03ED5D4F47EB8E161F33DA7DC603</t>
  </si>
  <si>
    <t>4550 S HIGHWAY 16</t>
  </si>
  <si>
    <t>ZION LUTHERAN CHURCH</t>
  </si>
  <si>
    <t>CHRISTIAN SCHOOL</t>
  </si>
  <si>
    <t>3374349830</t>
  </si>
  <si>
    <t>BHBLPS1534071934</t>
  </si>
  <si>
    <t>FEF2E9DF56DC42EE9A84633C63284831</t>
  </si>
  <si>
    <t>16159 2ND ST</t>
  </si>
  <si>
    <t>MEADE BOARD OF EDUCATION</t>
  </si>
  <si>
    <t>PIEDMONT VALLEY</t>
  </si>
  <si>
    <t>5955835343</t>
  </si>
  <si>
    <t>BHBLPS1534071929</t>
  </si>
  <si>
    <t>A82485CCFC7C40F39C80EF19F31628CA</t>
  </si>
  <si>
    <t>3125 W FLORMANN ST</t>
  </si>
  <si>
    <t>2606450720</t>
  </si>
  <si>
    <t>BHBLPS1534071922</t>
  </si>
  <si>
    <t>83F47294E01A4CF68569646F23E83E13</t>
  </si>
  <si>
    <t>57735</t>
  </si>
  <si>
    <t>EDGEMONT</t>
  </si>
  <si>
    <t>715 MOGUL WAY                                      MAIN BLDG</t>
  </si>
  <si>
    <t>EDGEMONT SCHOOLS</t>
  </si>
  <si>
    <t>5883243902</t>
  </si>
  <si>
    <t>BHBLPS1534071921</t>
  </si>
  <si>
    <t>50DBEAC187FD4459BFF87E008550F053</t>
  </si>
  <si>
    <t>BHBLPS1534071915</t>
  </si>
  <si>
    <t>979D31CF56EE43039ACAD4CE5CCCF18E</t>
  </si>
  <si>
    <t>57760</t>
  </si>
  <si>
    <t>NEWELL</t>
  </si>
  <si>
    <t>501 DARTMOUTH AVE</t>
  </si>
  <si>
    <t>NEWELL IDP SCHOOL</t>
  </si>
  <si>
    <t>0934689050</t>
  </si>
  <si>
    <t>BHBLPS1534071907</t>
  </si>
  <si>
    <t>855F6C48DD7C492AB91CA6726247185F</t>
  </si>
  <si>
    <t>207 FLORMANN ST</t>
  </si>
  <si>
    <t>6783202118</t>
  </si>
  <si>
    <t>BHBLPS1534071902</t>
  </si>
  <si>
    <t>Special - BHPSD - School Based Energy Education</t>
  </si>
  <si>
    <t>Online Evaluation</t>
  </si>
  <si>
    <t>Residential Energy Evaluation</t>
  </si>
  <si>
    <t>462B495520A24E0C81AB4807336148CD</t>
  </si>
  <si>
    <t>Rapid City</t>
  </si>
  <si>
    <t>409 Deadwwod</t>
  </si>
  <si>
    <t>AUDIT</t>
  </si>
  <si>
    <t>ONLINE</t>
  </si>
  <si>
    <t>10000000001</t>
  </si>
  <si>
    <t>BHOAPS1533983011</t>
  </si>
  <si>
    <t>9F7D0E919752466AA8E2B4BDB5507652</t>
  </si>
  <si>
    <t>Rapid CIty</t>
  </si>
  <si>
    <t>409 Deadwood&lt;br&gt;</t>
  </si>
  <si>
    <t>BHOAPS1533983009</t>
  </si>
  <si>
    <t>1CA439966772429197EA975CF6CADB5B</t>
  </si>
  <si>
    <t>409 Deadwood Ave</t>
  </si>
  <si>
    <t>BHOAPS1533983004</t>
  </si>
  <si>
    <t>AF67B1785E9841488E3FA217D50D535B</t>
  </si>
  <si>
    <t>BHOAPS1533983002</t>
  </si>
  <si>
    <t>639FD09EFA474B5CBBEB1766A62E7051</t>
  </si>
  <si>
    <t>BHOAPS1533982999</t>
  </si>
  <si>
    <t>B950F09DC48A4537AFB521D7833E05E4</t>
  </si>
  <si>
    <t>409 Deadwood</t>
  </si>
  <si>
    <t>BHOAPS1533982989</t>
  </si>
  <si>
    <t>74140D8207AB4480A6B5786DA00A9A67</t>
  </si>
  <si>
    <t>BHOAPS1533177998</t>
  </si>
  <si>
    <t>ED5B66A97F204C04A525E4010264FA17</t>
  </si>
  <si>
    <t>BHOAPS1533177897</t>
  </si>
  <si>
    <t>4557C21B5D3746FDBA2647D91111E351</t>
  </si>
  <si>
    <t>409 DEADWOOD AVE</t>
  </si>
  <si>
    <t>BHOAPS1533177893</t>
  </si>
  <si>
    <t>0753AD2DC787429BB456FD6F6CE719D9</t>
  </si>
  <si>
    <t>409 Deadwood ave</t>
  </si>
  <si>
    <t>BHOAPS1532965060</t>
  </si>
  <si>
    <t>3C2366F45EB847A0AD2275902E340CAF</t>
  </si>
  <si>
    <t>rapid city</t>
  </si>
  <si>
    <t>BHOAPS1532965057</t>
  </si>
  <si>
    <t>CB55ED7EF53F44F6859DF78E761857E1</t>
  </si>
  <si>
    <t>Audit</t>
  </si>
  <si>
    <t>Online</t>
  </si>
  <si>
    <t>BHOAPS1532965022</t>
  </si>
  <si>
    <t>Residential - BHPSD - Residential Online Audit</t>
  </si>
  <si>
    <t>A3C23FBA52C145A9A3E9911B767BBED1</t>
  </si>
  <si>
    <t>Residential Lighting &amp; Appliances :- LED :- Customer Incentives</t>
  </si>
  <si>
    <t>1702 MOUNTAIN VIEW RD</t>
  </si>
  <si>
    <t>BRANT</t>
  </si>
  <si>
    <t>VALERIE</t>
  </si>
  <si>
    <t>5860645833</t>
  </si>
  <si>
    <t>BHHEPS1534804937</t>
  </si>
  <si>
    <t>C964882ED54346E2807BBD6B56BD5E98</t>
  </si>
  <si>
    <t>2008 ROOSEVELT AVE</t>
  </si>
  <si>
    <t>SCHMID</t>
  </si>
  <si>
    <t>CHRIS P</t>
  </si>
  <si>
    <t>4829018905</t>
  </si>
  <si>
    <t>BHHEPS1534804926</t>
  </si>
  <si>
    <t>366C0B584D8E42BBA25E4F6E7D9899B5</t>
  </si>
  <si>
    <t>9CA448B51DA04CE69789A71BD103CC10</t>
  </si>
  <si>
    <t>701 E INDIANA ST</t>
  </si>
  <si>
    <t>FOLTZ</t>
  </si>
  <si>
    <t>RENEE M</t>
  </si>
  <si>
    <t>5067203630</t>
  </si>
  <si>
    <t>BHHEPS1534783529</t>
  </si>
  <si>
    <t>1C441676F4754B09A0B2933775E15E84</t>
  </si>
  <si>
    <t>6D349DF220A94CD39DFED0A69187D73C</t>
  </si>
  <si>
    <t>7284 SUTTON DR                                    APT 101</t>
  </si>
  <si>
    <t>FOUCAULT</t>
  </si>
  <si>
    <t>DEAN C</t>
  </si>
  <si>
    <t>0047623002</t>
  </si>
  <si>
    <t>BHHEPS1534783524</t>
  </si>
  <si>
    <t>AB224141574440ABBCB38A9D37F8C844</t>
  </si>
  <si>
    <t>E0DF1EEB8E7046589CD2909FFCE52F9F</t>
  </si>
  <si>
    <t>4050 CARRIAGE HILLS DR</t>
  </si>
  <si>
    <t>KAMMERT</t>
  </si>
  <si>
    <t>JAMES</t>
  </si>
  <si>
    <t>1972954029</t>
  </si>
  <si>
    <t>BHHEPS1534780555</t>
  </si>
  <si>
    <t>610BA225AC914A779F9C916B976CE2A0</t>
  </si>
  <si>
    <t>5C64B51115E44EE3A35B85A4D81F48A9</t>
  </si>
  <si>
    <t>5AC22E91796949ADAF80582401B20C6A</t>
  </si>
  <si>
    <t>1918 COUNTRY OAK LN</t>
  </si>
  <si>
    <t>SCHALLENKAMP</t>
  </si>
  <si>
    <t>KEN A</t>
  </si>
  <si>
    <t>1363085017</t>
  </si>
  <si>
    <t>BHHEPS1534780550</t>
  </si>
  <si>
    <t>971AAB7523A544CCBA709FD2ECEB1D37</t>
  </si>
  <si>
    <t>S9836</t>
  </si>
  <si>
    <t>CURT@BESLIGHTING.COM</t>
  </si>
  <si>
    <t>605-348-3393</t>
  </si>
  <si>
    <t>333 OMAHA ST</t>
  </si>
  <si>
    <t>BES LIGHTING</t>
  </si>
  <si>
    <t>4712 EDGEWOOD DR</t>
  </si>
  <si>
    <t>BROWN</t>
  </si>
  <si>
    <t>JERROLD L</t>
  </si>
  <si>
    <t>6782096619</t>
  </si>
  <si>
    <t>BHHEPS1534775161</t>
  </si>
  <si>
    <t>988842FF580A4127A9CDAEB9AFA68511</t>
  </si>
  <si>
    <t>S9811</t>
  </si>
  <si>
    <t>48F20BB75FA545C0B0E27D3A4317198D</t>
  </si>
  <si>
    <t>74425</t>
  </si>
  <si>
    <t>605-399-3922</t>
  </si>
  <si>
    <t>57703</t>
  </si>
  <si>
    <t>710 N CREEK DR</t>
  </si>
  <si>
    <t>MENARDS</t>
  </si>
  <si>
    <t>1916 COWBOY LN</t>
  </si>
  <si>
    <t>STADLER</t>
  </si>
  <si>
    <t>BOB C</t>
  </si>
  <si>
    <t>3609485944</t>
  </si>
  <si>
    <t>BHHEPS1534774499</t>
  </si>
  <si>
    <t>27FC064FB72A4528BEA5D715A5922F0A</t>
  </si>
  <si>
    <t>78036</t>
  </si>
  <si>
    <t>E1BE8596FA39412C97DE65783C903D5D</t>
  </si>
  <si>
    <t>79510</t>
  </si>
  <si>
    <t>DD9C6F1E24604060BA6B75EF3A3CD00A</t>
  </si>
  <si>
    <t>79179</t>
  </si>
  <si>
    <t>E29FCC3F96A245D3A43BF44190203345</t>
  </si>
  <si>
    <t>73188</t>
  </si>
  <si>
    <t>9DEE64269FA24236A7216242E3E10B21</t>
  </si>
  <si>
    <t>017801435191</t>
  </si>
  <si>
    <t>310 26TH ST</t>
  </si>
  <si>
    <t>338 W MCCLELLAN ST</t>
  </si>
  <si>
    <t>THOMAS</t>
  </si>
  <si>
    <t>ROGER A</t>
  </si>
  <si>
    <t>2392026174</t>
  </si>
  <si>
    <t>BHHEPS1534774480</t>
  </si>
  <si>
    <t>25FCE926C24E4B1988DE697EE92C671B</t>
  </si>
  <si>
    <t>17801145526</t>
  </si>
  <si>
    <t>C39D71F8D0C543C7B9F7F760CBAA10A8</t>
  </si>
  <si>
    <t>017801145519</t>
  </si>
  <si>
    <t>FF5F662D49BE4A04AD05F4090C79279E</t>
  </si>
  <si>
    <t>PLYC11622U</t>
  </si>
  <si>
    <t>4910 COPPERHILL CT</t>
  </si>
  <si>
    <t>SKJERVEM</t>
  </si>
  <si>
    <t>LOREN C</t>
  </si>
  <si>
    <t>5103408968</t>
  </si>
  <si>
    <t>BHHEPS1534770032</t>
  </si>
  <si>
    <t>A7262E23CBF24931B07E2AD80E89A2A5</t>
  </si>
  <si>
    <t>L9BR30D27K</t>
  </si>
  <si>
    <t>28845BACA4E04D4491F2346A2D832FC5</t>
  </si>
  <si>
    <t>5120 STONEY CREEK CT</t>
  </si>
  <si>
    <t>CLAYMORE</t>
  </si>
  <si>
    <t>ROBIN L</t>
  </si>
  <si>
    <t>7747576836</t>
  </si>
  <si>
    <t>BHHEPS1534769692</t>
  </si>
  <si>
    <t>1C89741D4B1C4B808911CDC9E6FDCF97</t>
  </si>
  <si>
    <t>AF21177527BA4380939A8E32D18C9FCE</t>
  </si>
  <si>
    <t>F3BE932E051D46D68E44C72A1801FA6B</t>
  </si>
  <si>
    <t>FM-306-930-WT</t>
  </si>
  <si>
    <t>Residential Lighting &amp; Appliances :- ES Star Fixture :- Customer Incentives</t>
  </si>
  <si>
    <t>325 RACINE ST</t>
  </si>
  <si>
    <t>ANDREA SCHARTZ</t>
  </si>
  <si>
    <t>SCHARTZ</t>
  </si>
  <si>
    <t>ANDREA J</t>
  </si>
  <si>
    <t>0083845781</t>
  </si>
  <si>
    <t>BHHEPS1534767763</t>
  </si>
  <si>
    <t>6560053784D74F86A744835166B01685</t>
  </si>
  <si>
    <t>CAD2.5W27-3P</t>
  </si>
  <si>
    <t>2825 1ST AVE</t>
  </si>
  <si>
    <t>326 N MEIER ST</t>
  </si>
  <si>
    <t>HOUSTON</t>
  </si>
  <si>
    <t>MARTIN A</t>
  </si>
  <si>
    <t>5104785648</t>
  </si>
  <si>
    <t>BHHEPS1534763692</t>
  </si>
  <si>
    <t>DB0DD17004AE4800AC29AE89CC580D2F</t>
  </si>
  <si>
    <t>GELED15LS2827</t>
  </si>
  <si>
    <t>605-348-2335</t>
  </si>
  <si>
    <t>1304 OREGON ST</t>
  </si>
  <si>
    <t>MICKS ELECTRIC</t>
  </si>
  <si>
    <t>3605 MAPLE AVE</t>
  </si>
  <si>
    <t>ELVERUD</t>
  </si>
  <si>
    <t>GRAYDON L</t>
  </si>
  <si>
    <t>3951063854</t>
  </si>
  <si>
    <t>BHHEPS1534761459</t>
  </si>
  <si>
    <t>9C1562156ECD41AAB05391C3379CED49</t>
  </si>
  <si>
    <t>4721 E ELMWOOD DR</t>
  </si>
  <si>
    <t>SHELDEN</t>
  </si>
  <si>
    <t>SHEILA</t>
  </si>
  <si>
    <t>0053013471</t>
  </si>
  <si>
    <t>BHHEPS1534761442</t>
  </si>
  <si>
    <t>F99F81C356C14D1B8BC34047AEE2DC78</t>
  </si>
  <si>
    <t>BD311D7DB5704B0487464C01CC4FEA3A</t>
  </si>
  <si>
    <t>SUMMERSET</t>
  </si>
  <si>
    <t>7347 CASTLEWOOD DR</t>
  </si>
  <si>
    <t>OERTLY</t>
  </si>
  <si>
    <t>JANET L</t>
  </si>
  <si>
    <t>2377300152</t>
  </si>
  <si>
    <t>BHHEPS1534761440</t>
  </si>
  <si>
    <t>623AF7F17FC44337A31B2E8ED85C37C3</t>
  </si>
  <si>
    <t>BPOM100/830/LED</t>
  </si>
  <si>
    <t>605-343-5150</t>
  </si>
  <si>
    <t>770 MT VIEW RD</t>
  </si>
  <si>
    <t>HARDWARE HANK OF RAPID CITY</t>
  </si>
  <si>
    <t>805 SAINT JAMES ST</t>
  </si>
  <si>
    <t>TURBAK</t>
  </si>
  <si>
    <t>RANDY R</t>
  </si>
  <si>
    <t>4547551498</t>
  </si>
  <si>
    <t>BHHEPS1534761419</t>
  </si>
  <si>
    <t>27030B8DFD164365A65B565EBC005E7A</t>
  </si>
  <si>
    <t>OM60/850/LED/4</t>
  </si>
  <si>
    <t>56BF73C3BCCC4F57B5FCCAA061A62459</t>
  </si>
  <si>
    <t>OM60/830/LED/4</t>
  </si>
  <si>
    <t>E8BDFEFDDE6144D99A660EF14771E18E</t>
  </si>
  <si>
    <t>PLYC2933U</t>
  </si>
  <si>
    <t>25133 GRANITE HEIGHTS DR</t>
  </si>
  <si>
    <t>HILTON</t>
  </si>
  <si>
    <t>MICHAEL R</t>
  </si>
  <si>
    <t>2331434835</t>
  </si>
  <si>
    <t>BHHEPS1534761396</t>
  </si>
  <si>
    <t>5E412E4871934023B0D6F3584021F018</t>
  </si>
  <si>
    <t>74317</t>
  </si>
  <si>
    <t>605-341-4815</t>
  </si>
  <si>
    <t>2550 HAINES AVE</t>
  </si>
  <si>
    <t>LOWES - Rapid City</t>
  </si>
  <si>
    <t>811 MALLOW ST                                     APT 2</t>
  </si>
  <si>
    <t>BAILEY</t>
  </si>
  <si>
    <t>SEAN</t>
  </si>
  <si>
    <t>2163480770</t>
  </si>
  <si>
    <t>BHHEPS1534761279</t>
  </si>
  <si>
    <t>92F01EF4AA774496AB33287AC70666C1</t>
  </si>
  <si>
    <t>74315</t>
  </si>
  <si>
    <t>0405906542CB423888ED1CCDA061ECBB</t>
  </si>
  <si>
    <t>DLS30-06M27D1EWH-6</t>
  </si>
  <si>
    <t>247 ENCHANTMENT RD</t>
  </si>
  <si>
    <t>WERMAGER</t>
  </si>
  <si>
    <t>SHERYL</t>
  </si>
  <si>
    <t>4357276105</t>
  </si>
  <si>
    <t>BHHEPS1534761229</t>
  </si>
  <si>
    <t>5B2382A9AD4640D0A0E0ED5124D24D4E</t>
  </si>
  <si>
    <t>LED11820</t>
  </si>
  <si>
    <t>jon.brue@batteriesplus.net</t>
  </si>
  <si>
    <t>2060 W Main Street</t>
  </si>
  <si>
    <t>Batteries Plus - Rapid City</t>
  </si>
  <si>
    <t>457 GEMSTONE DR</t>
  </si>
  <si>
    <t>ROBBINS</t>
  </si>
  <si>
    <t>ANA</t>
  </si>
  <si>
    <t>6098916584</t>
  </si>
  <si>
    <t>BHHEPS1534761216</t>
  </si>
  <si>
    <t>53678C0FE16843E0A694F6F517946E83</t>
  </si>
  <si>
    <t>78038</t>
  </si>
  <si>
    <t>13080 PLEASANT VALLEY RD</t>
  </si>
  <si>
    <t>JANOVY</t>
  </si>
  <si>
    <t>DAVID</t>
  </si>
  <si>
    <t>1475531453</t>
  </si>
  <si>
    <t>BHHEPS1534761161</t>
  </si>
  <si>
    <t>4E82E37CE0F54D5DA567FDD78A66BE09</t>
  </si>
  <si>
    <t>FMLSDL1214840</t>
  </si>
  <si>
    <t>ED20219601164E10B61937D7669EF0AB</t>
  </si>
  <si>
    <t>FMLSDL1521840</t>
  </si>
  <si>
    <t>909BCB9C5A73400D807ECCA176D5F9C8</t>
  </si>
  <si>
    <t>625 CITY SPRINGS CT</t>
  </si>
  <si>
    <t>PEARSON</t>
  </si>
  <si>
    <t>PHILIP E</t>
  </si>
  <si>
    <t>6040154741</t>
  </si>
  <si>
    <t>BHHEPS1534761145</t>
  </si>
  <si>
    <t>8B690AB828AE42C29DAEBF139D7200AB</t>
  </si>
  <si>
    <t>F5EAFAB0131D4FD1839E44937E7A16B5</t>
  </si>
  <si>
    <t>BHHEPS1534761120</t>
  </si>
  <si>
    <t>8E531ED0D54645328CE1BC981BE7E6B6</t>
  </si>
  <si>
    <t>74021</t>
  </si>
  <si>
    <t>A387EE9FFA0745FF9299163232F204D2</t>
  </si>
  <si>
    <t>221 S 11TH ST</t>
  </si>
  <si>
    <t>SCHLEINING</t>
  </si>
  <si>
    <t>WILLIAM G</t>
  </si>
  <si>
    <t>0752005724</t>
  </si>
  <si>
    <t>BHHEPS1534699730</t>
  </si>
  <si>
    <t>5F29476284754071876094415C38FD75</t>
  </si>
  <si>
    <t>68160   LED10DR30V/827W</t>
  </si>
  <si>
    <t>jwood@dsginc.biz</t>
  </si>
  <si>
    <t>605-348-7100</t>
  </si>
  <si>
    <t>1936 MARLIN DR</t>
  </si>
  <si>
    <t>DAKOTA SUPPLY GROUP</t>
  </si>
  <si>
    <t>919 SAINT FRANCIS ST</t>
  </si>
  <si>
    <t>KNUTSON</t>
  </si>
  <si>
    <t>DIANE</t>
  </si>
  <si>
    <t>9677022229</t>
  </si>
  <si>
    <t>BHHEPS1534699522</t>
  </si>
  <si>
    <t>07E194CF617A472F9532D1CFFC86B4FE</t>
  </si>
  <si>
    <t>9A19DIM/827</t>
  </si>
  <si>
    <t>DD310CBBEA54427B92A870A10688410B</t>
  </si>
  <si>
    <t>796593</t>
  </si>
  <si>
    <t>4612 CAMBRIA CIR</t>
  </si>
  <si>
    <t>KETTERLING</t>
  </si>
  <si>
    <t>LYLE L</t>
  </si>
  <si>
    <t>3465242781</t>
  </si>
  <si>
    <t>BHHEPS1534699488</t>
  </si>
  <si>
    <t>8FF6EA32CC26439BB1BDC865FCA6A80F</t>
  </si>
  <si>
    <t>78679</t>
  </si>
  <si>
    <t>330 TOPAZ LN</t>
  </si>
  <si>
    <t>FLAGE</t>
  </si>
  <si>
    <t>DEAN</t>
  </si>
  <si>
    <t>1423783196</t>
  </si>
  <si>
    <t>BHHEPS1534699427</t>
  </si>
  <si>
    <t>68DA1BFE445D4B1A9A0C30C9290F4C12</t>
  </si>
  <si>
    <t>2554 SMITH AVE</t>
  </si>
  <si>
    <t>BURR</t>
  </si>
  <si>
    <t>KATHLEEN P</t>
  </si>
  <si>
    <t>0011953278</t>
  </si>
  <si>
    <t>BHHEPS1534694573</t>
  </si>
  <si>
    <t>623D1C5E26FA48E1858EB69F7AAB93C5</t>
  </si>
  <si>
    <t>E1D2D9BEA4E74E6186B5B5F90589A613</t>
  </si>
  <si>
    <t>837 ADAMS ST</t>
  </si>
  <si>
    <t>LEGARDA</t>
  </si>
  <si>
    <t>JESSICA C</t>
  </si>
  <si>
    <t>5271807013</t>
  </si>
  <si>
    <t>BHHEPS1534694569</t>
  </si>
  <si>
    <t>344D1C21E0DF414C8EBBB0AAF6069550</t>
  </si>
  <si>
    <t>LED11813</t>
  </si>
  <si>
    <t>5445 CARRIAGE HILLS DR</t>
  </si>
  <si>
    <t>SLINGSBY</t>
  </si>
  <si>
    <t>GEOFFREY J</t>
  </si>
  <si>
    <t>4865420270</t>
  </si>
  <si>
    <t>BHHEPS1534685538</t>
  </si>
  <si>
    <t>32CAB71898AF4672884EC197C8B421F8</t>
  </si>
  <si>
    <t>C5A19A100WESD08</t>
  </si>
  <si>
    <t>334 E CUSTER ST</t>
  </si>
  <si>
    <t>UGLAND</t>
  </si>
  <si>
    <t>EDWARD G</t>
  </si>
  <si>
    <t>6574632249</t>
  </si>
  <si>
    <t>BHHEPS1534681779</t>
  </si>
  <si>
    <t>96190ACD7EA941D5B74704C2AFC24092</t>
  </si>
  <si>
    <t>A21152215-27</t>
  </si>
  <si>
    <t>51ED1D26A4CE450F94482C39CB07E1A2</t>
  </si>
  <si>
    <t>18290-004</t>
  </si>
  <si>
    <t>E0F7CBE5C5C144DDAC3AF3C0EA126FE5</t>
  </si>
  <si>
    <t>LF1087-NK7</t>
  </si>
  <si>
    <t>D66B50C98C584D4481CCF40439A8727E</t>
  </si>
  <si>
    <t>C5A19A60WESD06/C5A19A60WESD05</t>
  </si>
  <si>
    <t>B7835AC67A444ACDAC27DE0B70F0BE28</t>
  </si>
  <si>
    <t>327 SAN MARCO BLVD</t>
  </si>
  <si>
    <t>PARKER</t>
  </si>
  <si>
    <t>DAVID G</t>
  </si>
  <si>
    <t>3743279711</t>
  </si>
  <si>
    <t>BHHEPS1534681526</t>
  </si>
  <si>
    <t>84DC49FC4606411C9ECEFCA680CF6637</t>
  </si>
  <si>
    <t>LED11373</t>
  </si>
  <si>
    <t>41FC8770F7A84BE791F1A9884111E412</t>
  </si>
  <si>
    <t>LED11824</t>
  </si>
  <si>
    <t>2661 CAVERN RD</t>
  </si>
  <si>
    <t>PUDWILL</t>
  </si>
  <si>
    <t>CURTIS L</t>
  </si>
  <si>
    <t>2126322875</t>
  </si>
  <si>
    <t>BHHEPS1534681477</t>
  </si>
  <si>
    <t>4F5A62B68C4E4DCE8FD3BE51AB5CE08C</t>
  </si>
  <si>
    <t>LED12181</t>
  </si>
  <si>
    <t>1191B2FA89344B60889EECE1833D70B2</t>
  </si>
  <si>
    <t>1620 N GRAND VISTA CT</t>
  </si>
  <si>
    <t>JEGERIS</t>
  </si>
  <si>
    <t>KARL</t>
  </si>
  <si>
    <t>5087154507</t>
  </si>
  <si>
    <t>BHHEPS1534681436</t>
  </si>
  <si>
    <t>1FF6030B403E4A87B96C5E9D17EB5B80</t>
  </si>
  <si>
    <t>97A5CDA227314FE1AA1FF03975471032</t>
  </si>
  <si>
    <t>12033 SEVERSON LOOP</t>
  </si>
  <si>
    <t>DITTON</t>
  </si>
  <si>
    <t>JIM</t>
  </si>
  <si>
    <t>2515833760</t>
  </si>
  <si>
    <t>BHHEPS1534675191</t>
  </si>
  <si>
    <t>81D1E7B946544043B31DD9CED89369B1</t>
  </si>
  <si>
    <t>3426 GRAY FOX CT</t>
  </si>
  <si>
    <t>HERRERA</t>
  </si>
  <si>
    <t>ANN J</t>
  </si>
  <si>
    <t>5511178400</t>
  </si>
  <si>
    <t>BHHEPS1534661516</t>
  </si>
  <si>
    <t>C5B791C9FA5440CC939084A1A2B67118</t>
  </si>
  <si>
    <t>OM60 830 LED 4</t>
  </si>
  <si>
    <t>D3B3EEF132C94AC1AE74F2520532CB70</t>
  </si>
  <si>
    <t>OM40 830 LED 4</t>
  </si>
  <si>
    <t>18EDD590E52749A490BA41D3236343FC</t>
  </si>
  <si>
    <t>74427</t>
  </si>
  <si>
    <t>8CCEEEE287DA4B08B8F27C9CA135AD2A</t>
  </si>
  <si>
    <t>83418D3431324A2AB47776EE5115EAE7</t>
  </si>
  <si>
    <t>SA1911027MDFD-12DE26-1-11</t>
  </si>
  <si>
    <t>WEBSITE</t>
  </si>
  <si>
    <t>AMAZON.COM</t>
  </si>
  <si>
    <t>4515 LAHINCH ST</t>
  </si>
  <si>
    <t>BRAND</t>
  </si>
  <si>
    <t>MICHAEL D</t>
  </si>
  <si>
    <t>9471995400</t>
  </si>
  <si>
    <t>BHHEPS1534609507</t>
  </si>
  <si>
    <t>FE1882CDCBD14CB6A196E9BC2D8812BC</t>
  </si>
  <si>
    <t>SA19-11027MDFD-12DE26-1-11</t>
  </si>
  <si>
    <t>323324079384438BB73B94C6A12629E9</t>
  </si>
  <si>
    <t>SA1911050MDFD-12DE26-1-11</t>
  </si>
  <si>
    <t>D7AD82BB191542D5A1500322B928CFE7</t>
  </si>
  <si>
    <t>501 CITY SPRINGS RD                               APT 11</t>
  </si>
  <si>
    <t>SUTHERLAND</t>
  </si>
  <si>
    <t>CHANDLER B</t>
  </si>
  <si>
    <t>9084269538</t>
  </si>
  <si>
    <t>BHHEPS1534594095</t>
  </si>
  <si>
    <t>0107ECE13A50454897B7D9B1B9A5EB39</t>
  </si>
  <si>
    <t>9A19G4DIM/827</t>
  </si>
  <si>
    <t>510 COLUMBUS ST</t>
  </si>
  <si>
    <t>WOOD</t>
  </si>
  <si>
    <t>JULIE</t>
  </si>
  <si>
    <t>7573021142</t>
  </si>
  <si>
    <t>BHHEPS1534580376</t>
  </si>
  <si>
    <t>679DB5DAA96E4FF2AC8EAE4DA1AFF6CC</t>
  </si>
  <si>
    <t>14.5SMDL6G4DIM/930</t>
  </si>
  <si>
    <t>E3E678D61AB34810B28C120A4DE6879B</t>
  </si>
  <si>
    <t>FM306930BZ</t>
  </si>
  <si>
    <t>97B9993BA1B9455C91171E85E0AEB60A</t>
  </si>
  <si>
    <t>175FC5C6E34642079447454967FA684B</t>
  </si>
  <si>
    <t>12DLSDIM/927</t>
  </si>
  <si>
    <t>D0D6E6C8F08C4CD3ABFB1CBCBACA2CB7</t>
  </si>
  <si>
    <t>14.5SMDL6DIM/927</t>
  </si>
  <si>
    <t>E10FF516339C4E5A9986FC8D6F42DA3A</t>
  </si>
  <si>
    <t>BHHEPS1534577571</t>
  </si>
  <si>
    <t>A6FF3BB9CEF543A1934AABE6F8BCA4B1</t>
  </si>
  <si>
    <t>BHHEPS1534577329</t>
  </si>
  <si>
    <t>3ABFB6150E3C448DB246E48C3471A4A1</t>
  </si>
  <si>
    <t>1306 ELM ST</t>
  </si>
  <si>
    <t>FOX</t>
  </si>
  <si>
    <t>SAMUEL J</t>
  </si>
  <si>
    <t>1594299001</t>
  </si>
  <si>
    <t>BHHEPS1534577280</t>
  </si>
  <si>
    <t>989A3CE240004B72A97F97B25D646DC3</t>
  </si>
  <si>
    <t>7904 WOODLAND DR</t>
  </si>
  <si>
    <t>RICHARD E</t>
  </si>
  <si>
    <t>2895217110</t>
  </si>
  <si>
    <t>BHHEPS1534575413</t>
  </si>
  <si>
    <t>ACBED4D0855B4F659922C665DE6DF132</t>
  </si>
  <si>
    <t>73190</t>
  </si>
  <si>
    <t>0B6B48FE585E437583B876FFA452330D</t>
  </si>
  <si>
    <t>50W PAR 20 D LED</t>
  </si>
  <si>
    <t>0BEC6ECB91AB41B08547751E969601D1</t>
  </si>
  <si>
    <t>dl-n18a10fr1-27</t>
  </si>
  <si>
    <t>719-495-2400</t>
  </si>
  <si>
    <t>80920</t>
  </si>
  <si>
    <t>CO</t>
  </si>
  <si>
    <t>COLORADO SPRINGS</t>
  </si>
  <si>
    <t>5660 E WOODMAN ROAD</t>
  </si>
  <si>
    <t>HOME DEPOT</t>
  </si>
  <si>
    <t>9191 N EMERALD RIDGE RD</t>
  </si>
  <si>
    <t>VORACHEK</t>
  </si>
  <si>
    <t>KELLY</t>
  </si>
  <si>
    <t>6791985603</t>
  </si>
  <si>
    <t>BHHEPS1534569199</t>
  </si>
  <si>
    <t>D09EDCB7E32C4B67AF8E773B418C5851</t>
  </si>
  <si>
    <t>cer4730my27</t>
  </si>
  <si>
    <t>7195CB8CC7BF47DFB25A4206B6964659</t>
  </si>
  <si>
    <t>74319</t>
  </si>
  <si>
    <t>7280 CASTLEWOOD DR</t>
  </si>
  <si>
    <t>OCONNOR</t>
  </si>
  <si>
    <t>PATRICK J</t>
  </si>
  <si>
    <t>1169205080</t>
  </si>
  <si>
    <t>BHHEPS1534569197</t>
  </si>
  <si>
    <t>122DAB358416497E8EBB574E9959A529</t>
  </si>
  <si>
    <t>74318</t>
  </si>
  <si>
    <t>8537 STABLES DR</t>
  </si>
  <si>
    <t>BISGAARD</t>
  </si>
  <si>
    <t>DEBRA D</t>
  </si>
  <si>
    <t>3341566170</t>
  </si>
  <si>
    <t>BHHEPS1534569194</t>
  </si>
  <si>
    <t>5A936476456B42D399E404047E78A182</t>
  </si>
  <si>
    <t>74316</t>
  </si>
  <si>
    <t>DBC30244870749AFB6EEE741498AF240</t>
  </si>
  <si>
    <t>3013 MOTHERLODE DR</t>
  </si>
  <si>
    <t>HOLSTEIN</t>
  </si>
  <si>
    <t>SHANNON K</t>
  </si>
  <si>
    <t>5773829573</t>
  </si>
  <si>
    <t>BHHEPS1534569186</t>
  </si>
  <si>
    <t>B6384D94A67D4D1DA24985993A84BD28</t>
  </si>
  <si>
    <t>BHHEPS1534554634</t>
  </si>
  <si>
    <t>B30ECD63635742379654D54738B54543</t>
  </si>
  <si>
    <t>0012779FDDFC417C964D9D7E6223ACF4</t>
  </si>
  <si>
    <t>BHHEPS1534550896</t>
  </si>
  <si>
    <t>B6F2BDACC2BF4311A202CFBC4975B448</t>
  </si>
  <si>
    <t>C5B2D026091742C3943B5866FD9C1C3A</t>
  </si>
  <si>
    <t>BHHEPS1534542851</t>
  </si>
  <si>
    <t>9169267A9EFE49AF9911278F528169A7</t>
  </si>
  <si>
    <t>23137 PACTOLA DR</t>
  </si>
  <si>
    <t>OLDENKAMP</t>
  </si>
  <si>
    <t>DOROTHY E</t>
  </si>
  <si>
    <t>5079633753</t>
  </si>
  <si>
    <t>BHHEPS1534535419</t>
  </si>
  <si>
    <t>D98AA03118374BF1BC97D772CC6354B3</t>
  </si>
  <si>
    <t>516 SAINT JAMES ST                                APT 2</t>
  </si>
  <si>
    <t>PADILLA</t>
  </si>
  <si>
    <t>ERNESTO A</t>
  </si>
  <si>
    <t>2536781811</t>
  </si>
  <si>
    <t>BHHEPS1534497444</t>
  </si>
  <si>
    <t>E37A965629A44877B7CAB1FFF38F1E0B</t>
  </si>
  <si>
    <t>5570 NUGGET GULCH DR</t>
  </si>
  <si>
    <t>SHUE</t>
  </si>
  <si>
    <t>CHUCK C</t>
  </si>
  <si>
    <t>0773094880</t>
  </si>
  <si>
    <t>BHHEPS1534463393</t>
  </si>
  <si>
    <t>6D8EAF34A1874B4783332438C77FA1EE</t>
  </si>
  <si>
    <t>F308234C95024C699E7FC2B0FF12902E</t>
  </si>
  <si>
    <t>RL560W9830</t>
  </si>
  <si>
    <t>546 ENCHANTED PINES DR</t>
  </si>
  <si>
    <t>BUCHHOLZ</t>
  </si>
  <si>
    <t>JAMES R</t>
  </si>
  <si>
    <t>4658943298</t>
  </si>
  <si>
    <t>BHHEPS1534426046</t>
  </si>
  <si>
    <t>952B9E22B769466B88DCDDE76D459D44</t>
  </si>
  <si>
    <t>3808 MEADOWBROOK DR</t>
  </si>
  <si>
    <t>FREDERICK</t>
  </si>
  <si>
    <t>MARK C</t>
  </si>
  <si>
    <t>5461790617</t>
  </si>
  <si>
    <t>BHHEPS1534426003</t>
  </si>
  <si>
    <t>786EF8E57D9C4EF0A66313F9FD979752</t>
  </si>
  <si>
    <t>BHHEPS1534426000</t>
  </si>
  <si>
    <t>989A94F497334F87A59767D12E096E76</t>
  </si>
  <si>
    <t>57717</t>
  </si>
  <si>
    <t>BELLE FOURCHE</t>
  </si>
  <si>
    <t>1013 KINGSBURY ST</t>
  </si>
  <si>
    <t>BURCH</t>
  </si>
  <si>
    <t>DARREL</t>
  </si>
  <si>
    <t>3567909410</t>
  </si>
  <si>
    <t>BHHEPS1534377984</t>
  </si>
  <si>
    <t>A75B513E52EA4EC492C7A77D6919EB04</t>
  </si>
  <si>
    <t>824 W MAIN ST</t>
  </si>
  <si>
    <t>KLUG</t>
  </si>
  <si>
    <t>NEIL A</t>
  </si>
  <si>
    <t>4635032157</t>
  </si>
  <si>
    <t>BHHEPS1534377017</t>
  </si>
  <si>
    <t>E121556081DD411089F981C643EE8274</t>
  </si>
  <si>
    <t>1128 PARKWOOD RD</t>
  </si>
  <si>
    <t>GOLDADE</t>
  </si>
  <si>
    <t>DELORES C</t>
  </si>
  <si>
    <t>3047726445</t>
  </si>
  <si>
    <t>BHHEPS1534377012</t>
  </si>
  <si>
    <t>0B9BDE44789D4B41806521FB39C12468</t>
  </si>
  <si>
    <t>E87B26F392A14D14B287AB8567DD137A</t>
  </si>
  <si>
    <t>C422842BDD2E459CA4A4C800794DF636</t>
  </si>
  <si>
    <t>BHHEPS1534361697</t>
  </si>
  <si>
    <t>36E6381272E14C3F99C2F5787298B235</t>
  </si>
  <si>
    <t>BHHEPS1534358501</t>
  </si>
  <si>
    <t>E190D68BCF294FEA9F7D73554AECB670</t>
  </si>
  <si>
    <t>BHHEPS1534357470</t>
  </si>
  <si>
    <t>DA1199F63D5F403082E7C042CF85E43F</t>
  </si>
  <si>
    <t>4606 WENTWORTH DR</t>
  </si>
  <si>
    <t>KOUPAL</t>
  </si>
  <si>
    <t>MATT J</t>
  </si>
  <si>
    <t>3258244820</t>
  </si>
  <si>
    <t>BHHEPS1534243693</t>
  </si>
  <si>
    <t>C454BB8E8605448A959FE7065B245D02</t>
  </si>
  <si>
    <t>F1C877F1C9D44D8988C44D091CCADE41</t>
  </si>
  <si>
    <t>6A14C1B5388743FCB1ED99444AA39F80</t>
  </si>
  <si>
    <t>600 4TH AVE</t>
  </si>
  <si>
    <t>MCNEESE</t>
  </si>
  <si>
    <t>BEVERLY J</t>
  </si>
  <si>
    <t>6386923355</t>
  </si>
  <si>
    <t>BHHEPS1534243084</t>
  </si>
  <si>
    <t>0E5E9E9F80EA479D9D976D6C3D483EDF</t>
  </si>
  <si>
    <t>247 1/2 N 10TH ST</t>
  </si>
  <si>
    <t>HUBLER</t>
  </si>
  <si>
    <t>BRANDON</t>
  </si>
  <si>
    <t>1351661913</t>
  </si>
  <si>
    <t>BHHEPS1534242551</t>
  </si>
  <si>
    <t>BEB79FAB5CEB4349A7E0CE400DDE0ED1</t>
  </si>
  <si>
    <t>9C28233924564EDF8420D14C595C23F3</t>
  </si>
  <si>
    <t>515 ALTA VISTA DR</t>
  </si>
  <si>
    <t>BOCKORNY</t>
  </si>
  <si>
    <t>TODD A</t>
  </si>
  <si>
    <t>4182144992</t>
  </si>
  <si>
    <t>BHHEPS1534242056</t>
  </si>
  <si>
    <t>D5FE214015CB4989AA5B173B51BB21E2</t>
  </si>
  <si>
    <t>6917 COG HILL LN</t>
  </si>
  <si>
    <t>HOLMES</t>
  </si>
  <si>
    <t>DIXIE J</t>
  </si>
  <si>
    <t>0854517046</t>
  </si>
  <si>
    <t>BHHEPS1534134301</t>
  </si>
  <si>
    <t>E96A3B7A28F545729DB68C8E3AFDA31E</t>
  </si>
  <si>
    <t>B5EC99DA98A6472BA164D84BC8824FCE</t>
  </si>
  <si>
    <t>25324 SIDNEY PARK RD</t>
  </si>
  <si>
    <t>STAHL</t>
  </si>
  <si>
    <t>JOHN E</t>
  </si>
  <si>
    <t>0930754044</t>
  </si>
  <si>
    <t>BHHEPS1534134300</t>
  </si>
  <si>
    <t>C3A2A72597A24AA8B9688E48B674135A</t>
  </si>
  <si>
    <t>F4210C7C7B4E4E5A870787B628746DCF</t>
  </si>
  <si>
    <t>6641 CARNOUSTIE CT</t>
  </si>
  <si>
    <t>TRULSON</t>
  </si>
  <si>
    <t>CLAYTON R</t>
  </si>
  <si>
    <t>6298095065</t>
  </si>
  <si>
    <t>BHHEPS1534134297</t>
  </si>
  <si>
    <t>F110E1C3E25941418586A8DD37478283</t>
  </si>
  <si>
    <t>BHHEPS1534134294</t>
  </si>
  <si>
    <t>FDF7809749564CB483E0A24FD1007DAB</t>
  </si>
  <si>
    <t>XEL-014PAL</t>
  </si>
  <si>
    <t>5026 W CHICAGO ST</t>
  </si>
  <si>
    <t>OVERBY</t>
  </si>
  <si>
    <t>SHAMIE D</t>
  </si>
  <si>
    <t>2708415614</t>
  </si>
  <si>
    <t>BHHEPS1534090855</t>
  </si>
  <si>
    <t>3FC8B360E0FF41E991E56E8267AFBCD7</t>
  </si>
  <si>
    <t>RL560</t>
  </si>
  <si>
    <t>1CB4AA83CC234323AA21AC5C8587ECFF</t>
  </si>
  <si>
    <t>LT560WH6930</t>
  </si>
  <si>
    <t>10370 QUAAL RD</t>
  </si>
  <si>
    <t>BARKL</t>
  </si>
  <si>
    <t>MICHAEL J</t>
  </si>
  <si>
    <t>2803796049</t>
  </si>
  <si>
    <t>BHHEPS1534066295</t>
  </si>
  <si>
    <t>A6CE9D1C4358455B8F487C1404952BEE</t>
  </si>
  <si>
    <t>5653 FINCH CT</t>
  </si>
  <si>
    <t>SCHOCK</t>
  </si>
  <si>
    <t>STEVE</t>
  </si>
  <si>
    <t>3818148881</t>
  </si>
  <si>
    <t>BHHEPS1534032921</t>
  </si>
  <si>
    <t>5 GLENDALE LN                                     APT D</t>
  </si>
  <si>
    <t>KELLI</t>
  </si>
  <si>
    <t>1049767998</t>
  </si>
  <si>
    <t>614E74625756454EAB9364FF7F2B27E6</t>
  </si>
  <si>
    <t>BHHEPS1534020486</t>
  </si>
  <si>
    <t>8B935DC7AADC4ABF9BBA9E4E0B10BC7B</t>
  </si>
  <si>
    <t>21250 US HIGHWAY 14A</t>
  </si>
  <si>
    <t>BRUECKNER</t>
  </si>
  <si>
    <t>DAVID P</t>
  </si>
  <si>
    <t>2547917719</t>
  </si>
  <si>
    <t>BHHEPS1534020480</t>
  </si>
  <si>
    <t>61889BE8E9334C2DBFDCF933EEBD3B44</t>
  </si>
  <si>
    <t>2114 HARNEY DR</t>
  </si>
  <si>
    <t>GADE</t>
  </si>
  <si>
    <t>KEITH</t>
  </si>
  <si>
    <t>4557532254</t>
  </si>
  <si>
    <t>BHHEPS1533983138</t>
  </si>
  <si>
    <t>A91C24C719584E57AE9D8FB486AA8D59</t>
  </si>
  <si>
    <t>215 E SUMMIT ST</t>
  </si>
  <si>
    <t>MORLOCK</t>
  </si>
  <si>
    <t>AARON E</t>
  </si>
  <si>
    <t>7974747601</t>
  </si>
  <si>
    <t>BHHEPS1533983115</t>
  </si>
  <si>
    <t>A2B100FD476148688F10C5B8E3755890</t>
  </si>
  <si>
    <t>BHHEPS1533983111</t>
  </si>
  <si>
    <t>2F7F358F474A44A8B243599AFDB384EF</t>
  </si>
  <si>
    <t>612 DEERFIELD CT</t>
  </si>
  <si>
    <t>MATTERN</t>
  </si>
  <si>
    <t>JEF</t>
  </si>
  <si>
    <t>3526003445</t>
  </si>
  <si>
    <t>BHHEPS1533983107</t>
  </si>
  <si>
    <t>8ECBBF00571E408DBA85E94DFEFAC477</t>
  </si>
  <si>
    <t>4036 W MAIN ST</t>
  </si>
  <si>
    <t>BYINGTON</t>
  </si>
  <si>
    <t>JENNIFER J</t>
  </si>
  <si>
    <t>7725172030</t>
  </si>
  <si>
    <t>BHHEPS1533983093</t>
  </si>
  <si>
    <t>93EE9FBCD1FF4B9CA160A348A780CDB8</t>
  </si>
  <si>
    <t>57360133932A42288740B5A75E975D1C</t>
  </si>
  <si>
    <t>2322 PALISADES LOOP</t>
  </si>
  <si>
    <t>SIGMAN</t>
  </si>
  <si>
    <t>DEAN D</t>
  </si>
  <si>
    <t>6704224759</t>
  </si>
  <si>
    <t>BHHEPS1533983085</t>
  </si>
  <si>
    <t>531C271707A54502BF179E6C155F6DC6</t>
  </si>
  <si>
    <t>EV608941</t>
  </si>
  <si>
    <t>2224 CEDAR DR</t>
  </si>
  <si>
    <t>MILLER</t>
  </si>
  <si>
    <t>STACI</t>
  </si>
  <si>
    <t>7666844298</t>
  </si>
  <si>
    <t>BHHEPS1533979114</t>
  </si>
  <si>
    <t>DE7F0AE12804447AB2DA0B35CC97F1DD</t>
  </si>
  <si>
    <t>LED14FMM-165L8</t>
  </si>
  <si>
    <t>D93ACC2B3198482295F3986401669722</t>
  </si>
  <si>
    <t>2631 TUMBLEWEED TRL</t>
  </si>
  <si>
    <t>BUXTON</t>
  </si>
  <si>
    <t>JOHN D</t>
  </si>
  <si>
    <t>0757690714</t>
  </si>
  <si>
    <t>BHHEPS1533979100</t>
  </si>
  <si>
    <t>B9DFA0F8BC14484EBC59AA4B0D27FA4D</t>
  </si>
  <si>
    <t>3110 LAZELLE ST                                   LOT 206</t>
  </si>
  <si>
    <t>MORAN</t>
  </si>
  <si>
    <t>DERIK</t>
  </si>
  <si>
    <t>4855974185</t>
  </si>
  <si>
    <t>BHHEPS1533812940</t>
  </si>
  <si>
    <t>D9D04DB40AFF4593A567FEA8EDE80FB6</t>
  </si>
  <si>
    <t>1211 PINE VIEW DR</t>
  </si>
  <si>
    <t>MEIROSE</t>
  </si>
  <si>
    <t>KENNETH L</t>
  </si>
  <si>
    <t>5076384876</t>
  </si>
  <si>
    <t>BHHEPS1533793764</t>
  </si>
  <si>
    <t>3005CAF42FC849E9894003FCFE1524A6</t>
  </si>
  <si>
    <t>1105 WEST BLVD</t>
  </si>
  <si>
    <t>SHAFF</t>
  </si>
  <si>
    <t>HOWARD</t>
  </si>
  <si>
    <t>4999524514</t>
  </si>
  <si>
    <t>BHHEPS1533793759</t>
  </si>
  <si>
    <t>E81D5AC396874F29B7DE85C014AFB10C</t>
  </si>
  <si>
    <t>2720 WESTGATE DR</t>
  </si>
  <si>
    <t>HUSSEY</t>
  </si>
  <si>
    <t>LANA K</t>
  </si>
  <si>
    <t>2246183095</t>
  </si>
  <si>
    <t>BHHEPS1533793749</t>
  </si>
  <si>
    <t>325AD7E9E38E4351835E0F0221A54ED7</t>
  </si>
  <si>
    <t>1538 N KEPP CT</t>
  </si>
  <si>
    <t>VELUSWAMY</t>
  </si>
  <si>
    <t>SENTHILKUMAR</t>
  </si>
  <si>
    <t>3556914605</t>
  </si>
  <si>
    <t>BHHEPS1533793737</t>
  </si>
  <si>
    <t>88A5A1DCAC8F4BF79B9D2118A7E0FA5F</t>
  </si>
  <si>
    <t>743D2E66A63C49BEAC429166A6445911</t>
  </si>
  <si>
    <t>7674F43B1B6841BFB5A7DF835ACEED4C</t>
  </si>
  <si>
    <t>13644 SUNSHINE VALLEY RD</t>
  </si>
  <si>
    <t>HANSON</t>
  </si>
  <si>
    <t>CHRIS</t>
  </si>
  <si>
    <t>9811162255</t>
  </si>
  <si>
    <t>BHHEPS1533793629</t>
  </si>
  <si>
    <t>289A092278684C9BB1E089972FA762ED</t>
  </si>
  <si>
    <t>931 PELL ST</t>
  </si>
  <si>
    <t>OVIATT</t>
  </si>
  <si>
    <t>DWIGHT R</t>
  </si>
  <si>
    <t>2477779331</t>
  </si>
  <si>
    <t>BHHEPS1533189831</t>
  </si>
  <si>
    <t>2E40ACE45A10499492A11C3E16EBE3A2</t>
  </si>
  <si>
    <t>9215BD31D98943A8BDD8FBA045F42FF4</t>
  </si>
  <si>
    <t>1711 JUNCTION AVE</t>
  </si>
  <si>
    <t>JULIA A</t>
  </si>
  <si>
    <t>2730015257</t>
  </si>
  <si>
    <t>BHHEPS1533177826</t>
  </si>
  <si>
    <t>B58F6CEE49C0483DAD8E930C38628A80</t>
  </si>
  <si>
    <t>43B4C5FED77A48A6936D8D2C8C2BD8F2</t>
  </si>
  <si>
    <t>BHHEPS1533177820</t>
  </si>
  <si>
    <t>12C190264308492AA4342DD06B534A6E</t>
  </si>
  <si>
    <t>319 PINE MOUNTAIN AVE</t>
  </si>
  <si>
    <t>GEORGE M</t>
  </si>
  <si>
    <t>9321158711</t>
  </si>
  <si>
    <t>BHHEPS1533177814</t>
  </si>
  <si>
    <t>55D3732FFA5E4434942FB71383B1DA22</t>
  </si>
  <si>
    <t>DC196DBAECCB4954AE2B0A7C3E3742A8</t>
  </si>
  <si>
    <t>F3969B57ED144145AFCE3010190A1C6D</t>
  </si>
  <si>
    <t>5804 CREEK DR</t>
  </si>
  <si>
    <t>SNYDER</t>
  </si>
  <si>
    <t>SHIRLEY J</t>
  </si>
  <si>
    <t>6589094663</t>
  </si>
  <si>
    <t>BHHEPS1533177811</t>
  </si>
  <si>
    <t>645F567EDFB643CFABBE41EFA2947292</t>
  </si>
  <si>
    <t>101 TIMBERLINE RD</t>
  </si>
  <si>
    <t>SECREST</t>
  </si>
  <si>
    <t>5287462404</t>
  </si>
  <si>
    <t>BHHEPS1533177805</t>
  </si>
  <si>
    <t>684FE11B812E4E85BEF3C6FC8CE6BB74</t>
  </si>
  <si>
    <t>3600 SHERIDAN LAKE RD                             APT 222</t>
  </si>
  <si>
    <t>SCHMITZ</t>
  </si>
  <si>
    <t>LEONA J</t>
  </si>
  <si>
    <t>5201968902</t>
  </si>
  <si>
    <t>BHHEPS1533177801</t>
  </si>
  <si>
    <t>2983915427244725912BD5215FB885F4</t>
  </si>
  <si>
    <t>3600 SHERIDAN LAKE RD                             APT 225</t>
  </si>
  <si>
    <t>CROWN</t>
  </si>
  <si>
    <t>MERLIN</t>
  </si>
  <si>
    <t>6908494798</t>
  </si>
  <si>
    <t>BHHEPS1533177485</t>
  </si>
  <si>
    <t>60F61D02E93D483E93D53466DB65BC5C</t>
  </si>
  <si>
    <t>4106 W SAINT LOUIS ST</t>
  </si>
  <si>
    <t>KAREN M</t>
  </si>
  <si>
    <t>1772335547</t>
  </si>
  <si>
    <t>BHHEPS1533177481</t>
  </si>
  <si>
    <t>0DF8372A6CD74D2B9E5B9A5C1E167BD6</t>
  </si>
  <si>
    <t>57722</t>
  </si>
  <si>
    <t>BUFFALO GAP</t>
  </si>
  <si>
    <t>206 PINE ST</t>
  </si>
  <si>
    <t>MCNEIL</t>
  </si>
  <si>
    <t>PAUL E</t>
  </si>
  <si>
    <t>6043661473</t>
  </si>
  <si>
    <t>BHHEPS1533177479</t>
  </si>
  <si>
    <t>CB8B5A9D41F54D318910A7E89C95093E</t>
  </si>
  <si>
    <t>9012 S RIDGE TRL</t>
  </si>
  <si>
    <t>CALHOON</t>
  </si>
  <si>
    <t>3695010358</t>
  </si>
  <si>
    <t>BHHEPS1533177471</t>
  </si>
  <si>
    <t>C540C3CA90044C01906693909F865EA6</t>
  </si>
  <si>
    <t>1110QXYZCC</t>
  </si>
  <si>
    <t>1206 CLARK ST</t>
  </si>
  <si>
    <t>BELL</t>
  </si>
  <si>
    <t>RICHARD</t>
  </si>
  <si>
    <t>9592390375</t>
  </si>
  <si>
    <t>BHHEPS1533071245</t>
  </si>
  <si>
    <t>857B06854E4445F196ADAA0AFA8C9579</t>
  </si>
  <si>
    <t>2211 SHERIDAN LAKE RD</t>
  </si>
  <si>
    <t>BSHARAH</t>
  </si>
  <si>
    <t>NORMAN D</t>
  </si>
  <si>
    <t>1020448988</t>
  </si>
  <si>
    <t>BHHEPS1533063421</t>
  </si>
  <si>
    <t>CC6F8317646841C1BE59E02CCC6AE7A1</t>
  </si>
  <si>
    <t>622 E IOWA ST</t>
  </si>
  <si>
    <t>GIBSON</t>
  </si>
  <si>
    <t>DOROTHY C</t>
  </si>
  <si>
    <t>4768028179</t>
  </si>
  <si>
    <t>BHHEPS1533056127</t>
  </si>
  <si>
    <t>F5260BF3916440BA9E73C7DB49436E1C</t>
  </si>
  <si>
    <t>B2712C73A65B4A18BF434629668EAF95</t>
  </si>
  <si>
    <t>5909 OAK CT</t>
  </si>
  <si>
    <t>LORE</t>
  </si>
  <si>
    <t>PENNY L</t>
  </si>
  <si>
    <t>3356626658</t>
  </si>
  <si>
    <t>BHHEPS1533056126</t>
  </si>
  <si>
    <t>355CA1E1ABC34560BAB2291AE00C2DAD</t>
  </si>
  <si>
    <t>DA0EA7056ACC447FBE8A8E2407C0A489</t>
  </si>
  <si>
    <t>379BEFDCA0924E03BBF26DEC65FD7CDC</t>
  </si>
  <si>
    <t>1332 PANORAMA CIR</t>
  </si>
  <si>
    <t>PHOENIX</t>
  </si>
  <si>
    <t>JAMES A</t>
  </si>
  <si>
    <t>1153651154</t>
  </si>
  <si>
    <t>BHHEPS1533055976</t>
  </si>
  <si>
    <t>F3A170EF956C4FADB6DB9A7FFE7CBFA0</t>
  </si>
  <si>
    <t>11085 MT SHADOW RD</t>
  </si>
  <si>
    <t>NELSON</t>
  </si>
  <si>
    <t>DOUGLAS E</t>
  </si>
  <si>
    <t>2607823769</t>
  </si>
  <si>
    <t>BHHEPS1533049980</t>
  </si>
  <si>
    <t>640CB9260AB24BCFB31069853312CEC9</t>
  </si>
  <si>
    <t>BHHEPS1533049977</t>
  </si>
  <si>
    <t>636BC7BEA3664804833A764760505725</t>
  </si>
  <si>
    <t>FD857CB25D37448690FB0257AAEC4961</t>
  </si>
  <si>
    <t>BHHEPS1533049974</t>
  </si>
  <si>
    <t>4A6EA165E8674EB2A695D1E5208385EE</t>
  </si>
  <si>
    <t>6343 TIMBERLINE RD W</t>
  </si>
  <si>
    <t>JOHNSON</t>
  </si>
  <si>
    <t>GARY N</t>
  </si>
  <si>
    <t>3708552655</t>
  </si>
  <si>
    <t>BHHEPS1533049967</t>
  </si>
  <si>
    <t>63FA5113050440FA8A4AAC54FE5F42FD</t>
  </si>
  <si>
    <t>43CD637520474F0D8D995D1993A94494</t>
  </si>
  <si>
    <t>103 CORRAL DR</t>
  </si>
  <si>
    <t>HOXENG</t>
  </si>
  <si>
    <t>DOROTHY J</t>
  </si>
  <si>
    <t>5960388348</t>
  </si>
  <si>
    <t>BHHEPS1533049958</t>
  </si>
  <si>
    <t>038003CB91D1490A8E2E22AA87A2B427</t>
  </si>
  <si>
    <t>525 38TH ST</t>
  </si>
  <si>
    <t>GARDINER</t>
  </si>
  <si>
    <t>JEREMY G</t>
  </si>
  <si>
    <t>5606083316</t>
  </si>
  <si>
    <t>BHHEPS1533049954</t>
  </si>
  <si>
    <t>1E0878904B5F4039B687607ABF133D40</t>
  </si>
  <si>
    <t>3040 GOLDEN EAGLE PL</t>
  </si>
  <si>
    <t>SACHARA</t>
  </si>
  <si>
    <t>KRISTINE K</t>
  </si>
  <si>
    <t>3526142241</t>
  </si>
  <si>
    <t>BHHEPS1533038097</t>
  </si>
  <si>
    <t>177ECD39E29846989D97CABC133712EB</t>
  </si>
  <si>
    <t>B8F5443805AA4131A556E5C418DF74DA</t>
  </si>
  <si>
    <t>537 PINE MOUNTAIN AVE</t>
  </si>
  <si>
    <t>HOUSEHOLDER</t>
  </si>
  <si>
    <t>DALE D</t>
  </si>
  <si>
    <t>1329399206</t>
  </si>
  <si>
    <t>BHHEPS1533038092</t>
  </si>
  <si>
    <t>D57E32D2780E410DA533D11A12357B43</t>
  </si>
  <si>
    <t>12520 JAX CT</t>
  </si>
  <si>
    <t>JEFFREY S</t>
  </si>
  <si>
    <t>7186305596</t>
  </si>
  <si>
    <t>BHHEPS1533038084</t>
  </si>
  <si>
    <t>96272D30C9064A3388E57F8B2B789FC8</t>
  </si>
  <si>
    <t>42D5B50047FC42CE9BE781C77D080A8E</t>
  </si>
  <si>
    <t>ECE06F49FA11411FAFD15408890AB99E</t>
  </si>
  <si>
    <t>345 1/2 N 7TH ST</t>
  </si>
  <si>
    <t>SOMMER</t>
  </si>
  <si>
    <t>APRIL J</t>
  </si>
  <si>
    <t>5640460322</t>
  </si>
  <si>
    <t>BHHEPS1533038078</t>
  </si>
  <si>
    <t>46A55D61152C4F0783AA868797DD8A0E</t>
  </si>
  <si>
    <t>10 SAMPSON ST</t>
  </si>
  <si>
    <t>DAMMEN</t>
  </si>
  <si>
    <t>CORREEN G</t>
  </si>
  <si>
    <t>1624061431</t>
  </si>
  <si>
    <t>BHHEPS1533038070</t>
  </si>
  <si>
    <t>2BD6D0A8ABF1428EBD2CD2122B1B47EB</t>
  </si>
  <si>
    <t>5CCE73BE4A4344088382BD6E99EFF2A7</t>
  </si>
  <si>
    <t>RL560WH6830</t>
  </si>
  <si>
    <t>3110 AMERICAN EAGLE RD</t>
  </si>
  <si>
    <t>JONES</t>
  </si>
  <si>
    <t>JASON D</t>
  </si>
  <si>
    <t>0893721824</t>
  </si>
  <si>
    <t>BHHEPS1533037916</t>
  </si>
  <si>
    <t>0F781031B7734B3380F7FC8F9F393063</t>
  </si>
  <si>
    <t>12043 FOX TAIL LN</t>
  </si>
  <si>
    <t>SEVERSON</t>
  </si>
  <si>
    <t>DAVID L</t>
  </si>
  <si>
    <t>0186806786</t>
  </si>
  <si>
    <t>BHHEPS1533018140</t>
  </si>
  <si>
    <t>6DE8D27B723A4046B2DFBC123B08B263</t>
  </si>
  <si>
    <t>32BDC1A7F7764427825107AF2A763EF9</t>
  </si>
  <si>
    <t>BHHEPS1532959455</t>
  </si>
  <si>
    <t>AC4628925F01434DBADBABEAD2C0D2B7</t>
  </si>
  <si>
    <t>1609 PINE ST</t>
  </si>
  <si>
    <t>MECHLING</t>
  </si>
  <si>
    <t>SHAWN M</t>
  </si>
  <si>
    <t>1546455262</t>
  </si>
  <si>
    <t>BHHEPS1532959440</t>
  </si>
  <si>
    <t>335A515305F14D049C17347545340157</t>
  </si>
  <si>
    <t>DEAAC3783AAE4BA59FD0401347438E9A</t>
  </si>
  <si>
    <t>821 FLORMANN ST</t>
  </si>
  <si>
    <t>MCGOVERN</t>
  </si>
  <si>
    <t>RETA F</t>
  </si>
  <si>
    <t>0102317983</t>
  </si>
  <si>
    <t>BHHEPS1532959435</t>
  </si>
  <si>
    <t>ADC6CCFF2FA7416C96FDC402B8FAE0F4</t>
  </si>
  <si>
    <t>849961BAA3A941AEA0A038F0FB699833</t>
  </si>
  <si>
    <t>6319 SEMINOLE LN</t>
  </si>
  <si>
    <t>ODDEN</t>
  </si>
  <si>
    <t>MATTHEW D</t>
  </si>
  <si>
    <t>0519998588</t>
  </si>
  <si>
    <t>BHHEPS1532959427</t>
  </si>
  <si>
    <t>85990D92E5CA47BC934F3DB8DEBFB848</t>
  </si>
  <si>
    <t>6828 DUNSMORE RD</t>
  </si>
  <si>
    <t>DURANT</t>
  </si>
  <si>
    <t>DONNA</t>
  </si>
  <si>
    <t>5165458288</t>
  </si>
  <si>
    <t>BHHEPS1532959423</t>
  </si>
  <si>
    <t>818E079FA766430DAB40BE0820FE04F6</t>
  </si>
  <si>
    <t>A25277F11E2546519E8E85091434EC79</t>
  </si>
  <si>
    <t>B9DB74987BAA46F192BAFFAE7438C7E2</t>
  </si>
  <si>
    <t>2124 WISCONSIN AVE</t>
  </si>
  <si>
    <t>WOLF</t>
  </si>
  <si>
    <t>KYLE D</t>
  </si>
  <si>
    <t>1645696726</t>
  </si>
  <si>
    <t>BHHEPS1532959419</t>
  </si>
  <si>
    <t>87F775873EDE48F3A5E7AAE73D6FFBF8</t>
  </si>
  <si>
    <t>228 E PHILADELPHIA ST                             APT C3</t>
  </si>
  <si>
    <t>RICHMOND</t>
  </si>
  <si>
    <t>GORDON D</t>
  </si>
  <si>
    <t>5724731883</t>
  </si>
  <si>
    <t>BHHEPS1532959398</t>
  </si>
  <si>
    <t>8827E1DF40344B9F90B5FEDC3AD79F6A</t>
  </si>
  <si>
    <t>AF0165DD52164D2FB1D138E747799FF8</t>
  </si>
  <si>
    <t>12415 MINERS LN</t>
  </si>
  <si>
    <t>BLAND</t>
  </si>
  <si>
    <t>TANNER G</t>
  </si>
  <si>
    <t>2151562178</t>
  </si>
  <si>
    <t>BHHEPS1532959395</t>
  </si>
  <si>
    <t>6FC4453CA02D4CFE87671FF3D7CBEA73</t>
  </si>
  <si>
    <t>121 OLD GLORY PL</t>
  </si>
  <si>
    <t>DEMPSEY</t>
  </si>
  <si>
    <t>STEPHEN D</t>
  </si>
  <si>
    <t>6763060226</t>
  </si>
  <si>
    <t>BHHEPS1532959392</t>
  </si>
  <si>
    <t>Residential - BHPSD - Residential Lighting &amp; Appliances</t>
  </si>
  <si>
    <t>6DCAC80DEF66400381F1B8C343A4BDAC</t>
  </si>
  <si>
    <t>AOU24RLXFZH</t>
  </si>
  <si>
    <t>25000</t>
  </si>
  <si>
    <t>Ductless Mini-Split HP SEER &gt;= 19</t>
  </si>
  <si>
    <t>Residential Heat Pumps :- Residential Mini-Split :- Customer Incentives</t>
  </si>
  <si>
    <t>3209 BROADMOOR DR</t>
  </si>
  <si>
    <t>BARBER</t>
  </si>
  <si>
    <t>PAUL J</t>
  </si>
  <si>
    <t>1806847280</t>
  </si>
  <si>
    <t>BHHEPS1534689142</t>
  </si>
  <si>
    <t>87AAE910308847DFA1DE183EF74B11BD</t>
  </si>
  <si>
    <t>MPB024S4S-1P</t>
  </si>
  <si>
    <t>605-342-5107</t>
  </si>
  <si>
    <t>3303 CRAIG ST</t>
  </si>
  <si>
    <t>STREET HEATING and SHEET METAL</t>
  </si>
  <si>
    <t>7512 RED RIDGE DR</t>
  </si>
  <si>
    <t>PETERSON</t>
  </si>
  <si>
    <t>BRIAN C</t>
  </si>
  <si>
    <t>1491875812</t>
  </si>
  <si>
    <t>BHHEPS1534681507</t>
  </si>
  <si>
    <t>2832373D409C48448EDAB2B5BE9E0887</t>
  </si>
  <si>
    <t>HP10-50H45DV 120</t>
  </si>
  <si>
    <t>Residential Heat Pumps :- Residential Heat Pumps - HP Water Heater :- Customer Incentives</t>
  </si>
  <si>
    <t>6600 MEADOW ROSE LN</t>
  </si>
  <si>
    <t>KAYSER</t>
  </si>
  <si>
    <t>BRIAN V</t>
  </si>
  <si>
    <t>0578459107</t>
  </si>
  <si>
    <t>BHHEPS1534598450</t>
  </si>
  <si>
    <t>C2B112EB80B649DF9F5A2DB4662D7E0E</t>
  </si>
  <si>
    <t>Early Retirement Heat Pump (1-5 tons)</t>
  </si>
  <si>
    <t>Residential Heat Pumps :- Residential Heat Pumps - ER Heat Pump :- Customer Incentives</t>
  </si>
  <si>
    <t>7022 E HIGH MEADOWS RD</t>
  </si>
  <si>
    <t>BOOZE</t>
  </si>
  <si>
    <t>PATTY</t>
  </si>
  <si>
    <t>4278018709</t>
  </si>
  <si>
    <t>BHHEPS1534575636</t>
  </si>
  <si>
    <t>BCDAB18D78A7452DB5B638A2856D4F97</t>
  </si>
  <si>
    <t>288bnv0480001</t>
  </si>
  <si>
    <t>Air Source Heat Pump - SEER &gt;= 15, EER &gt;= 12.5, HSPF &gt;= 8.5</t>
  </si>
  <si>
    <t>Residential Heat Pumps :- Residential Heat Pumps - Air Source Heat Pumps :- Customer Incentives</t>
  </si>
  <si>
    <t>vikingmechanical@msn.com</t>
  </si>
  <si>
    <t>605-341-4200</t>
  </si>
  <si>
    <t>2435 CARTER DR</t>
  </si>
  <si>
    <t>VIKING MECHANICAL</t>
  </si>
  <si>
    <t>5108 RIDGEVIEW RD</t>
  </si>
  <si>
    <t>RICHARDSON</t>
  </si>
  <si>
    <t>2261077384</t>
  </si>
  <si>
    <t>BHHEPS1534497326</t>
  </si>
  <si>
    <t>31E05ECEF1694E7FBDDC1CEDDC870B99</t>
  </si>
  <si>
    <t>dlarson@precisionmech.biz</t>
  </si>
  <si>
    <t>570 S HIGHWAY 79</t>
  </si>
  <si>
    <t>PRECISION MECHANICAL</t>
  </si>
  <si>
    <t>1505 BUENA VISTA RD</t>
  </si>
  <si>
    <t>BATKA</t>
  </si>
  <si>
    <t>KENNETH</t>
  </si>
  <si>
    <t>1793877417</t>
  </si>
  <si>
    <t>BHHEPS1534471374</t>
  </si>
  <si>
    <t>3A097423695149F8962E20A4ACEF73E7</t>
  </si>
  <si>
    <t>605-745-4789</t>
  </si>
  <si>
    <t>1346 GALVESTON AVE</t>
  </si>
  <si>
    <t>NELSONS OIL and GAS</t>
  </si>
  <si>
    <t>341 S 15TH ST</t>
  </si>
  <si>
    <t>KAISER</t>
  </si>
  <si>
    <t>DOROTHY R</t>
  </si>
  <si>
    <t>3775431190</t>
  </si>
  <si>
    <t>BHHEPS1534455537</t>
  </si>
  <si>
    <t>F90975A0EA6B420F8EE7B17708CD4E35</t>
  </si>
  <si>
    <t>4A6H4030G100AA</t>
  </si>
  <si>
    <t>605-642-2983</t>
  </si>
  <si>
    <t>530 W JACKSON</t>
  </si>
  <si>
    <t>SPEARFISH ELECTRIC AND HEATING</t>
  </si>
  <si>
    <t>712 CEDAR LN</t>
  </si>
  <si>
    <t>ZVORAK</t>
  </si>
  <si>
    <t>ADAM</t>
  </si>
  <si>
    <t>2246921381</t>
  </si>
  <si>
    <t>BHHEPS1534351604</t>
  </si>
  <si>
    <t>3D0322F074224140A98E8E1ADCBB1E1F</t>
  </si>
  <si>
    <t>MPB036S4M-1P</t>
  </si>
  <si>
    <t>24600</t>
  </si>
  <si>
    <t>605-721-1211</t>
  </si>
  <si>
    <t>PO BOX 782</t>
  </si>
  <si>
    <t>ALL SEASONS HEATING AND COOLING</t>
  </si>
  <si>
    <t>9407 WALDAN LN</t>
  </si>
  <si>
    <t>GOODRICH</t>
  </si>
  <si>
    <t>GRAYLE</t>
  </si>
  <si>
    <t>3704355296</t>
  </si>
  <si>
    <t>BHHEPS1534351146</t>
  </si>
  <si>
    <t>75EF2F08C32949C19BA7FFD3F5FB0387</t>
  </si>
  <si>
    <t>25HCB536A</t>
  </si>
  <si>
    <t>Hot Springs</t>
  </si>
  <si>
    <t>12807 Pine Haven Rd</t>
  </si>
  <si>
    <t>Dustin KLeinsasser</t>
  </si>
  <si>
    <t>KLeinsasser</t>
  </si>
  <si>
    <t>Dustin</t>
  </si>
  <si>
    <t>2638723210</t>
  </si>
  <si>
    <t>BHHEPS1534340648</t>
  </si>
  <si>
    <t>Electric Water Heater - EF &lt; 0.95</t>
  </si>
  <si>
    <t>Residential Water Heating :- Customer Incentives</t>
  </si>
  <si>
    <t>96CA041D693C4FC79C11982483B8D7E5</t>
  </si>
  <si>
    <t>1502 GERMOND ST</t>
  </si>
  <si>
    <t>TONSAGER</t>
  </si>
  <si>
    <t>KENNETH M</t>
  </si>
  <si>
    <t>2825382743</t>
  </si>
  <si>
    <t>BHHEPS1534196337</t>
  </si>
  <si>
    <t>F43D35AADF9E4E3A895F08AFFF481F4F</t>
  </si>
  <si>
    <t>XP17-036-230-08</t>
  </si>
  <si>
    <t>12558 CLAYTON DR</t>
  </si>
  <si>
    <t>DESMET</t>
  </si>
  <si>
    <t>2332424785</t>
  </si>
  <si>
    <t>BHHEPS1534196283</t>
  </si>
  <si>
    <t>1838DF6ED36B445CA63ACFF542F7A74A</t>
  </si>
  <si>
    <t>GEH50DFEJSRA</t>
  </si>
  <si>
    <t>LOWES</t>
  </si>
  <si>
    <t>Black Hawk</t>
  </si>
  <si>
    <t>9501 S High Meadows Dr&lt;br&gt;Black Hawk</t>
  </si>
  <si>
    <t>Danny Rexroad</t>
  </si>
  <si>
    <t>Rexroad</t>
  </si>
  <si>
    <t>Danny</t>
  </si>
  <si>
    <t>0561 5238 59</t>
  </si>
  <si>
    <t>BHHEPS1534134046</t>
  </si>
  <si>
    <t>0EB80E37C9C54501A70DAC7A7A4542D3</t>
  </si>
  <si>
    <t>MXZ-2C20NA2</t>
  </si>
  <si>
    <t>13500</t>
  </si>
  <si>
    <t>605-642-5756</t>
  </si>
  <si>
    <t>PO BOX 97</t>
  </si>
  <si>
    <t>WOLFFS PLUMBING and HTG</t>
  </si>
  <si>
    <t>2507 N 2ND ST</t>
  </si>
  <si>
    <t>ALDINGER</t>
  </si>
  <si>
    <t>KENDALL J</t>
  </si>
  <si>
    <t>6157666834</t>
  </si>
  <si>
    <t>BHHEPS1534131452</t>
  </si>
  <si>
    <t>C5D2596CBC4146D49E21F3FA05FBF858</t>
  </si>
  <si>
    <t>DRSERVICE@RUSHMORE.COM</t>
  </si>
  <si>
    <t>605-723-9600</t>
  </si>
  <si>
    <t>3030 W ST LOUIS ST</t>
  </si>
  <si>
    <t>D AND R SERVICE INC</t>
  </si>
  <si>
    <t>8405 BLACKBIRD CT</t>
  </si>
  <si>
    <t>FRANK A</t>
  </si>
  <si>
    <t>2416401538</t>
  </si>
  <si>
    <t>BHHEPS1534115262</t>
  </si>
  <si>
    <t>E50H6-45110</t>
  </si>
  <si>
    <t>50</t>
  </si>
  <si>
    <t>605-394-9411</t>
  </si>
  <si>
    <t>PO BOX 2026</t>
  </si>
  <si>
    <t>K and D Appliance</t>
  </si>
  <si>
    <t>3CACACDCEC4F4172B526658851B8C1E2</t>
  </si>
  <si>
    <t>6EM40-D</t>
  </si>
  <si>
    <t>.95</t>
  </si>
  <si>
    <t>40</t>
  </si>
  <si>
    <t>60000</t>
  </si>
  <si>
    <t>Electric Water Heater - EF &gt;= 0.95</t>
  </si>
  <si>
    <t>6006 OAK CT                                       APT 14 5</t>
  </si>
  <si>
    <t>3222856765</t>
  </si>
  <si>
    <t>BHHEPS1534036960</t>
  </si>
  <si>
    <t>2EE754A19AF24281A8C197635044B703</t>
  </si>
  <si>
    <t>338 S 4TH ST</t>
  </si>
  <si>
    <t>MOWRY</t>
  </si>
  <si>
    <t>LARRY</t>
  </si>
  <si>
    <t>2873873336</t>
  </si>
  <si>
    <t>BHHEPS1534033125</t>
  </si>
  <si>
    <t>23E71EF31FC74408A82A38E61DBC3CBB</t>
  </si>
  <si>
    <t>9E50-DEL</t>
  </si>
  <si>
    <t>8607 BLUCKSBERG CT</t>
  </si>
  <si>
    <t>FORD</t>
  </si>
  <si>
    <t>SUSAN</t>
  </si>
  <si>
    <t>3970222054</t>
  </si>
  <si>
    <t>BHHEPS1534033066</t>
  </si>
  <si>
    <t>08DD487748994345914A238FD825BF7E</t>
  </si>
  <si>
    <t>4240 PENROSE PL</t>
  </si>
  <si>
    <t>CHAD A</t>
  </si>
  <si>
    <t>5309757011</t>
  </si>
  <si>
    <t>BHHEPS1533979017</t>
  </si>
  <si>
    <t>8E53205B959145C89DD86C0CCB406C63</t>
  </si>
  <si>
    <t>ANZ140301A</t>
  </si>
  <si>
    <t>craig.waddington@onehourair.com</t>
  </si>
  <si>
    <t>605-718-5403</t>
  </si>
  <si>
    <t>PO BOX 381</t>
  </si>
  <si>
    <t>ONE HOUR HEATING AND AIRCONDITIONING</t>
  </si>
  <si>
    <t>3215 HALL ST</t>
  </si>
  <si>
    <t>PALECK</t>
  </si>
  <si>
    <t>STEVE A</t>
  </si>
  <si>
    <t>2659553869</t>
  </si>
  <si>
    <t>BHHEPS1533979000</t>
  </si>
  <si>
    <t>6F8754E78D90496F9F8D5A8BFBBDD629</t>
  </si>
  <si>
    <t>AOU15RLS3</t>
  </si>
  <si>
    <t>11200</t>
  </si>
  <si>
    <t>510 S 15TH ST</t>
  </si>
  <si>
    <t>IVERSON</t>
  </si>
  <si>
    <t>8558139863</t>
  </si>
  <si>
    <t>BHHEPS1533978917</t>
  </si>
  <si>
    <t>44593D1B06FA4D4C9326AFEB15FD4D50</t>
  </si>
  <si>
    <t>650 EORS 110</t>
  </si>
  <si>
    <t>ACE1@GWTC.NET</t>
  </si>
  <si>
    <t>605-745-5173</t>
  </si>
  <si>
    <t>207 S CHICAGO</t>
  </si>
  <si>
    <t>ACE HARDWARE</t>
  </si>
  <si>
    <t>114 DORAN RD</t>
  </si>
  <si>
    <t>SCHUMACHER</t>
  </si>
  <si>
    <t>ELIZABETH</t>
  </si>
  <si>
    <t>2651621360</t>
  </si>
  <si>
    <t>BHHEPS1533978905</t>
  </si>
  <si>
    <t>A2DCBE4178E842078CC0E072B5BF39A1</t>
  </si>
  <si>
    <t>650EORS 110</t>
  </si>
  <si>
    <t>50.</t>
  </si>
  <si>
    <t>25116 GRANITE HEIGHTS DR</t>
  </si>
  <si>
    <t>HOWELL</t>
  </si>
  <si>
    <t>3697345269</t>
  </si>
  <si>
    <t>BHHEPS1533978894</t>
  </si>
  <si>
    <t>4CD3E0C3BE2C41E08761CE9AD831BA1C</t>
  </si>
  <si>
    <t>12E50-DEC</t>
  </si>
  <si>
    <t>PO Box 758&lt;br&gt;1737 Canton Ave</t>
  </si>
  <si>
    <t>Doris Truth</t>
  </si>
  <si>
    <t>Truth</t>
  </si>
  <si>
    <t>Doris</t>
  </si>
  <si>
    <t>4272210921</t>
  </si>
  <si>
    <t>BHHEPS1533923298</t>
  </si>
  <si>
    <t>376E19B0705642968E2B5EF1BF22B38A</t>
  </si>
  <si>
    <t>6E50-D</t>
  </si>
  <si>
    <t>0.95</t>
  </si>
  <si>
    <t>1401 WHITETAIL DR</t>
  </si>
  <si>
    <t>JAMES M LASSLE</t>
  </si>
  <si>
    <t>LASSLE</t>
  </si>
  <si>
    <t>JAMES M</t>
  </si>
  <si>
    <t>4888758534</t>
  </si>
  <si>
    <t>BHHEPS1533893359</t>
  </si>
  <si>
    <t>F8F9B7C54F5F45AA8CA810CA08E867C5</t>
  </si>
  <si>
    <t>12EM50-DEC</t>
  </si>
  <si>
    <t>battles@freemanselectric.com</t>
  </si>
  <si>
    <t>605-347-0110</t>
  </si>
  <si>
    <t>901 E DICKSON LANE</t>
  </si>
  <si>
    <t>FREEMANS ELECTRIC SERVICE</t>
  </si>
  <si>
    <t>2021 Forest St.</t>
  </si>
  <si>
    <t>Brown</t>
  </si>
  <si>
    <t>Tyler</t>
  </si>
  <si>
    <t>1105201165</t>
  </si>
  <si>
    <t>BHHEPS1533882545</t>
  </si>
  <si>
    <t>08D5FD076A0849F0B816AD196CA1C0E4</t>
  </si>
  <si>
    <t>GEH50DFEJSRB</t>
  </si>
  <si>
    <t>Deadwood</t>
  </si>
  <si>
    <t>16 Pleasant Street</t>
  </si>
  <si>
    <t>Alexandra Lux</t>
  </si>
  <si>
    <t>Lux</t>
  </si>
  <si>
    <t>Alexandra</t>
  </si>
  <si>
    <t>0629965957</t>
  </si>
  <si>
    <t>BHHEPS1533863016</t>
  </si>
  <si>
    <t>45CBBFDBBE634327957DBCB47AF4ECF0</t>
  </si>
  <si>
    <t>NE3F30LBD 110</t>
  </si>
  <si>
    <t>30</t>
  </si>
  <si>
    <t>7365 Rena Ln</t>
  </si>
  <si>
    <t>Czmowski</t>
  </si>
  <si>
    <t>Ron</t>
  </si>
  <si>
    <t>4836377851</t>
  </si>
  <si>
    <t>BHHEPS1533829901</t>
  </si>
  <si>
    <t>DE7F77E26D214CD6B90048BA7807789A</t>
  </si>
  <si>
    <t>25030 LECHNER LN</t>
  </si>
  <si>
    <t>LANNOYE, GERALD</t>
  </si>
  <si>
    <t>LANNOYE</t>
  </si>
  <si>
    <t>GERALD</t>
  </si>
  <si>
    <t>9733730916</t>
  </si>
  <si>
    <t>BHHEPS1533818587</t>
  </si>
  <si>
    <t>8B073540895B4D2A81A9186B17214A76</t>
  </si>
  <si>
    <t>6EM40D</t>
  </si>
  <si>
    <t>559 STEALTH LN</t>
  </si>
  <si>
    <t>PAYNE</t>
  </si>
  <si>
    <t>ARLENE A</t>
  </si>
  <si>
    <t>4384377754</t>
  </si>
  <si>
    <t>BHHEPS1533805188</t>
  </si>
  <si>
    <t>DE63FA603E324208B8AF447295AA4FD6</t>
  </si>
  <si>
    <t>HPTU-66 120</t>
  </si>
  <si>
    <t>375 PINE MOUNTAIN AVE</t>
  </si>
  <si>
    <t>ROBINSON</t>
  </si>
  <si>
    <t>MARK D</t>
  </si>
  <si>
    <t>2535079025</t>
  </si>
  <si>
    <t>BHHEPS1533794133</t>
  </si>
  <si>
    <t>F9E58CCA402A49DFBE522467EBF017CC</t>
  </si>
  <si>
    <t>120 MATKINS PL</t>
  </si>
  <si>
    <t>STACH</t>
  </si>
  <si>
    <t>PETER J</t>
  </si>
  <si>
    <t>4551423387</t>
  </si>
  <si>
    <t>BHHEPS1533460591</t>
  </si>
  <si>
    <t>4317175D2DB74A0E8305234FEAFB5A5C</t>
  </si>
  <si>
    <t>MR24DY3JMA</t>
  </si>
  <si>
    <t>24000</t>
  </si>
  <si>
    <t>12810 PINE HAVEN RD</t>
  </si>
  <si>
    <t>SCHUH</t>
  </si>
  <si>
    <t>JOSHUA W</t>
  </si>
  <si>
    <t>5985853371</t>
  </si>
  <si>
    <t>BHHEPS1533191057</t>
  </si>
  <si>
    <t>96835D797EF441F0A72771835192922C</t>
  </si>
  <si>
    <t>MR36TQY3JMA</t>
  </si>
  <si>
    <t>36000</t>
  </si>
  <si>
    <t>90B0314E0C1547C485393CFFDB532B5D</t>
  </si>
  <si>
    <t>MR24DY3JM</t>
  </si>
  <si>
    <t>16200</t>
  </si>
  <si>
    <t>312 MEADOWLARK DR</t>
  </si>
  <si>
    <t>LUKENS</t>
  </si>
  <si>
    <t>WILLIAM O</t>
  </si>
  <si>
    <t>5122490478</t>
  </si>
  <si>
    <t>BHHEPS1533172301</t>
  </si>
  <si>
    <t>48D44AE322BE4D35BA9B079830EC22F1</t>
  </si>
  <si>
    <t>N/A</t>
  </si>
  <si>
    <t>BHHEPS1533167861</t>
  </si>
  <si>
    <t>5118ABE6B6C946E18969BFEE9720C0DA</t>
  </si>
  <si>
    <t>26400</t>
  </si>
  <si>
    <t>28469 OLD HIGHWAY 18</t>
  </si>
  <si>
    <t>3033726167</t>
  </si>
  <si>
    <t>BHHEPS1533150367</t>
  </si>
  <si>
    <t>8048BB36872F4CEC880AC215BA5E5B1D</t>
  </si>
  <si>
    <t>2329 ELY AVE</t>
  </si>
  <si>
    <t>MEARS</t>
  </si>
  <si>
    <t>OLIVIA</t>
  </si>
  <si>
    <t>5822419630</t>
  </si>
  <si>
    <t>BHHEPS1533142784</t>
  </si>
  <si>
    <t>68D65D168CAB49AAA1ABD43CF54E2485</t>
  </si>
  <si>
    <t>E40R6-45-110</t>
  </si>
  <si>
    <t>2608 HIDDEN TIMBERS</t>
  </si>
  <si>
    <t>BESHARA</t>
  </si>
  <si>
    <t>TIM L</t>
  </si>
  <si>
    <t>5959427933</t>
  </si>
  <si>
    <t>BHHEPS1533137788</t>
  </si>
  <si>
    <t>305057C3D9C243FAAF4CF945F2450B42</t>
  </si>
  <si>
    <t>ASU18RLF    AOU18RLXFWH</t>
  </si>
  <si>
    <t>17900</t>
  </si>
  <si>
    <t>57762</t>
  </si>
  <si>
    <t>NISLAND</t>
  </si>
  <si>
    <t>209 2ND ST</t>
  </si>
  <si>
    <t>RAPOSA</t>
  </si>
  <si>
    <t>MICHELE A</t>
  </si>
  <si>
    <t>5306240745</t>
  </si>
  <si>
    <t>BHHEPS1533137769</t>
  </si>
  <si>
    <t>625F833B7FC34474A69F9EA328AFBA97</t>
  </si>
  <si>
    <t>630 EORT 100</t>
  </si>
  <si>
    <t>27461 PASS RD</t>
  </si>
  <si>
    <t>SEABOLDT</t>
  </si>
  <si>
    <t>ALONZO B</t>
  </si>
  <si>
    <t>4130513188</t>
  </si>
  <si>
    <t>BHHEPS1533130223</t>
  </si>
  <si>
    <t>D392B3D83B4D4FF8970E48363A682E1A</t>
  </si>
  <si>
    <t>57751</t>
  </si>
  <si>
    <t>KEYSTONE</t>
  </si>
  <si>
    <t>24174 S ROCKERVILLE RD</t>
  </si>
  <si>
    <t>WIEBE</t>
  </si>
  <si>
    <t>TRACY L</t>
  </si>
  <si>
    <t>2433454577</t>
  </si>
  <si>
    <t>BHHEPS1533071423</t>
  </si>
  <si>
    <t>AC0A0B32BE93496FAA74641D8F9746C1</t>
  </si>
  <si>
    <t>210 S FISK AVE</t>
  </si>
  <si>
    <t>ELMORE</t>
  </si>
  <si>
    <t>RICHARD G</t>
  </si>
  <si>
    <t>0758710187</t>
  </si>
  <si>
    <t>BHHEPS1533061346</t>
  </si>
  <si>
    <t>E4B1F38985B84EDFB02D262F57779B1C</t>
  </si>
  <si>
    <t>505 H ST</t>
  </si>
  <si>
    <t>HAUGE</t>
  </si>
  <si>
    <t>VICKIE</t>
  </si>
  <si>
    <t>1735721659</t>
  </si>
  <si>
    <t>BHHEPS1533053182</t>
  </si>
  <si>
    <t>9F2396C620E443738408CCFEA6094859</t>
  </si>
  <si>
    <t>PRO E50T2RH95</t>
  </si>
  <si>
    <t>919 MAIN ST</t>
  </si>
  <si>
    <t>OLD NORTH LLC</t>
  </si>
  <si>
    <t>0303749475</t>
  </si>
  <si>
    <t>BHHEPS1533049757</t>
  </si>
  <si>
    <t>E6A2003CCFFB4C5CBA4723943581CE42</t>
  </si>
  <si>
    <t>E40 1 RH MH</t>
  </si>
  <si>
    <t>14760 E HILLS VIEW DR</t>
  </si>
  <si>
    <t>GREEN</t>
  </si>
  <si>
    <t>SAMANTHA</t>
  </si>
  <si>
    <t>3412682792</t>
  </si>
  <si>
    <t>BHHEPS1533031692</t>
  </si>
  <si>
    <t>AC4FF1191F624352BB31F0C4EFE00C92</t>
  </si>
  <si>
    <t>MXZ-8C48NAHZ</t>
  </si>
  <si>
    <t>54000</t>
  </si>
  <si>
    <t>jdinfo@midconetwork.com</t>
  </si>
  <si>
    <t>605-716-1366</t>
  </si>
  <si>
    <t>12176 SIOUXLAND RD</t>
  </si>
  <si>
    <t>JDS EQUIPMENT SVC LLC</t>
  </si>
  <si>
    <t>BHHEPS1533022276</t>
  </si>
  <si>
    <t>222CC87FC243413FB150F241BAA394C4</t>
  </si>
  <si>
    <t>HPTU 50 120</t>
  </si>
  <si>
    <t>BKALTVEDT@MWMECH.COM</t>
  </si>
  <si>
    <t>605-394-9636</t>
  </si>
  <si>
    <t>1865 SAMCO RD</t>
  </si>
  <si>
    <t>MIDWESTERN MECHANICAL INC</t>
  </si>
  <si>
    <t>2714 HOEFER AVE</t>
  </si>
  <si>
    <t>WALKER</t>
  </si>
  <si>
    <t>LARRY V</t>
  </si>
  <si>
    <t>2574716712</t>
  </si>
  <si>
    <t>BHHEPS1533017969</t>
  </si>
  <si>
    <t>0247768AF3744E828843C68580D6F077</t>
  </si>
  <si>
    <t>ENT 50 100</t>
  </si>
  <si>
    <t>5265 PINEDALE CIR</t>
  </si>
  <si>
    <t>ANDERSON</t>
  </si>
  <si>
    <t>CURTIS</t>
  </si>
  <si>
    <t>5981851164</t>
  </si>
  <si>
    <t>BHHEPS1533017948</t>
  </si>
  <si>
    <t>B3B62AED2674485A8AF1B9FF7823074B</t>
  </si>
  <si>
    <t>650EORT 100</t>
  </si>
  <si>
    <t>109 HAYLOFT CT</t>
  </si>
  <si>
    <t>HOULIHAN</t>
  </si>
  <si>
    <t>JOAN H</t>
  </si>
  <si>
    <t>1602551088</t>
  </si>
  <si>
    <t>BHHEPS1533015979</t>
  </si>
  <si>
    <t>EC06B821932F43CFB8BC2459E95EFB24</t>
  </si>
  <si>
    <t>MHD85245</t>
  </si>
  <si>
    <t>.92</t>
  </si>
  <si>
    <t>85</t>
  </si>
  <si>
    <t>4119 HALL ST</t>
  </si>
  <si>
    <t>LEHMANN</t>
  </si>
  <si>
    <t>ERIN E</t>
  </si>
  <si>
    <t>5815530032</t>
  </si>
  <si>
    <t>BHHEPS1532965100</t>
  </si>
  <si>
    <t>276AF04CAD264E22A4BD04AA6DBA6242</t>
  </si>
  <si>
    <t>SL18XP1-024-230</t>
  </si>
  <si>
    <t>dan.larson@tessiersinc.com</t>
  </si>
  <si>
    <t>605-341-2412</t>
  </si>
  <si>
    <t>4310 PENDLETON DR</t>
  </si>
  <si>
    <t>TESSIERS INC</t>
  </si>
  <si>
    <t>13138 CANYON VIEW RD</t>
  </si>
  <si>
    <t>WILSON</t>
  </si>
  <si>
    <t>JOAN M</t>
  </si>
  <si>
    <t>2306840144</t>
  </si>
  <si>
    <t>BHHEPS1532927760</t>
  </si>
  <si>
    <t>ADC9E49CA6604FAD9617B155639FA6F3</t>
  </si>
  <si>
    <t>GEH50DFEJSR</t>
  </si>
  <si>
    <t>BHHEPS1532927754</t>
  </si>
  <si>
    <t>B40425FFBAE741E2A358720529D9E46A</t>
  </si>
  <si>
    <t>18000</t>
  </si>
  <si>
    <t>12634 SANDSTONE RD</t>
  </si>
  <si>
    <t>MEYER</t>
  </si>
  <si>
    <t>ELIZABETH L</t>
  </si>
  <si>
    <t>4112289528</t>
  </si>
  <si>
    <t>BHHEPS1532906113</t>
  </si>
  <si>
    <t>A5431E92E34F45ADAC74CCC0BC89BB35</t>
  </si>
  <si>
    <t>14HPX-024-230-19</t>
  </si>
  <si>
    <t>2326 WILSON AVE</t>
  </si>
  <si>
    <t>LES A</t>
  </si>
  <si>
    <t>0001026146</t>
  </si>
  <si>
    <t>BHHEPS1532882260</t>
  </si>
  <si>
    <t>A11CC10C148248269F45121260167778</t>
  </si>
  <si>
    <t>ANZ140241A</t>
  </si>
  <si>
    <t>605-348-5212</t>
  </si>
  <si>
    <t>1856 LOMBARDY DR</t>
  </si>
  <si>
    <t>ACTION MECHANICAL</t>
  </si>
  <si>
    <t>4103 MINNEKAHTA DR</t>
  </si>
  <si>
    <t>NAUGLE</t>
  </si>
  <si>
    <t>3501750401</t>
  </si>
  <si>
    <t>BHHEPS1532882230</t>
  </si>
  <si>
    <t>Residential - BHPSD - Residential Energy Efficiency Rebate</t>
  </si>
  <si>
    <t>7A17C16D2D764F809479F20EF00F75B9</t>
  </si>
  <si>
    <t>Existing</t>
  </si>
  <si>
    <t>Other</t>
  </si>
  <si>
    <t>Energy Star LED Lamps - 5W to 10W</t>
  </si>
  <si>
    <t>C&amp;I Prescriptive Rebate :- C&amp;I Lighting :- Customer Incentives</t>
  </si>
  <si>
    <t>605-381-9452</t>
  </si>
  <si>
    <t>PO BOX 4035</t>
  </si>
  <si>
    <t>BLACK HILLS LIGHTING</t>
  </si>
  <si>
    <t>621 MAIN ST</t>
  </si>
  <si>
    <t>PERFECT HANGING GALLERY</t>
  </si>
  <si>
    <t>9798957253</t>
  </si>
  <si>
    <t>BHHPPS1534574686</t>
  </si>
  <si>
    <t>766434B09F5E400C8C1BB809800AD41C</t>
  </si>
  <si>
    <t>D2BC46507B36446A879890ECF510B16E</t>
  </si>
  <si>
    <t>LED Fixtures Exterior &amp; Garage - 60W to 150W</t>
  </si>
  <si>
    <t>30 MAIN ST</t>
  </si>
  <si>
    <t>CORNERSTONE</t>
  </si>
  <si>
    <t>2138660329</t>
  </si>
  <si>
    <t>BHHPPS1534561626</t>
  </si>
  <si>
    <t>CFC320DF44644A6EBFEDA2D2C1C567A9</t>
  </si>
  <si>
    <t>LED Fixtures Exterior &amp; Garage - 25W to 60W</t>
  </si>
  <si>
    <t>E75B3B6437834CC9B65168CC92E62622</t>
  </si>
  <si>
    <t>LED Replacement for T12 Linear Fluorescent Lamps - 4 ft or less</t>
  </si>
  <si>
    <t>412 2ND ST</t>
  </si>
  <si>
    <t>RAPID CITY JOURNAL</t>
  </si>
  <si>
    <t>5196390216</t>
  </si>
  <si>
    <t>BHHPPS1534561128</t>
  </si>
  <si>
    <t>D68C24A0E5C142B890A7C6625C57994C</t>
  </si>
  <si>
    <t>507 MAIN ST</t>
  </si>
  <si>
    <t>4988211014</t>
  </si>
  <si>
    <t>BHHPPS1534561105</t>
  </si>
  <si>
    <t>589E241D340E47DA9E6C6D30D686F22C</t>
  </si>
  <si>
    <t>DLARSON@FREEMANSELECTRIC.COM</t>
  </si>
  <si>
    <t>605-342-4099</t>
  </si>
  <si>
    <t>401 MAPLE AVE</t>
  </si>
  <si>
    <t>FREEMANS ELECTRIC SERVICE INC</t>
  </si>
  <si>
    <t>3333 W CHICAGO ST</t>
  </si>
  <si>
    <t>SOUTH CANYON BAPTIST</t>
  </si>
  <si>
    <t>2930407586</t>
  </si>
  <si>
    <t>BHHPPS1534532626</t>
  </si>
  <si>
    <t>003699733782457D90AEAF6BE31B5B61</t>
  </si>
  <si>
    <t>Energy Star LED Lamps - 10W or greater</t>
  </si>
  <si>
    <t>C4552AE8622F4BC99FD538E62FCE5C42</t>
  </si>
  <si>
    <t>Occupancy Sensor - Fixture</t>
  </si>
  <si>
    <t>1D66B4E0F74745D8B3D5B877A162776E</t>
  </si>
  <si>
    <t>2825F2B6889E4D3CAFF4E07B6C2CBF70</t>
  </si>
  <si>
    <t>6D66509EF30D441CA5DC7B9FD330E0BD</t>
  </si>
  <si>
    <t>Grocery</t>
  </si>
  <si>
    <t>LED Replacement for T8 Linear Fluorescent Lamps - 4 ft or less</t>
  </si>
  <si>
    <t>paul@solarsoundcorp.com</t>
  </si>
  <si>
    <t>605-343-1386</t>
  </si>
  <si>
    <t>2221 BRIDGE VIEW DR</t>
  </si>
  <si>
    <t>LIGHTING MAINTENANCE</t>
  </si>
  <si>
    <t>8015 STAGE STOP RD</t>
  </si>
  <si>
    <t>HAGGARS GROCERY</t>
  </si>
  <si>
    <t>4973180282</t>
  </si>
  <si>
    <t>BHHPPS1534498537</t>
  </si>
  <si>
    <t>D6FCD154C0914C948BA36BBD911D01AF</t>
  </si>
  <si>
    <t>79DEA4A8FEC64F4BA87BD693DFEB44A1</t>
  </si>
  <si>
    <t>5C66278014994D6BABD72C9FFD969879</t>
  </si>
  <si>
    <t>A4EBE213AD60437EBFFB7B27F29E2AEA</t>
  </si>
  <si>
    <t>F6EF60E693CC423FA20400B47D5B80E7</t>
  </si>
  <si>
    <t>1212 E FAIRMONT BLVD</t>
  </si>
  <si>
    <t>BIBLE FELLOWSHIP</t>
  </si>
  <si>
    <t>4504423066</t>
  </si>
  <si>
    <t>BHHPPS1534482433</t>
  </si>
  <si>
    <t>C7536D8446CE41EB810BD7E5A4B26685</t>
  </si>
  <si>
    <t>6D0C807B1D3D419C95EE59F92C5EEB79</t>
  </si>
  <si>
    <t>Retail</t>
  </si>
  <si>
    <t>rathelectric@yahoo.com</t>
  </si>
  <si>
    <t>1440 DAVENPORT</t>
  </si>
  <si>
    <t>RATH ELECTRIC</t>
  </si>
  <si>
    <t>2320 JUNCTION AVE                                 STE B</t>
  </si>
  <si>
    <t>LUCYS NEARLY NEW</t>
  </si>
  <si>
    <t>5378888087</t>
  </si>
  <si>
    <t>BHHPPS1534455625</t>
  </si>
  <si>
    <t>E4873A6F5A944FDCA8DC81479FFD01C1</t>
  </si>
  <si>
    <t>Office</t>
  </si>
  <si>
    <t>211 ZINNIA ST</t>
  </si>
  <si>
    <t>BARKER WILSON LLP</t>
  </si>
  <si>
    <t>0884531973</t>
  </si>
  <si>
    <t>BHHPPS1534428852</t>
  </si>
  <si>
    <t>87C398EEB1D043B0A31FD00AA5E4B4C6</t>
  </si>
  <si>
    <t>todd@genproenergy.com</t>
  </si>
  <si>
    <t>605-277-1181</t>
  </si>
  <si>
    <t>PO BOX 30</t>
  </si>
  <si>
    <t>GENPRO ENERGY SOLUTIONS, LLC</t>
  </si>
  <si>
    <t>2335 W MAIN ST                                    STE 220</t>
  </si>
  <si>
    <t>THE MAN SALON</t>
  </si>
  <si>
    <t>3557285423</t>
  </si>
  <si>
    <t>BHHPPS1534408855</t>
  </si>
  <si>
    <t>AD7B073E802742C9818ACD8C305CE43F</t>
  </si>
  <si>
    <t>8EC653C49D954B06972659FD435D6F98</t>
  </si>
  <si>
    <t>LED Fixtures Exterior &amp; Garage - 25W or less</t>
  </si>
  <si>
    <t>605-341-7577</t>
  </si>
  <si>
    <t>1080 KENNEL DR SUITE A</t>
  </si>
  <si>
    <t>MUELLENBERG ELECTRIC</t>
  </si>
  <si>
    <t>1513 E PHILADELPHIA ST</t>
  </si>
  <si>
    <t>J J BODY SHOP</t>
  </si>
  <si>
    <t>1711129512</t>
  </si>
  <si>
    <t>BHHPPS1534386785</t>
  </si>
  <si>
    <t>5DE1E01C06D144B9949E97684DD8BCE6</t>
  </si>
  <si>
    <t>6ED8358A44964716A023BD7D0A1FFF5B</t>
  </si>
  <si>
    <t>08D748D983914B9A8BAB43AB7D3B190E</t>
  </si>
  <si>
    <t>D9DA182E7A1246ED9F1A7EA3B4BF3897</t>
  </si>
  <si>
    <t>69163625717845ACB93645D863990297</t>
  </si>
  <si>
    <t>183B4D2484224AFC800B23EBAC2E9D51</t>
  </si>
  <si>
    <t>BHHPPS1534355576</t>
  </si>
  <si>
    <t>5BFCE2FB4C86428FB46D7C816186BB31</t>
  </si>
  <si>
    <t>88D3DE8CCB1F49BAB5EE9071DE3E26A5</t>
  </si>
  <si>
    <t>605-210-1775</t>
  </si>
  <si>
    <t>814 7TH AVE</t>
  </si>
  <si>
    <t>EAGLE ENTERPRISES LLC</t>
  </si>
  <si>
    <t>625 N 5TH ST</t>
  </si>
  <si>
    <t>CITY OF SPEARFISH</t>
  </si>
  <si>
    <t>LIBRARY</t>
  </si>
  <si>
    <t>2470662751</t>
  </si>
  <si>
    <t>BHHPPS1534332028</t>
  </si>
  <si>
    <t>80F4EC75892D40BE84315D82E685A41B</t>
  </si>
  <si>
    <t>Lodging</t>
  </si>
  <si>
    <t>BUCKSELECTRIC@RUSHMORE.COM</t>
  </si>
  <si>
    <t>605-391-0086</t>
  </si>
  <si>
    <t>1720 SAMCO RD #A</t>
  </si>
  <si>
    <t>BUCKS ELECTRIC</t>
  </si>
  <si>
    <t>101 PINE CREST DR</t>
  </si>
  <si>
    <t>DEADWOOD RESORTS LLC</t>
  </si>
  <si>
    <t>3852871419</t>
  </si>
  <si>
    <t>BHHPPS1534325509</t>
  </si>
  <si>
    <t>1E26CFCBBE9C4EB7A9CF3D90C3338397</t>
  </si>
  <si>
    <t>ROYALELECTRICSD@GMAIL.COM</t>
  </si>
  <si>
    <t>605-642-6480</t>
  </si>
  <si>
    <t>821 N RAINBOW RD</t>
  </si>
  <si>
    <t>ROYAL ELECTRIC</t>
  </si>
  <si>
    <t>729 N 12TH ST</t>
  </si>
  <si>
    <t>PARTY TIME LIQUOR</t>
  </si>
  <si>
    <t>6142826120</t>
  </si>
  <si>
    <t>BHHPPS1534322940</t>
  </si>
  <si>
    <t>4B49A284755143E5BAF54080F7116332</t>
  </si>
  <si>
    <t>913 MOUNT RUSHMORE RD</t>
  </si>
  <si>
    <t>BLACK HILLS BAGELS</t>
  </si>
  <si>
    <t>4503012294</t>
  </si>
  <si>
    <t>BHHPPS1534231260</t>
  </si>
  <si>
    <t>B36A0DA4E3DA49F99A8EE75E58A0CF28</t>
  </si>
  <si>
    <t>605-342-5945</t>
  </si>
  <si>
    <t>2321 SOPHIA CT</t>
  </si>
  <si>
    <t>CLARKE ELECTRIC</t>
  </si>
  <si>
    <t>1090 DEADWOOD AVE N                               APT 1</t>
  </si>
  <si>
    <t>HORST PROPERTIES</t>
  </si>
  <si>
    <t>4607577338</t>
  </si>
  <si>
    <t>BHHPPS1534211302</t>
  </si>
  <si>
    <t>820726D92EA6467080C40D971CCCE4BB</t>
  </si>
  <si>
    <t>4011 TRIPLE CROWN DR</t>
  </si>
  <si>
    <t>SENTINEL FEDERAL</t>
  </si>
  <si>
    <t>0242088666</t>
  </si>
  <si>
    <t>BHHPPS1534211234</t>
  </si>
  <si>
    <t>B6B59BF1F85C458887E1D40D36D756E2</t>
  </si>
  <si>
    <t>1550 N LACROSSE ST</t>
  </si>
  <si>
    <t>COMFORT INN</t>
  </si>
  <si>
    <t>5036865016</t>
  </si>
  <si>
    <t>BHHPPS1534211206</t>
  </si>
  <si>
    <t>BF1A57A36227416CB2D04F5288C97C5F</t>
  </si>
  <si>
    <t>1745 EGLIN ST                                     STE 220</t>
  </si>
  <si>
    <t>5038104559</t>
  </si>
  <si>
    <t>BHHPPS1534210234</t>
  </si>
  <si>
    <t>5E4CC10AC22B4467BFA6E8F4E6ED3BCA</t>
  </si>
  <si>
    <t>D8CC1F42483643FB8203AB79C64D37BF</t>
  </si>
  <si>
    <t>540 DEADWOOD AVE N                                STE 201</t>
  </si>
  <si>
    <t>SWEET INVESTMENT</t>
  </si>
  <si>
    <t>3355993456</t>
  </si>
  <si>
    <t>BHHPPS1534208165</t>
  </si>
  <si>
    <t>F00A0D2F8ECF495BB924E17B391688D9</t>
  </si>
  <si>
    <t>2B41E3AE79884BB7AA50A44197977A37</t>
  </si>
  <si>
    <t>605-342-7913</t>
  </si>
  <si>
    <t>317 MAPLE AVE</t>
  </si>
  <si>
    <t>CRESCENT ELECTRIC SUPPLY</t>
  </si>
  <si>
    <t>2111 N LACROSSE ST</t>
  </si>
  <si>
    <t>RAMKOTA/BEST WESTERN</t>
  </si>
  <si>
    <t>REGENCY RC VENTURES</t>
  </si>
  <si>
    <t>2143860150</t>
  </si>
  <si>
    <t>BHHPPS1534205522</t>
  </si>
  <si>
    <t>58C6CC1A2DA24024B7DD4236A0C3E27B</t>
  </si>
  <si>
    <t>CB5670C7A28E4B04BEB42CB2CAB59181</t>
  </si>
  <si>
    <t>1D63C883F2FA40FFBEB00E7052146EA3</t>
  </si>
  <si>
    <t>3B3A357674DD4E2BBF9EF0A320D7F5E0</t>
  </si>
  <si>
    <t>Health Care</t>
  </si>
  <si>
    <t>805-523-7500</t>
  </si>
  <si>
    <t>93063</t>
  </si>
  <si>
    <t>CA</t>
  </si>
  <si>
    <t>SIMI VALLEY</t>
  </si>
  <si>
    <t>4590 ISH DR UNIT #100</t>
  </si>
  <si>
    <t>TITAN LED INC</t>
  </si>
  <si>
    <t>240 MINNESOTA ST</t>
  </si>
  <si>
    <t>SLINGSBY WRIGHT DVLP</t>
  </si>
  <si>
    <t>3230449733</t>
  </si>
  <si>
    <t>BHHPPS1534203343</t>
  </si>
  <si>
    <t>0852A1C2CED941E48C0294B1D3DD31D7</t>
  </si>
  <si>
    <t>908DA5E2BD9A470191F1289E7303AF2E</t>
  </si>
  <si>
    <t>93324EF22368426ABF611151E109E595</t>
  </si>
  <si>
    <t>60A7B71E124B42C4845535F81EC2B2EB</t>
  </si>
  <si>
    <t>30B08BC9FA634F1DAB2DC25A24BB94D2</t>
  </si>
  <si>
    <t>841E090D8E83441694A7B131CDD5636D</t>
  </si>
  <si>
    <t>9D61358728654D48AB849EB8A0EBFAF0</t>
  </si>
  <si>
    <t>07B99A8B1EB6496991180D8816F8BF2D</t>
  </si>
  <si>
    <t>2504F813E93F4B0FA385E367D9551FB0</t>
  </si>
  <si>
    <t>004A462FCFAD4DD5BF85B69D1BC663EF</t>
  </si>
  <si>
    <t>AD7BE34DB59F407180BFFA66CA2F35D1</t>
  </si>
  <si>
    <t>822848EAA74346758E84CEDB0291E60F</t>
  </si>
  <si>
    <t>Convenience</t>
  </si>
  <si>
    <t>820 E COLORADO BLVD</t>
  </si>
  <si>
    <t>MINITMAN INC</t>
  </si>
  <si>
    <t>5003740496</t>
  </si>
  <si>
    <t>BHHPPS1534136105</t>
  </si>
  <si>
    <t>1E4607817F95460FB78093C6F60C1821</t>
  </si>
  <si>
    <t>605-381-0729</t>
  </si>
  <si>
    <t>PO BOX 505</t>
  </si>
  <si>
    <t>WIRE R US INC</t>
  </si>
  <si>
    <t>11740 J B RD</t>
  </si>
  <si>
    <t>TRAFFIC SERVICES COMPANY</t>
  </si>
  <si>
    <t>0719758948</t>
  </si>
  <si>
    <t>BHHPPS1534136050</t>
  </si>
  <si>
    <t>E6F99D52733B4E6298BCD035F5563391</t>
  </si>
  <si>
    <t>2760 HAINES AVE</t>
  </si>
  <si>
    <t>4 D ENTERPRISES LLC</t>
  </si>
  <si>
    <t>PLUMBING DESIGN &amp; INSTALLATION</t>
  </si>
  <si>
    <t>0702488407</t>
  </si>
  <si>
    <t>BHHPPS1534131642</t>
  </si>
  <si>
    <t>B12E0D2292904FC1908C80F1F6CCC807</t>
  </si>
  <si>
    <t>0D1A6A832EA74A229A58055A8BD81D19</t>
  </si>
  <si>
    <t>GORDEN@DAKFIRE.COM</t>
  </si>
  <si>
    <t>605-343-8615</t>
  </si>
  <si>
    <t>8420 ALBERTTA DR</t>
  </si>
  <si>
    <t>SABO ELECTRIC INC</t>
  </si>
  <si>
    <t>6010 PEACEFUL PINES RD</t>
  </si>
  <si>
    <t>BLACK HAWK FIRE DEPT</t>
  </si>
  <si>
    <t>4986611058</t>
  </si>
  <si>
    <t>BHHPPS1534090523</t>
  </si>
  <si>
    <t>D69C45CF30A849CA9F2E63294566C991</t>
  </si>
  <si>
    <t>F106E694E75C4213BDB4EE2AEC4ECF51</t>
  </si>
  <si>
    <t>605-745-4364</t>
  </si>
  <si>
    <t>57773</t>
  </si>
  <si>
    <t>PRINGLE</t>
  </si>
  <si>
    <t>PO BOX 32</t>
  </si>
  <si>
    <t>IRON MOUNTAIN ELECTRIC</t>
  </si>
  <si>
    <t>206 S CHICAGO ST</t>
  </si>
  <si>
    <t>HOT SPRINGS SENIOR CENTER</t>
  </si>
  <si>
    <t>1062466713</t>
  </si>
  <si>
    <t>BHHPPS1534068606</t>
  </si>
  <si>
    <t>3E420A2FFE6E415ABB5F5041C5CA85D3</t>
  </si>
  <si>
    <t>Education</t>
  </si>
  <si>
    <t>MEADE SCHOOLS</t>
  </si>
  <si>
    <t>BHHPPS1534068070</t>
  </si>
  <si>
    <t>4DCE5FB9C9E44C0ABB7013F18F8CED5A</t>
  </si>
  <si>
    <t>8747289A156D401289841E829CE7C081</t>
  </si>
  <si>
    <t>Restaurant</t>
  </si>
  <si>
    <t>0 I 90 EXIT 46</t>
  </si>
  <si>
    <t>VJ DINING GROUP LLC</t>
  </si>
  <si>
    <t>ELK CREEK STEAKHOUSE</t>
  </si>
  <si>
    <t>3218771955</t>
  </si>
  <si>
    <t>BHHPPS1534063598</t>
  </si>
  <si>
    <t>D356FD4041694B92A84CF5D54DA5CCA4</t>
  </si>
  <si>
    <t>1A575973D0BB4AC3A676799A6EBC58B4</t>
  </si>
  <si>
    <t>bigc@hills.net</t>
  </si>
  <si>
    <t>605-348-8744</t>
  </si>
  <si>
    <t>1750 E NORTH ST</t>
  </si>
  <si>
    <t>CONRADS BIG C ELECTRIC</t>
  </si>
  <si>
    <t>550 N 5TH ST</t>
  </si>
  <si>
    <t>THE PROFESSIONAL PLAZA</t>
  </si>
  <si>
    <t>5114672783</t>
  </si>
  <si>
    <t>BHHPPS1534044382</t>
  </si>
  <si>
    <t>A5BBC286274341768C785CBC3C054EF9</t>
  </si>
  <si>
    <t>603 GARFIELD ST</t>
  </si>
  <si>
    <t>WHITEWOOD ELEMENTARY</t>
  </si>
  <si>
    <t>0293338895</t>
  </si>
  <si>
    <t>BHHPPS1534040981</t>
  </si>
  <si>
    <t>CA3545FA75CD4812B6D4ADC9F02B874A</t>
  </si>
  <si>
    <t>09CB1042A7D64EE19843BDC3B8A0C61A</t>
  </si>
  <si>
    <t>72B986B948EA46AA9C908F2145D3539F</t>
  </si>
  <si>
    <t>7FAA159624EB4155B5450BF2196A1B42</t>
  </si>
  <si>
    <t>5C48101BF5AF4B3796C7511C08D3253D</t>
  </si>
  <si>
    <t>Warehouse</t>
  </si>
  <si>
    <t>7413451014</t>
  </si>
  <si>
    <t>BHHPPS1534040957</t>
  </si>
  <si>
    <t>C614C5E81397436F80188F907FB0380F</t>
  </si>
  <si>
    <t>LED Replacement for Linear Fluorescent Lamps - 5 to 8 f</t>
  </si>
  <si>
    <t>2010 W MAIN ST</t>
  </si>
  <si>
    <t>MILLSTONE RESTAURANT</t>
  </si>
  <si>
    <t>0211290232</t>
  </si>
  <si>
    <t>BHHPPS1534040824</t>
  </si>
  <si>
    <t>6C97DB03B40C4522BF3CDC3912B56ACC</t>
  </si>
  <si>
    <t>DB9D7D63DF1D4CC4A706FE448D8797B5</t>
  </si>
  <si>
    <t>1A5507BCDE2340249971B4A986534E4A</t>
  </si>
  <si>
    <t>639C268A7354441A94352A06DA771177</t>
  </si>
  <si>
    <t>23C4FD3698B642FE80BB0AA31E8D5CC7</t>
  </si>
  <si>
    <t>1046 N 5TH ST</t>
  </si>
  <si>
    <t>CHURCH OF ALL ANGELS</t>
  </si>
  <si>
    <t>6156656520</t>
  </si>
  <si>
    <t>BHHPPS1534040769</t>
  </si>
  <si>
    <t>B9151104630C4F0BABD18BC4515CBA68</t>
  </si>
  <si>
    <t>B17A86A87C2F403DBD6E9C04A8995DBD</t>
  </si>
  <si>
    <t>APEX.HOLZER@GMAIL.COM</t>
  </si>
  <si>
    <t>605-391-0231</t>
  </si>
  <si>
    <t>2843 SAMCO RD UNIT E</t>
  </si>
  <si>
    <t>APEX ELECTRIC</t>
  </si>
  <si>
    <t>530 6TH ST</t>
  </si>
  <si>
    <t>TALLYS</t>
  </si>
  <si>
    <t>LATE HARVEST INC</t>
  </si>
  <si>
    <t>5011134698</t>
  </si>
  <si>
    <t>BHHPPS1534039959</t>
  </si>
  <si>
    <t>EE2102B7B50A4E27B48D54BF2B2FF81A</t>
  </si>
  <si>
    <t>Energy Star LED Lamps - 5W or less</t>
  </si>
  <si>
    <t>E4289F3D3EB24263BF1DB74AFDD1A04C</t>
  </si>
  <si>
    <t>48EE0DD7FD1E4CC1A392AE40E8292169</t>
  </si>
  <si>
    <t>E9B6D62BDDC741EE99BC579F6140716E</t>
  </si>
  <si>
    <t>00F41F02B7B2487BA0720C8924DD6C22</t>
  </si>
  <si>
    <t>645605E58E0C4D8F878C740F1B745CB4</t>
  </si>
  <si>
    <t>4354D1D4FB1040E98BC343A62F78B595</t>
  </si>
  <si>
    <t>691 DEADWOOD AVE N</t>
  </si>
  <si>
    <t>DALES TIRE</t>
  </si>
  <si>
    <t>5587911853</t>
  </si>
  <si>
    <t>BHHPPS1533979839</t>
  </si>
  <si>
    <t>CA290171EA34411DBAC7E9851411D38D</t>
  </si>
  <si>
    <t>1022 W MAIN ST</t>
  </si>
  <si>
    <t>FISK LAND SURVEY</t>
  </si>
  <si>
    <t>FINCK</t>
  </si>
  <si>
    <t>JANELLE</t>
  </si>
  <si>
    <t>1086894116</t>
  </si>
  <si>
    <t>BHHPPS1533975017</t>
  </si>
  <si>
    <t>189FB37DDA084859B436A8D052925B41</t>
  </si>
  <si>
    <t>87594555DB3248658114F95DD5EE9527</t>
  </si>
  <si>
    <t>2400 COMMERCE RD</t>
  </si>
  <si>
    <t>RCS STORAGE</t>
  </si>
  <si>
    <t>2465653193</t>
  </si>
  <si>
    <t>BHHPPS1533973082</t>
  </si>
  <si>
    <t>A70BDD5676204E1F958D9EF1DB341ABD</t>
  </si>
  <si>
    <t>New</t>
  </si>
  <si>
    <t>steve@kilowattelec.com</t>
  </si>
  <si>
    <t>605-343-9686</t>
  </si>
  <si>
    <t>29 EAST CHICAGO</t>
  </si>
  <si>
    <t>KILOWATT ELECTRIC INC</t>
  </si>
  <si>
    <t>12454 OLD HILL CITY RD</t>
  </si>
  <si>
    <t>JZ LODGING</t>
  </si>
  <si>
    <t>COMFORT INN&amp;SUITES</t>
  </si>
  <si>
    <t>4585360348</t>
  </si>
  <si>
    <t>BHHPPS1533967523</t>
  </si>
  <si>
    <t>8264280FCB5E478CBEBC8D5005F8BD5B</t>
  </si>
  <si>
    <t>7961E8687D774D14B0AB7C53DA22BB87</t>
  </si>
  <si>
    <t>3801 DEADWOOD AVE N</t>
  </si>
  <si>
    <t>DAKOTA RV</t>
  </si>
  <si>
    <t>DIESEL MACHINERY INC</t>
  </si>
  <si>
    <t>0684557137</t>
  </si>
  <si>
    <t>BHHPPS1533935644</t>
  </si>
  <si>
    <t>E6092B73E82D48ADB79B280939E5ED7F</t>
  </si>
  <si>
    <t>3937D31AA51B4BC4973C6561A4BB030C</t>
  </si>
  <si>
    <t>601 5TH AVE</t>
  </si>
  <si>
    <t>EDGEMONT SENIOR CENTER</t>
  </si>
  <si>
    <t>5344540148</t>
  </si>
  <si>
    <t>BHHPPS1533917381</t>
  </si>
  <si>
    <t>7B10AF6747454742A65FCB7D17C87F72</t>
  </si>
  <si>
    <t>EBB0CFCF6D7C477F8BBEDB3A5EA167F6</t>
  </si>
  <si>
    <t>3200 S HIGHWAY 79</t>
  </si>
  <si>
    <t>BUILDING</t>
  </si>
  <si>
    <t>WAREHOUSE</t>
  </si>
  <si>
    <t>2796921701</t>
  </si>
  <si>
    <t>BHHPPS1533904083</t>
  </si>
  <si>
    <t>5C1ED64B0D834EF19FB94AB65DA57179</t>
  </si>
  <si>
    <t>Large Retail</t>
  </si>
  <si>
    <t>CHAD@MYIDEALENERGY.COM</t>
  </si>
  <si>
    <t>605-321-0570</t>
  </si>
  <si>
    <t>56258</t>
  </si>
  <si>
    <t>MN</t>
  </si>
  <si>
    <t>MARSHALL</t>
  </si>
  <si>
    <t>2615 210TH AVE</t>
  </si>
  <si>
    <t>IDEAL ENERGY</t>
  </si>
  <si>
    <t>1020 N LACROSSE ST</t>
  </si>
  <si>
    <t>RUNNINGS</t>
  </si>
  <si>
    <t>4829790872</t>
  </si>
  <si>
    <t>BHHPPS1533886935</t>
  </si>
  <si>
    <t>49ECE2CF3496453AA64CD07DF34AD37A</t>
  </si>
  <si>
    <t>12710 OUTLAW RANCH RD</t>
  </si>
  <si>
    <t>OUTLAW RANCH</t>
  </si>
  <si>
    <t>DINING HALL</t>
  </si>
  <si>
    <t>0653156237</t>
  </si>
  <si>
    <t>BHHPPS1533885329</t>
  </si>
  <si>
    <t>98D813EFF5B948BCAFFBE6BD558F1C8E</t>
  </si>
  <si>
    <t>MHOLMAN@ROIENERGYINVESTMENTS.COM</t>
  </si>
  <si>
    <t>920-660-5995</t>
  </si>
  <si>
    <t>54307</t>
  </si>
  <si>
    <t>WI</t>
  </si>
  <si>
    <t>GREEN BAY</t>
  </si>
  <si>
    <t>PO BOX 12203</t>
  </si>
  <si>
    <t>ROI ENERGY INVESTMENTS LLC</t>
  </si>
  <si>
    <t>414 E NORTH ST</t>
  </si>
  <si>
    <t>AUTO ZONE</t>
  </si>
  <si>
    <t>5567664825</t>
  </si>
  <si>
    <t>BHHPPS1533855799</t>
  </si>
  <si>
    <t>9A80BF122A9542A88B5C9EABEAACF925</t>
  </si>
  <si>
    <t>79899035AF7E42E7960F42763E2ABD1A</t>
  </si>
  <si>
    <t>JASONFAITH@HOTMAIL.COM</t>
  </si>
  <si>
    <t>605-939-4047</t>
  </si>
  <si>
    <t>4315 BROOKSIDE DR</t>
  </si>
  <si>
    <t>BROOKSIDE ELECTRIC SERVICE</t>
  </si>
  <si>
    <t>1512 E SAINT PATRICK ST</t>
  </si>
  <si>
    <t>FTC LAUNDRY</t>
  </si>
  <si>
    <t>5515919601</t>
  </si>
  <si>
    <t>BHHPPS1533589353</t>
  </si>
  <si>
    <t>5EF4F2C7913248FA971C3E704FB4017D</t>
  </si>
  <si>
    <t>4500 JACKSON BLVD</t>
  </si>
  <si>
    <t>BLESSED SACRAMENT CH</t>
  </si>
  <si>
    <t>0381286969</t>
  </si>
  <si>
    <t>BHHPPS1533526122</t>
  </si>
  <si>
    <t>C1CED5D78D5D446E8990BB3760FB0AEC</t>
  </si>
  <si>
    <t>BEAB5747AF674AF49D4978ECCB059FE4</t>
  </si>
  <si>
    <t>110 POPLAR AVE</t>
  </si>
  <si>
    <t>GODFREY BRAKE SERV</t>
  </si>
  <si>
    <t>1986115108</t>
  </si>
  <si>
    <t>BHHPPS1533306948</t>
  </si>
  <si>
    <t>D3C552CFFBFC4E2F864431A867D17B00</t>
  </si>
  <si>
    <t>2AD6E9F827B14457B687E1B5878EEB69</t>
  </si>
  <si>
    <t>240 KNOLLWOOD DR</t>
  </si>
  <si>
    <t>FURNITURE ROW</t>
  </si>
  <si>
    <t>DENVER MATTRESS</t>
  </si>
  <si>
    <t>0007613801</t>
  </si>
  <si>
    <t>BHHPPS1533273500</t>
  </si>
  <si>
    <t>AE07B2D54E234F748F742A5041AE1428</t>
  </si>
  <si>
    <t>4A18FFB3F82F473AB09E70587323FA9C</t>
  </si>
  <si>
    <t>800 SAN FRANCISCO ST                               ADMINISTRATION</t>
  </si>
  <si>
    <t>CENTRAL STATES FAIR</t>
  </si>
  <si>
    <t>ADMINISTRATION BUILDING</t>
  </si>
  <si>
    <t>0541537755</t>
  </si>
  <si>
    <t>BHHPPS1533134705</t>
  </si>
  <si>
    <t>EAA8D0DA2C8C4B0E8E5C71D05DF75BEF</t>
  </si>
  <si>
    <t>KUSTOMZ TRUCK &amp; AUTO</t>
  </si>
  <si>
    <t>BHHPPS1533129782</t>
  </si>
  <si>
    <t>7330D8F08A5D4A928EE62C6F8BEF89EC</t>
  </si>
  <si>
    <t>DD0CA91F9D0F4C5D9C749BA12DBA5018</t>
  </si>
  <si>
    <t>214-217-0190</t>
  </si>
  <si>
    <t>75229</t>
  </si>
  <si>
    <t>TX</t>
  </si>
  <si>
    <t>DALLAS</t>
  </si>
  <si>
    <t>2525 WALNUT HILL LN STE 300</t>
  </si>
  <si>
    <t>FACILITY SOLUTIONS GROUP INC</t>
  </si>
  <si>
    <t>2200 N MAPLE AVE                                   NORTH</t>
  </si>
  <si>
    <t>SM RUSHMORE MALL LLC</t>
  </si>
  <si>
    <t>4286221951</t>
  </si>
  <si>
    <t>BHHPPS1533125879</t>
  </si>
  <si>
    <t>DF234C3EBB304628A067934E15D36990</t>
  </si>
  <si>
    <t>EE28FFB8880F42429D61F55C9C3D7364</t>
  </si>
  <si>
    <t>850D57E951364345AF9E3D2BFC584A58</t>
  </si>
  <si>
    <t>PIEDMONT SCHOOL</t>
  </si>
  <si>
    <t>BHHPPS1533108027</t>
  </si>
  <si>
    <t>35AE5BEB1508444A85EB595F086D5204</t>
  </si>
  <si>
    <t>D261ABE85E8A4FCA8305C22570022C91</t>
  </si>
  <si>
    <t>7528AF38587046909AAAE95CED2B8785</t>
  </si>
  <si>
    <t>531 E MAIN ST</t>
  </si>
  <si>
    <t>KRULLS MARKET</t>
  </si>
  <si>
    <t>3024133820</t>
  </si>
  <si>
    <t>BHHPPS1533104569</t>
  </si>
  <si>
    <t>F292082DFA2F454EB94248B0B1B70BAC</t>
  </si>
  <si>
    <t>7A400E06338A4B549C987D1C479BA11E</t>
  </si>
  <si>
    <t>B646FB9FD32E4BB49B38D5B4106B108D</t>
  </si>
  <si>
    <t>01BDD593B41F45209A7B282989CCF044</t>
  </si>
  <si>
    <t>215603D8B3FA471FB9F9B1037D77A0F5</t>
  </si>
  <si>
    <t>F180CE084A814C31AEF8DD03AE80AA23</t>
  </si>
  <si>
    <t>910 E SAINT ANDREW ST</t>
  </si>
  <si>
    <t>W CENTRAL HOLLOW METAL</t>
  </si>
  <si>
    <t>9030249117</t>
  </si>
  <si>
    <t>BHHPPS1533071924</t>
  </si>
  <si>
    <t>36B8F18BDFEF41CFA1D41755DA4A295C</t>
  </si>
  <si>
    <t>2955585AEC5E41E99DC4BD2F8BC1514D</t>
  </si>
  <si>
    <t>1EBECE7781CA4A9790752491F2767C8A</t>
  </si>
  <si>
    <t>605-731-7918</t>
  </si>
  <si>
    <t>57101</t>
  </si>
  <si>
    <t>SIOUX FALLS</t>
  </si>
  <si>
    <t>2810 NORTH FIRST AVE</t>
  </si>
  <si>
    <t>GRAYBAR</t>
  </si>
  <si>
    <t>2820 MOUNT RUSHMORE RD</t>
  </si>
  <si>
    <t>RC MEDICAL CENTER</t>
  </si>
  <si>
    <t>1812563563</t>
  </si>
  <si>
    <t>BHHPPS1533063427</t>
  </si>
  <si>
    <t>8E058EA355334E618117DF1BAB7D6DA7</t>
  </si>
  <si>
    <t>F0B4D9F058044D9A95E5B834D99C9A1D</t>
  </si>
  <si>
    <t>615 SAINT JOSEPH ST</t>
  </si>
  <si>
    <t>SAINT JOE ANTIQUE MALL</t>
  </si>
  <si>
    <t>4971457645</t>
  </si>
  <si>
    <t>BHHPPS1533052953</t>
  </si>
  <si>
    <t>E55A66F2BE7C426995B8B622F043A9F4</t>
  </si>
  <si>
    <t>A40E529927524D75B331270B48A6257C</t>
  </si>
  <si>
    <t>811 E CENTRE ST                                    INFIELD</t>
  </si>
  <si>
    <t>4403360152</t>
  </si>
  <si>
    <t>BHHPPS1533025585</t>
  </si>
  <si>
    <t>AB36469654804B51B667F79CED46E440</t>
  </si>
  <si>
    <t>226E9B39C1FF4DB8A883C2CE28AC5CE5</t>
  </si>
  <si>
    <t>805 E SAINT PATRICK ST</t>
  </si>
  <si>
    <t>ROBINSON ENT CENTER LLC</t>
  </si>
  <si>
    <t>4078328840</t>
  </si>
  <si>
    <t>BHHPPS1532913633</t>
  </si>
  <si>
    <t>4E47F129F2884926BA35B11950A35D60</t>
  </si>
  <si>
    <t>4769C9B6529E419AB04E2FA5C78C737F</t>
  </si>
  <si>
    <t>D3893005AA0D4FDD8EB8719DDBE72790</t>
  </si>
  <si>
    <t>10A4513F914E436F98A9E6638DA07AFC</t>
  </si>
  <si>
    <t>DD1B35490A1449DABCB841DEA3D8B712</t>
  </si>
  <si>
    <t>A7E319E517A84F1AB8E7C8D9BAD9B931</t>
  </si>
  <si>
    <t>998351C1B8FD4601B71BFC0458194602</t>
  </si>
  <si>
    <t>49D2C58A0D424687A6EF2AF768BCAB77</t>
  </si>
  <si>
    <t>840 MOUNT RUSHMORE RD</t>
  </si>
  <si>
    <t>BH COMMUNITY BANK</t>
  </si>
  <si>
    <t>9045807119</t>
  </si>
  <si>
    <t>BHHPPS1532913553</t>
  </si>
  <si>
    <t>B0B4B498EBCB41BAB88BEF72CB7752A7</t>
  </si>
  <si>
    <t>710AABFEEEF44A389785A7DE9C0E2E71</t>
  </si>
  <si>
    <t>605-673-2810</t>
  </si>
  <si>
    <t>12390 WILOW CREEK RD</t>
  </si>
  <si>
    <t>STUDT ELECTRIC INC</t>
  </si>
  <si>
    <t>12372 US HIGHWAY 16A</t>
  </si>
  <si>
    <t>KENS MINERALS LLC</t>
  </si>
  <si>
    <t>7513202077</t>
  </si>
  <si>
    <t>BHHPPS1532913128</t>
  </si>
  <si>
    <t>5F57E7FFBEAF4E5CA3AD7DDA9F13D7A9</t>
  </si>
  <si>
    <t>B351AC2A2AEB4E998A90C9EF864CD293</t>
  </si>
  <si>
    <t>7322DE2D450745F6B8EC27FECD2C50DE</t>
  </si>
  <si>
    <t>627 MAIN ST</t>
  </si>
  <si>
    <t>ROLLING HILLS FARM INVEST</t>
  </si>
  <si>
    <t>CELEBRITY HOTEL</t>
  </si>
  <si>
    <t>9464120950</t>
  </si>
  <si>
    <t>BHHPPS1532910932</t>
  </si>
  <si>
    <t>32961D5C4EE94AC79826907563B3A1D3</t>
  </si>
  <si>
    <t>16B611841A6D4C349DDAF9EDFB861BB4</t>
  </si>
  <si>
    <t>9807B2ECA873433A81D48867EB783E41</t>
  </si>
  <si>
    <t>2030 LAZELLE ST</t>
  </si>
  <si>
    <t>CBH COOPERATIVE</t>
  </si>
  <si>
    <t>6055909084</t>
  </si>
  <si>
    <t>BHHPPS1532903452</t>
  </si>
  <si>
    <t>2891919D6B1446B0A09817667C04F825</t>
  </si>
  <si>
    <t>2311 5TH AVE</t>
  </si>
  <si>
    <t>BHHPPS1532903451</t>
  </si>
  <si>
    <t>8247F16C24A3433A9F174DDFE9356E91</t>
  </si>
  <si>
    <t>1020 MOUNT RUSHMORE RD                             ROCK SHOP</t>
  </si>
  <si>
    <t>DAVES ROCK SHOP</t>
  </si>
  <si>
    <t>BUSSKOHL</t>
  </si>
  <si>
    <t>3546493334</t>
  </si>
  <si>
    <t>BHHPPS1532834320</t>
  </si>
  <si>
    <t>43663287F4E643DEAA2FF60DB36BB9FF</t>
  </si>
  <si>
    <t>72BF192DA79940859C48D0DC2037F428</t>
  </si>
  <si>
    <t>8280BA1D5915486E87D9160CB788A331</t>
  </si>
  <si>
    <t>96E03B0CAA5946E0AF6756CC4CC7D75A</t>
  </si>
  <si>
    <t>9849C99E33224450AC436E6EB98ED91E</t>
  </si>
  <si>
    <t>Non-Residential - BHPSD - C/I Prescriptive Rebate</t>
  </si>
  <si>
    <t>61F29D8752C54840A7351FEBA60159BA</t>
  </si>
  <si>
    <t>Forced Air Furnace</t>
  </si>
  <si>
    <t>Other Commercial</t>
  </si>
  <si>
    <t>C&amp;I Custom Rebate :- Customer Incentives</t>
  </si>
  <si>
    <t>BHSCCR1534574707</t>
  </si>
  <si>
    <t>B22527E8F3F5467BA106592742961C21</t>
  </si>
  <si>
    <t>57C9CA72F6E34D20BD763371F6143833</t>
  </si>
  <si>
    <t>A1D333D52EE547E2B72F3FB5511AF8FE</t>
  </si>
  <si>
    <t>HARTLELEC@GMAIL.COM</t>
  </si>
  <si>
    <t>605-642-2981</t>
  </si>
  <si>
    <t>82729</t>
  </si>
  <si>
    <t>WY</t>
  </si>
  <si>
    <t>SUNDANCE</t>
  </si>
  <si>
    <t>PO BOX 9</t>
  </si>
  <si>
    <t>HARTL ELECTRIC</t>
  </si>
  <si>
    <t>120 W HUDSON ST</t>
  </si>
  <si>
    <t>EDWARD JONES OFFICE</t>
  </si>
  <si>
    <t>BURGESON</t>
  </si>
  <si>
    <t>EVERETT</t>
  </si>
  <si>
    <t>3369771763</t>
  </si>
  <si>
    <t>BHSCCR1534560962</t>
  </si>
  <si>
    <t>77E057E21D8740B888064F79F8F85639</t>
  </si>
  <si>
    <t>BHSCCR1534532652</t>
  </si>
  <si>
    <t>DE44C086AB43449786A2643B9554C1C8</t>
  </si>
  <si>
    <t>100 PINE CREST DR                                  LIGHTS AND RV</t>
  </si>
  <si>
    <t>BHSCCR1534325391</t>
  </si>
  <si>
    <t>9DA1F6ACC8D34C41A000741CBA0518A7</t>
  </si>
  <si>
    <t>BHSCCR1534322882</t>
  </si>
  <si>
    <t>097C23E68AD94B6D904DBBE3A1E6F3C3</t>
  </si>
  <si>
    <t>800 SAN FRANCISCO ST</t>
  </si>
  <si>
    <t>EVENTS CENTER</t>
  </si>
  <si>
    <t>5442401556</t>
  </si>
  <si>
    <t>BHSCCR1534306467</t>
  </si>
  <si>
    <t>625AC985FF574981A5B864F82D5A11C1</t>
  </si>
  <si>
    <t>Electric Heat Other</t>
  </si>
  <si>
    <t>1745 EVANSTON AVE</t>
  </si>
  <si>
    <t>MAMMOTH SITE OF HSSD</t>
  </si>
  <si>
    <t>3185776379</t>
  </si>
  <si>
    <t>BHSCCR1534277743</t>
  </si>
  <si>
    <t>AE62856CDB6740A0B2BC3E21CC064278</t>
  </si>
  <si>
    <t>1111 LAZELLE ST</t>
  </si>
  <si>
    <t>LYNNS DAKOTAMART</t>
  </si>
  <si>
    <t>1359204156</t>
  </si>
  <si>
    <t>BHSCCR1534269532</t>
  </si>
  <si>
    <t>F48C468928E84B07924E179796E1F6FB</t>
  </si>
  <si>
    <t>444 N MOUNT RUSHMORE RD                            913 CC ARENA</t>
  </si>
  <si>
    <t>CIVIC CENTER</t>
  </si>
  <si>
    <t>CITY OF RC</t>
  </si>
  <si>
    <t>5904825717</t>
  </si>
  <si>
    <t>BHSCCR1534266555</t>
  </si>
  <si>
    <t>2DA5432D7A4241B9ABB17CA6546D9F5B</t>
  </si>
  <si>
    <t>2021 MARLIN DR</t>
  </si>
  <si>
    <t>TRUPOWER INC</t>
  </si>
  <si>
    <t>5681739982</t>
  </si>
  <si>
    <t>BHSCCR1534260178</t>
  </si>
  <si>
    <t>127217EF78114C96AFF03961D3B8FDC6</t>
  </si>
  <si>
    <t>429F06CE165A4DD687B346E0E10F732C</t>
  </si>
  <si>
    <t>BHSCCR1534211212</t>
  </si>
  <si>
    <t>992CD7B958D04F4D96798B26739DFA71</t>
  </si>
  <si>
    <t>Natural Gas</t>
  </si>
  <si>
    <t>333 WEST BLVD</t>
  </si>
  <si>
    <t>FIRST INTERSTATE GATEWAY</t>
  </si>
  <si>
    <t>2049499193</t>
  </si>
  <si>
    <t>BHSCCR1534210353</t>
  </si>
  <si>
    <t>E4DC11C58B484EB4B719C433B702BEDF</t>
  </si>
  <si>
    <t>BHSCCR1534205095</t>
  </si>
  <si>
    <t>1891926658A8402FBD7C9B52543ED4D4</t>
  </si>
  <si>
    <t>27585 SD HIGHWAY 79</t>
  </si>
  <si>
    <t>KOTA CAMPGROUND-HOT SPRINGS</t>
  </si>
  <si>
    <t>ZEST LLC</t>
  </si>
  <si>
    <t>3346842936</t>
  </si>
  <si>
    <t>BHSCCR1534196955</t>
  </si>
  <si>
    <t>C7C32CA244134E7D97519624A626CFDC</t>
  </si>
  <si>
    <t>3730 ELK VALE RD</t>
  </si>
  <si>
    <t>ROTH TRUCKING INC</t>
  </si>
  <si>
    <t>6108833553</t>
  </si>
  <si>
    <t>BHSCCR1534193525</t>
  </si>
  <si>
    <t>6CAD591D1E914F5DAFC5EF458C52170F</t>
  </si>
  <si>
    <t>Industrial</t>
  </si>
  <si>
    <t>Other Industrial</t>
  </si>
  <si>
    <t>1601 CULVERT ST</t>
  </si>
  <si>
    <t>FORTERRA CONCRETE PRODUCT</t>
  </si>
  <si>
    <t>0172437736</t>
  </si>
  <si>
    <t>BHSCCR1534190711</t>
  </si>
  <si>
    <t>2D9EB293BE3644F882DD4F51F65DD355</t>
  </si>
  <si>
    <t>BHSCCR1534136018</t>
  </si>
  <si>
    <t>97E285284CC7443AAAB74E5411505A19</t>
  </si>
  <si>
    <t>45E5E081F9D844EB83D6AE8B96D10447</t>
  </si>
  <si>
    <t>advancedelectricaltg@knology.net</t>
  </si>
  <si>
    <t>605-348-9756</t>
  </si>
  <si>
    <t>PO BOX 647</t>
  </si>
  <si>
    <t>ADVANCED ELECTRICAL INC</t>
  </si>
  <si>
    <t>2510 N PLAZA DR</t>
  </si>
  <si>
    <t>FARM CREDIT SER</t>
  </si>
  <si>
    <t>3485115409</t>
  </si>
  <si>
    <t>BHSCCR1534114370</t>
  </si>
  <si>
    <t>0D214E5CA3DF4B6DA8BDD6FFE4FA7AA4</t>
  </si>
  <si>
    <t>BHSCCR1534098220</t>
  </si>
  <si>
    <t>CA3BF792B8FA479B857E248E70CA030E</t>
  </si>
  <si>
    <t>STRUGIS ELEMENTARY</t>
  </si>
  <si>
    <t>BHSCCR1534068124</t>
  </si>
  <si>
    <t>961B0728E4814AD984669F3911E7139F</t>
  </si>
  <si>
    <t>8E14C1E3F7AE492DB2A1CDE015021362</t>
  </si>
  <si>
    <t>333DE4C2F9FB41F69A8D93E0BAE05C16</t>
  </si>
  <si>
    <t>RSCHREMPP@MUTHELECTRIC.COM</t>
  </si>
  <si>
    <t>605-341-3554</t>
  </si>
  <si>
    <t>1825 SAMCO ROAD</t>
  </si>
  <si>
    <t>MUTH ELECTRIC</t>
  </si>
  <si>
    <t>LODGE AT DEADWOOD</t>
  </si>
  <si>
    <t>BHSCCR1534066566</t>
  </si>
  <si>
    <t>EB91128C4F4F4BCA803B70C1DD857F4D</t>
  </si>
  <si>
    <t>BHSCCR1534040990</t>
  </si>
  <si>
    <t>0BF4BA016C7A4AD9B0BA320A6BBF4C7C</t>
  </si>
  <si>
    <t>BHSCCR1534040897</t>
  </si>
  <si>
    <t>344AD37BD7184556BDD5F1F1A50E4B97</t>
  </si>
  <si>
    <t>BHSCCR1534039616</t>
  </si>
  <si>
    <t>EC5668A5FB9340D8A5C7B2A589BDB8E0</t>
  </si>
  <si>
    <t>75C8D6AE81A84B63BFE5C4CABBAD0BCC</t>
  </si>
  <si>
    <t>B6321820EFF34955973C8D025C9DBADF</t>
  </si>
  <si>
    <t>71423314487C4E109833AB6F2FB816D6</t>
  </si>
  <si>
    <t>0C4E437875424070A71C91F3A1EB9842</t>
  </si>
  <si>
    <t>5CB98101E97F4F35A4C025FB2C730A1B</t>
  </si>
  <si>
    <t>60797EDA78004F2DB93A53E306983EF7</t>
  </si>
  <si>
    <t>3402 COTTONWOOD ST</t>
  </si>
  <si>
    <t>CHRIST CHURCH</t>
  </si>
  <si>
    <t>3246071649</t>
  </si>
  <si>
    <t>BHSCCR1533975460</t>
  </si>
  <si>
    <t>05006E9FCA37496F93082F6864B4D8A5</t>
  </si>
  <si>
    <t>deanw@phazeel.com</t>
  </si>
  <si>
    <t>605-641-6645</t>
  </si>
  <si>
    <t>PO BOX 669</t>
  </si>
  <si>
    <t>PHAZE ELECTRIC</t>
  </si>
  <si>
    <t>120 INDUSTRIAL                                    STE A ATLAS</t>
  </si>
  <si>
    <t>MASS MARKETS-ATLAS BUILDING</t>
  </si>
  <si>
    <t>MASS MARKETS</t>
  </si>
  <si>
    <t>8548246472</t>
  </si>
  <si>
    <t>BHSCCR1533975295</t>
  </si>
  <si>
    <t>261C5AA31B02469C9C0423A2A114C3B8</t>
  </si>
  <si>
    <t>BHSCCR1533938861</t>
  </si>
  <si>
    <t>ADEB4EF2AE7E4D1EA1DF7FE5B0C8709E</t>
  </si>
  <si>
    <t>BHSCCR1533903175</t>
  </si>
  <si>
    <t>2AD1BB75D5F74F04AC78F6979E46A81C</t>
  </si>
  <si>
    <t>364E20535FE840A0A7FB73C49515FED9</t>
  </si>
  <si>
    <t>320 S MAIN ST</t>
  </si>
  <si>
    <t>LD DWD SCH DIST 40-1</t>
  </si>
  <si>
    <t>LD DWD SCH</t>
  </si>
  <si>
    <t>0635135528</t>
  </si>
  <si>
    <t>BHSCCR1533883582</t>
  </si>
  <si>
    <t>36B8573F7F9444C8AE378E3D81BEC1E6</t>
  </si>
  <si>
    <t>605-347-5036</t>
  </si>
  <si>
    <t>2840 ELK RD</t>
  </si>
  <si>
    <t>NORTHERN HILLS ELECTRIC</t>
  </si>
  <si>
    <t>1835 WHITEWOOD RD</t>
  </si>
  <si>
    <t>WHEELER LUM OPER</t>
  </si>
  <si>
    <t>BHP12327676</t>
  </si>
  <si>
    <t>BHSCCR1533851200</t>
  </si>
  <si>
    <t>346C97B935584D7B99A2372C95501A77</t>
  </si>
  <si>
    <t>BAOLSON00@HOTMAIL.COM</t>
  </si>
  <si>
    <t>605-722-7767</t>
  </si>
  <si>
    <t>57779</t>
  </si>
  <si>
    <t>ST ONGE</t>
  </si>
  <si>
    <t>PO BOX 214</t>
  </si>
  <si>
    <t>DAKOTA ELECTRIC</t>
  </si>
  <si>
    <t>234 1ST ST</t>
  </si>
  <si>
    <t>TOWN OF ST ONGE</t>
  </si>
  <si>
    <t>5864774245</t>
  </si>
  <si>
    <t>BHSCCR1533836769</t>
  </si>
  <si>
    <t>D0E4DAB3F40E4E6CB773EB73EDAFB833</t>
  </si>
  <si>
    <t>818 5TH AVE</t>
  </si>
  <si>
    <t>STADIUM SPORTS GRILL</t>
  </si>
  <si>
    <t>1066286049</t>
  </si>
  <si>
    <t>BHSCCR1533710996</t>
  </si>
  <si>
    <t>14CBA9ED93DB49B0A4045F5D9D3BD75D</t>
  </si>
  <si>
    <t>744 N MAIN ST</t>
  </si>
  <si>
    <t>5472403137</t>
  </si>
  <si>
    <t>BHSCCR1533705353</t>
  </si>
  <si>
    <t>FD59F5DCED0047CE9F5F5FD3A25AE61D</t>
  </si>
  <si>
    <t>BHSCCR1533526133</t>
  </si>
  <si>
    <t>36B541801CD9400DB2F7D254D6898222</t>
  </si>
  <si>
    <t>19010 US HIGHWAY 85</t>
  </si>
  <si>
    <t>1442388501</t>
  </si>
  <si>
    <t>BHSCCR1533448111</t>
  </si>
  <si>
    <t>117EF2A067CD499F99F5787442AB5BC4</t>
  </si>
  <si>
    <t>BHSCCR1533306947</t>
  </si>
  <si>
    <t>986F1C77D23F4C89990511188A6E847D</t>
  </si>
  <si>
    <t>18 MOUNT RUSHMORE RD</t>
  </si>
  <si>
    <t>8708493182</t>
  </si>
  <si>
    <t>BHSCCR1533306364</t>
  </si>
  <si>
    <t>507D5733E6A44F03B8A9E1959BEC0ADC</t>
  </si>
  <si>
    <t>BHSCCR1533283610</t>
  </si>
  <si>
    <t>08FD1C9DF41E489D90C1025D07D3E4CC</t>
  </si>
  <si>
    <t>13776 STURGIS RD</t>
  </si>
  <si>
    <t>HILLSVIEW EVANGELICAL CHU</t>
  </si>
  <si>
    <t>0752498438</t>
  </si>
  <si>
    <t>BHSCCR1533132007</t>
  </si>
  <si>
    <t>E7BDD47DDA81494F886A06F71571142E</t>
  </si>
  <si>
    <t>C738ECFD8A804942AACC49DD066253B4</t>
  </si>
  <si>
    <t>447A440BD2CE4104A787344CF785FA11</t>
  </si>
  <si>
    <t>125 WATERLOO ST                                    RSVLT SWIM CNTR</t>
  </si>
  <si>
    <t>ROOSEVELT SWIM CENTER</t>
  </si>
  <si>
    <t>5547216721</t>
  </si>
  <si>
    <t>BHSCCR1533130310</t>
  </si>
  <si>
    <t>BC849AC06F234340A33128A61D11D07E</t>
  </si>
  <si>
    <t>BHSCCR1533125881</t>
  </si>
  <si>
    <t>DF50F1ABD6B14A63A5D17AC0BF1321EB</t>
  </si>
  <si>
    <t>BHSCCR1533121922</t>
  </si>
  <si>
    <t>C2634DB91663481CADA16018445CF8B8</t>
  </si>
  <si>
    <t>D0C223F7DD094657820E7FC6371475D7</t>
  </si>
  <si>
    <t>630 BROADWAY ST</t>
  </si>
  <si>
    <t>CITY OF DEADWOOD</t>
  </si>
  <si>
    <t>0302256574</t>
  </si>
  <si>
    <t>BHSCCR1533104485</t>
  </si>
  <si>
    <t>FEC6390ACD3A4FF8AC71F7BC2CBA1032</t>
  </si>
  <si>
    <t>Boiler</t>
  </si>
  <si>
    <t>1012 SOO SAN DR</t>
  </si>
  <si>
    <t>WESTMINSTER PRESB CH</t>
  </si>
  <si>
    <t>3070686314</t>
  </si>
  <si>
    <t>BHSCCR1533047151</t>
  </si>
  <si>
    <t>E3E38ACFC97F463EBF679B5AFBAC28AE</t>
  </si>
  <si>
    <t>MENARDS INC</t>
  </si>
  <si>
    <t>1378534032</t>
  </si>
  <si>
    <t>BHSCCR1533020333</t>
  </si>
  <si>
    <t>74CEB4FE01294F2DBF1DB5823138D62A</t>
  </si>
  <si>
    <t>82 DUNMIRE DR</t>
  </si>
  <si>
    <t>NORTHERN HILLS DENTAL</t>
  </si>
  <si>
    <t>3672093512</t>
  </si>
  <si>
    <t>BHSCCR1533020321</t>
  </si>
  <si>
    <t>0755E8FF7DAE46089CDEEDDE39297552</t>
  </si>
  <si>
    <t>1425 SHERMAN ST</t>
  </si>
  <si>
    <t>MEADE CO</t>
  </si>
  <si>
    <t>1968818030</t>
  </si>
  <si>
    <t>BHSCCR1532914472</t>
  </si>
  <si>
    <t>D9ADF6496A5F4680AD3548F503C827A5</t>
  </si>
  <si>
    <t>FLINTSCO@GWTC.NET</t>
  </si>
  <si>
    <t>605-745-7774</t>
  </si>
  <si>
    <t>707 BALTIMORE AVE</t>
  </si>
  <si>
    <t>FLINT ELECTRIC INC</t>
  </si>
  <si>
    <t>202 N GARDEN ST</t>
  </si>
  <si>
    <t>HS FIRE DEPT</t>
  </si>
  <si>
    <t>5465789860</t>
  </si>
  <si>
    <t>BHSCCR1532886014</t>
  </si>
  <si>
    <t>Non-Residential - BHPSD - C/I Custom</t>
  </si>
  <si>
    <t>75457677726D4E77B6060B707B024FB5</t>
  </si>
  <si>
    <t>RE4-8112W</t>
  </si>
  <si>
    <t>Refrigerator Recycling - Residential</t>
  </si>
  <si>
    <t>Appliance Recycling :- Customer Incentives</t>
  </si>
  <si>
    <t>kdapp@midconetwork.com</t>
  </si>
  <si>
    <t>K and D APPLIANCE</t>
  </si>
  <si>
    <t>2209 LOCKWOOD DR</t>
  </si>
  <si>
    <t>KIMBALL</t>
  </si>
  <si>
    <t>MARCUS R</t>
  </si>
  <si>
    <t>4745406152</t>
  </si>
  <si>
    <t>BHHRPS1534569025</t>
  </si>
  <si>
    <t>1C495858635245A3818847A846FD5D03</t>
  </si>
  <si>
    <t>TT21AKXKQ06</t>
  </si>
  <si>
    <t>4501 S GLENVIEW PL</t>
  </si>
  <si>
    <t>BAILIE</t>
  </si>
  <si>
    <t>CYNTHIA S</t>
  </si>
  <si>
    <t>0317128581</t>
  </si>
  <si>
    <t>BHHRPS1534533338</t>
  </si>
  <si>
    <t>E719DF2ABCDE4C3783A0430FB591DC2B</t>
  </si>
  <si>
    <t>MFU17M3GW1</t>
  </si>
  <si>
    <t>Freezer Recycling - Residential</t>
  </si>
  <si>
    <t>210 3RD AVE</t>
  </si>
  <si>
    <t>SHANNON</t>
  </si>
  <si>
    <t>ROBERT</t>
  </si>
  <si>
    <t>7847095376</t>
  </si>
  <si>
    <t>BHHRPS1534463462</t>
  </si>
  <si>
    <t>9F35ECF3F0C3466DBA322EEC1581CA69</t>
  </si>
  <si>
    <t>10f-21H-W6</t>
  </si>
  <si>
    <t>804 MARIE CT</t>
  </si>
  <si>
    <t>VEDDER</t>
  </si>
  <si>
    <t>MARK</t>
  </si>
  <si>
    <t>4821641008</t>
  </si>
  <si>
    <t>BHHRPS1534416117</t>
  </si>
  <si>
    <t>49974EC3435C4011A534359A8AD89D48</t>
  </si>
  <si>
    <t>SCD23VL</t>
  </si>
  <si>
    <t>7255 W HIGHWAY 44</t>
  </si>
  <si>
    <t>RENFRO</t>
  </si>
  <si>
    <t>GLORIA J</t>
  </si>
  <si>
    <t>0969599076</t>
  </si>
  <si>
    <t>BHHRPS1534351110</t>
  </si>
  <si>
    <t>CFA8C648A4B94A61A487683E50FC01BF</t>
  </si>
  <si>
    <t>CTF16ERS</t>
  </si>
  <si>
    <t>915 SAINT ANDREW ST</t>
  </si>
  <si>
    <t>BRINK</t>
  </si>
  <si>
    <t>JULIE L</t>
  </si>
  <si>
    <t>5505308242</t>
  </si>
  <si>
    <t>BHHRPS1534315748</t>
  </si>
  <si>
    <t>13F11130BB5E44A6A1CB4CF0B98E61DD</t>
  </si>
  <si>
    <t>106.8580311</t>
  </si>
  <si>
    <t>4902 EVEREST RD</t>
  </si>
  <si>
    <t>BAUMAN</t>
  </si>
  <si>
    <t>LEANNA L</t>
  </si>
  <si>
    <t>6189420297</t>
  </si>
  <si>
    <t>BHHRPS1534204845</t>
  </si>
  <si>
    <t>2379681814264488926AE22E3AE53272</t>
  </si>
  <si>
    <t>ET20PKXXN00</t>
  </si>
  <si>
    <t>236 MARKAY PL</t>
  </si>
  <si>
    <t>ARNOLD</t>
  </si>
  <si>
    <t>6261283277</t>
  </si>
  <si>
    <t>BHHRPS1534196272</t>
  </si>
  <si>
    <t>0CBF1BBA6A594B5AA75030DB332557F6</t>
  </si>
  <si>
    <t>V706S1</t>
  </si>
  <si>
    <t>49A534F1353C4B10A73B7CEAE1C8C5B4</t>
  </si>
  <si>
    <t>FRTR1817LW2</t>
  </si>
  <si>
    <t>2318 CRUZ DR</t>
  </si>
  <si>
    <t>SHENK</t>
  </si>
  <si>
    <t>ELIZABETH E</t>
  </si>
  <si>
    <t>6505761376</t>
  </si>
  <si>
    <t>BHHRPS1534112476</t>
  </si>
  <si>
    <t>B4FF9AE03DBE43EB981637EDD0EBD426</t>
  </si>
  <si>
    <t>106.8281511</t>
  </si>
  <si>
    <t>E03E7F0176A245008E47BFB27D6A95AD</t>
  </si>
  <si>
    <t>1067695280</t>
  </si>
  <si>
    <t>1901 38TH ST</t>
  </si>
  <si>
    <t>JASON</t>
  </si>
  <si>
    <t>1961878008</t>
  </si>
  <si>
    <t>BHHRPS1534090858</t>
  </si>
  <si>
    <t>0063E5F477484CBBB706A6FA5D7580A0</t>
  </si>
  <si>
    <t>FRT18LRHD0</t>
  </si>
  <si>
    <t>438 E OAKLAND ST</t>
  </si>
  <si>
    <t>HENRIKSON</t>
  </si>
  <si>
    <t>SCOTT M</t>
  </si>
  <si>
    <t>6570127952</t>
  </si>
  <si>
    <t>BHHRPS1534090856</t>
  </si>
  <si>
    <t>1833CFF822B94F62858FE613F246A8C0</t>
  </si>
  <si>
    <t>ET8MTMXLT00</t>
  </si>
  <si>
    <t>40F85973101747BCB5FEBACF70F99EA6</t>
  </si>
  <si>
    <t>HMG453900A</t>
  </si>
  <si>
    <t>1155 KINGSWOOD DR</t>
  </si>
  <si>
    <t>WERMERS</t>
  </si>
  <si>
    <t>LES J</t>
  </si>
  <si>
    <t>5435654644</t>
  </si>
  <si>
    <t>BHHRPS1534069000</t>
  </si>
  <si>
    <t>5C98877D83A04A5E9E439CD38F0218B8</t>
  </si>
  <si>
    <t>NO TAG</t>
  </si>
  <si>
    <t>CFB1B412700148D0B47EDE4F10783446</t>
  </si>
  <si>
    <t>25370004800</t>
  </si>
  <si>
    <t>1209 4TH ST</t>
  </si>
  <si>
    <t>MITCHELL</t>
  </si>
  <si>
    <t>MICHELE R</t>
  </si>
  <si>
    <t>9308049070</t>
  </si>
  <si>
    <t>BHHRPS1534039733</t>
  </si>
  <si>
    <t>74CD26A4653B4813929DF6D6324BC23D</t>
  </si>
  <si>
    <t>2538627111</t>
  </si>
  <si>
    <t>2009 ASH AVE</t>
  </si>
  <si>
    <t>HAYES</t>
  </si>
  <si>
    <t>MRS ROY JR</t>
  </si>
  <si>
    <t>4848256212</t>
  </si>
  <si>
    <t>BHHRPS1534030152</t>
  </si>
  <si>
    <t>CD55BACCD9EC4C1C939210E22D09AB1A</t>
  </si>
  <si>
    <t>CTX20GHB</t>
  </si>
  <si>
    <t>8405 STURGIS RD</t>
  </si>
  <si>
    <t>MEEKER</t>
  </si>
  <si>
    <t>ROBERT D</t>
  </si>
  <si>
    <t>1981839155</t>
  </si>
  <si>
    <t>BHHRPS1534018997</t>
  </si>
  <si>
    <t>71BB58CA117B4A8D83008FA0E55BFE4B</t>
  </si>
  <si>
    <t>HMG21330</t>
  </si>
  <si>
    <t>5470 HIDDEN VALLEY LN                             APT B</t>
  </si>
  <si>
    <t>DRESSLER</t>
  </si>
  <si>
    <t>DORIS J</t>
  </si>
  <si>
    <t>2339548653</t>
  </si>
  <si>
    <t>BHHRPS1533995272</t>
  </si>
  <si>
    <t>8892CA3384C14764AA2FB1A7035A8EE6</t>
  </si>
  <si>
    <t>ED25RFVFW01</t>
  </si>
  <si>
    <t>636 FOX RUN DR</t>
  </si>
  <si>
    <t>LUNDY</t>
  </si>
  <si>
    <t>JEROME L</t>
  </si>
  <si>
    <t>8091287980</t>
  </si>
  <si>
    <t>BHHRPS1533981555</t>
  </si>
  <si>
    <t>8D8666492603434EB026F4580B4D5847</t>
  </si>
  <si>
    <t>ED25PDXDW03</t>
  </si>
  <si>
    <t>5241 WINTERSET DR</t>
  </si>
  <si>
    <t>JEANINE L</t>
  </si>
  <si>
    <t>1168565714</t>
  </si>
  <si>
    <t>BHHRPS1533981542</t>
  </si>
  <si>
    <t>03DAFEEE0D684AA888508DB5E2F8AE15</t>
  </si>
  <si>
    <t>GFU17M4GW2</t>
  </si>
  <si>
    <t>320 E JACKSON ST</t>
  </si>
  <si>
    <t>WAUER</t>
  </si>
  <si>
    <t>LAYTON</t>
  </si>
  <si>
    <t>2486178114</t>
  </si>
  <si>
    <t>BHHRPS1533979276</t>
  </si>
  <si>
    <t>3CBDB171545F44B9ADE37B65832FF3C9</t>
  </si>
  <si>
    <t>ET1CHMXKT06</t>
  </si>
  <si>
    <t>6813 COG HILL LN</t>
  </si>
  <si>
    <t>LYNNE GREENWALDT</t>
  </si>
  <si>
    <t>GREENWALDT</t>
  </si>
  <si>
    <t>LYNNE D</t>
  </si>
  <si>
    <t>4334041818</t>
  </si>
  <si>
    <t>BHHRPS1533947849</t>
  </si>
  <si>
    <t>A39F745E9DBB4048ACB5B6387C324FAA</t>
  </si>
  <si>
    <t>WRT11CFDB01</t>
  </si>
  <si>
    <t>2011 PRAIRIE AVE</t>
  </si>
  <si>
    <t>DILLOW</t>
  </si>
  <si>
    <t>MARGARET M</t>
  </si>
  <si>
    <t>7676810238</t>
  </si>
  <si>
    <t>BHHRPS1533947846</t>
  </si>
  <si>
    <t>F90EF4C88CEE495E84E0C3054A8B8EF2</t>
  </si>
  <si>
    <t>GD5RHAXNT01</t>
  </si>
  <si>
    <t>301 N 40TH ST</t>
  </si>
  <si>
    <t>LEONARD, JUDI</t>
  </si>
  <si>
    <t>LEONARD</t>
  </si>
  <si>
    <t>JUDI</t>
  </si>
  <si>
    <t>0379785919</t>
  </si>
  <si>
    <t>BHHRPS1533856743</t>
  </si>
  <si>
    <t>7547484F658345BC8D00F5E07B0690A2</t>
  </si>
  <si>
    <t>FPI-13B-60</t>
  </si>
  <si>
    <t>12868 1/2 OLD HILL CITY RD</t>
  </si>
  <si>
    <t>DUSING, TOM R</t>
  </si>
  <si>
    <t>DUSING</t>
  </si>
  <si>
    <t>TOM R</t>
  </si>
  <si>
    <t>0710789819</t>
  </si>
  <si>
    <t>BHHRPS1533843079</t>
  </si>
  <si>
    <t>59CE1073B0864AF19E3CE2254B79B986</t>
  </si>
  <si>
    <t>C158-1</t>
  </si>
  <si>
    <t>2918 HARVARD AVE</t>
  </si>
  <si>
    <t>ZANDSTRA, ALLEN</t>
  </si>
  <si>
    <t>ZANDSTRA</t>
  </si>
  <si>
    <t>3196539329</t>
  </si>
  <si>
    <t>BHHRPS1533842568</t>
  </si>
  <si>
    <t>9104CC0A3CE44BABA23F562A13D271D3</t>
  </si>
  <si>
    <t>ET8WTKXKQ02</t>
  </si>
  <si>
    <t>4835 STURGIS RD                                   LOT 414</t>
  </si>
  <si>
    <t>STANDS</t>
  </si>
  <si>
    <t>MAKAYLA</t>
  </si>
  <si>
    <t>2413808695</t>
  </si>
  <si>
    <t>BHHRPS1533842053</t>
  </si>
  <si>
    <t>4714D7A7255B41A2BF607F6CCA7A0A0A</t>
  </si>
  <si>
    <t>FRS22PRCW1</t>
  </si>
  <si>
    <t>4835 STURGIS RD                                   LOT 105</t>
  </si>
  <si>
    <t>STEVENS</t>
  </si>
  <si>
    <t>ALANNA</t>
  </si>
  <si>
    <t>7825735120</t>
  </si>
  <si>
    <t>BHHRPS1533809928</t>
  </si>
  <si>
    <t>2325EAA221F749D984469341F807018F</t>
  </si>
  <si>
    <t>ED22DQXXN00</t>
  </si>
  <si>
    <t>4320 TIMBERLANE PL</t>
  </si>
  <si>
    <t>BRAUN</t>
  </si>
  <si>
    <t>WARREN</t>
  </si>
  <si>
    <t>2421773127</t>
  </si>
  <si>
    <t>BHHRPS1533809762</t>
  </si>
  <si>
    <t>C4B16297D49845E2A3CFEBCFFB5E9517</t>
  </si>
  <si>
    <t>FRT18NNCD2</t>
  </si>
  <si>
    <t>5127 S CANYON RD</t>
  </si>
  <si>
    <t>MCARTHUR</t>
  </si>
  <si>
    <t>CLIFFORD</t>
  </si>
  <si>
    <t>1385518124</t>
  </si>
  <si>
    <t>BHHRPS1533628269</t>
  </si>
  <si>
    <t>2B5554E7D9EC49F1B5486DBCF65CB598</t>
  </si>
  <si>
    <t>FAITH</t>
  </si>
  <si>
    <t>KARA L</t>
  </si>
  <si>
    <t>9910835667</t>
  </si>
  <si>
    <t>BHHRPS1533448018</t>
  </si>
  <si>
    <t>D3C5375C5BE343C89DC21B04683E728C</t>
  </si>
  <si>
    <t>RB21SLEBP</t>
  </si>
  <si>
    <t>209 W ELGIN ST</t>
  </si>
  <si>
    <t>HERRMANN</t>
  </si>
  <si>
    <t>3157573418</t>
  </si>
  <si>
    <t>BHHRPS1533447931</t>
  </si>
  <si>
    <t>C27C46A5FBE84A3A8C45CBEE908B2DE3</t>
  </si>
  <si>
    <t>8</t>
  </si>
  <si>
    <t>4426 DUCKHORN ST</t>
  </si>
  <si>
    <t>SILBERNAGEL</t>
  </si>
  <si>
    <t>DENISE M</t>
  </si>
  <si>
    <t>2199807068</t>
  </si>
  <si>
    <t>BHHRPS1533195952</t>
  </si>
  <si>
    <t>A410227CF76C4E83AFB01ABDAB74148A</t>
  </si>
  <si>
    <t>415 SAN MARCO BLVD</t>
  </si>
  <si>
    <t>KAEMINGK</t>
  </si>
  <si>
    <t>3951841409</t>
  </si>
  <si>
    <t>BHHRPS1533150364</t>
  </si>
  <si>
    <t>70DB11F185DB4BBB825C2F12114B55B7</t>
  </si>
  <si>
    <t>10673842301</t>
  </si>
  <si>
    <t>1503 CHERRY AVE</t>
  </si>
  <si>
    <t>5370197765</t>
  </si>
  <si>
    <t>BHHRPS1533137630</t>
  </si>
  <si>
    <t>FF4F507493974159880D06B11E05CD52</t>
  </si>
  <si>
    <t>TBF19DBC</t>
  </si>
  <si>
    <t>4814 W MAIN ST</t>
  </si>
  <si>
    <t>MANNHALTER</t>
  </si>
  <si>
    <t>RACHEL C</t>
  </si>
  <si>
    <t>2502462759</t>
  </si>
  <si>
    <t>BHHRPS1533137360</t>
  </si>
  <si>
    <t>892EB6BD9CB34B8181C113EFC1CD38F6</t>
  </si>
  <si>
    <t>MCD2456GEW</t>
  </si>
  <si>
    <t>3707 WESTERN AVE</t>
  </si>
  <si>
    <t>FRANCIS</t>
  </si>
  <si>
    <t>JEFFREY T</t>
  </si>
  <si>
    <t>5603263304</t>
  </si>
  <si>
    <t>BHHRPS1533134339</t>
  </si>
  <si>
    <t>1F6AECC24E4E454CB4868537A06CED59</t>
  </si>
  <si>
    <t>ED2CHQXKB05</t>
  </si>
  <si>
    <t>120 S 10TH ST</t>
  </si>
  <si>
    <t>BAWDON</t>
  </si>
  <si>
    <t>JOE W</t>
  </si>
  <si>
    <t>2435954790</t>
  </si>
  <si>
    <t>BHHRPS1533059349</t>
  </si>
  <si>
    <t>DE6CBE844C3C42BF8897954407B6DE7E</t>
  </si>
  <si>
    <t>RSW22EODAM</t>
  </si>
  <si>
    <t>1021 PERKINS ST</t>
  </si>
  <si>
    <t>BOYKIN</t>
  </si>
  <si>
    <t>SUZANNE</t>
  </si>
  <si>
    <t>2627869439</t>
  </si>
  <si>
    <t>BHHRPS1533025584</t>
  </si>
  <si>
    <t>07004A6CE4354AAFA4D35E75AC620B53</t>
  </si>
  <si>
    <t>TBX18IADBRWWN</t>
  </si>
  <si>
    <t>723 ALTA VISTA DR</t>
  </si>
  <si>
    <t>BLOMME</t>
  </si>
  <si>
    <t>KRAIG D</t>
  </si>
  <si>
    <t>4641823075</t>
  </si>
  <si>
    <t>BHHRPS1532920753</t>
  </si>
  <si>
    <t>768FAE3739E44DF68807D0C3786868E9</t>
  </si>
  <si>
    <t>RT176GCD2</t>
  </si>
  <si>
    <t>2904 LANARK RD</t>
  </si>
  <si>
    <t>VIDAS</t>
  </si>
  <si>
    <t>CLARK W</t>
  </si>
  <si>
    <t>2358792868</t>
  </si>
  <si>
    <t>BHHRPS1532891921</t>
  </si>
  <si>
    <t>EC5084DE88534BEFBCDE3EE0C04A36C8</t>
  </si>
  <si>
    <t>TB14SFB</t>
  </si>
  <si>
    <t>110 E WATERTOWN ST                                LOT 33</t>
  </si>
  <si>
    <t>PATINO</t>
  </si>
  <si>
    <t>PETER JR</t>
  </si>
  <si>
    <t>3006269332</t>
  </si>
  <si>
    <t>BHHRPS1532867712</t>
  </si>
  <si>
    <t>Residential/Non-Residential - BHPSD - Appliance Recycling</t>
  </si>
  <si>
    <t>Measure RefID</t>
  </si>
  <si>
    <t>Application Status</t>
  </si>
  <si>
    <t>Creation Date</t>
  </si>
  <si>
    <t>Program Qualification Date</t>
  </si>
  <si>
    <t>Incentive Amount</t>
  </si>
  <si>
    <t>Peak Therms</t>
  </si>
  <si>
    <t>Peak Therm Factor</t>
  </si>
  <si>
    <t>Unit Level Natural Gas Savings MMBTU</t>
  </si>
  <si>
    <t>Total Net Dth</t>
  </si>
  <si>
    <t>Total Gross Dth</t>
  </si>
  <si>
    <t>Total Net kWh</t>
  </si>
  <si>
    <t>Total Gross kWh</t>
  </si>
  <si>
    <t>Total Net kW</t>
  </si>
  <si>
    <t>Total Gross kW</t>
  </si>
  <si>
    <t>Total Number of Packs</t>
  </si>
  <si>
    <t>Quantity</t>
  </si>
  <si>
    <t>Output Heating Capacity MBTUH</t>
  </si>
  <si>
    <t>Model</t>
  </si>
  <si>
    <t>Gallons HR</t>
  </si>
  <si>
    <t>Full Load Hours</t>
  </si>
  <si>
    <t>EF</t>
  </si>
  <si>
    <t>Capacity Gallons</t>
  </si>
  <si>
    <t>Capacity</t>
  </si>
  <si>
    <t>BTUH Input</t>
  </si>
  <si>
    <t>BTUH</t>
  </si>
  <si>
    <t>Annual Gallons Used</t>
  </si>
  <si>
    <t>AFUE</t>
  </si>
  <si>
    <t>Water Heating Fuel Type</t>
  </si>
  <si>
    <t>Space Heating Type</t>
  </si>
  <si>
    <t>Type of Facility</t>
  </si>
  <si>
    <t>Building Type</t>
  </si>
  <si>
    <t>Equipment Name</t>
  </si>
  <si>
    <t>Budget Line Path</t>
  </si>
  <si>
    <t>Contractor eMail</t>
  </si>
  <si>
    <t>Contractor Phone</t>
  </si>
  <si>
    <t>Contractor Zip</t>
  </si>
  <si>
    <t>Contractor State</t>
  </si>
  <si>
    <t>Contractor City</t>
  </si>
  <si>
    <t>Contractor Address</t>
  </si>
  <si>
    <t>Contractor Company</t>
  </si>
  <si>
    <t>Zip</t>
  </si>
  <si>
    <t>State</t>
  </si>
  <si>
    <t>City</t>
  </si>
  <si>
    <t>Address</t>
  </si>
  <si>
    <t>Company</t>
  </si>
  <si>
    <t>Last Name</t>
  </si>
  <si>
    <t>First Name</t>
  </si>
  <si>
    <t>Account Number</t>
  </si>
  <si>
    <t>RefID</t>
  </si>
  <si>
    <t>Project Number</t>
  </si>
  <si>
    <t>VisionDSM Program - Type</t>
  </si>
  <si>
    <t>Program Application Detail Report (v.6)  [ 09/01/2016 ~ 08/31/2017 ]</t>
  </si>
  <si>
    <t>Outlier Incentiveas</t>
  </si>
  <si>
    <t>Outlier Savings</t>
  </si>
  <si>
    <t>Incentives Standard</t>
  </si>
  <si>
    <t>kWh Standard</t>
  </si>
  <si>
    <t>BenCost Measure</t>
  </si>
  <si>
    <t>BenCost End Use</t>
  </si>
  <si>
    <t>BenCost Program</t>
  </si>
  <si>
    <t>BenCost Sector</t>
  </si>
  <si>
    <t>BenCost Key</t>
  </si>
  <si>
    <t>Vision key</t>
  </si>
  <si>
    <t>Filter</t>
  </si>
  <si>
    <t>Incentives Outliers</t>
  </si>
  <si>
    <t>Savings Outliers</t>
  </si>
  <si>
    <t>Sum of Total Gross kW</t>
  </si>
  <si>
    <t>Sum of Total Gross kWh</t>
  </si>
  <si>
    <t>Sum of Incentive Amount</t>
  </si>
  <si>
    <t>Sum of Quantity</t>
  </si>
  <si>
    <t>Count of Index</t>
  </si>
  <si>
    <t>Total:</t>
  </si>
  <si>
    <t>Whole House : Utility Direct Costs</t>
  </si>
  <si>
    <t>Residential Water Heating : Customer Incentives</t>
  </si>
  <si>
    <t>Residential Mini-Split : Customer Incentives</t>
  </si>
  <si>
    <t>Residential Heat Pumps - HP Water Heater : Customer Incentives</t>
  </si>
  <si>
    <t>Residential Heat Pumps - ER Heat Pump : Customer Incentives</t>
  </si>
  <si>
    <t>Residential Heat Pumps - Air Source Heat Pumps : Customer Incentives</t>
  </si>
  <si>
    <t>LED : Customer Incentives</t>
  </si>
  <si>
    <t>ES Star Fixture : Customer Incentives</t>
  </si>
  <si>
    <t>C&amp;I Lighting : Customer Incentives</t>
  </si>
  <si>
    <t>C&amp;I Custom Rebate : Customer Incentives</t>
  </si>
  <si>
    <t>Appliance Recycling : Customer Incentives</t>
  </si>
  <si>
    <t>Percent Goal Achieved</t>
  </si>
  <si>
    <t>BHPS Plan Year ( 09/01/2016 ~ 08/31/2017 ) - Installations</t>
  </si>
  <si>
    <t>Residential Water Heating</t>
  </si>
  <si>
    <t>Residential Mini Split</t>
  </si>
  <si>
    <t>Residential Lighting and Appliances</t>
  </si>
  <si>
    <t>Residential HP Water Heater</t>
  </si>
  <si>
    <t>Residential HP Replace Electric</t>
  </si>
  <si>
    <t>Residential Geothermal Heat Pumps</t>
  </si>
  <si>
    <t>Residential ER Heat Pump</t>
  </si>
  <si>
    <t>Residential ER Geothermal Heat Pumps</t>
  </si>
  <si>
    <t>Residential Air Source Heat Pumps</t>
  </si>
  <si>
    <t>Non-Residential Motors</t>
  </si>
  <si>
    <t>Non-Residential Lighting</t>
  </si>
  <si>
    <t>Non-Residential Heat Pump Water Heaters</t>
  </si>
  <si>
    <t>Non-Residential GS Heat Pumps</t>
  </si>
  <si>
    <t>Non-Residential Custom Rebate</t>
  </si>
  <si>
    <t>Non-Residential Air Source Heat Pumps</t>
  </si>
  <si>
    <t>BHPS Plan Year ( 09/01/2016 ~ 08/31/2017 ) - Participants</t>
  </si>
  <si>
    <t xml:space="preserve"> Peak Saving</t>
  </si>
  <si>
    <t xml:space="preserve"> Peak Goal</t>
  </si>
  <si>
    <t>Cumulative Savings (kWh)</t>
  </si>
  <si>
    <t>Cumulative Goal (kWh)</t>
  </si>
  <si>
    <t>BHPS Plan Year ( 09/01/2016 ~ 08/31/2017 ) - Electric Savings</t>
  </si>
  <si>
    <t>Whole House</t>
  </si>
  <si>
    <t>Residential Lighting &amp; Appliances :- LED</t>
  </si>
  <si>
    <t>Residential Lighting &amp; Appliances :- ES Star Fixture</t>
  </si>
  <si>
    <t>Residential Lighting &amp; Appliances :- Adv Power Strip</t>
  </si>
  <si>
    <t>Residential Heat Pumps :- Residential Mini-Split</t>
  </si>
  <si>
    <t>Residential Heat Pumps :- Residential Heat Pumps - HP Water Heater</t>
  </si>
  <si>
    <t>Residential Heat Pumps :- Residential Heat Pumps - HP Replace Electric</t>
  </si>
  <si>
    <t>Residential Heat Pumps :- Residential Heat Pumps - Geothermal Heat Pumps</t>
  </si>
  <si>
    <t>Residential Heat Pumps :- Residential Heat Pumps - ER Heat Pump</t>
  </si>
  <si>
    <t>Residential Heat Pumps :- Residential Heat Pumps - ER Geothermal Heat Pump</t>
  </si>
  <si>
    <t>Residential Heat Pumps :- Residential Heat Pumps - Air Source Heat Pumps</t>
  </si>
  <si>
    <t>C&amp;I Prescriptive Rebate :- C&amp;I Water Heaters</t>
  </si>
  <si>
    <t>C&amp;I Prescriptive Rebate :- C&amp;I Split Package Heat Pump</t>
  </si>
  <si>
    <t>C&amp;I Prescriptive Rebate :- C&amp;I Motors</t>
  </si>
  <si>
    <t>C&amp;I Prescriptive Rebate :- C&amp;I Lighting</t>
  </si>
  <si>
    <t>C&amp;I Prescriptive Rebate :- C&amp;I GS Heat Pumps</t>
  </si>
  <si>
    <t>C&amp;I Prescriptive Rebate :- C&amp;I Air Source Heat Pumps</t>
  </si>
  <si>
    <t>C&amp;I Custom Rebate</t>
  </si>
  <si>
    <t>Incentives (Rebates)</t>
  </si>
  <si>
    <t>Percent of Budget Expended</t>
  </si>
  <si>
    <t>Actual Expenditures</t>
  </si>
  <si>
    <t>BHE Accounting</t>
  </si>
  <si>
    <t>BHPS Plan Year ( 09/01/2016 ~ 08/31/2017 ) - Expenditures</t>
  </si>
  <si>
    <t>Installations</t>
  </si>
  <si>
    <t>Electric Savings</t>
  </si>
  <si>
    <t>Percent Budget/Goal Achieved</t>
  </si>
  <si>
    <t>Budget/Goal</t>
  </si>
  <si>
    <t>Report</t>
  </si>
  <si>
    <t>BHPS Plan Year ( 09/01/2016 ~ 08/31/2017 ) - Executive Summary - Portfolio</t>
  </si>
  <si>
    <t>BHPS Plan Year ( 09/01/2016 ~ 08/31/2017 ) - Executive Summary Report (v.11)</t>
  </si>
  <si>
    <t>Projects</t>
  </si>
  <si>
    <t>BLACK HILLS SD</t>
  </si>
  <si>
    <t>Plan Data</t>
  </si>
  <si>
    <t>Savings Min</t>
  </si>
  <si>
    <t>Savings Max</t>
  </si>
  <si>
    <t>Savings Avg</t>
  </si>
  <si>
    <t>Savings SD</t>
  </si>
  <si>
    <t>Incentives Min</t>
  </si>
  <si>
    <t>Incentives Max</t>
  </si>
  <si>
    <t>Incentives Avg</t>
  </si>
  <si>
    <t>Incentives SD</t>
  </si>
  <si>
    <t>kWh/Unit</t>
  </si>
  <si>
    <t>Incentive/Unit</t>
  </si>
  <si>
    <t>Avg kWh</t>
  </si>
  <si>
    <t>SD kWh</t>
  </si>
  <si>
    <t>Avg Incentive</t>
  </si>
  <si>
    <t>SD Incentive</t>
  </si>
  <si>
    <t>Some apps had zero savings</t>
  </si>
  <si>
    <t>Some incentive/unit are below average</t>
  </si>
  <si>
    <t>Unit savings 2x average</t>
  </si>
  <si>
    <t>Unit savings 4x average</t>
  </si>
  <si>
    <t>Unit savings 1.3x average</t>
  </si>
  <si>
    <t>Unit savings is less than average (74 vs 164 kWh)</t>
  </si>
  <si>
    <t>Incentive 1.3x average for same app</t>
  </si>
  <si>
    <t>Incentive 2x average for same app</t>
  </si>
  <si>
    <t>Incentive is less than average</t>
  </si>
  <si>
    <t>Large projects</t>
  </si>
  <si>
    <t>Savings less than average</t>
  </si>
  <si>
    <t>Savings above average</t>
  </si>
  <si>
    <t>Incentives greater than average</t>
  </si>
  <si>
    <t>Incentives less than average</t>
  </si>
  <si>
    <t>Incentives mostly greater than average</t>
  </si>
  <si>
    <t>Mapped BenCost key to Plan Data. Made some adjustments for participation/measure life highlighted in yellow.</t>
  </si>
  <si>
    <t>VDSM App Details</t>
  </si>
  <si>
    <t>VDSM Mapping</t>
  </si>
  <si>
    <t>Mapped App Data to BenCost Key (Sector, Program, End Use, Measure)</t>
  </si>
  <si>
    <t>App Data Outliers</t>
  </si>
  <si>
    <t>Outliers analysis of unit savings and unit incentives. See highlighted notes in yellow.</t>
  </si>
  <si>
    <t>VDSM to BenCost Inputs</t>
  </si>
  <si>
    <t>Convert VDSM App Data to BenCost Inputs</t>
  </si>
  <si>
    <t>App Data</t>
  </si>
  <si>
    <t xml:space="preserve">Raw data from VDSM application details </t>
  </si>
  <si>
    <t xml:space="preserve">Processed data from VDSM application details </t>
  </si>
  <si>
    <t>VDSM Executive Summary</t>
  </si>
  <si>
    <t>VDSM Executive summary report. Mapped to BenCost Programs in column M</t>
  </si>
  <si>
    <t>2016/17 Status Report</t>
  </si>
  <si>
    <t>Report tables. See notes in highlighted area column O</t>
  </si>
  <si>
    <t>Allocation (%)</t>
  </si>
  <si>
    <t>Avoided Costs ($/kWh)</t>
  </si>
  <si>
    <t>OK</t>
  </si>
  <si>
    <t xml:space="preserve"> MWh Savings</t>
  </si>
  <si>
    <t xml:space="preserve"> Coincident kW Savings</t>
  </si>
  <si>
    <t>Percentage of Revenue</t>
  </si>
  <si>
    <t>Commercial &amp; Industrial Programs</t>
  </si>
  <si>
    <t>Year 2</t>
  </si>
  <si>
    <t>Year 3</t>
  </si>
  <si>
    <t>\\ameresco.com\d\aeg\Clients\Black Hills\Black Hills So Dakota\2015-16 DSM Planning\Report\[Black Hills South Dakota PY2-3 (8.19.15).xlsx]Tables</t>
  </si>
  <si>
    <t>(blank)</t>
  </si>
  <si>
    <t>Plan/ Actual</t>
  </si>
  <si>
    <t>BHE Non-Incentives</t>
  </si>
  <si>
    <t>BHE Incentives</t>
  </si>
  <si>
    <t>BHE Total</t>
  </si>
  <si>
    <t>Total kWh Savings</t>
  </si>
  <si>
    <t>Total kW Savings</t>
  </si>
  <si>
    <t>Incremental Cost</t>
  </si>
  <si>
    <t>Dealer Incentive</t>
  </si>
  <si>
    <t>Participant Incentive</t>
  </si>
  <si>
    <t>Delivery</t>
  </si>
  <si>
    <t>Eval</t>
  </si>
  <si>
    <t>Market</t>
  </si>
  <si>
    <t>Total Incentives</t>
  </si>
  <si>
    <t>General Admin</t>
  </si>
  <si>
    <t xml:space="preserve">  Measures</t>
  </si>
  <si>
    <t>Unique Project</t>
  </si>
  <si>
    <t>Sum of Unique Project</t>
  </si>
  <si>
    <t>Program energy impacts matches total</t>
  </si>
  <si>
    <t>Program demand impacts matches total</t>
  </si>
  <si>
    <t>Program expenditures matches total</t>
  </si>
  <si>
    <t>Total energy impacts matches source</t>
  </si>
  <si>
    <t>Total demand impacts matches source</t>
  </si>
  <si>
    <t>Check</t>
  </si>
  <si>
    <t>Total expenditures matches source</t>
  </si>
  <si>
    <t>Variance Check</t>
  </si>
  <si>
    <t>Program total matches sector total</t>
  </si>
  <si>
    <t>kWh/Participant</t>
  </si>
  <si>
    <t>kW/Participant</t>
  </si>
  <si>
    <t>Savings from plan, see "BHP SD PY2-3 Plan Adj" tab</t>
  </si>
  <si>
    <t>Variance</t>
  </si>
  <si>
    <t>Unit Savings from Plan</t>
  </si>
  <si>
    <t>Variance could be due to unit size?</t>
  </si>
  <si>
    <t>OK?</t>
  </si>
  <si>
    <t>VDSM is 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</si>
</sst>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#,##0;\-#,##0;&quot;-&quot;"/>
    <numFmt numFmtId="168" formatCode="_(* #,##0_);_(* \(#,##0\);_(* &quot;-&quot;??_);_(@_)"/>
    <numFmt numFmtId="169" formatCode="0.000%"/>
    <numFmt numFmtId="170" formatCode="0.00000000%"/>
    <numFmt numFmtId="171" formatCode="#,##0.0000"/>
    <numFmt numFmtId="172" formatCode="0.00000000"/>
    <numFmt numFmtId="173" formatCode="#,##0.000000000"/>
    <numFmt numFmtId="174" formatCode="_(* #,##0.000_);_(* \(#,##0.000\);_(* &quot;-&quot;??_);_(@_)"/>
    <numFmt numFmtId="175" formatCode="#,##0.0"/>
    <numFmt numFmtId="176" formatCode="[$-10409]#,##0.00;\-#,##0.00"/>
    <numFmt numFmtId="177" formatCode="[$-10409]#,##0.0000;\-#,##0.0000"/>
    <numFmt numFmtId="178" formatCode="[$-10409]#,##0;\-#,##0"/>
    <numFmt numFmtId="179" formatCode="[$-10409]mm/dd/yyyy"/>
    <numFmt numFmtId="180" formatCode="[$-10409]#,##0.00#%"/>
    <numFmt numFmtId="181" formatCode="[$-10409]#,##0.0;\-#,##0.0"/>
    <numFmt numFmtId="182" formatCode="[$-10409]&quot;$&quot;#,##0.00;\(&quot;$&quot;#,##0.00\)"/>
    <numFmt numFmtId="183" formatCode="0.0000%"/>
    <numFmt numFmtId="184" formatCode="0.0%"/>
    <numFmt numFmtId="185" formatCode="_(* #,##0.0_);_(* \(#,##0.0\);_(* &quot;-&quot;??_);_(@_)"/>
    <numFmt numFmtId="186" formatCode="0.00000000000000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Geneva"/>
    </font>
    <font>
      <sz val="10"/>
      <name val="Helv"/>
    </font>
    <font>
      <sz val="10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"/>
      <color theme="0" tint="-0.49998474074526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9"/>
      <color theme="0" tint="-0.499984740745262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11"/>
      <name val="Calibri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u/>
      <sz val="9"/>
      <color theme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9A9A9"/>
        <bgColor rgb="FFA9A9A9"/>
      </patternFill>
    </fill>
    <fill>
      <patternFill patternType="solid">
        <fgColor rgb="FFFFC0CB"/>
        <bgColor rgb="FFFFC0CB"/>
      </patternFill>
    </fill>
    <fill>
      <patternFill patternType="solid">
        <fgColor rgb="FFDCDCDC"/>
        <bgColor rgb="FFDCDCDC"/>
      </patternFill>
    </fill>
    <fill>
      <patternFill patternType="solid">
        <fgColor rgb="FF1E90FF"/>
        <bgColor rgb="FF1E90FF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theme="4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ck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double">
        <color rgb="FF696969"/>
      </top>
      <bottom style="thin">
        <color rgb="FF696969"/>
      </bottom>
      <diagonal/>
    </border>
    <border>
      <left/>
      <right style="thin">
        <color rgb="FF696969"/>
      </right>
      <top style="double">
        <color rgb="FF696969"/>
      </top>
      <bottom style="thin">
        <color rgb="FF696969"/>
      </bottom>
      <diagonal/>
    </border>
    <border>
      <left/>
      <right/>
      <top style="double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696969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696969"/>
      </right>
      <top style="double">
        <color rgb="FF696969"/>
      </top>
      <bottom style="thin">
        <color rgb="FF808080"/>
      </bottom>
      <diagonal/>
    </border>
    <border>
      <left/>
      <right style="thin">
        <color rgb="FF808080"/>
      </right>
      <top style="double">
        <color rgb="FF696969"/>
      </top>
      <bottom style="thin">
        <color rgb="FF808080"/>
      </bottom>
      <diagonal/>
    </border>
    <border>
      <left/>
      <right/>
      <top style="double">
        <color rgb="FF696969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double">
        <color rgb="FF696969"/>
      </top>
      <bottom style="thin">
        <color rgb="FF808080"/>
      </bottom>
      <diagonal/>
    </border>
    <border>
      <left style="thin">
        <color rgb="FF696969"/>
      </left>
      <right style="thin">
        <color rgb="FF808080"/>
      </right>
      <top style="double">
        <color rgb="FF696969"/>
      </top>
      <bottom style="thin">
        <color rgb="FF808080"/>
      </bottom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696969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A9A9A9"/>
      </right>
      <top style="double">
        <color rgb="FF69696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double">
        <color rgb="FF696969"/>
      </bottom>
      <diagonal/>
    </border>
    <border>
      <left/>
      <right style="thin">
        <color rgb="FFFFFFFF"/>
      </right>
      <top style="thin">
        <color rgb="FFA9A9A9"/>
      </top>
      <bottom style="thin">
        <color rgb="FFFFFFFF"/>
      </bottom>
      <diagonal/>
    </border>
    <border>
      <left/>
      <right/>
      <top style="thin">
        <color rgb="FFA9A9A9"/>
      </top>
      <bottom style="thin">
        <color rgb="FFFFFFFF"/>
      </bottom>
      <diagonal/>
    </border>
    <border>
      <left style="double">
        <color rgb="FFFFFFFF"/>
      </left>
      <right style="thin">
        <color rgb="FFFFFFFF"/>
      </right>
      <top style="thin">
        <color rgb="FFA9A9A9"/>
      </top>
      <bottom style="thin">
        <color rgb="FFFFFFFF"/>
      </bottom>
      <diagonal/>
    </border>
    <border>
      <left/>
      <right style="thin">
        <color rgb="FFA9A9A9"/>
      </right>
      <top style="double">
        <color rgb="FF696969"/>
      </top>
      <bottom style="thin">
        <color rgb="FFA9A9A9"/>
      </bottom>
      <diagonal/>
    </border>
    <border>
      <left style="double">
        <color rgb="FF696969"/>
      </left>
      <right style="thin">
        <color rgb="FFA9A9A9"/>
      </right>
      <top style="double">
        <color rgb="FF69696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double">
        <color rgb="FF69696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double">
        <color rgb="FF696969"/>
      </bottom>
      <diagonal/>
    </border>
    <border>
      <left style="double">
        <color rgb="FF696969"/>
      </left>
      <right style="thin">
        <color rgb="FFA9A9A9"/>
      </right>
      <top style="thin">
        <color rgb="FFA9A9A9"/>
      </top>
      <bottom style="double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double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double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A9A9A9"/>
      </bottom>
      <diagonal/>
    </border>
    <border>
      <left/>
      <right/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0" fontId="19" fillId="0" borderId="0"/>
    <xf numFmtId="0" fontId="1" fillId="0" borderId="0"/>
    <xf numFmtId="0" fontId="21" fillId="0" borderId="0" applyNumberFormat="0" applyProtection="0">
      <alignment horizontal="left"/>
    </xf>
    <xf numFmtId="0" fontId="22" fillId="0" borderId="22" applyNumberFormat="0" applyFont="0" applyProtection="0">
      <alignment wrapText="1"/>
    </xf>
    <xf numFmtId="0" fontId="23" fillId="0" borderId="23" applyNumberFormat="0" applyProtection="0">
      <alignment wrapText="1"/>
    </xf>
    <xf numFmtId="0" fontId="23" fillId="0" borderId="21" applyNumberFormat="0" applyProtection="0">
      <alignment wrapText="1"/>
    </xf>
    <xf numFmtId="0" fontId="22" fillId="0" borderId="24" applyNumberFormat="0" applyProtection="0">
      <alignment vertical="top" wrapText="1"/>
    </xf>
    <xf numFmtId="0" fontId="1" fillId="0" borderId="0"/>
    <xf numFmtId="0" fontId="1" fillId="16" borderId="0" applyNumberFormat="0" applyBorder="0" applyAlignment="0" applyProtection="0"/>
    <xf numFmtId="0" fontId="35" fillId="0" borderId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</cellStyleXfs>
  <cellXfs count="690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165" fontId="7" fillId="0" borderId="0" xfId="0" applyNumberFormat="1" applyFont="1" applyFill="1" applyAlignment="1"/>
    <xf numFmtId="9" fontId="7" fillId="0" borderId="0" xfId="0" applyNumberFormat="1" applyFont="1" applyFill="1" applyAlignment="1"/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12" fillId="0" borderId="0" xfId="25"/>
    <xf numFmtId="0" fontId="13" fillId="8" borderId="0" xfId="0" applyFont="1" applyFill="1"/>
    <xf numFmtId="9" fontId="3" fillId="3" borderId="1" xfId="2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3" fillId="4" borderId="13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/>
    </xf>
    <xf numFmtId="10" fontId="7" fillId="5" borderId="1" xfId="3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 applyAlignment="1">
      <alignment horizontal="right"/>
    </xf>
    <xf numFmtId="9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7" fillId="0" borderId="11" xfId="0" applyFont="1" applyFill="1" applyBorder="1" applyAlignment="1">
      <alignment horizontal="right"/>
    </xf>
    <xf numFmtId="0" fontId="0" fillId="0" borderId="0" xfId="0" applyFont="1" applyProtection="1">
      <protection locked="0"/>
    </xf>
    <xf numFmtId="0" fontId="12" fillId="0" borderId="0" xfId="25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167" fontId="10" fillId="6" borderId="1" xfId="1" applyNumberFormat="1" applyFont="1" applyFill="1" applyBorder="1" applyAlignment="1" applyProtection="1">
      <alignment horizontal="right" indent="1"/>
      <protection locked="0"/>
    </xf>
    <xf numFmtId="41" fontId="7" fillId="0" borderId="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7" fillId="12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/>
    <xf numFmtId="4" fontId="7" fillId="0" borderId="0" xfId="0" applyNumberFormat="1" applyFont="1" applyFill="1" applyAlignment="1"/>
    <xf numFmtId="10" fontId="7" fillId="5" borderId="1" xfId="1" applyNumberFormat="1" applyFont="1" applyFill="1" applyBorder="1" applyAlignment="1">
      <alignment horizontal="right"/>
    </xf>
    <xf numFmtId="6" fontId="0" fillId="0" borderId="0" xfId="0" applyNumberFormat="1"/>
    <xf numFmtId="0" fontId="3" fillId="11" borderId="1" xfId="0" applyFont="1" applyFill="1" applyBorder="1" applyAlignment="1">
      <alignment horizontal="center" vertical="center"/>
    </xf>
    <xf numFmtId="0" fontId="7" fillId="7" borderId="0" xfId="0" applyFont="1" applyFill="1" applyBorder="1" applyAlignment="1"/>
    <xf numFmtId="41" fontId="0" fillId="0" borderId="1" xfId="0" applyNumberFormat="1" applyFont="1" applyFill="1" applyBorder="1" applyAlignment="1" applyProtection="1">
      <alignment horizontal="right" indent="1"/>
      <protection locked="0"/>
    </xf>
    <xf numFmtId="8" fontId="0" fillId="0" borderId="0" xfId="0" applyNumberFormat="1"/>
    <xf numFmtId="0" fontId="11" fillId="0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9" fontId="7" fillId="0" borderId="1" xfId="1" applyNumberFormat="1" applyFont="1" applyFill="1" applyBorder="1" applyAlignment="1" applyProtection="1">
      <alignment horizontal="right" indent="1"/>
      <protection locked="0"/>
    </xf>
    <xf numFmtId="0" fontId="14" fillId="0" borderId="0" xfId="0" applyFont="1"/>
    <xf numFmtId="0" fontId="12" fillId="0" borderId="1" xfId="25" quotePrefix="1" applyBorder="1" applyAlignment="1">
      <alignment horizontal="center" vertical="center" wrapText="1"/>
    </xf>
    <xf numFmtId="0" fontId="24" fillId="0" borderId="0" xfId="0" applyFont="1" applyFill="1" applyAlignment="1"/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6" fontId="0" fillId="5" borderId="1" xfId="0" applyNumberFormat="1" applyFill="1" applyBorder="1"/>
    <xf numFmtId="6" fontId="20" fillId="0" borderId="1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0" fontId="7" fillId="0" borderId="0" xfId="3" applyNumberFormat="1" applyFont="1" applyFill="1" applyBorder="1" applyAlignment="1"/>
    <xf numFmtId="10" fontId="0" fillId="0" borderId="0" xfId="0" applyNumberFormat="1" applyFont="1" applyProtection="1">
      <protection locked="0"/>
    </xf>
    <xf numFmtId="169" fontId="7" fillId="0" borderId="0" xfId="0" applyNumberFormat="1" applyFont="1" applyFill="1" applyAlignment="1"/>
    <xf numFmtId="171" fontId="7" fillId="0" borderId="0" xfId="0" applyNumberFormat="1" applyFont="1" applyFill="1" applyAlignment="1"/>
    <xf numFmtId="170" fontId="7" fillId="0" borderId="0" xfId="0" applyNumberFormat="1" applyFont="1" applyFill="1" applyAlignment="1"/>
    <xf numFmtId="172" fontId="7" fillId="0" borderId="0" xfId="0" applyNumberFormat="1" applyFont="1" applyFill="1" applyAlignment="1"/>
    <xf numFmtId="3" fontId="10" fillId="6" borderId="1" xfId="1" applyNumberFormat="1" applyFont="1" applyFill="1" applyBorder="1" applyAlignment="1" applyProtection="1">
      <protection locked="0"/>
    </xf>
    <xf numFmtId="10" fontId="7" fillId="0" borderId="0" xfId="0" applyNumberFormat="1" applyFont="1" applyFill="1" applyAlignment="1"/>
    <xf numFmtId="9" fontId="7" fillId="0" borderId="1" xfId="0" applyNumberFormat="1" applyFont="1" applyFill="1" applyBorder="1" applyAlignment="1"/>
    <xf numFmtId="42" fontId="0" fillId="0" borderId="0" xfId="0" applyNumberFormat="1" applyFont="1" applyFill="1" applyProtection="1">
      <protection locked="0"/>
    </xf>
    <xf numFmtId="0" fontId="25" fillId="0" borderId="0" xfId="0" applyFont="1" applyProtection="1">
      <protection locked="0"/>
    </xf>
    <xf numFmtId="9" fontId="5" fillId="3" borderId="9" xfId="2" applyFont="1" applyFill="1" applyBorder="1" applyAlignment="1" applyProtection="1">
      <alignment vertical="center" wrapText="1"/>
      <protection locked="0"/>
    </xf>
    <xf numFmtId="9" fontId="5" fillId="3" borderId="10" xfId="2" applyFont="1" applyFill="1" applyBorder="1" applyAlignment="1" applyProtection="1">
      <alignment vertical="center" wrapText="1"/>
      <protection locked="0"/>
    </xf>
    <xf numFmtId="167" fontId="26" fillId="6" borderId="1" xfId="2" applyNumberFormat="1" applyFont="1" applyFill="1" applyBorder="1" applyAlignment="1" applyProtection="1">
      <alignment vertical="center" wrapText="1"/>
      <protection locked="0"/>
    </xf>
    <xf numFmtId="167" fontId="26" fillId="6" borderId="15" xfId="2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Protection="1">
      <protection locked="0"/>
    </xf>
    <xf numFmtId="9" fontId="5" fillId="3" borderId="25" xfId="2" applyFont="1" applyFill="1" applyBorder="1" applyAlignment="1" applyProtection="1">
      <alignment vertical="center" wrapText="1"/>
      <protection locked="0"/>
    </xf>
    <xf numFmtId="9" fontId="5" fillId="3" borderId="0" xfId="2" applyFont="1" applyFill="1" applyBorder="1" applyAlignment="1" applyProtection="1">
      <alignment vertical="center" wrapText="1"/>
      <protection locked="0"/>
    </xf>
    <xf numFmtId="167" fontId="26" fillId="6" borderId="11" xfId="2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67" fontId="26" fillId="6" borderId="8" xfId="2" applyNumberFormat="1" applyFont="1" applyFill="1" applyBorder="1" applyAlignment="1" applyProtection="1">
      <alignment vertical="center" wrapText="1"/>
      <protection locked="0"/>
    </xf>
    <xf numFmtId="9" fontId="5" fillId="3" borderId="11" xfId="2" applyFont="1" applyFill="1" applyBorder="1" applyAlignment="1" applyProtection="1">
      <alignment horizontal="center" vertical="center" wrapText="1"/>
      <protection locked="0"/>
    </xf>
    <xf numFmtId="9" fontId="27" fillId="6" borderId="1" xfId="2" applyFont="1" applyFill="1" applyBorder="1" applyAlignment="1" applyProtection="1">
      <alignment horizontal="center" vertical="center" wrapText="1"/>
      <protection locked="0"/>
    </xf>
    <xf numFmtId="9" fontId="5" fillId="4" borderId="1" xfId="2" applyFont="1" applyFill="1" applyBorder="1" applyAlignment="1" applyProtection="1">
      <alignment horizontal="center" vertical="center" wrapText="1"/>
      <protection locked="0"/>
    </xf>
    <xf numFmtId="9" fontId="5" fillId="4" borderId="11" xfId="2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9" fontId="28" fillId="6" borderId="1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3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 vertical="center" wrapText="1"/>
    </xf>
    <xf numFmtId="8" fontId="7" fillId="0" borderId="1" xfId="0" applyNumberFormat="1" applyFont="1" applyFill="1" applyBorder="1" applyAlignment="1"/>
    <xf numFmtId="168" fontId="7" fillId="0" borderId="1" xfId="1" applyNumberFormat="1" applyFont="1" applyFill="1" applyBorder="1" applyAlignment="1" applyProtection="1">
      <alignment horizontal="right"/>
      <protection locked="0"/>
    </xf>
    <xf numFmtId="4" fontId="0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6" fontId="0" fillId="0" borderId="1" xfId="0" applyNumberFormat="1" applyFont="1" applyFill="1" applyBorder="1" applyAlignment="1" applyProtection="1">
      <alignment horizontal="right"/>
      <protection locked="0"/>
    </xf>
    <xf numFmtId="8" fontId="7" fillId="0" borderId="0" xfId="0" applyNumberFormat="1" applyFont="1" applyFill="1" applyAlignment="1"/>
    <xf numFmtId="4" fontId="0" fillId="0" borderId="1" xfId="0" applyNumberFormat="1" applyFont="1" applyFill="1" applyBorder="1" applyAlignment="1" applyProtection="1">
      <alignment horizontal="center"/>
      <protection locked="0"/>
    </xf>
    <xf numFmtId="8" fontId="0" fillId="0" borderId="1" xfId="0" applyNumberFormat="1" applyFont="1" applyFill="1" applyBorder="1" applyAlignment="1" applyProtection="1">
      <alignment horizontal="center"/>
      <protection locked="0"/>
    </xf>
    <xf numFmtId="0" fontId="6" fillId="3" borderId="26" xfId="0" applyFont="1" applyFill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center"/>
      <protection locked="0"/>
    </xf>
    <xf numFmtId="0" fontId="6" fillId="3" borderId="27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horizontal="center"/>
      <protection locked="0"/>
    </xf>
    <xf numFmtId="0" fontId="11" fillId="0" borderId="11" xfId="0" applyFont="1" applyFill="1" applyBorder="1" applyProtection="1">
      <protection locked="0"/>
    </xf>
    <xf numFmtId="0" fontId="7" fillId="5" borderId="11" xfId="0" applyFont="1" applyFill="1" applyBorder="1" applyAlignment="1" applyProtection="1">
      <alignment horizontal="left"/>
      <protection locked="0"/>
    </xf>
    <xf numFmtId="0" fontId="11" fillId="14" borderId="11" xfId="0" applyFont="1" applyFill="1" applyBorder="1" applyProtection="1">
      <protection locked="0"/>
    </xf>
    <xf numFmtId="0" fontId="7" fillId="14" borderId="11" xfId="0" applyFont="1" applyFill="1" applyBorder="1" applyAlignment="1" applyProtection="1">
      <alignment horizontal="left"/>
      <protection locked="0"/>
    </xf>
    <xf numFmtId="167" fontId="10" fillId="14" borderId="1" xfId="1" applyNumberFormat="1" applyFont="1" applyFill="1" applyBorder="1" applyAlignment="1" applyProtection="1">
      <alignment horizontal="right" indent="1"/>
      <protection locked="0"/>
    </xf>
    <xf numFmtId="0" fontId="7" fillId="14" borderId="1" xfId="0" applyFont="1" applyFill="1" applyBorder="1" applyAlignment="1" applyProtection="1">
      <alignment horizontal="center" vertical="center"/>
      <protection locked="0"/>
    </xf>
    <xf numFmtId="41" fontId="7" fillId="14" borderId="1" xfId="1" applyNumberFormat="1" applyFont="1" applyFill="1" applyBorder="1" applyAlignment="1" applyProtection="1">
      <alignment horizontal="right" indent="1"/>
      <protection locked="0"/>
    </xf>
    <xf numFmtId="10" fontId="7" fillId="14" borderId="1" xfId="1" applyNumberFormat="1" applyFont="1" applyFill="1" applyBorder="1" applyAlignment="1" applyProtection="1">
      <alignment horizontal="right" indent="1"/>
      <protection locked="0"/>
    </xf>
    <xf numFmtId="9" fontId="7" fillId="14" borderId="1" xfId="1" applyNumberFormat="1" applyFont="1" applyFill="1" applyBorder="1" applyAlignment="1" applyProtection="1">
      <alignment horizontal="right" indent="1"/>
      <protection locked="0"/>
    </xf>
    <xf numFmtId="168" fontId="7" fillId="14" borderId="1" xfId="1" applyNumberFormat="1" applyFont="1" applyFill="1" applyBorder="1" applyAlignment="1" applyProtection="1">
      <alignment horizontal="right"/>
      <protection locked="0"/>
    </xf>
    <xf numFmtId="6" fontId="0" fillId="14" borderId="1" xfId="0" applyNumberFormat="1" applyFont="1" applyFill="1" applyBorder="1" applyAlignment="1" applyProtection="1">
      <alignment horizontal="right"/>
      <protection locked="0"/>
    </xf>
    <xf numFmtId="4" fontId="0" fillId="14" borderId="1" xfId="0" applyNumberFormat="1" applyFont="1" applyFill="1" applyBorder="1" applyAlignment="1" applyProtection="1">
      <alignment horizontal="center"/>
      <protection locked="0"/>
    </xf>
    <xf numFmtId="6" fontId="0" fillId="14" borderId="1" xfId="0" applyNumberFormat="1" applyFont="1" applyFill="1" applyBorder="1" applyAlignment="1" applyProtection="1">
      <alignment horizontal="center"/>
      <protection locked="0"/>
    </xf>
    <xf numFmtId="41" fontId="0" fillId="14" borderId="1" xfId="0" applyNumberFormat="1" applyFont="1" applyFill="1" applyBorder="1" applyAlignment="1" applyProtection="1">
      <alignment horizontal="right" indent="1"/>
      <protection locked="0"/>
    </xf>
    <xf numFmtId="0" fontId="3" fillId="4" borderId="20" xfId="2" applyNumberFormat="1" applyFont="1" applyFill="1" applyBorder="1" applyAlignment="1">
      <alignment horizontal="center" vertical="center" wrapText="1"/>
    </xf>
    <xf numFmtId="3" fontId="0" fillId="5" borderId="12" xfId="0" applyNumberFormat="1" applyFill="1" applyBorder="1"/>
    <xf numFmtId="6" fontId="20" fillId="0" borderId="5" xfId="0" applyNumberFormat="1" applyFont="1" applyFill="1" applyBorder="1"/>
    <xf numFmtId="6" fontId="0" fillId="5" borderId="3" xfId="0" applyNumberFormat="1" applyFill="1" applyBorder="1"/>
    <xf numFmtId="6" fontId="0" fillId="5" borderId="32" xfId="0" applyNumberFormat="1" applyFill="1" applyBorder="1"/>
    <xf numFmtId="4" fontId="7" fillId="0" borderId="1" xfId="1" applyNumberFormat="1" applyFont="1" applyFill="1" applyBorder="1" applyAlignment="1" applyProtection="1">
      <alignment horizontal="right"/>
      <protection locked="0"/>
    </xf>
    <xf numFmtId="173" fontId="0" fillId="0" borderId="1" xfId="0" applyNumberFormat="1" applyFont="1" applyFill="1" applyBorder="1" applyAlignment="1" applyProtection="1">
      <alignment horizontal="center"/>
      <protection locked="0"/>
    </xf>
    <xf numFmtId="4" fontId="7" fillId="0" borderId="11" xfId="1" applyNumberFormat="1" applyFont="1" applyFill="1" applyBorder="1" applyAlignment="1" applyProtection="1">
      <alignment horizontal="right"/>
      <protection locked="0"/>
    </xf>
    <xf numFmtId="4" fontId="7" fillId="14" borderId="11" xfId="1" applyNumberFormat="1" applyFont="1" applyFill="1" applyBorder="1" applyAlignment="1" applyProtection="1">
      <alignment horizontal="right"/>
      <protection locked="0"/>
    </xf>
    <xf numFmtId="173" fontId="0" fillId="14" borderId="1" xfId="0" applyNumberFormat="1" applyFont="1" applyFill="1" applyBorder="1" applyAlignment="1" applyProtection="1">
      <alignment horizontal="center"/>
      <protection locked="0"/>
    </xf>
    <xf numFmtId="9" fontId="20" fillId="0" borderId="1" xfId="1" applyNumberFormat="1" applyFont="1" applyFill="1" applyBorder="1" applyAlignment="1" applyProtection="1">
      <alignment horizontal="right" indent="1"/>
      <protection locked="0"/>
    </xf>
    <xf numFmtId="10" fontId="20" fillId="0" borderId="1" xfId="1" applyNumberFormat="1" applyFont="1" applyFill="1" applyBorder="1" applyAlignment="1" applyProtection="1">
      <alignment horizontal="right" indent="1"/>
      <protection locked="0"/>
    </xf>
    <xf numFmtId="0" fontId="7" fillId="7" borderId="0" xfId="0" applyFont="1" applyFill="1" applyAlignment="1">
      <alignment horizontal="right"/>
    </xf>
    <xf numFmtId="0" fontId="7" fillId="7" borderId="0" xfId="0" applyFont="1" applyFill="1" applyAlignment="1"/>
    <xf numFmtId="0" fontId="0" fillId="7" borderId="0" xfId="0" applyFill="1"/>
    <xf numFmtId="0" fontId="24" fillId="7" borderId="0" xfId="0" applyFont="1" applyFill="1" applyAlignment="1"/>
    <xf numFmtId="0" fontId="7" fillId="0" borderId="4" xfId="0" applyFont="1" applyFill="1" applyBorder="1" applyAlignment="1">
      <alignment horizontal="left"/>
    </xf>
    <xf numFmtId="10" fontId="7" fillId="5" borderId="1" xfId="3" applyNumberFormat="1" applyFont="1" applyFill="1" applyBorder="1" applyAlignment="1">
      <alignment horizontal="left"/>
    </xf>
    <xf numFmtId="0" fontId="12" fillId="5" borderId="1" xfId="25" applyFill="1" applyBorder="1" applyAlignment="1">
      <alignment horizontal="center"/>
    </xf>
    <xf numFmtId="0" fontId="3" fillId="4" borderId="27" xfId="2" applyNumberFormat="1" applyFont="1" applyFill="1" applyBorder="1" applyAlignment="1">
      <alignment horizontal="center" vertical="center" wrapText="1"/>
    </xf>
    <xf numFmtId="6" fontId="0" fillId="5" borderId="5" xfId="0" applyNumberFormat="1" applyFill="1" applyBorder="1"/>
    <xf numFmtId="0" fontId="29" fillId="4" borderId="11" xfId="2" applyNumberFormat="1" applyFont="1" applyFill="1" applyBorder="1" applyAlignment="1">
      <alignment horizontal="center" vertical="center" wrapText="1"/>
    </xf>
    <xf numFmtId="0" fontId="29" fillId="4" borderId="14" xfId="2" applyNumberFormat="1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protection locked="0"/>
    </xf>
    <xf numFmtId="0" fontId="6" fillId="0" borderId="0" xfId="0" applyFont="1" applyFill="1" applyAlignment="1" applyProtection="1">
      <protection locked="0"/>
    </xf>
    <xf numFmtId="0" fontId="0" fillId="0" borderId="0" xfId="0" applyFont="1" applyFill="1" applyAlignment="1" applyProtection="1">
      <alignment horizontal="center"/>
      <protection locked="0"/>
    </xf>
    <xf numFmtId="8" fontId="0" fillId="0" borderId="0" xfId="0" applyNumberFormat="1" applyFont="1" applyFill="1" applyAlignment="1" applyProtection="1">
      <protection locked="0"/>
    </xf>
    <xf numFmtId="6" fontId="0" fillId="0" borderId="0" xfId="0" applyNumberFormat="1" applyFont="1" applyFill="1" applyAlignment="1" applyProtection="1">
      <protection locked="0"/>
    </xf>
    <xf numFmtId="4" fontId="0" fillId="0" borderId="0" xfId="0" applyNumberFormat="1" applyFont="1" applyFill="1" applyAlignment="1" applyProtection="1">
      <protection locked="0"/>
    </xf>
    <xf numFmtId="173" fontId="0" fillId="0" borderId="0" xfId="0" applyNumberFormat="1" applyFont="1" applyFill="1" applyAlignment="1" applyProtection="1">
      <protection locked="0"/>
    </xf>
    <xf numFmtId="9" fontId="0" fillId="0" borderId="0" xfId="0" applyNumberFormat="1" applyFont="1" applyFill="1" applyAlignment="1" applyProtection="1">
      <protection locked="0"/>
    </xf>
    <xf numFmtId="168" fontId="0" fillId="0" borderId="0" xfId="0" applyNumberFormat="1" applyFont="1" applyFill="1" applyAlignment="1" applyProtection="1">
      <protection locked="0"/>
    </xf>
    <xf numFmtId="10" fontId="7" fillId="5" borderId="2" xfId="1" applyNumberFormat="1" applyFont="1" applyFill="1" applyBorder="1" applyAlignment="1">
      <alignment horizontal="left"/>
    </xf>
    <xf numFmtId="10" fontId="7" fillId="5" borderId="5" xfId="1" applyNumberFormat="1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10" fontId="7" fillId="5" borderId="2" xfId="3" applyNumberFormat="1" applyFont="1" applyFill="1" applyBorder="1" applyAlignment="1">
      <alignment horizontal="left"/>
    </xf>
    <xf numFmtId="10" fontId="7" fillId="5" borderId="5" xfId="3" applyNumberFormat="1" applyFont="1" applyFill="1" applyBorder="1" applyAlignment="1">
      <alignment horizontal="left"/>
    </xf>
    <xf numFmtId="164" fontId="5" fillId="3" borderId="25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31" xfId="1" applyNumberFormat="1" applyFont="1" applyFill="1" applyBorder="1" applyAlignment="1" applyProtection="1">
      <alignment horizontal="center" vertical="center" wrapText="1"/>
      <protection locked="0"/>
    </xf>
    <xf numFmtId="6" fontId="0" fillId="5" borderId="1" xfId="0" applyNumberFormat="1" applyFont="1" applyFill="1" applyBorder="1" applyAlignment="1" applyProtection="1">
      <alignment horizontal="right"/>
      <protection locked="0"/>
    </xf>
    <xf numFmtId="4" fontId="0" fillId="14" borderId="1" xfId="0" applyNumberFormat="1" applyFont="1" applyFill="1" applyBorder="1" applyAlignment="1" applyProtection="1">
      <alignment horizontal="right"/>
      <protection locked="0"/>
    </xf>
    <xf numFmtId="9" fontId="0" fillId="0" borderId="0" xfId="0" applyNumberFormat="1"/>
    <xf numFmtId="171" fontId="7" fillId="5" borderId="1" xfId="1" applyNumberFormat="1" applyFont="1" applyFill="1" applyBorder="1" applyAlignment="1">
      <alignment horizontal="right"/>
    </xf>
    <xf numFmtId="171" fontId="7" fillId="0" borderId="1" xfId="1" applyNumberFormat="1" applyFont="1" applyFill="1" applyBorder="1" applyAlignment="1" applyProtection="1">
      <alignment horizontal="right" indent="1"/>
      <protection locked="0"/>
    </xf>
    <xf numFmtId="8" fontId="20" fillId="0" borderId="1" xfId="0" applyNumberFormat="1" applyFont="1" applyFill="1" applyBorder="1" applyAlignment="1"/>
    <xf numFmtId="0" fontId="30" fillId="0" borderId="0" xfId="0" applyFont="1"/>
    <xf numFmtId="0" fontId="31" fillId="0" borderId="0" xfId="0" applyFont="1"/>
    <xf numFmtId="0" fontId="32" fillId="9" borderId="0" xfId="0" applyFont="1" applyFill="1"/>
    <xf numFmtId="0" fontId="32" fillId="9" borderId="0" xfId="0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34" xfId="41" applyFont="1" applyFill="1" applyBorder="1" applyAlignment="1">
      <alignment horizontal="center" vertical="center"/>
    </xf>
    <xf numFmtId="0" fontId="32" fillId="3" borderId="34" xfId="0" applyFont="1" applyFill="1" applyBorder="1" applyAlignment="1">
      <alignment horizontal="center" vertical="center"/>
    </xf>
    <xf numFmtId="0" fontId="31" fillId="0" borderId="34" xfId="41" applyFont="1" applyBorder="1" applyAlignment="1">
      <alignment horizontal="left" vertical="center"/>
    </xf>
    <xf numFmtId="5" fontId="31" fillId="0" borderId="34" xfId="41" applyNumberFormat="1" applyFont="1" applyBorder="1"/>
    <xf numFmtId="9" fontId="31" fillId="0" borderId="34" xfId="0" applyNumberFormat="1" applyFont="1" applyBorder="1"/>
    <xf numFmtId="0" fontId="31" fillId="0" borderId="34" xfId="41" applyFont="1" applyBorder="1" applyAlignment="1">
      <alignment horizontal="right" vertical="center"/>
    </xf>
    <xf numFmtId="3" fontId="31" fillId="0" borderId="34" xfId="0" applyNumberFormat="1" applyFont="1" applyBorder="1"/>
    <xf numFmtId="4" fontId="31" fillId="0" borderId="0" xfId="0" applyNumberFormat="1" applyFont="1"/>
    <xf numFmtId="0" fontId="31" fillId="0" borderId="0" xfId="41" applyFont="1" applyBorder="1" applyAlignment="1">
      <alignment horizontal="left" vertical="center"/>
    </xf>
    <xf numFmtId="3" fontId="31" fillId="0" borderId="0" xfId="0" applyNumberFormat="1" applyFont="1" applyBorder="1"/>
    <xf numFmtId="9" fontId="31" fillId="0" borderId="0" xfId="0" applyNumberFormat="1" applyFont="1" applyBorder="1"/>
    <xf numFmtId="0" fontId="31" fillId="0" borderId="34" xfId="0" applyFont="1" applyBorder="1" applyAlignment="1">
      <alignment horizontal="left" vertical="center"/>
    </xf>
    <xf numFmtId="4" fontId="31" fillId="0" borderId="34" xfId="0" applyNumberFormat="1" applyFont="1" applyBorder="1"/>
    <xf numFmtId="0" fontId="31" fillId="0" borderId="34" xfId="0" applyFont="1" applyBorder="1"/>
    <xf numFmtId="0" fontId="31" fillId="0" borderId="34" xfId="0" applyFont="1" applyBorder="1" applyAlignment="1">
      <alignment horizontal="right" vertical="center"/>
    </xf>
    <xf numFmtId="6" fontId="31" fillId="0" borderId="34" xfId="0" applyNumberFormat="1" applyFont="1" applyBorder="1"/>
    <xf numFmtId="175" fontId="31" fillId="0" borderId="34" xfId="0" applyNumberFormat="1" applyFont="1" applyBorder="1"/>
    <xf numFmtId="0" fontId="31" fillId="0" borderId="0" xfId="0" applyFont="1" applyAlignment="1">
      <alignment horizontal="right"/>
    </xf>
    <xf numFmtId="0" fontId="30" fillId="0" borderId="0" xfId="0" applyFont="1" applyBorder="1"/>
    <xf numFmtId="0" fontId="30" fillId="0" borderId="0" xfId="0" applyFont="1" applyFill="1" applyBorder="1" applyAlignment="1" applyProtection="1">
      <alignment horizontal="left"/>
      <protection locked="0"/>
    </xf>
    <xf numFmtId="0" fontId="31" fillId="0" borderId="0" xfId="0" applyFont="1" applyBorder="1"/>
    <xf numFmtId="6" fontId="0" fillId="15" borderId="0" xfId="0" applyNumberFormat="1" applyFont="1" applyFill="1" applyBorder="1"/>
    <xf numFmtId="3" fontId="31" fillId="0" borderId="0" xfId="0" applyNumberFormat="1" applyFont="1"/>
    <xf numFmtId="0" fontId="31" fillId="15" borderId="0" xfId="0" applyFont="1" applyFill="1"/>
    <xf numFmtId="6" fontId="31" fillId="0" borderId="0" xfId="0" applyNumberFormat="1" applyFont="1"/>
    <xf numFmtId="7" fontId="31" fillId="0" borderId="0" xfId="0" applyNumberFormat="1" applyFont="1"/>
    <xf numFmtId="3" fontId="0" fillId="0" borderId="0" xfId="0" applyNumberFormat="1"/>
    <xf numFmtId="0" fontId="0" fillId="15" borderId="0" xfId="0" applyFont="1" applyFill="1" applyBorder="1" applyAlignment="1">
      <alignment horizontal="center" wrapText="1"/>
    </xf>
    <xf numFmtId="0" fontId="36" fillId="0" borderId="0" xfId="43" applyFont="1" applyFill="1" applyBorder="1"/>
    <xf numFmtId="176" fontId="37" fillId="21" borderId="41" xfId="43" applyNumberFormat="1" applyFont="1" applyFill="1" applyBorder="1" applyAlignment="1">
      <alignment horizontal="right" vertical="top" wrapText="1" readingOrder="1"/>
    </xf>
    <xf numFmtId="177" fontId="37" fillId="21" borderId="41" xfId="43" applyNumberFormat="1" applyFont="1" applyFill="1" applyBorder="1" applyAlignment="1">
      <alignment horizontal="right" vertical="top" wrapText="1" readingOrder="1"/>
    </xf>
    <xf numFmtId="0" fontId="37" fillId="21" borderId="41" xfId="43" applyNumberFormat="1" applyFont="1" applyFill="1" applyBorder="1" applyAlignment="1">
      <alignment horizontal="right" vertical="top" wrapText="1" readingOrder="1"/>
    </xf>
    <xf numFmtId="177" fontId="37" fillId="21" borderId="41" xfId="43" applyNumberFormat="1" applyFont="1" applyFill="1" applyBorder="1" applyAlignment="1">
      <alignment vertical="top" wrapText="1" readingOrder="1"/>
    </xf>
    <xf numFmtId="178" fontId="37" fillId="21" borderId="41" xfId="43" applyNumberFormat="1" applyFont="1" applyFill="1" applyBorder="1" applyAlignment="1">
      <alignment horizontal="right" vertical="top" wrapText="1" readingOrder="1"/>
    </xf>
    <xf numFmtId="178" fontId="37" fillId="21" borderId="41" xfId="43" applyNumberFormat="1" applyFont="1" applyFill="1" applyBorder="1" applyAlignment="1">
      <alignment vertical="top" wrapText="1" readingOrder="1"/>
    </xf>
    <xf numFmtId="0" fontId="37" fillId="22" borderId="47" xfId="43" applyNumberFormat="1" applyFont="1" applyFill="1" applyBorder="1" applyAlignment="1">
      <alignment vertical="top" wrapText="1" readingOrder="1"/>
    </xf>
    <xf numFmtId="176" fontId="37" fillId="22" borderId="50" xfId="43" applyNumberFormat="1" applyFont="1" applyFill="1" applyBorder="1" applyAlignment="1">
      <alignment horizontal="right" vertical="top" wrapText="1" readingOrder="1"/>
    </xf>
    <xf numFmtId="177" fontId="37" fillId="22" borderId="50" xfId="43" applyNumberFormat="1" applyFont="1" applyFill="1" applyBorder="1" applyAlignment="1">
      <alignment horizontal="right" vertical="top" wrapText="1" readingOrder="1"/>
    </xf>
    <xf numFmtId="0" fontId="37" fillId="22" borderId="50" xfId="43" applyNumberFormat="1" applyFont="1" applyFill="1" applyBorder="1" applyAlignment="1">
      <alignment horizontal="right" vertical="top" wrapText="1" readingOrder="1"/>
    </xf>
    <xf numFmtId="177" fontId="37" fillId="22" borderId="50" xfId="43" applyNumberFormat="1" applyFont="1" applyFill="1" applyBorder="1" applyAlignment="1">
      <alignment vertical="top" wrapText="1" readingOrder="1"/>
    </xf>
    <xf numFmtId="178" fontId="37" fillId="22" borderId="50" xfId="43" applyNumberFormat="1" applyFont="1" applyFill="1" applyBorder="1" applyAlignment="1">
      <alignment horizontal="right" vertical="top" wrapText="1" readingOrder="1"/>
    </xf>
    <xf numFmtId="178" fontId="37" fillId="22" borderId="50" xfId="43" applyNumberFormat="1" applyFont="1" applyFill="1" applyBorder="1" applyAlignment="1">
      <alignment vertical="top" wrapText="1" readingOrder="1"/>
    </xf>
    <xf numFmtId="0" fontId="37" fillId="22" borderId="51" xfId="43" applyNumberFormat="1" applyFont="1" applyFill="1" applyBorder="1" applyAlignment="1">
      <alignment vertical="top" wrapText="1" readingOrder="1"/>
    </xf>
    <xf numFmtId="0" fontId="37" fillId="0" borderId="52" xfId="43" applyNumberFormat="1" applyFont="1" applyFill="1" applyBorder="1" applyAlignment="1">
      <alignment vertical="top" wrapText="1" readingOrder="1"/>
    </xf>
    <xf numFmtId="0" fontId="37" fillId="0" borderId="53" xfId="43" applyNumberFormat="1" applyFont="1" applyFill="1" applyBorder="1" applyAlignment="1">
      <alignment vertical="top" wrapText="1" readingOrder="1"/>
    </xf>
    <xf numFmtId="179" fontId="37" fillId="0" borderId="53" xfId="43" applyNumberFormat="1" applyFont="1" applyFill="1" applyBorder="1" applyAlignment="1">
      <alignment vertical="top" wrapText="1" readingOrder="1"/>
    </xf>
    <xf numFmtId="176" fontId="37" fillId="0" borderId="53" xfId="43" applyNumberFormat="1" applyFont="1" applyFill="1" applyBorder="1" applyAlignment="1">
      <alignment horizontal="right" vertical="top" wrapText="1" readingOrder="1"/>
    </xf>
    <xf numFmtId="177" fontId="37" fillId="0" borderId="53" xfId="43" applyNumberFormat="1" applyFont="1" applyFill="1" applyBorder="1" applyAlignment="1">
      <alignment horizontal="right" vertical="top" wrapText="1" readingOrder="1"/>
    </xf>
    <xf numFmtId="0" fontId="37" fillId="0" borderId="53" xfId="43" applyNumberFormat="1" applyFont="1" applyFill="1" applyBorder="1" applyAlignment="1">
      <alignment horizontal="right" vertical="top" wrapText="1" readingOrder="1"/>
    </xf>
    <xf numFmtId="177" fontId="37" fillId="0" borderId="53" xfId="43" applyNumberFormat="1" applyFont="1" applyFill="1" applyBorder="1" applyAlignment="1">
      <alignment vertical="top" wrapText="1" readingOrder="1"/>
    </xf>
    <xf numFmtId="178" fontId="37" fillId="0" borderId="53" xfId="43" applyNumberFormat="1" applyFont="1" applyFill="1" applyBorder="1" applyAlignment="1">
      <alignment horizontal="right" vertical="top" wrapText="1" readingOrder="1"/>
    </xf>
    <xf numFmtId="0" fontId="37" fillId="0" borderId="54" xfId="43" applyNumberFormat="1" applyFont="1" applyFill="1" applyBorder="1" applyAlignment="1">
      <alignment vertical="top" wrapText="1" readingOrder="1"/>
    </xf>
    <xf numFmtId="0" fontId="37" fillId="23" borderId="55" xfId="43" applyNumberFormat="1" applyFont="1" applyFill="1" applyBorder="1" applyAlignment="1">
      <alignment vertical="top" wrapText="1" readingOrder="1"/>
    </xf>
    <xf numFmtId="176" fontId="37" fillId="23" borderId="57" xfId="43" applyNumberFormat="1" applyFont="1" applyFill="1" applyBorder="1" applyAlignment="1">
      <alignment horizontal="right" vertical="top" wrapText="1" readingOrder="1"/>
    </xf>
    <xf numFmtId="177" fontId="37" fillId="23" borderId="57" xfId="43" applyNumberFormat="1" applyFont="1" applyFill="1" applyBorder="1" applyAlignment="1">
      <alignment horizontal="right" vertical="top" wrapText="1" readingOrder="1"/>
    </xf>
    <xf numFmtId="0" fontId="37" fillId="23" borderId="57" xfId="43" applyNumberFormat="1" applyFont="1" applyFill="1" applyBorder="1" applyAlignment="1">
      <alignment horizontal="right" vertical="top" wrapText="1" readingOrder="1"/>
    </xf>
    <xf numFmtId="177" fontId="37" fillId="23" borderId="57" xfId="43" applyNumberFormat="1" applyFont="1" applyFill="1" applyBorder="1" applyAlignment="1">
      <alignment vertical="top" wrapText="1" readingOrder="1"/>
    </xf>
    <xf numFmtId="178" fontId="37" fillId="23" borderId="57" xfId="43" applyNumberFormat="1" applyFont="1" applyFill="1" applyBorder="1" applyAlignment="1">
      <alignment horizontal="right" vertical="top" wrapText="1" readingOrder="1"/>
    </xf>
    <xf numFmtId="178" fontId="37" fillId="23" borderId="57" xfId="43" applyNumberFormat="1" applyFont="1" applyFill="1" applyBorder="1" applyAlignment="1">
      <alignment vertical="top" wrapText="1" readingOrder="1"/>
    </xf>
    <xf numFmtId="0" fontId="37" fillId="23" borderId="46" xfId="43" applyNumberFormat="1" applyFont="1" applyFill="1" applyBorder="1" applyAlignment="1">
      <alignment vertical="top" wrapText="1" readingOrder="1"/>
    </xf>
    <xf numFmtId="0" fontId="37" fillId="0" borderId="55" xfId="43" applyNumberFormat="1" applyFont="1" applyFill="1" applyBorder="1" applyAlignment="1">
      <alignment horizontal="left" vertical="top" wrapText="1" readingOrder="1"/>
    </xf>
    <xf numFmtId="0" fontId="37" fillId="0" borderId="57" xfId="43" applyNumberFormat="1" applyFont="1" applyFill="1" applyBorder="1" applyAlignment="1">
      <alignment horizontal="left" vertical="top" wrapText="1" readingOrder="1"/>
    </xf>
    <xf numFmtId="0" fontId="37" fillId="0" borderId="57" xfId="43" applyNumberFormat="1" applyFont="1" applyFill="1" applyBorder="1" applyAlignment="1">
      <alignment horizontal="right" vertical="top" wrapText="1" readingOrder="1"/>
    </xf>
    <xf numFmtId="0" fontId="37" fillId="0" borderId="46" xfId="43" applyNumberFormat="1" applyFont="1" applyFill="1" applyBorder="1" applyAlignment="1">
      <alignment vertical="top" wrapText="1" readingOrder="1"/>
    </xf>
    <xf numFmtId="4" fontId="36" fillId="13" borderId="0" xfId="43" applyNumberFormat="1" applyFont="1" applyFill="1" applyBorder="1"/>
    <xf numFmtId="0" fontId="36" fillId="13" borderId="0" xfId="43" applyFont="1" applyFill="1" applyBorder="1"/>
    <xf numFmtId="3" fontId="36" fillId="0" borderId="0" xfId="43" applyNumberFormat="1" applyFont="1" applyFill="1" applyBorder="1"/>
    <xf numFmtId="4" fontId="36" fillId="0" borderId="0" xfId="43" applyNumberFormat="1" applyFont="1" applyFill="1" applyBorder="1"/>
    <xf numFmtId="0" fontId="37" fillId="22" borderId="61" xfId="43" applyNumberFormat="1" applyFont="1" applyFill="1" applyBorder="1" applyAlignment="1">
      <alignment vertical="top" wrapText="1" readingOrder="1"/>
    </xf>
    <xf numFmtId="178" fontId="37" fillId="22" borderId="61" xfId="43" applyNumberFormat="1" applyFont="1" applyFill="1" applyBorder="1" applyAlignment="1">
      <alignment horizontal="right" vertical="top" wrapText="1" readingOrder="1"/>
    </xf>
    <xf numFmtId="0" fontId="37" fillId="22" borderId="61" xfId="43" applyNumberFormat="1" applyFont="1" applyFill="1" applyBorder="1" applyAlignment="1">
      <alignment horizontal="right" vertical="top" wrapText="1" readingOrder="1"/>
    </xf>
    <xf numFmtId="0" fontId="37" fillId="0" borderId="62" xfId="43" applyNumberFormat="1" applyFont="1" applyFill="1" applyBorder="1" applyAlignment="1">
      <alignment horizontal="center" vertical="top" wrapText="1" readingOrder="1"/>
    </xf>
    <xf numFmtId="0" fontId="37" fillId="0" borderId="62" xfId="43" applyNumberFormat="1" applyFont="1" applyFill="1" applyBorder="1" applyAlignment="1">
      <alignment vertical="top" wrapText="1" readingOrder="1"/>
    </xf>
    <xf numFmtId="180" fontId="37" fillId="22" borderId="61" xfId="43" applyNumberFormat="1" applyFont="1" applyFill="1" applyBorder="1" applyAlignment="1">
      <alignment vertical="top" wrapText="1" readingOrder="1"/>
    </xf>
    <xf numFmtId="176" fontId="37" fillId="22" borderId="61" xfId="43" applyNumberFormat="1" applyFont="1" applyFill="1" applyBorder="1" applyAlignment="1">
      <alignment horizontal="right" vertical="top" wrapText="1" readingOrder="1"/>
    </xf>
    <xf numFmtId="180" fontId="37" fillId="0" borderId="53" xfId="43" applyNumberFormat="1" applyFont="1" applyFill="1" applyBorder="1" applyAlignment="1">
      <alignment horizontal="right" vertical="top" wrapText="1" readingOrder="1"/>
    </xf>
    <xf numFmtId="176" fontId="37" fillId="22" borderId="67" xfId="43" applyNumberFormat="1" applyFont="1" applyFill="1" applyBorder="1" applyAlignment="1">
      <alignment horizontal="right" vertical="top" wrapText="1" readingOrder="1"/>
    </xf>
    <xf numFmtId="181" fontId="37" fillId="22" borderId="61" xfId="43" applyNumberFormat="1" applyFont="1" applyFill="1" applyBorder="1" applyAlignment="1">
      <alignment horizontal="right" vertical="top" wrapText="1" readingOrder="1"/>
    </xf>
    <xf numFmtId="176" fontId="37" fillId="0" borderId="69" xfId="43" applyNumberFormat="1" applyFont="1" applyFill="1" applyBorder="1" applyAlignment="1">
      <alignment horizontal="right" vertical="top" wrapText="1" readingOrder="1"/>
    </xf>
    <xf numFmtId="181" fontId="37" fillId="0" borderId="53" xfId="43" applyNumberFormat="1" applyFont="1" applyFill="1" applyBorder="1" applyAlignment="1">
      <alignment horizontal="right" vertical="top" wrapText="1" readingOrder="1"/>
    </xf>
    <xf numFmtId="0" fontId="37" fillId="0" borderId="71" xfId="43" applyNumberFormat="1" applyFont="1" applyFill="1" applyBorder="1" applyAlignment="1">
      <alignment horizontal="center" vertical="top" wrapText="1" readingOrder="1"/>
    </xf>
    <xf numFmtId="182" fontId="37" fillId="22" borderId="61" xfId="43" applyNumberFormat="1" applyFont="1" applyFill="1" applyBorder="1" applyAlignment="1">
      <alignment horizontal="right" vertical="top" wrapText="1" readingOrder="1"/>
    </xf>
    <xf numFmtId="182" fontId="37" fillId="0" borderId="53" xfId="43" applyNumberFormat="1" applyFont="1" applyFill="1" applyBorder="1" applyAlignment="1">
      <alignment horizontal="right" vertical="top" wrapText="1" readingOrder="1"/>
    </xf>
    <xf numFmtId="7" fontId="36" fillId="0" borderId="0" xfId="43" applyNumberFormat="1" applyFont="1" applyFill="1" applyBorder="1"/>
    <xf numFmtId="0" fontId="38" fillId="0" borderId="0" xfId="43" applyFont="1" applyFill="1" applyBorder="1" applyAlignment="1">
      <alignment horizontal="center"/>
    </xf>
    <xf numFmtId="0" fontId="37" fillId="0" borderId="72" xfId="43" applyNumberFormat="1" applyFont="1" applyFill="1" applyBorder="1" applyAlignment="1">
      <alignment horizontal="right" vertical="top" wrapText="1" readingOrder="1"/>
    </xf>
    <xf numFmtId="178" fontId="37" fillId="0" borderId="73" xfId="43" applyNumberFormat="1" applyFont="1" applyFill="1" applyBorder="1" applyAlignment="1">
      <alignment horizontal="right" vertical="top" wrapText="1" readingOrder="1"/>
    </xf>
    <xf numFmtId="0" fontId="37" fillId="0" borderId="73" xfId="43" applyNumberFormat="1" applyFont="1" applyFill="1" applyBorder="1" applyAlignment="1">
      <alignment horizontal="right" vertical="top" wrapText="1" readingOrder="1"/>
    </xf>
    <xf numFmtId="0" fontId="37" fillId="0" borderId="74" xfId="43" applyNumberFormat="1" applyFont="1" applyFill="1" applyBorder="1" applyAlignment="1">
      <alignment vertical="top" wrapText="1" readingOrder="1"/>
    </xf>
    <xf numFmtId="180" fontId="37" fillId="0" borderId="52" xfId="43" applyNumberFormat="1" applyFont="1" applyFill="1" applyBorder="1" applyAlignment="1">
      <alignment horizontal="right" vertical="top" wrapText="1" readingOrder="1"/>
    </xf>
    <xf numFmtId="0" fontId="37" fillId="0" borderId="75" xfId="43" applyNumberFormat="1" applyFont="1" applyFill="1" applyBorder="1" applyAlignment="1">
      <alignment horizontal="right" vertical="top" wrapText="1" readingOrder="1"/>
    </xf>
    <xf numFmtId="0" fontId="37" fillId="0" borderId="62" xfId="43" applyNumberFormat="1" applyFont="1" applyFill="1" applyBorder="1" applyAlignment="1">
      <alignment horizontal="right" vertical="top" wrapText="1" readingOrder="1"/>
    </xf>
    <xf numFmtId="0" fontId="37" fillId="0" borderId="76" xfId="43" applyNumberFormat="1" applyFont="1" applyFill="1" applyBorder="1" applyAlignment="1">
      <alignment vertical="top" wrapText="1" readingOrder="1"/>
    </xf>
    <xf numFmtId="0" fontId="36" fillId="0" borderId="0" xfId="43" applyFont="1" applyFill="1" applyBorder="1"/>
    <xf numFmtId="182" fontId="36" fillId="0" borderId="0" xfId="43" applyNumberFormat="1" applyFont="1" applyFill="1" applyBorder="1"/>
    <xf numFmtId="183" fontId="31" fillId="0" borderId="0" xfId="0" applyNumberFormat="1" applyFont="1"/>
    <xf numFmtId="8" fontId="31" fillId="0" borderId="0" xfId="0" applyNumberFormat="1" applyFont="1"/>
    <xf numFmtId="0" fontId="0" fillId="0" borderId="0" xfId="0" pivotButton="1"/>
    <xf numFmtId="0" fontId="36" fillId="15" borderId="0" xfId="43" applyFont="1" applyFill="1" applyBorder="1"/>
    <xf numFmtId="0" fontId="14" fillId="0" borderId="1" xfId="0" applyFont="1" applyBorder="1" applyAlignment="1">
      <alignment horizontal="left" vertical="center" wrapText="1"/>
    </xf>
    <xf numFmtId="9" fontId="0" fillId="5" borderId="5" xfId="0" applyNumberFormat="1" applyFill="1" applyBorder="1"/>
    <xf numFmtId="0" fontId="29" fillId="4" borderId="27" xfId="2" applyNumberFormat="1" applyFont="1" applyFill="1" applyBorder="1" applyAlignment="1">
      <alignment horizontal="center" vertical="center" wrapText="1"/>
    </xf>
    <xf numFmtId="0" fontId="37" fillId="21" borderId="41" xfId="43" applyNumberFormat="1" applyFont="1" applyFill="1" applyBorder="1" applyAlignment="1">
      <alignment vertical="top" wrapText="1" readingOrder="1"/>
    </xf>
    <xf numFmtId="0" fontId="37" fillId="23" borderId="57" xfId="43" applyNumberFormat="1" applyFont="1" applyFill="1" applyBorder="1" applyAlignment="1">
      <alignment vertical="top" wrapText="1" readingOrder="1"/>
    </xf>
    <xf numFmtId="0" fontId="37" fillId="22" borderId="50" xfId="43" applyNumberFormat="1" applyFont="1" applyFill="1" applyBorder="1" applyAlignment="1">
      <alignment vertical="top" wrapText="1" readingOrder="1"/>
    </xf>
    <xf numFmtId="0" fontId="36" fillId="0" borderId="0" xfId="43" applyFont="1" applyFill="1" applyBorder="1"/>
    <xf numFmtId="0" fontId="37" fillId="0" borderId="57" xfId="43" applyNumberFormat="1" applyFont="1" applyFill="1" applyBorder="1" applyAlignment="1">
      <alignment vertical="top" wrapText="1" readingOrder="1"/>
    </xf>
    <xf numFmtId="0" fontId="37" fillId="0" borderId="53" xfId="43" applyNumberFormat="1" applyFont="1" applyFill="1" applyBorder="1" applyAlignment="1">
      <alignment horizontal="right" vertical="top" wrapText="1" readingOrder="1"/>
    </xf>
    <xf numFmtId="176" fontId="37" fillId="0" borderId="53" xfId="43" applyNumberFormat="1" applyFont="1" applyFill="1" applyBorder="1" applyAlignment="1">
      <alignment horizontal="right" vertical="top" wrapText="1" readingOrder="1"/>
    </xf>
    <xf numFmtId="6" fontId="0" fillId="26" borderId="0" xfId="0" applyNumberFormat="1" applyFont="1" applyFill="1" applyBorder="1"/>
    <xf numFmtId="0" fontId="30" fillId="27" borderId="0" xfId="0" applyFont="1" applyFill="1"/>
    <xf numFmtId="0" fontId="31" fillId="27" borderId="0" xfId="0" applyFont="1" applyFill="1"/>
    <xf numFmtId="0" fontId="31" fillId="27" borderId="34" xfId="41" applyFont="1" applyFill="1" applyBorder="1" applyAlignment="1">
      <alignment horizontal="left" vertical="center"/>
    </xf>
    <xf numFmtId="5" fontId="31" fillId="27" borderId="34" xfId="41" applyNumberFormat="1" applyFont="1" applyFill="1" applyBorder="1"/>
    <xf numFmtId="6" fontId="31" fillId="27" borderId="34" xfId="0" applyNumberFormat="1" applyFont="1" applyFill="1" applyBorder="1"/>
    <xf numFmtId="9" fontId="31" fillId="27" borderId="34" xfId="0" applyNumberFormat="1" applyFont="1" applyFill="1" applyBorder="1"/>
    <xf numFmtId="0" fontId="36" fillId="0" borderId="0" xfId="43" applyFont="1" applyFill="1" applyBorder="1"/>
    <xf numFmtId="3" fontId="0" fillId="0" borderId="0" xfId="0" applyNumberFormat="1" applyFont="1"/>
    <xf numFmtId="0" fontId="0" fillId="15" borderId="0" xfId="0" applyFont="1" applyFill="1"/>
    <xf numFmtId="43" fontId="0" fillId="0" borderId="0" xfId="0" applyNumberFormat="1" applyFont="1"/>
    <xf numFmtId="0" fontId="0" fillId="17" borderId="35" xfId="0" applyFont="1" applyFill="1" applyBorder="1"/>
    <xf numFmtId="0" fontId="0" fillId="17" borderId="37" xfId="0" applyFont="1" applyFill="1" applyBorder="1" applyAlignment="1">
      <alignment horizontal="right"/>
    </xf>
    <xf numFmtId="0" fontId="0" fillId="8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6" fillId="6" borderId="34" xfId="0" applyFont="1" applyFill="1" applyBorder="1" applyAlignment="1">
      <alignment horizontal="left" wrapText="1"/>
    </xf>
    <xf numFmtId="0" fontId="6" fillId="6" borderId="34" xfId="42" applyFont="1" applyFill="1" applyBorder="1" applyAlignment="1">
      <alignment horizontal="center" wrapText="1"/>
    </xf>
    <xf numFmtId="0" fontId="3" fillId="18" borderId="34" xfId="0" applyFont="1" applyFill="1" applyBorder="1" applyAlignment="1">
      <alignment horizontal="right"/>
    </xf>
    <xf numFmtId="0" fontId="5" fillId="18" borderId="34" xfId="0" applyFont="1" applyFill="1" applyBorder="1"/>
    <xf numFmtId="168" fontId="5" fillId="18" borderId="34" xfId="42" applyNumberFormat="1" applyFont="1" applyFill="1" applyBorder="1"/>
    <xf numFmtId="0" fontId="7" fillId="19" borderId="34" xfId="0" applyFont="1" applyFill="1" applyBorder="1" applyAlignment="1">
      <alignment horizontal="right"/>
    </xf>
    <xf numFmtId="0" fontId="8" fillId="19" borderId="34" xfId="0" applyFont="1" applyFill="1" applyBorder="1"/>
    <xf numFmtId="168" fontId="6" fillId="19" borderId="34" xfId="42" applyNumberFormat="1" applyFont="1" applyFill="1" applyBorder="1"/>
    <xf numFmtId="0" fontId="7" fillId="8" borderId="34" xfId="0" applyFont="1" applyFill="1" applyBorder="1" applyAlignment="1">
      <alignment horizontal="right"/>
    </xf>
    <xf numFmtId="168" fontId="0" fillId="8" borderId="34" xfId="42" applyNumberFormat="1" applyFont="1" applyFill="1" applyBorder="1"/>
    <xf numFmtId="0" fontId="7" fillId="8" borderId="34" xfId="0" applyFont="1" applyFill="1" applyBorder="1" applyAlignment="1">
      <alignment horizontal="right" wrapText="1"/>
    </xf>
    <xf numFmtId="0" fontId="7" fillId="20" borderId="34" xfId="0" applyFont="1" applyFill="1" applyBorder="1" applyAlignment="1">
      <alignment horizontal="right"/>
    </xf>
    <xf numFmtId="0" fontId="8" fillId="20" borderId="34" xfId="0" applyFont="1" applyFill="1" applyBorder="1" applyAlignment="1">
      <alignment horizontal="right"/>
    </xf>
    <xf numFmtId="168" fontId="6" fillId="15" borderId="34" xfId="42" applyNumberFormat="1" applyFont="1" applyFill="1" applyBorder="1"/>
    <xf numFmtId="168" fontId="6" fillId="20" borderId="34" xfId="42" applyNumberFormat="1" applyFont="1" applyFill="1" applyBorder="1"/>
    <xf numFmtId="168" fontId="0" fillId="20" borderId="34" xfId="42" applyNumberFormat="1" applyFont="1" applyFill="1" applyBorder="1"/>
    <xf numFmtId="168" fontId="0" fillId="15" borderId="34" xfId="42" applyNumberFormat="1" applyFont="1" applyFill="1" applyBorder="1"/>
    <xf numFmtId="0" fontId="7" fillId="20" borderId="34" xfId="0" applyFont="1" applyFill="1" applyBorder="1" applyAlignment="1">
      <alignment horizontal="right" wrapText="1"/>
    </xf>
    <xf numFmtId="168" fontId="0" fillId="0" borderId="0" xfId="1" applyNumberFormat="1" applyFont="1"/>
    <xf numFmtId="0" fontId="8" fillId="20" borderId="34" xfId="0" applyFont="1" applyFill="1" applyBorder="1"/>
    <xf numFmtId="165" fontId="0" fillId="8" borderId="0" xfId="0" applyNumberFormat="1" applyFont="1" applyFill="1" applyAlignment="1">
      <alignment horizontal="right"/>
    </xf>
    <xf numFmtId="165" fontId="0" fillId="0" borderId="0" xfId="0" applyNumberFormat="1" applyFont="1"/>
    <xf numFmtId="165" fontId="6" fillId="6" borderId="34" xfId="42" applyNumberFormat="1" applyFont="1" applyFill="1" applyBorder="1" applyAlignment="1">
      <alignment horizontal="center" wrapText="1"/>
    </xf>
    <xf numFmtId="165" fontId="5" fillId="18" borderId="34" xfId="42" applyNumberFormat="1" applyFont="1" applyFill="1" applyBorder="1"/>
    <xf numFmtId="165" fontId="6" fillId="19" borderId="34" xfId="42" applyNumberFormat="1" applyFont="1" applyFill="1" applyBorder="1"/>
    <xf numFmtId="165" fontId="0" fillId="8" borderId="34" xfId="42" applyNumberFormat="1" applyFont="1" applyFill="1" applyBorder="1"/>
    <xf numFmtId="165" fontId="6" fillId="20" borderId="34" xfId="42" applyNumberFormat="1" applyFont="1" applyFill="1" applyBorder="1"/>
    <xf numFmtId="165" fontId="0" fillId="20" borderId="34" xfId="42" applyNumberFormat="1" applyFont="1" applyFill="1" applyBorder="1"/>
    <xf numFmtId="165" fontId="0" fillId="0" borderId="0" xfId="1" applyNumberFormat="1" applyFont="1"/>
    <xf numFmtId="0" fontId="40" fillId="0" borderId="0" xfId="0" applyFont="1"/>
    <xf numFmtId="0" fontId="41" fillId="0" borderId="0" xfId="25" applyFont="1"/>
    <xf numFmtId="168" fontId="5" fillId="18" borderId="34" xfId="1" applyNumberFormat="1" applyFont="1" applyFill="1" applyBorder="1"/>
    <xf numFmtId="43" fontId="16" fillId="0" borderId="0" xfId="0" applyNumberFormat="1" applyFont="1" applyProtection="1">
      <protection locked="0"/>
    </xf>
    <xf numFmtId="9" fontId="31" fillId="0" borderId="0" xfId="2" applyFont="1"/>
    <xf numFmtId="0" fontId="0" fillId="8" borderId="0" xfId="0" applyFont="1" applyFill="1"/>
    <xf numFmtId="9" fontId="5" fillId="18" borderId="34" xfId="2" applyFont="1" applyFill="1" applyBorder="1" applyAlignment="1">
      <alignment horizontal="center" vertical="center" wrapText="1"/>
    </xf>
    <xf numFmtId="0" fontId="5" fillId="18" borderId="34" xfId="0" applyFont="1" applyFill="1" applyBorder="1" applyAlignment="1">
      <alignment horizontal="right" wrapText="1"/>
    </xf>
    <xf numFmtId="0" fontId="7" fillId="8" borderId="34" xfId="1" applyNumberFormat="1" applyFont="1" applyFill="1" applyBorder="1" applyAlignment="1">
      <alignment horizontal="right"/>
    </xf>
    <xf numFmtId="168" fontId="0" fillId="8" borderId="34" xfId="1" applyNumberFormat="1" applyFont="1" applyFill="1" applyBorder="1"/>
    <xf numFmtId="5" fontId="0" fillId="8" borderId="34" xfId="1" applyNumberFormat="1" applyFont="1" applyFill="1" applyBorder="1"/>
    <xf numFmtId="10" fontId="0" fillId="8" borderId="34" xfId="2" applyNumberFormat="1" applyFont="1" applyFill="1" applyBorder="1"/>
    <xf numFmtId="43" fontId="0" fillId="8" borderId="0" xfId="1" applyFont="1" applyFill="1"/>
    <xf numFmtId="43" fontId="0" fillId="8" borderId="34" xfId="0" applyNumberFormat="1" applyFont="1" applyFill="1" applyBorder="1"/>
    <xf numFmtId="5" fontId="0" fillId="8" borderId="0" xfId="0" applyNumberFormat="1" applyFont="1" applyFill="1"/>
    <xf numFmtId="0" fontId="6" fillId="8" borderId="0" xfId="0" applyFont="1" applyFill="1"/>
    <xf numFmtId="168" fontId="7" fillId="8" borderId="34" xfId="1" applyNumberFormat="1" applyFont="1" applyFill="1" applyBorder="1" applyAlignment="1">
      <alignment horizontal="right"/>
    </xf>
    <xf numFmtId="5" fontId="7" fillId="8" borderId="34" xfId="1" applyNumberFormat="1" applyFont="1" applyFill="1" applyBorder="1" applyAlignment="1">
      <alignment horizontal="right"/>
    </xf>
    <xf numFmtId="168" fontId="0" fillId="8" borderId="0" xfId="1" applyNumberFormat="1" applyFont="1" applyFill="1"/>
    <xf numFmtId="168" fontId="7" fillId="15" borderId="34" xfId="1" applyNumberFormat="1" applyFont="1" applyFill="1" applyBorder="1" applyAlignment="1">
      <alignment horizontal="right"/>
    </xf>
    <xf numFmtId="5" fontId="7" fillId="15" borderId="34" xfId="1" applyNumberFormat="1" applyFont="1" applyFill="1" applyBorder="1" applyAlignment="1">
      <alignment horizontal="right"/>
    </xf>
    <xf numFmtId="0" fontId="36" fillId="0" borderId="0" xfId="43" applyFont="1" applyFill="1" applyBorder="1"/>
    <xf numFmtId="0" fontId="36" fillId="0" borderId="66" xfId="43" applyNumberFormat="1" applyFont="1" applyFill="1" applyBorder="1" applyAlignment="1">
      <alignment vertical="top" wrapText="1"/>
    </xf>
    <xf numFmtId="0" fontId="42" fillId="0" borderId="0" xfId="0" applyFont="1"/>
    <xf numFmtId="0" fontId="43" fillId="0" borderId="0" xfId="0" applyFont="1" applyFill="1" applyProtection="1">
      <protection locked="0"/>
    </xf>
    <xf numFmtId="0" fontId="44" fillId="0" borderId="0" xfId="0" applyFont="1"/>
    <xf numFmtId="0" fontId="45" fillId="0" borderId="0" xfId="25" applyFont="1" applyAlignment="1">
      <alignment vertical="top"/>
    </xf>
    <xf numFmtId="0" fontId="46" fillId="0" borderId="0" xfId="26" applyFont="1"/>
    <xf numFmtId="0" fontId="47" fillId="0" borderId="0" xfId="0" applyFont="1" applyFill="1"/>
    <xf numFmtId="0" fontId="44" fillId="0" borderId="0" xfId="0" applyFont="1" applyFill="1"/>
    <xf numFmtId="0" fontId="44" fillId="0" borderId="0" xfId="0" applyFont="1" applyFill="1" applyAlignment="1"/>
    <xf numFmtId="164" fontId="48" fillId="3" borderId="8" xfId="1" applyNumberFormat="1" applyFont="1" applyFill="1" applyBorder="1" applyAlignment="1">
      <alignment horizontal="center" vertical="center"/>
    </xf>
    <xf numFmtId="9" fontId="49" fillId="3" borderId="1" xfId="2" applyFont="1" applyFill="1" applyBorder="1" applyAlignment="1">
      <alignment horizontal="center" vertical="center" wrapText="1"/>
    </xf>
    <xf numFmtId="9" fontId="49" fillId="3" borderId="2" xfId="2" applyFont="1" applyFill="1" applyBorder="1" applyAlignment="1">
      <alignment horizontal="center" vertical="center" wrapText="1"/>
    </xf>
    <xf numFmtId="9" fontId="49" fillId="3" borderId="4" xfId="2" applyFont="1" applyFill="1" applyBorder="1" applyAlignment="1">
      <alignment horizontal="center" vertical="center" wrapText="1"/>
    </xf>
    <xf numFmtId="164" fontId="49" fillId="4" borderId="5" xfId="1" applyNumberFormat="1" applyFont="1" applyFill="1" applyBorder="1" applyAlignment="1">
      <alignment horizontal="center" vertical="center" wrapText="1"/>
    </xf>
    <xf numFmtId="164" fontId="49" fillId="4" borderId="1" xfId="1" applyNumberFormat="1" applyFont="1" applyFill="1" applyBorder="1" applyAlignment="1">
      <alignment horizontal="center" vertical="center" wrapText="1"/>
    </xf>
    <xf numFmtId="164" fontId="49" fillId="4" borderId="3" xfId="1" applyNumberFormat="1" applyFont="1" applyFill="1" applyBorder="1" applyAlignment="1">
      <alignment horizontal="center" vertical="center" wrapText="1"/>
    </xf>
    <xf numFmtId="165" fontId="49" fillId="4" borderId="1" xfId="0" applyNumberFormat="1" applyFont="1" applyFill="1" applyBorder="1" applyAlignment="1">
      <alignment horizontal="center" vertical="center" wrapText="1"/>
    </xf>
    <xf numFmtId="165" fontId="49" fillId="4" borderId="2" xfId="0" applyNumberFormat="1" applyFont="1" applyFill="1" applyBorder="1" applyAlignment="1">
      <alignment horizontal="center" vertical="center" wrapText="1"/>
    </xf>
    <xf numFmtId="165" fontId="49" fillId="4" borderId="32" xfId="0" applyNumberFormat="1" applyFont="1" applyFill="1" applyBorder="1" applyAlignment="1">
      <alignment horizontal="center" vertical="center" wrapText="1"/>
    </xf>
    <xf numFmtId="165" fontId="49" fillId="4" borderId="8" xfId="0" applyNumberFormat="1" applyFont="1" applyFill="1" applyBorder="1" applyAlignment="1">
      <alignment horizontal="center" vertical="center" wrapText="1"/>
    </xf>
    <xf numFmtId="164" fontId="49" fillId="4" borderId="13" xfId="1" applyNumberFormat="1" applyFont="1" applyFill="1" applyBorder="1" applyAlignment="1">
      <alignment horizontal="center" vertical="center" wrapText="1"/>
    </xf>
    <xf numFmtId="164" fontId="49" fillId="4" borderId="8" xfId="1" applyNumberFormat="1" applyFont="1" applyFill="1" applyBorder="1" applyAlignment="1">
      <alignment horizontal="center" vertical="center" wrapText="1"/>
    </xf>
    <xf numFmtId="164" fontId="49" fillId="4" borderId="11" xfId="1" applyNumberFormat="1" applyFont="1" applyFill="1" applyBorder="1" applyAlignment="1">
      <alignment horizontal="center" vertical="center" wrapText="1"/>
    </xf>
    <xf numFmtId="164" fontId="49" fillId="4" borderId="14" xfId="1" applyNumberFormat="1" applyFont="1" applyFill="1" applyBorder="1" applyAlignment="1">
      <alignment horizontal="center" vertical="center" wrapText="1"/>
    </xf>
    <xf numFmtId="0" fontId="43" fillId="0" borderId="0" xfId="0" applyFont="1" applyProtection="1">
      <protection locked="0"/>
    </xf>
    <xf numFmtId="0" fontId="50" fillId="0" borderId="1" xfId="0" applyFont="1" applyFill="1" applyBorder="1"/>
    <xf numFmtId="3" fontId="50" fillId="0" borderId="1" xfId="0" applyNumberFormat="1" applyFont="1" applyFill="1" applyBorder="1"/>
    <xf numFmtId="0" fontId="47" fillId="5" borderId="1" xfId="0" applyFont="1" applyFill="1" applyBorder="1" applyAlignment="1">
      <alignment horizontal="left"/>
    </xf>
    <xf numFmtId="0" fontId="47" fillId="5" borderId="2" xfId="0" applyFont="1" applyFill="1" applyBorder="1" applyAlignment="1">
      <alignment horizontal="left"/>
    </xf>
    <xf numFmtId="4" fontId="51" fillId="0" borderId="1" xfId="0" applyNumberFormat="1" applyFont="1" applyFill="1" applyBorder="1" applyAlignment="1">
      <alignment horizontal="center" vertical="center"/>
    </xf>
    <xf numFmtId="41" fontId="47" fillId="5" borderId="1" xfId="0" applyNumberFormat="1" applyFont="1" applyFill="1" applyBorder="1" applyAlignment="1">
      <alignment horizontal="right" vertical="center"/>
    </xf>
    <xf numFmtId="4" fontId="44" fillId="5" borderId="5" xfId="0" applyNumberFormat="1" applyFont="1" applyFill="1" applyBorder="1" applyAlignment="1">
      <alignment horizontal="center" vertical="center"/>
    </xf>
    <xf numFmtId="41" fontId="51" fillId="0" borderId="1" xfId="0" applyNumberFormat="1" applyFont="1" applyFill="1" applyBorder="1" applyAlignment="1">
      <alignment horizontal="right" vertical="center"/>
    </xf>
    <xf numFmtId="41" fontId="47" fillId="5" borderId="3" xfId="1" applyNumberFormat="1" applyFont="1" applyFill="1" applyBorder="1" applyAlignment="1">
      <alignment horizontal="right" vertical="center"/>
    </xf>
    <xf numFmtId="167" fontId="47" fillId="5" borderId="1" xfId="1" applyNumberFormat="1" applyFont="1" applyFill="1" applyBorder="1" applyAlignment="1">
      <alignment horizontal="right" vertical="center"/>
    </xf>
    <xf numFmtId="8" fontId="47" fillId="15" borderId="1" xfId="0" applyNumberFormat="1" applyFont="1" applyFill="1" applyBorder="1" applyAlignment="1">
      <alignment horizontal="right" vertical="center"/>
    </xf>
    <xf numFmtId="8" fontId="47" fillId="5" borderId="1" xfId="0" applyNumberFormat="1" applyFont="1" applyFill="1" applyBorder="1" applyAlignment="1">
      <alignment horizontal="right" vertical="center"/>
    </xf>
    <xf numFmtId="9" fontId="47" fillId="5" borderId="2" xfId="0" applyNumberFormat="1" applyFont="1" applyFill="1" applyBorder="1" applyAlignment="1">
      <alignment horizontal="right" vertical="center"/>
    </xf>
    <xf numFmtId="9" fontId="47" fillId="5" borderId="32" xfId="0" applyNumberFormat="1" applyFont="1" applyFill="1" applyBorder="1" applyAlignment="1">
      <alignment horizontal="right" vertical="center"/>
    </xf>
    <xf numFmtId="9" fontId="45" fillId="0" borderId="4" xfId="25" applyNumberFormat="1" applyFont="1" applyFill="1" applyBorder="1" applyAlignment="1">
      <alignment horizontal="center" vertical="center"/>
    </xf>
    <xf numFmtId="168" fontId="51" fillId="5" borderId="3" xfId="1" applyNumberFormat="1" applyFont="1" applyFill="1" applyBorder="1" applyAlignment="1">
      <alignment horizontal="right" vertical="center"/>
    </xf>
    <xf numFmtId="174" fontId="51" fillId="5" borderId="5" xfId="1" applyNumberFormat="1" applyFont="1" applyFill="1" applyBorder="1" applyAlignment="1">
      <alignment horizontal="right" vertical="center"/>
    </xf>
    <xf numFmtId="43" fontId="51" fillId="5" borderId="1" xfId="1" applyNumberFormat="1" applyFont="1" applyFill="1" applyBorder="1" applyAlignment="1">
      <alignment horizontal="right" vertical="center"/>
    </xf>
    <xf numFmtId="43" fontId="51" fillId="5" borderId="17" xfId="1" applyNumberFormat="1" applyFont="1" applyFill="1" applyBorder="1" applyAlignment="1">
      <alignment horizontal="right" vertical="center"/>
    </xf>
    <xf numFmtId="43" fontId="47" fillId="5" borderId="17" xfId="1" applyNumberFormat="1" applyFont="1" applyFill="1" applyBorder="1" applyAlignment="1">
      <alignment horizontal="left" vertical="center"/>
    </xf>
    <xf numFmtId="4" fontId="44" fillId="0" borderId="0" xfId="0" applyNumberFormat="1" applyFont="1"/>
    <xf numFmtId="0" fontId="31" fillId="8" borderId="0" xfId="0" applyFont="1" applyFill="1"/>
    <xf numFmtId="165" fontId="52" fillId="8" borderId="0" xfId="0" applyNumberFormat="1" applyFont="1" applyFill="1" applyAlignment="1">
      <alignment horizontal="right"/>
    </xf>
    <xf numFmtId="168" fontId="31" fillId="8" borderId="0" xfId="1" applyNumberFormat="1" applyFont="1" applyFill="1"/>
    <xf numFmtId="0" fontId="31" fillId="8" borderId="0" xfId="0" applyFont="1" applyFill="1" applyAlignment="1">
      <alignment wrapText="1"/>
    </xf>
    <xf numFmtId="168" fontId="52" fillId="8" borderId="0" xfId="0" applyNumberFormat="1" applyFont="1" applyFill="1"/>
    <xf numFmtId="168" fontId="31" fillId="8" borderId="0" xfId="0" applyNumberFormat="1" applyFont="1" applyFill="1"/>
    <xf numFmtId="0" fontId="52" fillId="8" borderId="0" xfId="0" applyFont="1" applyFill="1"/>
    <xf numFmtId="9" fontId="31" fillId="8" borderId="0" xfId="2" applyFont="1" applyFill="1"/>
    <xf numFmtId="0" fontId="53" fillId="6" borderId="34" xfId="1" applyNumberFormat="1" applyFont="1" applyFill="1" applyBorder="1" applyAlignment="1">
      <alignment horizontal="center" vertical="center" wrapText="1"/>
    </xf>
    <xf numFmtId="164" fontId="53" fillId="6" borderId="34" xfId="1" applyNumberFormat="1" applyFont="1" applyFill="1" applyBorder="1" applyAlignment="1">
      <alignment horizontal="center" vertical="center" wrapText="1"/>
    </xf>
    <xf numFmtId="43" fontId="53" fillId="6" borderId="34" xfId="1" applyFont="1" applyFill="1" applyBorder="1" applyAlignment="1">
      <alignment horizontal="center" vertical="center" wrapText="1"/>
    </xf>
    <xf numFmtId="168" fontId="31" fillId="8" borderId="0" xfId="1" applyNumberFormat="1" applyFont="1" applyFill="1" applyAlignment="1">
      <alignment horizontal="right"/>
    </xf>
    <xf numFmtId="0" fontId="40" fillId="6" borderId="34" xfId="44" applyFont="1" applyFill="1" applyBorder="1" applyAlignment="1">
      <alignment horizontal="center" wrapText="1"/>
    </xf>
    <xf numFmtId="9" fontId="40" fillId="6" borderId="38" xfId="2" applyFont="1" applyFill="1" applyBorder="1" applyAlignment="1">
      <alignment horizontal="center" vertical="center" wrapText="1"/>
    </xf>
    <xf numFmtId="1" fontId="53" fillId="6" borderId="34" xfId="1" applyNumberFormat="1" applyFont="1" applyFill="1" applyBorder="1" applyAlignment="1">
      <alignment horizontal="center" vertical="center" wrapText="1"/>
    </xf>
    <xf numFmtId="1" fontId="32" fillId="30" borderId="34" xfId="0" applyNumberFormat="1" applyFont="1" applyFill="1" applyBorder="1" applyAlignment="1">
      <alignment horizontal="center"/>
    </xf>
    <xf numFmtId="168" fontId="32" fillId="30" borderId="34" xfId="1" applyNumberFormat="1" applyFont="1" applyFill="1" applyBorder="1" applyAlignment="1">
      <alignment horizontal="center"/>
    </xf>
    <xf numFmtId="166" fontId="32" fillId="30" borderId="34" xfId="0" applyNumberFormat="1" applyFont="1" applyFill="1" applyBorder="1" applyAlignment="1">
      <alignment horizontal="left"/>
    </xf>
    <xf numFmtId="43" fontId="32" fillId="30" borderId="34" xfId="0" applyNumberFormat="1" applyFont="1" applyFill="1" applyBorder="1" applyAlignment="1">
      <alignment horizontal="left"/>
    </xf>
    <xf numFmtId="43" fontId="32" fillId="30" borderId="34" xfId="0" applyNumberFormat="1" applyFont="1" applyFill="1" applyBorder="1" applyAlignment="1">
      <alignment horizontal="left" wrapText="1"/>
    </xf>
    <xf numFmtId="5" fontId="32" fillId="30" borderId="34" xfId="1" applyNumberFormat="1" applyFont="1" applyFill="1" applyBorder="1" applyAlignment="1">
      <alignment horizontal="center"/>
    </xf>
    <xf numFmtId="1" fontId="32" fillId="30" borderId="34" xfId="0" applyNumberFormat="1" applyFont="1" applyFill="1" applyBorder="1" applyAlignment="1">
      <alignment horizontal="left"/>
    </xf>
    <xf numFmtId="43" fontId="32" fillId="30" borderId="34" xfId="45" applyNumberFormat="1" applyFont="1" applyFill="1" applyBorder="1"/>
    <xf numFmtId="1" fontId="53" fillId="8" borderId="34" xfId="0" applyNumberFormat="1" applyFont="1" applyFill="1" applyBorder="1" applyAlignment="1">
      <alignment horizontal="center"/>
    </xf>
    <xf numFmtId="168" fontId="53" fillId="8" borderId="38" xfId="1" applyNumberFormat="1" applyFont="1" applyFill="1" applyBorder="1" applyAlignment="1">
      <alignment horizontal="center"/>
    </xf>
    <xf numFmtId="168" fontId="52" fillId="8" borderId="0" xfId="1" applyNumberFormat="1" applyFont="1" applyFill="1" applyAlignment="1">
      <alignment horizontal="right"/>
    </xf>
    <xf numFmtId="166" fontId="53" fillId="8" borderId="38" xfId="0" applyNumberFormat="1" applyFont="1" applyFill="1" applyBorder="1" applyAlignment="1">
      <alignment horizontal="left"/>
    </xf>
    <xf numFmtId="43" fontId="53" fillId="8" borderId="38" xfId="0" applyNumberFormat="1" applyFont="1" applyFill="1" applyBorder="1" applyAlignment="1">
      <alignment horizontal="left"/>
    </xf>
    <xf numFmtId="43" fontId="53" fillId="8" borderId="38" xfId="0" applyNumberFormat="1" applyFont="1" applyFill="1" applyBorder="1" applyAlignment="1">
      <alignment horizontal="left" wrapText="1"/>
    </xf>
    <xf numFmtId="5" fontId="32" fillId="0" borderId="34" xfId="1" applyNumberFormat="1" applyFont="1" applyFill="1" applyBorder="1" applyAlignment="1">
      <alignment horizontal="center"/>
    </xf>
    <xf numFmtId="5" fontId="53" fillId="8" borderId="34" xfId="1" applyNumberFormat="1" applyFont="1" applyFill="1" applyBorder="1" applyAlignment="1">
      <alignment horizontal="center"/>
    </xf>
    <xf numFmtId="5" fontId="32" fillId="30" borderId="38" xfId="1" applyNumberFormat="1" applyFont="1" applyFill="1" applyBorder="1" applyAlignment="1">
      <alignment horizontal="center"/>
    </xf>
    <xf numFmtId="168" fontId="32" fillId="30" borderId="38" xfId="1" applyNumberFormat="1" applyFont="1" applyFill="1" applyBorder="1" applyAlignment="1">
      <alignment horizontal="center"/>
    </xf>
    <xf numFmtId="166" fontId="32" fillId="30" borderId="38" xfId="0" applyNumberFormat="1" applyFont="1" applyFill="1" applyBorder="1" applyAlignment="1">
      <alignment horizontal="left"/>
    </xf>
    <xf numFmtId="43" fontId="32" fillId="30" borderId="38" xfId="0" applyNumberFormat="1" applyFont="1" applyFill="1" applyBorder="1" applyAlignment="1">
      <alignment horizontal="left"/>
    </xf>
    <xf numFmtId="43" fontId="32" fillId="30" borderId="38" xfId="0" applyNumberFormat="1" applyFont="1" applyFill="1" applyBorder="1" applyAlignment="1">
      <alignment horizontal="left" wrapText="1"/>
    </xf>
    <xf numFmtId="168" fontId="53" fillId="19" borderId="34" xfId="1" applyNumberFormat="1" applyFont="1" applyFill="1" applyBorder="1" applyAlignment="1">
      <alignment horizontal="left"/>
    </xf>
    <xf numFmtId="0" fontId="40" fillId="8" borderId="0" xfId="0" applyFont="1" applyFill="1"/>
    <xf numFmtId="168" fontId="53" fillId="19" borderId="38" xfId="1" applyNumberFormat="1" applyFont="1" applyFill="1" applyBorder="1" applyAlignment="1">
      <alignment horizontal="right"/>
    </xf>
    <xf numFmtId="168" fontId="40" fillId="8" borderId="0" xfId="1" applyNumberFormat="1" applyFont="1" applyFill="1" applyAlignment="1">
      <alignment horizontal="right"/>
    </xf>
    <xf numFmtId="5" fontId="53" fillId="19" borderId="38" xfId="1" applyNumberFormat="1" applyFont="1" applyFill="1" applyBorder="1" applyAlignment="1">
      <alignment horizontal="right"/>
    </xf>
    <xf numFmtId="43" fontId="53" fillId="19" borderId="38" xfId="0" applyNumberFormat="1" applyFont="1" applyFill="1" applyBorder="1" applyAlignment="1">
      <alignment horizontal="right"/>
    </xf>
    <xf numFmtId="43" fontId="53" fillId="19" borderId="38" xfId="0" applyNumberFormat="1" applyFont="1" applyFill="1" applyBorder="1" applyAlignment="1">
      <alignment horizontal="right" wrapText="1"/>
    </xf>
    <xf numFmtId="165" fontId="53" fillId="19" borderId="34" xfId="0" applyNumberFormat="1" applyFont="1" applyFill="1" applyBorder="1" applyAlignment="1">
      <alignment horizontal="right" vertical="center"/>
    </xf>
    <xf numFmtId="165" fontId="53" fillId="19" borderId="38" xfId="0" applyNumberFormat="1" applyFont="1" applyFill="1" applyBorder="1" applyAlignment="1">
      <alignment horizontal="right"/>
    </xf>
    <xf numFmtId="43" fontId="53" fillId="19" borderId="34" xfId="45" applyNumberFormat="1" applyFont="1" applyFill="1" applyBorder="1"/>
    <xf numFmtId="0" fontId="53" fillId="8" borderId="0" xfId="0" applyFont="1" applyFill="1"/>
    <xf numFmtId="0" fontId="31" fillId="8" borderId="34" xfId="0" applyFont="1" applyFill="1" applyBorder="1" applyAlignment="1">
      <alignment horizontal="right"/>
    </xf>
    <xf numFmtId="168" fontId="52" fillId="8" borderId="34" xfId="1" applyNumberFormat="1" applyFont="1" applyFill="1" applyBorder="1" applyAlignment="1">
      <alignment horizontal="right"/>
    </xf>
    <xf numFmtId="43" fontId="52" fillId="8" borderId="34" xfId="1" applyNumberFormat="1" applyFont="1" applyFill="1" applyBorder="1" applyAlignment="1">
      <alignment horizontal="right"/>
    </xf>
    <xf numFmtId="5" fontId="52" fillId="8" borderId="34" xfId="1" applyNumberFormat="1" applyFont="1" applyFill="1" applyBorder="1" applyAlignment="1">
      <alignment horizontal="right"/>
    </xf>
    <xf numFmtId="7" fontId="52" fillId="8" borderId="34" xfId="0" applyNumberFormat="1" applyFont="1" applyFill="1" applyBorder="1" applyAlignment="1">
      <alignment horizontal="right"/>
    </xf>
    <xf numFmtId="7" fontId="52" fillId="8" borderId="34" xfId="0" applyNumberFormat="1" applyFont="1" applyFill="1" applyBorder="1" applyAlignment="1">
      <alignment horizontal="right" wrapText="1"/>
    </xf>
    <xf numFmtId="165" fontId="52" fillId="31" borderId="34" xfId="0" applyNumberFormat="1" applyFont="1" applyFill="1" applyBorder="1" applyAlignment="1">
      <alignment horizontal="right" vertical="center"/>
    </xf>
    <xf numFmtId="43" fontId="31" fillId="8" borderId="0" xfId="0" applyNumberFormat="1" applyFont="1" applyFill="1"/>
    <xf numFmtId="166" fontId="53" fillId="31" borderId="34" xfId="2" applyNumberFormat="1" applyFont="1" applyFill="1" applyBorder="1" applyAlignment="1">
      <alignment horizontal="right" vertical="center"/>
    </xf>
    <xf numFmtId="9" fontId="53" fillId="31" borderId="34" xfId="2" applyNumberFormat="1" applyFont="1" applyFill="1" applyBorder="1" applyAlignment="1">
      <alignment horizontal="right" vertical="center"/>
    </xf>
    <xf numFmtId="165" fontId="52" fillId="8" borderId="34" xfId="0" applyNumberFormat="1" applyFont="1" applyFill="1" applyBorder="1" applyAlignment="1">
      <alignment horizontal="right"/>
    </xf>
    <xf numFmtId="165" fontId="52" fillId="8" borderId="0" xfId="0" applyNumberFormat="1" applyFont="1" applyFill="1" applyBorder="1" applyAlignment="1">
      <alignment horizontal="right" vertical="center"/>
    </xf>
    <xf numFmtId="43" fontId="52" fillId="8" borderId="34" xfId="45" applyNumberFormat="1" applyFont="1" applyFill="1" applyBorder="1"/>
    <xf numFmtId="168" fontId="31" fillId="8" borderId="34" xfId="1" applyNumberFormat="1" applyFont="1" applyFill="1" applyBorder="1" applyAlignment="1">
      <alignment horizontal="right"/>
    </xf>
    <xf numFmtId="5" fontId="52" fillId="8" borderId="34" xfId="0" applyNumberFormat="1" applyFont="1" applyFill="1" applyBorder="1" applyAlignment="1">
      <alignment horizontal="right"/>
    </xf>
    <xf numFmtId="5" fontId="52" fillId="8" borderId="34" xfId="0" applyNumberFormat="1" applyFont="1" applyFill="1" applyBorder="1" applyAlignment="1">
      <alignment horizontal="right" wrapText="1"/>
    </xf>
    <xf numFmtId="168" fontId="52" fillId="8" borderId="0" xfId="1" applyNumberFormat="1" applyFont="1" applyFill="1" applyBorder="1" applyAlignment="1">
      <alignment horizontal="right" vertical="center"/>
    </xf>
    <xf numFmtId="168" fontId="40" fillId="19" borderId="34" xfId="1" applyNumberFormat="1" applyFont="1" applyFill="1" applyBorder="1" applyAlignment="1">
      <alignment horizontal="right"/>
    </xf>
    <xf numFmtId="5" fontId="53" fillId="19" borderId="34" xfId="1" applyNumberFormat="1" applyFont="1" applyFill="1" applyBorder="1" applyAlignment="1">
      <alignment horizontal="right"/>
    </xf>
    <xf numFmtId="5" fontId="53" fillId="19" borderId="34" xfId="1" applyNumberFormat="1" applyFont="1" applyFill="1" applyBorder="1" applyAlignment="1">
      <alignment horizontal="right" wrapText="1"/>
    </xf>
    <xf numFmtId="165" fontId="53" fillId="19" borderId="34" xfId="2" applyNumberFormat="1" applyFont="1" applyFill="1" applyBorder="1" applyAlignment="1">
      <alignment horizontal="right" vertical="center"/>
    </xf>
    <xf numFmtId="9" fontId="53" fillId="19" borderId="34" xfId="2" applyNumberFormat="1" applyFont="1" applyFill="1" applyBorder="1" applyAlignment="1">
      <alignment horizontal="right" vertical="center"/>
    </xf>
    <xf numFmtId="165" fontId="40" fillId="19" borderId="34" xfId="1" applyNumberFormat="1" applyFont="1" applyFill="1" applyBorder="1" applyAlignment="1">
      <alignment horizontal="right"/>
    </xf>
    <xf numFmtId="168" fontId="31" fillId="8" borderId="34" xfId="1" applyNumberFormat="1" applyFont="1" applyFill="1" applyBorder="1"/>
    <xf numFmtId="5" fontId="31" fillId="8" borderId="34" xfId="1" applyNumberFormat="1" applyFont="1" applyFill="1" applyBorder="1"/>
    <xf numFmtId="5" fontId="31" fillId="8" borderId="34" xfId="1" applyNumberFormat="1" applyFont="1" applyFill="1" applyBorder="1" applyAlignment="1">
      <alignment wrapText="1"/>
    </xf>
    <xf numFmtId="9" fontId="31" fillId="8" borderId="0" xfId="0" applyNumberFormat="1" applyFont="1" applyFill="1"/>
    <xf numFmtId="165" fontId="31" fillId="8" borderId="0" xfId="0" applyNumberFormat="1" applyFont="1" applyFill="1"/>
    <xf numFmtId="168" fontId="31" fillId="8" borderId="37" xfId="1" applyNumberFormat="1" applyFont="1" applyFill="1" applyBorder="1" applyAlignment="1">
      <alignment horizontal="right"/>
    </xf>
    <xf numFmtId="0" fontId="52" fillId="8" borderId="34" xfId="0" applyFont="1" applyFill="1" applyBorder="1" applyAlignment="1">
      <alignment horizontal="right"/>
    </xf>
    <xf numFmtId="0" fontId="52" fillId="8" borderId="34" xfId="0" applyFont="1" applyFill="1" applyBorder="1" applyAlignment="1">
      <alignment horizontal="right" wrapText="1"/>
    </xf>
    <xf numFmtId="0" fontId="53" fillId="19" borderId="34" xfId="0" applyFont="1" applyFill="1" applyBorder="1"/>
    <xf numFmtId="43" fontId="31" fillId="8" borderId="0" xfId="1" applyFont="1" applyFill="1" applyAlignment="1">
      <alignment horizontal="right"/>
    </xf>
    <xf numFmtId="168" fontId="53" fillId="19" borderId="34" xfId="1" applyNumberFormat="1" applyFont="1" applyFill="1" applyBorder="1" applyAlignment="1">
      <alignment horizontal="right"/>
    </xf>
    <xf numFmtId="43" fontId="53" fillId="19" borderId="34" xfId="0" applyNumberFormat="1" applyFont="1" applyFill="1" applyBorder="1" applyAlignment="1">
      <alignment horizontal="right"/>
    </xf>
    <xf numFmtId="43" fontId="53" fillId="19" borderId="34" xfId="0" applyNumberFormat="1" applyFont="1" applyFill="1" applyBorder="1" applyAlignment="1">
      <alignment horizontal="right" wrapText="1"/>
    </xf>
    <xf numFmtId="166" fontId="53" fillId="19" borderId="34" xfId="0" applyNumberFormat="1" applyFont="1" applyFill="1" applyBorder="1" applyAlignment="1">
      <alignment horizontal="right" vertical="center"/>
    </xf>
    <xf numFmtId="9" fontId="53" fillId="19" borderId="34" xfId="2" applyFont="1" applyFill="1" applyBorder="1" applyAlignment="1">
      <alignment horizontal="right"/>
    </xf>
    <xf numFmtId="165" fontId="53" fillId="19" borderId="34" xfId="0" applyNumberFormat="1" applyFont="1" applyFill="1" applyBorder="1" applyAlignment="1">
      <alignment horizontal="right"/>
    </xf>
    <xf numFmtId="0" fontId="53" fillId="31" borderId="34" xfId="0" applyFont="1" applyFill="1" applyBorder="1" applyAlignment="1">
      <alignment horizontal="right"/>
    </xf>
    <xf numFmtId="168" fontId="53" fillId="31" borderId="34" xfId="1" applyNumberFormat="1" applyFont="1" applyFill="1" applyBorder="1" applyAlignment="1">
      <alignment horizontal="right"/>
    </xf>
    <xf numFmtId="168" fontId="31" fillId="31" borderId="34" xfId="1" applyNumberFormat="1" applyFont="1" applyFill="1" applyBorder="1" applyAlignment="1">
      <alignment horizontal="right"/>
    </xf>
    <xf numFmtId="5" fontId="53" fillId="31" borderId="34" xfId="1" applyNumberFormat="1" applyFont="1" applyFill="1" applyBorder="1" applyAlignment="1">
      <alignment horizontal="right"/>
    </xf>
    <xf numFmtId="43" fontId="53" fillId="31" borderId="34" xfId="0" applyNumberFormat="1" applyFont="1" applyFill="1" applyBorder="1" applyAlignment="1">
      <alignment horizontal="right"/>
    </xf>
    <xf numFmtId="43" fontId="53" fillId="31" borderId="34" xfId="0" applyNumberFormat="1" applyFont="1" applyFill="1" applyBorder="1" applyAlignment="1">
      <alignment horizontal="right" wrapText="1"/>
    </xf>
    <xf numFmtId="165" fontId="53" fillId="8" borderId="0" xfId="0" applyNumberFormat="1" applyFont="1" applyFill="1" applyBorder="1" applyAlignment="1">
      <alignment horizontal="right" vertical="center"/>
    </xf>
    <xf numFmtId="166" fontId="53" fillId="8" borderId="0" xfId="0" applyNumberFormat="1" applyFont="1" applyFill="1" applyBorder="1" applyAlignment="1">
      <alignment horizontal="right" vertical="center"/>
    </xf>
    <xf numFmtId="165" fontId="53" fillId="8" borderId="0" xfId="2" applyNumberFormat="1" applyFont="1" applyFill="1" applyBorder="1" applyAlignment="1">
      <alignment horizontal="right" vertical="center"/>
    </xf>
    <xf numFmtId="9" fontId="53" fillId="8" borderId="0" xfId="2" applyNumberFormat="1" applyFont="1" applyFill="1" applyBorder="1" applyAlignment="1">
      <alignment horizontal="right" vertical="center"/>
    </xf>
    <xf numFmtId="9" fontId="53" fillId="8" borderId="0" xfId="2" applyFont="1" applyFill="1" applyBorder="1" applyAlignment="1">
      <alignment horizontal="right"/>
    </xf>
    <xf numFmtId="43" fontId="31" fillId="8" borderId="0" xfId="1" applyFont="1" applyFill="1"/>
    <xf numFmtId="0" fontId="54" fillId="8" borderId="0" xfId="0" applyFont="1" applyFill="1"/>
    <xf numFmtId="7" fontId="52" fillId="8" borderId="34" xfId="1" applyNumberFormat="1" applyFont="1" applyFill="1" applyBorder="1" applyAlignment="1">
      <alignment horizontal="right"/>
    </xf>
    <xf numFmtId="43" fontId="52" fillId="8" borderId="34" xfId="1" applyNumberFormat="1" applyFont="1" applyFill="1" applyBorder="1" applyAlignment="1">
      <alignment horizontal="right" wrapText="1"/>
    </xf>
    <xf numFmtId="0" fontId="40" fillId="31" borderId="34" xfId="0" applyFont="1" applyFill="1" applyBorder="1" applyAlignment="1">
      <alignment horizontal="right"/>
    </xf>
    <xf numFmtId="168" fontId="31" fillId="31" borderId="0" xfId="1" applyNumberFormat="1" applyFont="1" applyFill="1" applyAlignment="1">
      <alignment horizontal="right"/>
    </xf>
    <xf numFmtId="7" fontId="52" fillId="31" borderId="34" xfId="1" applyNumberFormat="1" applyFont="1" applyFill="1" applyBorder="1" applyAlignment="1">
      <alignment horizontal="right"/>
    </xf>
    <xf numFmtId="43" fontId="52" fillId="31" borderId="34" xfId="1" applyNumberFormat="1" applyFont="1" applyFill="1" applyBorder="1" applyAlignment="1">
      <alignment horizontal="right"/>
    </xf>
    <xf numFmtId="43" fontId="52" fillId="31" borderId="34" xfId="1" applyNumberFormat="1" applyFont="1" applyFill="1" applyBorder="1" applyAlignment="1">
      <alignment horizontal="right" wrapText="1"/>
    </xf>
    <xf numFmtId="0" fontId="53" fillId="19" borderId="34" xfId="0" applyFont="1" applyFill="1" applyBorder="1" applyAlignment="1">
      <alignment horizontal="left"/>
    </xf>
    <xf numFmtId="168" fontId="53" fillId="19" borderId="34" xfId="1" applyNumberFormat="1" applyFont="1" applyFill="1" applyBorder="1" applyAlignment="1">
      <alignment horizontal="right" wrapText="1"/>
    </xf>
    <xf numFmtId="165" fontId="53" fillId="19" borderId="38" xfId="0" applyNumberFormat="1" applyFont="1" applyFill="1" applyBorder="1" applyAlignment="1">
      <alignment horizontal="right" vertical="center"/>
    </xf>
    <xf numFmtId="165" fontId="55" fillId="19" borderId="38" xfId="2" applyNumberFormat="1" applyFont="1" applyFill="1" applyBorder="1" applyAlignment="1">
      <alignment horizontal="right" vertical="center"/>
    </xf>
    <xf numFmtId="184" fontId="53" fillId="19" borderId="38" xfId="2" applyNumberFormat="1" applyFont="1" applyFill="1" applyBorder="1" applyAlignment="1">
      <alignment horizontal="right" vertical="center"/>
    </xf>
    <xf numFmtId="9" fontId="53" fillId="19" borderId="38" xfId="2" applyNumberFormat="1" applyFont="1" applyFill="1" applyBorder="1" applyAlignment="1">
      <alignment horizontal="right" vertical="center"/>
    </xf>
    <xf numFmtId="9" fontId="53" fillId="19" borderId="38" xfId="2" applyFont="1" applyFill="1" applyBorder="1" applyAlignment="1">
      <alignment horizontal="right"/>
    </xf>
    <xf numFmtId="43" fontId="31" fillId="0" borderId="0" xfId="1" applyFont="1" applyFill="1" applyAlignment="1">
      <alignment horizontal="right"/>
    </xf>
    <xf numFmtId="168" fontId="52" fillId="31" borderId="34" xfId="1" applyNumberFormat="1" applyFont="1" applyFill="1" applyBorder="1" applyAlignment="1">
      <alignment horizontal="right"/>
    </xf>
    <xf numFmtId="165" fontId="53" fillId="31" borderId="34" xfId="0" applyNumberFormat="1" applyFont="1" applyFill="1" applyBorder="1" applyAlignment="1">
      <alignment horizontal="right" vertical="center"/>
    </xf>
    <xf numFmtId="165" fontId="53" fillId="31" borderId="34" xfId="2" applyNumberFormat="1" applyFont="1" applyFill="1" applyBorder="1" applyAlignment="1">
      <alignment horizontal="right" vertical="center"/>
    </xf>
    <xf numFmtId="184" fontId="53" fillId="31" borderId="34" xfId="2" applyNumberFormat="1" applyFont="1" applyFill="1" applyBorder="1" applyAlignment="1">
      <alignment horizontal="right" vertical="center"/>
    </xf>
    <xf numFmtId="9" fontId="53" fillId="31" borderId="34" xfId="2" applyFont="1" applyFill="1" applyBorder="1" applyAlignment="1">
      <alignment horizontal="right"/>
    </xf>
    <xf numFmtId="165" fontId="53" fillId="0" borderId="0" xfId="0" applyNumberFormat="1" applyFont="1" applyFill="1" applyBorder="1" applyAlignment="1">
      <alignment horizontal="right" vertical="center"/>
    </xf>
    <xf numFmtId="165" fontId="53" fillId="8" borderId="0" xfId="0" applyNumberFormat="1" applyFont="1" applyFill="1"/>
    <xf numFmtId="5" fontId="52" fillId="31" borderId="34" xfId="1" applyNumberFormat="1" applyFont="1" applyFill="1" applyBorder="1" applyAlignment="1">
      <alignment horizontal="right"/>
    </xf>
    <xf numFmtId="168" fontId="52" fillId="0" borderId="34" xfId="1" applyNumberFormat="1" applyFont="1" applyFill="1" applyBorder="1" applyAlignment="1">
      <alignment horizontal="right"/>
    </xf>
    <xf numFmtId="168" fontId="31" fillId="0" borderId="0" xfId="1" applyNumberFormat="1" applyFont="1" applyFill="1" applyAlignment="1">
      <alignment horizontal="right"/>
    </xf>
    <xf numFmtId="8" fontId="52" fillId="0" borderId="34" xfId="0" applyNumberFormat="1" applyFont="1" applyFill="1" applyBorder="1" applyAlignment="1">
      <alignment horizontal="right"/>
    </xf>
    <xf numFmtId="8" fontId="52" fillId="0" borderId="34" xfId="0" applyNumberFormat="1" applyFont="1" applyFill="1" applyBorder="1" applyAlignment="1">
      <alignment horizontal="right" wrapText="1"/>
    </xf>
    <xf numFmtId="168" fontId="31" fillId="0" borderId="0" xfId="1" applyNumberFormat="1" applyFont="1" applyFill="1" applyBorder="1" applyAlignment="1">
      <alignment horizontal="right"/>
    </xf>
    <xf numFmtId="165" fontId="53" fillId="0" borderId="0" xfId="2" applyNumberFormat="1" applyFont="1" applyFill="1" applyBorder="1" applyAlignment="1">
      <alignment horizontal="right" vertical="center"/>
    </xf>
    <xf numFmtId="184" fontId="53" fillId="0" borderId="0" xfId="2" applyNumberFormat="1" applyFont="1" applyFill="1" applyBorder="1" applyAlignment="1">
      <alignment horizontal="right" vertical="center"/>
    </xf>
    <xf numFmtId="9" fontId="53" fillId="0" borderId="0" xfId="2" applyNumberFormat="1" applyFont="1" applyFill="1" applyBorder="1" applyAlignment="1">
      <alignment horizontal="right" vertical="center"/>
    </xf>
    <xf numFmtId="9" fontId="53" fillId="0" borderId="0" xfId="2" applyFont="1" applyFill="1" applyBorder="1" applyAlignment="1">
      <alignment horizontal="right"/>
    </xf>
    <xf numFmtId="43" fontId="53" fillId="0" borderId="34" xfId="0" applyNumberFormat="1" applyFont="1" applyFill="1" applyBorder="1" applyAlignment="1">
      <alignment horizontal="right"/>
    </xf>
    <xf numFmtId="43" fontId="53" fillId="0" borderId="34" xfId="0" applyNumberFormat="1" applyFont="1" applyFill="1" applyBorder="1" applyAlignment="1">
      <alignment horizontal="right" wrapText="1"/>
    </xf>
    <xf numFmtId="165" fontId="53" fillId="0" borderId="40" xfId="0" applyNumberFormat="1" applyFont="1" applyFill="1" applyBorder="1" applyAlignment="1">
      <alignment horizontal="right" vertical="center"/>
    </xf>
    <xf numFmtId="165" fontId="53" fillId="0" borderId="40" xfId="2" applyNumberFormat="1" applyFont="1" applyFill="1" applyBorder="1" applyAlignment="1">
      <alignment horizontal="right" vertical="center"/>
    </xf>
    <xf numFmtId="184" fontId="53" fillId="0" borderId="40" xfId="2" applyNumberFormat="1" applyFont="1" applyFill="1" applyBorder="1" applyAlignment="1">
      <alignment horizontal="right" vertical="center"/>
    </xf>
    <xf numFmtId="9" fontId="53" fillId="0" borderId="40" xfId="2" applyNumberFormat="1" applyFont="1" applyFill="1" applyBorder="1" applyAlignment="1">
      <alignment horizontal="right" vertical="center"/>
    </xf>
    <xf numFmtId="9" fontId="53" fillId="0" borderId="40" xfId="2" applyFont="1" applyFill="1" applyBorder="1" applyAlignment="1">
      <alignment horizontal="right"/>
    </xf>
    <xf numFmtId="165" fontId="53" fillId="19" borderId="39" xfId="0" applyNumberFormat="1" applyFont="1" applyFill="1" applyBorder="1" applyAlignment="1">
      <alignment horizontal="right" vertical="center"/>
    </xf>
    <xf numFmtId="165" fontId="53" fillId="19" borderId="39" xfId="2" applyNumberFormat="1" applyFont="1" applyFill="1" applyBorder="1" applyAlignment="1">
      <alignment horizontal="right" vertical="center"/>
    </xf>
    <xf numFmtId="184" fontId="53" fillId="19" borderId="39" xfId="2" applyNumberFormat="1" applyFont="1" applyFill="1" applyBorder="1" applyAlignment="1">
      <alignment horizontal="right" vertical="center"/>
    </xf>
    <xf numFmtId="9" fontId="53" fillId="19" borderId="39" xfId="2" applyNumberFormat="1" applyFont="1" applyFill="1" applyBorder="1" applyAlignment="1">
      <alignment horizontal="right" vertical="center"/>
    </xf>
    <xf numFmtId="9" fontId="53" fillId="19" borderId="39" xfId="2" applyFont="1" applyFill="1" applyBorder="1" applyAlignment="1">
      <alignment horizontal="right"/>
    </xf>
    <xf numFmtId="184" fontId="53" fillId="19" borderId="34" xfId="2" applyNumberFormat="1" applyFont="1" applyFill="1" applyBorder="1" applyAlignment="1">
      <alignment horizontal="right" vertical="center"/>
    </xf>
    <xf numFmtId="184" fontId="53" fillId="8" borderId="0" xfId="2" applyNumberFormat="1" applyFont="1" applyFill="1" applyBorder="1" applyAlignment="1">
      <alignment horizontal="right" vertical="center"/>
    </xf>
    <xf numFmtId="168" fontId="40" fillId="31" borderId="34" xfId="1" applyNumberFormat="1" applyFont="1" applyFill="1" applyBorder="1" applyAlignment="1">
      <alignment horizontal="right"/>
    </xf>
    <xf numFmtId="9" fontId="32" fillId="30" borderId="34" xfId="2" applyFont="1" applyFill="1" applyBorder="1" applyAlignment="1">
      <alignment horizontal="center"/>
    </xf>
    <xf numFmtId="5" fontId="53" fillId="19" borderId="34" xfId="0" applyNumberFormat="1" applyFont="1" applyFill="1" applyBorder="1" applyAlignment="1">
      <alignment horizontal="right"/>
    </xf>
    <xf numFmtId="5" fontId="53" fillId="19" borderId="34" xfId="0" applyNumberFormat="1" applyFont="1" applyFill="1" applyBorder="1" applyAlignment="1">
      <alignment horizontal="right" wrapText="1"/>
    </xf>
    <xf numFmtId="166" fontId="53" fillId="19" borderId="34" xfId="1" applyNumberFormat="1" applyFont="1" applyFill="1" applyBorder="1" applyAlignment="1">
      <alignment horizontal="right"/>
    </xf>
    <xf numFmtId="43" fontId="53" fillId="19" borderId="34" xfId="1" applyNumberFormat="1" applyFont="1" applyFill="1" applyBorder="1" applyAlignment="1">
      <alignment horizontal="right"/>
    </xf>
    <xf numFmtId="43" fontId="53" fillId="19" borderId="34" xfId="1" applyNumberFormat="1" applyFont="1" applyFill="1" applyBorder="1" applyAlignment="1">
      <alignment horizontal="right" wrapText="1"/>
    </xf>
    <xf numFmtId="166" fontId="53" fillId="31" borderId="34" xfId="1" applyNumberFormat="1" applyFont="1" applyFill="1" applyBorder="1" applyAlignment="1">
      <alignment horizontal="right"/>
    </xf>
    <xf numFmtId="43" fontId="53" fillId="31" borderId="34" xfId="1" applyNumberFormat="1" applyFont="1" applyFill="1" applyBorder="1" applyAlignment="1">
      <alignment horizontal="right"/>
    </xf>
    <xf numFmtId="43" fontId="53" fillId="31" borderId="34" xfId="1" applyNumberFormat="1" applyFont="1" applyFill="1" applyBorder="1" applyAlignment="1">
      <alignment horizontal="right" wrapText="1"/>
    </xf>
    <xf numFmtId="168" fontId="31" fillId="8" borderId="0" xfId="1" applyNumberFormat="1" applyFont="1" applyFill="1" applyBorder="1"/>
    <xf numFmtId="165" fontId="40" fillId="31" borderId="34" xfId="1" applyNumberFormat="1" applyFont="1" applyFill="1" applyBorder="1" applyAlignment="1">
      <alignment horizontal="right"/>
    </xf>
    <xf numFmtId="43" fontId="53" fillId="31" borderId="34" xfId="45" applyNumberFormat="1" applyFont="1" applyFill="1" applyBorder="1"/>
    <xf numFmtId="185" fontId="52" fillId="8" borderId="0" xfId="1" applyNumberFormat="1" applyFont="1" applyFill="1"/>
    <xf numFmtId="168" fontId="52" fillId="8" borderId="0" xfId="1" applyNumberFormat="1" applyFont="1" applyFill="1"/>
    <xf numFmtId="9" fontId="52" fillId="8" borderId="0" xfId="2" applyFont="1" applyFill="1"/>
    <xf numFmtId="9" fontId="52" fillId="8" borderId="0" xfId="0" applyNumberFormat="1" applyFont="1" applyFill="1"/>
    <xf numFmtId="5" fontId="53" fillId="31" borderId="34" xfId="1" applyNumberFormat="1" applyFont="1" applyFill="1" applyBorder="1" applyAlignment="1">
      <alignment horizontal="right" wrapText="1"/>
    </xf>
    <xf numFmtId="0" fontId="56" fillId="8" borderId="0" xfId="0" applyFont="1" applyFill="1" applyAlignment="1">
      <alignment horizontal="left"/>
    </xf>
    <xf numFmtId="43" fontId="52" fillId="8" borderId="0" xfId="1" applyFont="1" applyFill="1" applyAlignment="1">
      <alignment horizontal="left"/>
    </xf>
    <xf numFmtId="3" fontId="52" fillId="8" borderId="0" xfId="0" applyNumberFormat="1" applyFont="1" applyFill="1" applyAlignment="1">
      <alignment horizontal="left"/>
    </xf>
    <xf numFmtId="0" fontId="52" fillId="8" borderId="0" xfId="0" applyFont="1" applyFill="1" applyAlignment="1">
      <alignment wrapText="1"/>
    </xf>
    <xf numFmtId="43" fontId="52" fillId="8" borderId="0" xfId="1" applyFont="1" applyFill="1"/>
    <xf numFmtId="43" fontId="56" fillId="8" borderId="0" xfId="1" applyFont="1" applyFill="1" applyAlignment="1">
      <alignment horizontal="left"/>
    </xf>
    <xf numFmtId="164" fontId="52" fillId="8" borderId="0" xfId="0" applyNumberFormat="1" applyFont="1" applyFill="1" applyAlignment="1">
      <alignment horizontal="left"/>
    </xf>
    <xf numFmtId="43" fontId="31" fillId="8" borderId="0" xfId="1" applyNumberFormat="1" applyFont="1" applyFill="1" applyAlignment="1">
      <alignment horizontal="right"/>
    </xf>
    <xf numFmtId="43" fontId="31" fillId="8" borderId="0" xfId="1" applyNumberFormat="1" applyFont="1" applyFill="1" applyAlignment="1">
      <alignment horizontal="right" wrapText="1"/>
    </xf>
    <xf numFmtId="0" fontId="36" fillId="17" borderId="0" xfId="43" applyFont="1" applyFill="1" applyBorder="1"/>
    <xf numFmtId="186" fontId="31" fillId="0" borderId="0" xfId="0" applyNumberFormat="1" applyFont="1"/>
    <xf numFmtId="183" fontId="31" fillId="0" borderId="0" xfId="0" applyNumberFormat="1" applyFont="1" applyBorder="1"/>
    <xf numFmtId="176" fontId="37" fillId="22" borderId="61" xfId="43" applyNumberFormat="1" applyFont="1" applyFill="1" applyBorder="1" applyAlignment="1">
      <alignment vertical="top" wrapText="1" readingOrder="1"/>
    </xf>
    <xf numFmtId="0" fontId="31" fillId="0" borderId="28" xfId="0" applyFont="1" applyBorder="1"/>
    <xf numFmtId="0" fontId="31" fillId="0" borderId="83" xfId="0" applyFont="1" applyBorder="1"/>
    <xf numFmtId="0" fontId="31" fillId="0" borderId="84" xfId="0" applyFont="1" applyBorder="1"/>
    <xf numFmtId="183" fontId="31" fillId="0" borderId="30" xfId="0" applyNumberFormat="1" applyFont="1" applyBorder="1"/>
    <xf numFmtId="0" fontId="31" fillId="0" borderId="85" xfId="0" applyFont="1" applyBorder="1"/>
    <xf numFmtId="183" fontId="31" fillId="0" borderId="40" xfId="0" applyNumberFormat="1" applyFont="1" applyBorder="1"/>
    <xf numFmtId="0" fontId="31" fillId="0" borderId="86" xfId="0" applyFont="1" applyBorder="1"/>
    <xf numFmtId="0" fontId="31" fillId="0" borderId="0" xfId="0" applyFont="1" applyFill="1"/>
    <xf numFmtId="0" fontId="40" fillId="0" borderId="34" xfId="41" applyFont="1" applyBorder="1" applyAlignment="1">
      <alignment horizontal="left" vertical="center"/>
    </xf>
    <xf numFmtId="5" fontId="40" fillId="0" borderId="34" xfId="41" applyNumberFormat="1" applyFont="1" applyBorder="1"/>
    <xf numFmtId="9" fontId="40" fillId="0" borderId="34" xfId="0" applyNumberFormat="1" applyFont="1" applyBorder="1"/>
    <xf numFmtId="3" fontId="40" fillId="0" borderId="34" xfId="0" applyNumberFormat="1" applyFont="1" applyBorder="1"/>
    <xf numFmtId="0" fontId="40" fillId="0" borderId="34" xfId="0" applyFont="1" applyBorder="1" applyAlignment="1">
      <alignment horizontal="left" vertical="center"/>
    </xf>
    <xf numFmtId="4" fontId="40" fillId="0" borderId="34" xfId="0" applyNumberFormat="1" applyFont="1" applyBorder="1"/>
    <xf numFmtId="0" fontId="31" fillId="0" borderId="30" xfId="0" applyFont="1" applyBorder="1"/>
    <xf numFmtId="0" fontId="31" fillId="0" borderId="29" xfId="0" applyFont="1" applyBorder="1"/>
    <xf numFmtId="4" fontId="52" fillId="8" borderId="0" xfId="0" applyNumberFormat="1" applyFont="1" applyFill="1"/>
    <xf numFmtId="3" fontId="52" fillId="8" borderId="0" xfId="0" applyNumberFormat="1" applyFont="1" applyFill="1"/>
    <xf numFmtId="43" fontId="7" fillId="5" borderId="17" xfId="1" applyNumberFormat="1" applyFont="1" applyFill="1" applyBorder="1" applyAlignment="1">
      <alignment horizontal="left" vertical="center"/>
    </xf>
    <xf numFmtId="9" fontId="31" fillId="0" borderId="0" xfId="0" applyNumberFormat="1" applyFont="1"/>
    <xf numFmtId="164" fontId="5" fillId="3" borderId="33" xfId="1" applyNumberFormat="1" applyFont="1" applyFill="1" applyBorder="1" applyAlignment="1">
      <alignment horizontal="center" vertical="center"/>
    </xf>
    <xf numFmtId="9" fontId="47" fillId="5" borderId="17" xfId="1" applyNumberFormat="1" applyFont="1" applyFill="1" applyBorder="1" applyAlignment="1">
      <alignment vertical="center"/>
    </xf>
    <xf numFmtId="164" fontId="48" fillId="3" borderId="33" xfId="1" applyNumberFormat="1" applyFont="1" applyFill="1" applyBorder="1" applyAlignment="1">
      <alignment horizontal="center" vertical="center" wrapText="1"/>
    </xf>
    <xf numFmtId="164" fontId="5" fillId="3" borderId="33" xfId="1" applyNumberFormat="1" applyFont="1" applyFill="1" applyBorder="1" applyAlignment="1">
      <alignment horizontal="center" vertical="center" wrapText="1"/>
    </xf>
    <xf numFmtId="168" fontId="47" fillId="5" borderId="17" xfId="1" applyNumberFormat="1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center" vertical="center"/>
    </xf>
    <xf numFmtId="0" fontId="3" fillId="13" borderId="18" xfId="0" applyFont="1" applyFill="1" applyBorder="1" applyAlignment="1">
      <alignment horizontal="center" vertical="center"/>
    </xf>
    <xf numFmtId="0" fontId="3" fillId="13" borderId="31" xfId="0" applyFont="1" applyFill="1" applyBorder="1" applyAlignment="1">
      <alignment horizontal="center" vertical="center"/>
    </xf>
    <xf numFmtId="0" fontId="31" fillId="0" borderId="35" xfId="41" applyFont="1" applyBorder="1" applyAlignment="1">
      <alignment horizontal="left" vertical="center"/>
    </xf>
    <xf numFmtId="0" fontId="31" fillId="0" borderId="36" xfId="41" applyFont="1" applyBorder="1" applyAlignment="1">
      <alignment horizontal="left" vertical="center"/>
    </xf>
    <xf numFmtId="0" fontId="31" fillId="0" borderId="37" xfId="41" applyFont="1" applyBorder="1" applyAlignment="1">
      <alignment horizontal="left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/>
    </xf>
    <xf numFmtId="164" fontId="48" fillId="3" borderId="0" xfId="1" applyNumberFormat="1" applyFont="1" applyFill="1" applyBorder="1" applyAlignment="1">
      <alignment horizontal="center" vertical="center" wrapText="1"/>
    </xf>
    <xf numFmtId="164" fontId="48" fillId="3" borderId="7" xfId="1" applyNumberFormat="1" applyFont="1" applyFill="1" applyBorder="1" applyAlignment="1">
      <alignment horizontal="center" vertical="center" wrapText="1"/>
    </xf>
    <xf numFmtId="164" fontId="48" fillId="3" borderId="8" xfId="1" applyNumberFormat="1" applyFont="1" applyFill="1" applyBorder="1" applyAlignment="1">
      <alignment horizontal="center" vertical="center" wrapText="1"/>
    </xf>
    <xf numFmtId="164" fontId="48" fillId="3" borderId="19" xfId="1" applyNumberFormat="1" applyFont="1" applyFill="1" applyBorder="1" applyAlignment="1">
      <alignment horizontal="center" vertical="center" wrapText="1"/>
    </xf>
    <xf numFmtId="164" fontId="48" fillId="3" borderId="6" xfId="1" applyNumberFormat="1" applyFont="1" applyFill="1" applyBorder="1" applyAlignment="1">
      <alignment horizontal="center" vertical="center"/>
    </xf>
    <xf numFmtId="164" fontId="48" fillId="3" borderId="0" xfId="1" applyNumberFormat="1" applyFont="1" applyFill="1" applyBorder="1" applyAlignment="1">
      <alignment horizontal="center" vertical="center"/>
    </xf>
    <xf numFmtId="164" fontId="48" fillId="3" borderId="7" xfId="1" applyNumberFormat="1" applyFont="1" applyFill="1" applyBorder="1" applyAlignment="1">
      <alignment horizontal="center" vertical="center"/>
    </xf>
    <xf numFmtId="164" fontId="48" fillId="3" borderId="20" xfId="1" applyNumberFormat="1" applyFont="1" applyFill="1" applyBorder="1" applyAlignment="1">
      <alignment horizontal="center" vertical="center"/>
    </xf>
    <xf numFmtId="164" fontId="48" fillId="3" borderId="8" xfId="1" applyNumberFormat="1" applyFont="1" applyFill="1" applyBorder="1" applyAlignment="1">
      <alignment horizontal="center" vertical="center"/>
    </xf>
    <xf numFmtId="164" fontId="48" fillId="3" borderId="19" xfId="1" applyNumberFormat="1" applyFont="1" applyFill="1" applyBorder="1" applyAlignment="1">
      <alignment horizontal="center" vertical="center"/>
    </xf>
    <xf numFmtId="0" fontId="48" fillId="3" borderId="6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8" fillId="3" borderId="7" xfId="0" applyFont="1" applyFill="1" applyBorder="1" applyAlignment="1">
      <alignment horizontal="center"/>
    </xf>
    <xf numFmtId="164" fontId="48" fillId="3" borderId="20" xfId="1" applyNumberFormat="1" applyFont="1" applyFill="1" applyBorder="1" applyAlignment="1">
      <alignment horizontal="center" vertical="center" wrapText="1"/>
    </xf>
    <xf numFmtId="164" fontId="48" fillId="3" borderId="26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3" borderId="18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6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27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7" xfId="0" applyNumberFormat="1" applyFont="1" applyFill="1" applyBorder="1" applyAlignment="1" applyProtection="1">
      <alignment horizontal="center" vertical="center" wrapText="1"/>
      <protection locked="0"/>
    </xf>
    <xf numFmtId="165" fontId="53" fillId="6" borderId="38" xfId="0" applyNumberFormat="1" applyFont="1" applyFill="1" applyBorder="1" applyAlignment="1">
      <alignment horizontal="center" vertical="center" wrapText="1"/>
    </xf>
    <xf numFmtId="165" fontId="53" fillId="6" borderId="39" xfId="0" applyNumberFormat="1" applyFont="1" applyFill="1" applyBorder="1" applyAlignment="1">
      <alignment horizontal="center" vertical="center" wrapText="1"/>
    </xf>
    <xf numFmtId="1" fontId="53" fillId="6" borderId="38" xfId="1" applyNumberFormat="1" applyFont="1" applyFill="1" applyBorder="1" applyAlignment="1">
      <alignment horizontal="center" vertical="center" wrapText="1"/>
    </xf>
    <xf numFmtId="1" fontId="53" fillId="6" borderId="39" xfId="1" applyNumberFormat="1" applyFont="1" applyFill="1" applyBorder="1" applyAlignment="1">
      <alignment horizontal="center" vertical="center" wrapText="1"/>
    </xf>
    <xf numFmtId="43" fontId="53" fillId="6" borderId="38" xfId="1" applyNumberFormat="1" applyFont="1" applyFill="1" applyBorder="1" applyAlignment="1">
      <alignment horizontal="center" vertical="center" wrapText="1"/>
    </xf>
    <xf numFmtId="43" fontId="53" fillId="6" borderId="39" xfId="1" applyNumberFormat="1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/>
    </xf>
    <xf numFmtId="165" fontId="0" fillId="0" borderId="40" xfId="0" applyNumberFormat="1" applyFont="1" applyBorder="1" applyAlignment="1">
      <alignment horizontal="center"/>
    </xf>
    <xf numFmtId="0" fontId="37" fillId="0" borderId="46" xfId="43" applyNumberFormat="1" applyFont="1" applyFill="1" applyBorder="1" applyAlignment="1">
      <alignment horizontal="left" vertical="top" wrapText="1" readingOrder="1"/>
    </xf>
    <xf numFmtId="0" fontId="36" fillId="0" borderId="45" xfId="43" applyNumberFormat="1" applyFont="1" applyFill="1" applyBorder="1" applyAlignment="1">
      <alignment vertical="top" wrapText="1"/>
    </xf>
    <xf numFmtId="0" fontId="36" fillId="0" borderId="44" xfId="43" applyNumberFormat="1" applyFont="1" applyFill="1" applyBorder="1" applyAlignment="1">
      <alignment vertical="top" wrapText="1"/>
    </xf>
    <xf numFmtId="0" fontId="37" fillId="21" borderId="41" xfId="43" applyNumberFormat="1" applyFont="1" applyFill="1" applyBorder="1" applyAlignment="1">
      <alignment vertical="top" wrapText="1" readingOrder="1"/>
    </xf>
    <xf numFmtId="0" fontId="36" fillId="0" borderId="43" xfId="43" applyNumberFormat="1" applyFont="1" applyFill="1" applyBorder="1" applyAlignment="1">
      <alignment vertical="top" wrapText="1"/>
    </xf>
    <xf numFmtId="0" fontId="36" fillId="0" borderId="42" xfId="43" applyNumberFormat="1" applyFont="1" applyFill="1" applyBorder="1" applyAlignment="1">
      <alignment vertical="top" wrapText="1"/>
    </xf>
    <xf numFmtId="0" fontId="37" fillId="23" borderId="57" xfId="43" applyNumberFormat="1" applyFont="1" applyFill="1" applyBorder="1" applyAlignment="1">
      <alignment vertical="top" wrapText="1" readingOrder="1"/>
    </xf>
    <xf numFmtId="0" fontId="36" fillId="0" borderId="56" xfId="43" applyNumberFormat="1" applyFont="1" applyFill="1" applyBorder="1" applyAlignment="1">
      <alignment vertical="top" wrapText="1"/>
    </xf>
    <xf numFmtId="0" fontId="37" fillId="22" borderId="50" xfId="43" applyNumberFormat="1" applyFont="1" applyFill="1" applyBorder="1" applyAlignment="1">
      <alignment vertical="top" wrapText="1" readingOrder="1"/>
    </xf>
    <xf numFmtId="0" fontId="36" fillId="0" borderId="49" xfId="43" applyNumberFormat="1" applyFont="1" applyFill="1" applyBorder="1" applyAlignment="1">
      <alignment vertical="top" wrapText="1"/>
    </xf>
    <xf numFmtId="0" fontId="36" fillId="0" borderId="48" xfId="43" applyNumberFormat="1" applyFont="1" applyFill="1" applyBorder="1" applyAlignment="1">
      <alignment vertical="top" wrapText="1"/>
    </xf>
    <xf numFmtId="0" fontId="37" fillId="24" borderId="60" xfId="43" applyNumberFormat="1" applyFont="1" applyFill="1" applyBorder="1" applyAlignment="1">
      <alignment horizontal="left" vertical="top" wrapText="1" readingOrder="1"/>
    </xf>
    <xf numFmtId="0" fontId="36" fillId="0" borderId="59" xfId="43" applyNumberFormat="1" applyFont="1" applyFill="1" applyBorder="1" applyAlignment="1">
      <alignment vertical="top" wrapText="1"/>
    </xf>
    <xf numFmtId="0" fontId="36" fillId="0" borderId="58" xfId="43" applyNumberFormat="1" applyFont="1" applyFill="1" applyBorder="1" applyAlignment="1">
      <alignment vertical="top" wrapText="1"/>
    </xf>
    <xf numFmtId="0" fontId="37" fillId="0" borderId="0" xfId="43" applyNumberFormat="1" applyFont="1" applyFill="1" applyBorder="1" applyAlignment="1">
      <alignment vertical="top" wrapText="1" readingOrder="1"/>
    </xf>
    <xf numFmtId="0" fontId="36" fillId="0" borderId="0" xfId="43" applyFont="1" applyFill="1" applyBorder="1"/>
    <xf numFmtId="0" fontId="37" fillId="0" borderId="57" xfId="43" applyNumberFormat="1" applyFont="1" applyFill="1" applyBorder="1" applyAlignment="1">
      <alignment vertical="top" wrapText="1" readingOrder="1"/>
    </xf>
    <xf numFmtId="0" fontId="37" fillId="0" borderId="62" xfId="43" applyNumberFormat="1" applyFont="1" applyFill="1" applyBorder="1" applyAlignment="1">
      <alignment horizontal="center" vertical="top" wrapText="1" readingOrder="1"/>
    </xf>
    <xf numFmtId="0" fontId="36" fillId="0" borderId="70" xfId="43" applyNumberFormat="1" applyFont="1" applyFill="1" applyBorder="1" applyAlignment="1">
      <alignment vertical="top" wrapText="1"/>
    </xf>
    <xf numFmtId="0" fontId="37" fillId="0" borderId="53" xfId="43" applyNumberFormat="1" applyFont="1" applyFill="1" applyBorder="1" applyAlignment="1">
      <alignment horizontal="right" vertical="top" wrapText="1" readingOrder="1"/>
    </xf>
    <xf numFmtId="0" fontId="36" fillId="0" borderId="68" xfId="43" applyNumberFormat="1" applyFont="1" applyFill="1" applyBorder="1" applyAlignment="1">
      <alignment vertical="top" wrapText="1"/>
    </xf>
    <xf numFmtId="0" fontId="39" fillId="0" borderId="60" xfId="43" applyNumberFormat="1" applyFont="1" applyFill="1" applyBorder="1" applyAlignment="1">
      <alignment vertical="top" wrapText="1" readingOrder="1"/>
    </xf>
    <xf numFmtId="0" fontId="36" fillId="25" borderId="82" xfId="43" applyNumberFormat="1" applyFont="1" applyFill="1" applyBorder="1" applyAlignment="1">
      <alignment vertical="top" wrapText="1"/>
    </xf>
    <xf numFmtId="0" fontId="36" fillId="0" borderId="81" xfId="43" applyNumberFormat="1" applyFont="1" applyFill="1" applyBorder="1" applyAlignment="1">
      <alignment vertical="top" wrapText="1"/>
    </xf>
    <xf numFmtId="0" fontId="36" fillId="0" borderId="80" xfId="43" applyNumberFormat="1" applyFont="1" applyFill="1" applyBorder="1" applyAlignment="1">
      <alignment vertical="top" wrapText="1"/>
    </xf>
    <xf numFmtId="0" fontId="39" fillId="0" borderId="79" xfId="43" applyNumberFormat="1" applyFont="1" applyFill="1" applyBorder="1" applyAlignment="1">
      <alignment vertical="top" wrapText="1" readingOrder="1"/>
    </xf>
    <xf numFmtId="0" fontId="36" fillId="0" borderId="78" xfId="43" applyNumberFormat="1" applyFont="1" applyFill="1" applyBorder="1" applyAlignment="1">
      <alignment vertical="top" wrapText="1"/>
    </xf>
    <xf numFmtId="0" fontId="36" fillId="0" borderId="77" xfId="43" applyNumberFormat="1" applyFont="1" applyFill="1" applyBorder="1" applyAlignment="1">
      <alignment vertical="top" wrapText="1"/>
    </xf>
    <xf numFmtId="0" fontId="39" fillId="0" borderId="60" xfId="43" applyNumberFormat="1" applyFont="1" applyFill="1" applyBorder="1" applyAlignment="1">
      <alignment horizontal="center" vertical="top" wrapText="1" readingOrder="1"/>
    </xf>
    <xf numFmtId="176" fontId="37" fillId="0" borderId="53" xfId="43" applyNumberFormat="1" applyFont="1" applyFill="1" applyBorder="1" applyAlignment="1">
      <alignment horizontal="right" vertical="top" wrapText="1" readingOrder="1"/>
    </xf>
    <xf numFmtId="0" fontId="37" fillId="0" borderId="65" xfId="43" applyNumberFormat="1" applyFont="1" applyFill="1" applyBorder="1" applyAlignment="1">
      <alignment vertical="top" wrapText="1" readingOrder="1"/>
    </xf>
    <xf numFmtId="0" fontId="36" fillId="0" borderId="64" xfId="43" applyNumberFormat="1" applyFont="1" applyFill="1" applyBorder="1" applyAlignment="1">
      <alignment vertical="top" wrapText="1"/>
    </xf>
    <xf numFmtId="0" fontId="36" fillId="0" borderId="63" xfId="43" applyNumberFormat="1" applyFont="1" applyFill="1" applyBorder="1" applyAlignment="1">
      <alignment vertical="top" wrapText="1"/>
    </xf>
  </cellXfs>
  <cellStyles count="46">
    <cellStyle name=" 1" xfId="5"/>
    <cellStyle name=" _x0007_LÓ_x0018_ÄþÍN^NuNVþˆHÁ_x0001__x0018_(n" xfId="4"/>
    <cellStyle name="%_Current Year Actual " xfId="6"/>
    <cellStyle name="20% - Accent1" xfId="42" builtinId="30"/>
    <cellStyle name="20% - Accent3" xfId="44" builtinId="38"/>
    <cellStyle name="20% - Accent5" xfId="45" builtinId="46"/>
    <cellStyle name="Accent1" xfId="3" builtinId="29"/>
    <cellStyle name="Body: normal cell" xfId="37"/>
    <cellStyle name="Calculation 2 2 2_BHP 4Q 2010 Ops Review Senior Managment " xfId="7"/>
    <cellStyle name="Calculation 2 2_BHP 4Q 2010 Ops Review Senior Managment " xfId="8"/>
    <cellStyle name="Check Cell 2 2 2_BHP 4Q 2010 Ops Review Senior Managment " xfId="9"/>
    <cellStyle name="Check Cell 2 2_BHP 4Q 2010 Ops Review Senior Managment " xfId="10"/>
    <cellStyle name="Comma" xfId="1" builtinId="3"/>
    <cellStyle name="Comma 10 6" xfId="31"/>
    <cellStyle name="Comma 6 2 2 11" xfId="32"/>
    <cellStyle name="Footnotes: top row" xfId="40"/>
    <cellStyle name="Header: bottom row" xfId="39"/>
    <cellStyle name="Heading 1 2 2_BHP 4Q 2010 Ops Review Senior Managment " xfId="11"/>
    <cellStyle name="Heading 2 2 2_BHP 4Q 2010 Ops Review Senior Managment " xfId="12"/>
    <cellStyle name="Heading 3 2 2_BHP 4Q 2010 Ops Review Senior Managment " xfId="13"/>
    <cellStyle name="Hyperlink" xfId="25" builtinId="8"/>
    <cellStyle name="Input 2 2 2_BHP 4Q 2010 Ops Review Senior Managment " xfId="14"/>
    <cellStyle name="Input 2 2_BHP 4Q 2010 Ops Review Senior Managment " xfId="15"/>
    <cellStyle name="Linked Cell 2 2_BHP 4Q 2010 Ops Review Senior Managment " xfId="16"/>
    <cellStyle name="Normal" xfId="0" builtinId="0"/>
    <cellStyle name="Normal 13 2 2" xfId="35"/>
    <cellStyle name="Normal 163" xfId="34"/>
    <cellStyle name="Normal 2" xfId="41"/>
    <cellStyle name="Normal 2 2_Add'l Measures Algorithm" xfId="33"/>
    <cellStyle name="Normal 2 254" xfId="30"/>
    <cellStyle name="Normal 2 3" xfId="28"/>
    <cellStyle name="Normal 3" xfId="43"/>
    <cellStyle name="Normal 3 3 12" xfId="29"/>
    <cellStyle name="Normal 9 11 2" xfId="27"/>
    <cellStyle name="Note 2 2 2_BHP 4Q 2010 Ops Review Senior Managment " xfId="17"/>
    <cellStyle name="Note 2 2_BHP 4Q 2010 Ops Review Senior Managment " xfId="18"/>
    <cellStyle name="Note 2_BHP 4Q 2010 Ops Review Senior Managment " xfId="19"/>
    <cellStyle name="Note 3_BHP 4Q 2010 Ops Review Senior Managment " xfId="20"/>
    <cellStyle name="Note 4_BHP 4Q 2010 Ops Review Senior Managment " xfId="21"/>
    <cellStyle name="Output 2 2 2_BHP 4Q 2010 Ops Review Senior Managment " xfId="22"/>
    <cellStyle name="Output 2 2_BHP 4Q 2010 Ops Review Senior Managment " xfId="23"/>
    <cellStyle name="Parent row" xfId="38"/>
    <cellStyle name="Percent" xfId="2" builtinId="5"/>
    <cellStyle name="Table title" xfId="36"/>
    <cellStyle name="Total 2 2_BHP 4Q 2010 Ops Review Senior Managment " xfId="24"/>
    <cellStyle name="Warning Text" xfId="26" builtinId="11"/>
  </cellStyles>
  <dxfs count="68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5" formatCode="#,##0.0"/>
    </dxf>
    <dxf>
      <numFmt numFmtId="175" formatCode="#,##0.0"/>
    </dxf>
    <dxf>
      <numFmt numFmtId="175" formatCode="#,##0.0"/>
    </dxf>
    <dxf>
      <numFmt numFmtId="175" formatCode="#,##0.0"/>
    </dxf>
    <dxf>
      <numFmt numFmtId="175" formatCode="#,##0.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5" formatCode="#,##0.0"/>
    </dxf>
    <dxf>
      <numFmt numFmtId="175" formatCode="#,##0.0"/>
    </dxf>
    <dxf>
      <numFmt numFmtId="175" formatCode="#,##0.0"/>
    </dxf>
    <dxf>
      <numFmt numFmtId="175" formatCode="#,##0.0"/>
    </dxf>
    <dxf>
      <numFmt numFmtId="175" formatCode="#,##0.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5" formatCode="#,##0.0"/>
    </dxf>
    <dxf>
      <numFmt numFmtId="175" formatCode="#,##0.0"/>
    </dxf>
    <dxf>
      <numFmt numFmtId="175" formatCode="#,##0.0"/>
    </dxf>
    <dxf>
      <numFmt numFmtId="175" formatCode="#,##0.0"/>
    </dxf>
    <dxf>
      <numFmt numFmtId="175" formatCode="#,##0.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1A1D5D"/>
      <color rgb="FF000000"/>
      <color rgb="FFFFD966"/>
      <color rgb="FF8EB4E3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838200</xdr:colOff>
          <xdr:row>1</xdr:row>
          <xdr:rowOff>99060</xdr:rowOff>
        </xdr:from>
        <xdr:to>
          <xdr:col>4</xdr:col>
          <xdr:colOff>1112520</xdr:colOff>
          <xdr:row>4</xdr:row>
          <xdr:rowOff>121920</xdr:rowOff>
        </xdr:to>
        <xdr:sp macro="" textlink="">
          <xdr:nvSpPr>
            <xdr:cNvPr id="11270" name="CheckBox1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114300</xdr:colOff>
      <xdr:row>2</xdr:row>
      <xdr:rowOff>3429000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365760"/>
          <a:ext cx="3162300" cy="1828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Projects\BHCRates\PSCModels\2005.04.14\Clean\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BHP\2005\Rate%20Case\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Documents%20and%20Settings\ckilpatr\My%20Documents\Rate%20Class%20Info\COS%20Exercise%206%20with%20answe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Black%20Hills\Black%20Hills%20So%20Dakota\2016-17%20Status%20Report\BHP%20SD%20PY2-3%20Plan%20Adjus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folio Inputs"/>
      <sheetName val="2016"/>
      <sheetName val="Sources"/>
      <sheetName val="Measure Calculations"/>
      <sheetName val="General Inpu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illy, Joseph" refreshedDate="43007.626306597223" createdVersion="6" refreshedVersion="6" minRefreshableVersion="3" recordCount="663">
  <cacheSource type="worksheet">
    <worksheetSource ref="A4:BS667" sheet="APP DATA"/>
  </cacheSource>
  <cacheFields count="71">
    <cacheField name="Index" numFmtId="0">
      <sharedItems containsSemiMixedTypes="0" containsString="0" containsNumber="1" containsInteger="1" minValue="1" maxValue="663"/>
    </cacheField>
    <cacheField name="VisionDSM Program - Type" numFmtId="0">
      <sharedItems/>
    </cacheField>
    <cacheField name="Filter" numFmtId="0">
      <sharedItems/>
    </cacheField>
    <cacheField name="Vision key" numFmtId="0">
      <sharedItems/>
    </cacheField>
    <cacheField name="BenCost Key" numFmtId="0">
      <sharedItems containsMixedTypes="1" containsNumber="1" containsInteger="1" minValue="0" maxValue="0"/>
    </cacheField>
    <cacheField name="BenCost Sector" numFmtId="0">
      <sharedItems count="3">
        <e v="#N/A"/>
        <s v="Residential"/>
        <s v="C&amp;I"/>
      </sharedItems>
    </cacheField>
    <cacheField name="BenCost Program" numFmtId="0">
      <sharedItems count="10">
        <e v="#N/A"/>
        <s v="Appliance Recycling"/>
        <s v="C&amp;I Custom"/>
        <s v="C&amp;I Prescriptive"/>
        <s v="High Efficiency HVAC"/>
        <s v="Residential Lighting"/>
        <s v="Residential Audit"/>
        <s v="School-Based Education"/>
        <s v="Weatherization"/>
        <s v="Whole House Efficiency"/>
      </sharedItems>
    </cacheField>
    <cacheField name="BenCost End Use" numFmtId="0">
      <sharedItems count="6">
        <e v="#N/A"/>
        <s v="Appliance Recycling"/>
        <s v="Various"/>
        <s v="Lighting"/>
        <s v="HVAC"/>
        <s v="Water Heating"/>
      </sharedItems>
    </cacheField>
    <cacheField name="BenCost Measure" numFmtId="0">
      <sharedItems count="25">
        <e v="#N/A"/>
        <s v="Refrigerator Recycle"/>
        <s v="Freezer Recycle"/>
        <s v="C&amp;I Custom"/>
        <s v="LED Linear Replacement Lamp (≤4ft)"/>
        <s v="Energy Star LED Lamp (5-10W)"/>
        <s v="LED Parking Garage/Canopy (≥75W)"/>
        <s v="Energy Star LED Lamp (≤5W)"/>
        <s v="Energy Star LED Lamp (&gt;10W)"/>
        <s v="LED Linear Replacement Lamp (5-8ft)"/>
        <s v="LED Parking Garage/Canopy (30-75W)"/>
        <s v="LED Parking Garage/Canopy (&lt;30W)"/>
        <s v="Fixture Mount Occupancy"/>
        <s v="Heat Pump SEER 15"/>
        <s v="Ductless Mini-Split HP SEER ≥19"/>
        <s v="Heat Pump Water Heater"/>
        <s v="Electric Storage Water Heater EF 0.95"/>
        <s v="Electric Storage Water Heater EF &gt;0.95"/>
        <s v="Early Retirement Heat Pump SEER 15"/>
        <s v="LED"/>
        <s v="ENERGY STAR Fixture"/>
        <s v="Residential Audit"/>
        <s v="EE Kit/Education Materials"/>
        <s v="Residential Kit"/>
        <s v="Measures"/>
      </sharedItems>
    </cacheField>
    <cacheField name="kWh Standard" numFmtId="4">
      <sharedItems containsMixedTypes="1" containsNumber="1" minValue="-2.8558806667419399" maxValue="5.3328485020785337"/>
    </cacheField>
    <cacheField name="Incentives Standard" numFmtId="4">
      <sharedItems containsMixedTypes="1" containsNumber="1" minValue="-3.5194662051064753" maxValue="6.1912297250264912"/>
    </cacheField>
    <cacheField name="Outlier Savings" numFmtId="4">
      <sharedItems/>
    </cacheField>
    <cacheField name="Outlier Incentiveas" numFmtId="4">
      <sharedItems/>
    </cacheField>
    <cacheField name="VisionDSM Program - Type2" numFmtId="0">
      <sharedItems/>
    </cacheField>
    <cacheField name="Project Number" numFmtId="0">
      <sharedItems containsMixedTypes="1" containsNumber="1" containsInteger="1" minValue="6" maxValue="128"/>
    </cacheField>
    <cacheField name="Unique Project" numFmtId="0">
      <sharedItems containsSemiMixedTypes="0" containsString="0" containsNumber="1" containsInteger="1" minValue="0" maxValue="1"/>
    </cacheField>
    <cacheField name="RefID" numFmtId="0">
      <sharedItems/>
    </cacheField>
    <cacheField name="Account Number" numFmtId="0">
      <sharedItems containsBlank="1"/>
    </cacheField>
    <cacheField name="First Name" numFmtId="0">
      <sharedItems containsBlank="1"/>
    </cacheField>
    <cacheField name="Last Name" numFmtId="0">
      <sharedItems/>
    </cacheField>
    <cacheField name="Company" numFmtId="0">
      <sharedItems containsBlank="1"/>
    </cacheField>
    <cacheField name="Address" numFmtId="0">
      <sharedItems/>
    </cacheField>
    <cacheField name="City" numFmtId="0">
      <sharedItems/>
    </cacheField>
    <cacheField name="State" numFmtId="0">
      <sharedItems/>
    </cacheField>
    <cacheField name="Zip" numFmtId="0">
      <sharedItems/>
    </cacheField>
    <cacheField name="Contractor Company" numFmtId="0">
      <sharedItems containsBlank="1" count="60">
        <s v=""/>
        <s v="K and D Appliance"/>
        <s v="FLINT ELECTRIC INC"/>
        <s v="BHE"/>
        <s v="GENPRO ENERGY SOLUTIONS, LLC"/>
        <s v="CRESCENT ELECTRIC SUPPLY"/>
        <s v="EAGLE ENTERPRISES LLC"/>
        <s v="WIRE R US INC"/>
        <s v="FACILITY SOLUTIONS GROUP INC"/>
        <s v="CONRADS BIG C ELECTRIC"/>
        <s v="DAKOTA SUPPLY GROUP"/>
        <s v="ROYAL ELECTRIC"/>
        <s v="DAKOTA ELECTRIC"/>
        <s v="NORTHERN HILLS ELECTRIC"/>
        <s v="BLACK HILLS LIGHTING"/>
        <s v="PHAZE ELECTRIC"/>
        <s v="APEX ELECTRIC"/>
        <s v="CLARKE ELECTRIC"/>
        <s v="MUTH ELECTRIC"/>
        <s v="ADVANCED ELECTRICAL INC"/>
        <s v="MICKS ELECTRIC"/>
        <s v="TITAN LED INC"/>
        <s v="BUCKS ELECTRIC"/>
        <s v="FREEMANS ELECTRIC SERVICE INC"/>
        <s v="HARTL ELECTRIC"/>
        <s v="MENARDS"/>
        <s v="STUDT ELECTRIC INC"/>
        <s v="GRAYBAR"/>
        <s v="BROOKSIDE ELECTRIC SERVICE"/>
        <s v="ROI ENERGY INVESTMENTS LLC"/>
        <s v="IDEAL ENERGY"/>
        <s v="IRON MOUNTAIN ELECTRIC"/>
        <s v="KILOWATT ELECTRIC INC"/>
        <s v="SABO ELECTRIC INC"/>
        <s v="MUELLENBERG ELECTRIC"/>
        <s v="LIGHTING MAINTENANCE"/>
        <s v="RATH ELECTRIC"/>
        <s v="ACTION MECHANICAL"/>
        <s v="NELSONS OIL and GAS"/>
        <s v="LOWES"/>
        <s v="TESSIERS INC"/>
        <s v="MIDWESTERN MECHANICAL INC"/>
        <s v="JDS EQUIPMENT SVC LLC"/>
        <s v="ACE HARDWARE"/>
        <s v="FREEMANS ELECTRIC SERVICE"/>
        <s v="ONE HOUR HEATING AND AIRCONDITIONING"/>
        <s v="PRECISION MECHANICAL"/>
        <s v="D AND R SERVICE INC"/>
        <s v="WOLFFS PLUMBING and HTG"/>
        <s v="ALL SEASONS HEATING AND COOLING"/>
        <s v="SPEARFISH ELECTRIC AND HEATING"/>
        <s v="VIKING MECHANICAL"/>
        <s v="STREET HEATING and SHEET METAL"/>
        <s v="LOWES - Rapid City"/>
        <s v="HOME DEPOT"/>
        <s v="AMAZON.COM"/>
        <s v="Batteries Plus - Rapid City"/>
        <s v="HARDWARE HANK OF RAPID CITY"/>
        <m/>
        <s v="BES LIGHTING"/>
      </sharedItems>
    </cacheField>
    <cacheField name="Contractor Address" numFmtId="0">
      <sharedItems containsBlank="1"/>
    </cacheField>
    <cacheField name="Contractor City" numFmtId="0">
      <sharedItems containsBlank="1"/>
    </cacheField>
    <cacheField name="Contractor State" numFmtId="0">
      <sharedItems containsBlank="1"/>
    </cacheField>
    <cacheField name="Contractor Zip" numFmtId="0">
      <sharedItems containsBlank="1"/>
    </cacheField>
    <cacheField name="Contractor Phone" numFmtId="0">
      <sharedItems containsBlank="1"/>
    </cacheField>
    <cacheField name="Contractor eMail" numFmtId="0">
      <sharedItems containsBlank="1"/>
    </cacheField>
    <cacheField name="Budget Line Path" numFmtId="0">
      <sharedItems/>
    </cacheField>
    <cacheField name="Equipment Name" numFmtId="0">
      <sharedItems/>
    </cacheField>
    <cacheField name="Building Type" numFmtId="0">
      <sharedItems containsBlank="1"/>
    </cacheField>
    <cacheField name="Type of Facility" numFmtId="0">
      <sharedItems containsBlank="1"/>
    </cacheField>
    <cacheField name="Space Heating Type" numFmtId="0">
      <sharedItems containsBlank="1"/>
    </cacheField>
    <cacheField name="Water Heating Fuel Type" numFmtId="0">
      <sharedItems containsBlank="1"/>
    </cacheField>
    <cacheField name="AFUE" numFmtId="0">
      <sharedItems containsBlank="1"/>
    </cacheField>
    <cacheField name="Annual Gallons Used" numFmtId="0">
      <sharedItems containsBlank="1"/>
    </cacheField>
    <cacheField name="BTUH" numFmtId="0">
      <sharedItems containsBlank="1"/>
    </cacheField>
    <cacheField name="BTUH Input" numFmtId="0">
      <sharedItems containsBlank="1"/>
    </cacheField>
    <cacheField name="Capacity" numFmtId="0">
      <sharedItems containsBlank="1"/>
    </cacheField>
    <cacheField name="Capacity Gallons" numFmtId="0">
      <sharedItems containsBlank="1"/>
    </cacheField>
    <cacheField name="EF" numFmtId="0">
      <sharedItems containsBlank="1"/>
    </cacheField>
    <cacheField name="Full Load Hours" numFmtId="0">
      <sharedItems containsBlank="1"/>
    </cacheField>
    <cacheField name="Gallons HR" numFmtId="0">
      <sharedItems containsBlank="1"/>
    </cacheField>
    <cacheField name="Model" numFmtId="0">
      <sharedItems containsBlank="1"/>
    </cacheField>
    <cacheField name="Output Heating Capacity MBTUH" numFmtId="0">
      <sharedItems containsBlank="1"/>
    </cacheField>
    <cacheField name="Quantity" numFmtId="0">
      <sharedItems containsSemiMixedTypes="0" containsString="0" containsNumber="1" containsInteger="1" minValue="1" maxValue="17530"/>
    </cacheField>
    <cacheField name="Total Number of Packs" numFmtId="0">
      <sharedItems containsSemiMixedTypes="0" containsString="0" containsNumber="1" containsInteger="1" minValue="0" maxValue="0"/>
    </cacheField>
    <cacheField name="Total Gross kW" numFmtId="0">
      <sharedItems containsString="0" containsBlank="1" containsNumber="1" minValue="0" maxValue="493.85037"/>
    </cacheField>
    <cacheField name="Total Net kW" numFmtId="0">
      <sharedItems containsNonDate="0" containsString="0" containsBlank="1"/>
    </cacheField>
    <cacheField name="Total Gross kWh" numFmtId="0">
      <sharedItems containsSemiMixedTypes="0" containsString="0" containsNumber="1" minValue="23.192" maxValue="2011742.5374"/>
    </cacheField>
    <cacheField name="Total Net kWh" numFmtId="0">
      <sharedItems containsNonDate="0" containsString="0" containsBlank="1"/>
    </cacheField>
    <cacheField name="Total Gross Dth" numFmtId="0">
      <sharedItems containsNonDate="0" containsString="0" containsBlank="1"/>
    </cacheField>
    <cacheField name="Total Net Dth" numFmtId="0">
      <sharedItems containsNonDate="0" containsString="0" containsBlank="1"/>
    </cacheField>
    <cacheField name="Unit Level Natural Gas Savings MMBTU" numFmtId="0">
      <sharedItems containsNonDate="0" containsString="0" containsBlank="1"/>
    </cacheField>
    <cacheField name="Peak Therm Factor" numFmtId="0">
      <sharedItems containsNonDate="0" containsString="0" containsBlank="1"/>
    </cacheField>
    <cacheField name="Peak Therms" numFmtId="0">
      <sharedItems containsSemiMixedTypes="0" containsString="0" containsNumber="1" containsInteger="1" minValue="0" maxValue="0"/>
    </cacheField>
    <cacheField name="Incentive Amount" numFmtId="0">
      <sharedItems containsSemiMixedTypes="0" containsString="0" containsNumber="1" minValue="0" maxValue="212569.81034"/>
    </cacheField>
    <cacheField name="Program Qualification Date" numFmtId="0">
      <sharedItems containsMixedTypes="1" containsNumber="1" containsInteger="1" minValue="42615" maxValue="42977"/>
    </cacheField>
    <cacheField name="Creation Date" numFmtId="0">
      <sharedItems containsString="0" containsBlank="1" containsNumber="1" minValue="42593.732703391201" maxValue="42983.457309919002"/>
    </cacheField>
    <cacheField name="Application Status" numFmtId="0">
      <sharedItems containsBlank="1" count="2">
        <m/>
        <s v="Application Completed"/>
      </sharedItems>
    </cacheField>
    <cacheField name="Measure RefID" numFmtId="0">
      <sharedItems/>
    </cacheField>
    <cacheField name="kWh/Unit" numFmtId="0">
      <sharedItems containsSemiMixedTypes="0" containsString="0" containsNumber="1" minValue="22.184000000000001" maxValue="337400"/>
    </cacheField>
    <cacheField name="Incentive/Unit" numFmtId="0">
      <sharedItems containsSemiMixedTypes="0" containsString="0" containsNumber="1" minValue="0" maxValue="42260"/>
    </cacheField>
    <cacheField name="Avg kWh" numFmtId="0">
      <sharedItems containsMixedTypes="1" containsNumber="1" minValue="31.912660854402784" maxValue="4727.4153333333334"/>
    </cacheField>
    <cacheField name="SD kWh" numFmtId="0">
      <sharedItems containsMixedTypes="1" containsNumber="1" minValue="0" maxValue="62959.041603410769"/>
    </cacheField>
    <cacheField name="Avg Incentive" numFmtId="0">
      <sharedItems containsMixedTypes="1" containsNumber="1" minValue="0" maxValue="677.77777777777783"/>
    </cacheField>
    <cacheField name="SD Incentive" numFmtId="0">
      <sharedItems containsMixedTypes="1" containsNumber="1" minValue="0" maxValue="6797.67158087672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Reilly, Joseph" refreshedDate="43007.626307638886" createdVersion="6" refreshedVersion="6" minRefreshableVersion="3" recordCount="666">
  <cacheSource type="worksheet">
    <worksheetSource ref="A4:BS670" sheet="APP DATA"/>
  </cacheSource>
  <cacheFields count="71">
    <cacheField name="Index" numFmtId="0">
      <sharedItems containsString="0" containsBlank="1" containsNumber="1" containsInteger="1" minValue="1" maxValue="663"/>
    </cacheField>
    <cacheField name="VisionDSM Program - Type" numFmtId="0">
      <sharedItems containsBlank="1"/>
    </cacheField>
    <cacheField name="Filter" numFmtId="0">
      <sharedItems containsBlank="1"/>
    </cacheField>
    <cacheField name="Vision key" numFmtId="0">
      <sharedItems containsBlank="1"/>
    </cacheField>
    <cacheField name="BenCost Key" numFmtId="0">
      <sharedItems containsBlank="1" containsMixedTypes="1" containsNumber="1" containsInteger="1" minValue="0" maxValue="0"/>
    </cacheField>
    <cacheField name="BenCost Sector" numFmtId="0">
      <sharedItems containsBlank="1" count="4">
        <e v="#N/A"/>
        <s v="Residential"/>
        <s v="C&amp;I"/>
        <m/>
      </sharedItems>
    </cacheField>
    <cacheField name="BenCost Program" numFmtId="0">
      <sharedItems containsBlank="1" count="11">
        <e v="#N/A"/>
        <s v="Appliance Recycling"/>
        <s v="C&amp;I Custom"/>
        <s v="C&amp;I Prescriptive"/>
        <s v="High Efficiency HVAC"/>
        <s v="Residential Lighting"/>
        <s v="Residential Audit"/>
        <s v="School-Based Education"/>
        <s v="Weatherization"/>
        <s v="Whole House Efficiency"/>
        <m/>
      </sharedItems>
    </cacheField>
    <cacheField name="BenCost End Use" numFmtId="0">
      <sharedItems containsBlank="1" count="7">
        <e v="#N/A"/>
        <s v="Appliance Recycling"/>
        <s v="Various"/>
        <s v="Lighting"/>
        <s v="HVAC"/>
        <s v="Water Heating"/>
        <m/>
      </sharedItems>
    </cacheField>
    <cacheField name="BenCost Measure" numFmtId="0">
      <sharedItems containsBlank="1" count="26">
        <e v="#N/A"/>
        <s v="Refrigerator Recycle"/>
        <s v="Freezer Recycle"/>
        <s v="C&amp;I Custom"/>
        <s v="LED Linear Replacement Lamp (≤4ft)"/>
        <s v="Energy Star LED Lamp (5-10W)"/>
        <s v="LED Parking Garage/Canopy (≥75W)"/>
        <s v="Energy Star LED Lamp (≤5W)"/>
        <s v="Energy Star LED Lamp (&gt;10W)"/>
        <s v="LED Linear Replacement Lamp (5-8ft)"/>
        <s v="LED Parking Garage/Canopy (30-75W)"/>
        <s v="LED Parking Garage/Canopy (&lt;30W)"/>
        <s v="Fixture Mount Occupancy"/>
        <s v="Heat Pump SEER 15"/>
        <s v="Ductless Mini-Split HP SEER ≥19"/>
        <s v="Heat Pump Water Heater"/>
        <s v="Electric Storage Water Heater EF 0.95"/>
        <s v="Electric Storage Water Heater EF &gt;0.95"/>
        <s v="Early Retirement Heat Pump SEER 15"/>
        <s v="LED"/>
        <s v="ENERGY STAR Fixture"/>
        <s v="Residential Audit"/>
        <s v="EE Kit/Education Materials"/>
        <s v="Residential Kit"/>
        <s v="Measures"/>
        <m/>
      </sharedItems>
    </cacheField>
    <cacheField name="kWh Standard" numFmtId="4">
      <sharedItems containsBlank="1" containsMixedTypes="1" containsNumber="1" minValue="-2.8558806667419399" maxValue="5.3328485020785337"/>
    </cacheField>
    <cacheField name="Incentives Standard" numFmtId="4">
      <sharedItems containsBlank="1" containsMixedTypes="1" containsNumber="1" minValue="-3.5194662051064753" maxValue="6.1912297250264912"/>
    </cacheField>
    <cacheField name="Outlier Savings" numFmtId="4">
      <sharedItems containsBlank="1"/>
    </cacheField>
    <cacheField name="Outlier Incentiveas" numFmtId="4">
      <sharedItems containsBlank="1"/>
    </cacheField>
    <cacheField name="VisionDSM Program - Type2" numFmtId="0">
      <sharedItems containsBlank="1"/>
    </cacheField>
    <cacheField name="Project Number" numFmtId="0">
      <sharedItems containsBlank="1" containsMixedTypes="1" containsNumber="1" containsInteger="1" minValue="6" maxValue="128"/>
    </cacheField>
    <cacheField name="Unique Project" numFmtId="0">
      <sharedItems containsSemiMixedTypes="0" containsString="0" containsNumber="1" containsInteger="1" minValue="0" maxValue="1"/>
    </cacheField>
    <cacheField name="RefID" numFmtId="0">
      <sharedItems containsBlank="1"/>
    </cacheField>
    <cacheField name="Account Number" numFmtId="0">
      <sharedItems containsBlank="1"/>
    </cacheField>
    <cacheField name="First Name" numFmtId="0">
      <sharedItems containsBlank="1"/>
    </cacheField>
    <cacheField name="Last Name" numFmtId="0">
      <sharedItems containsBlank="1"/>
    </cacheField>
    <cacheField name="Company" numFmtId="0">
      <sharedItems containsBlank="1"/>
    </cacheField>
    <cacheField name="Address" numFmtId="0">
      <sharedItems containsBlank="1"/>
    </cacheField>
    <cacheField name="City" numFmtId="0">
      <sharedItems containsBlank="1"/>
    </cacheField>
    <cacheField name="State" numFmtId="0">
      <sharedItems containsBlank="1"/>
    </cacheField>
    <cacheField name="Zip" numFmtId="0">
      <sharedItems containsBlank="1"/>
    </cacheField>
    <cacheField name="Contractor Company" numFmtId="0">
      <sharedItems containsBlank="1"/>
    </cacheField>
    <cacheField name="Contractor Address" numFmtId="0">
      <sharedItems containsBlank="1"/>
    </cacheField>
    <cacheField name="Contractor City" numFmtId="0">
      <sharedItems containsBlank="1"/>
    </cacheField>
    <cacheField name="Contractor State" numFmtId="0">
      <sharedItems containsBlank="1"/>
    </cacheField>
    <cacheField name="Contractor Zip" numFmtId="0">
      <sharedItems containsBlank="1"/>
    </cacheField>
    <cacheField name="Contractor Phone" numFmtId="0">
      <sharedItems containsBlank="1"/>
    </cacheField>
    <cacheField name="Contractor eMail" numFmtId="0">
      <sharedItems containsBlank="1"/>
    </cacheField>
    <cacheField name="Budget Line Path" numFmtId="0">
      <sharedItems containsBlank="1"/>
    </cacheField>
    <cacheField name="Equipment Name" numFmtId="0">
      <sharedItems containsBlank="1"/>
    </cacheField>
    <cacheField name="Building Type" numFmtId="0">
      <sharedItems containsBlank="1"/>
    </cacheField>
    <cacheField name="Type of Facility" numFmtId="0">
      <sharedItems containsBlank="1"/>
    </cacheField>
    <cacheField name="Space Heating Type" numFmtId="0">
      <sharedItems containsBlank="1"/>
    </cacheField>
    <cacheField name="Water Heating Fuel Type" numFmtId="0">
      <sharedItems containsBlank="1"/>
    </cacheField>
    <cacheField name="AFUE" numFmtId="0">
      <sharedItems containsBlank="1"/>
    </cacheField>
    <cacheField name="Annual Gallons Used" numFmtId="0">
      <sharedItems containsBlank="1"/>
    </cacheField>
    <cacheField name="BTUH" numFmtId="0">
      <sharedItems containsBlank="1"/>
    </cacheField>
    <cacheField name="BTUH Input" numFmtId="0">
      <sharedItems containsBlank="1"/>
    </cacheField>
    <cacheField name="Capacity" numFmtId="0">
      <sharedItems containsBlank="1"/>
    </cacheField>
    <cacheField name="Capacity Gallons" numFmtId="0">
      <sharedItems containsBlank="1"/>
    </cacheField>
    <cacheField name="EF" numFmtId="0">
      <sharedItems containsBlank="1"/>
    </cacheField>
    <cacheField name="Full Load Hours" numFmtId="0">
      <sharedItems containsBlank="1"/>
    </cacheField>
    <cacheField name="Gallons HR" numFmtId="0">
      <sharedItems containsBlank="1"/>
    </cacheField>
    <cacheField name="Model" numFmtId="0">
      <sharedItems containsBlank="1"/>
    </cacheField>
    <cacheField name="Output Heating Capacity MBTUH" numFmtId="0">
      <sharedItems containsBlank="1"/>
    </cacheField>
    <cacheField name="Quantity" numFmtId="0">
      <sharedItems containsString="0" containsBlank="1" containsNumber="1" containsInteger="1" minValue="1" maxValue="17530"/>
    </cacheField>
    <cacheField name="Total Number of Packs" numFmtId="0">
      <sharedItems containsString="0" containsBlank="1" containsNumber="1" containsInteger="1" minValue="0" maxValue="0"/>
    </cacheField>
    <cacheField name="Total Gross kW" numFmtId="0">
      <sharedItems containsString="0" containsBlank="1" containsNumber="1" minValue="0" maxValue="493.85037"/>
    </cacheField>
    <cacheField name="Total Net kW" numFmtId="0">
      <sharedItems containsNonDate="0" containsString="0" containsBlank="1"/>
    </cacheField>
    <cacheField name="Total Gross kWh" numFmtId="0">
      <sharedItems containsString="0" containsBlank="1" containsNumber="1" minValue="23.192" maxValue="2011742.5374"/>
    </cacheField>
    <cacheField name="Total Net kWh" numFmtId="0">
      <sharedItems containsNonDate="0" containsString="0" containsBlank="1"/>
    </cacheField>
    <cacheField name="Total Gross Dth" numFmtId="0">
      <sharedItems containsNonDate="0" containsString="0" containsBlank="1"/>
    </cacheField>
    <cacheField name="Total Net Dth" numFmtId="0">
      <sharedItems containsNonDate="0" containsString="0" containsBlank="1"/>
    </cacheField>
    <cacheField name="Unit Level Natural Gas Savings MMBTU" numFmtId="0">
      <sharedItems containsNonDate="0" containsString="0" containsBlank="1"/>
    </cacheField>
    <cacheField name="Peak Therm Factor" numFmtId="0">
      <sharedItems containsNonDate="0" containsString="0" containsBlank="1"/>
    </cacheField>
    <cacheField name="Peak Therms" numFmtId="0">
      <sharedItems containsString="0" containsBlank="1" containsNumber="1" containsInteger="1" minValue="0" maxValue="0"/>
    </cacheField>
    <cacheField name="Incentive Amount" numFmtId="0">
      <sharedItems containsString="0" containsBlank="1" containsNumber="1" minValue="0" maxValue="212569.81034"/>
    </cacheField>
    <cacheField name="Program Qualification Date" numFmtId="0">
      <sharedItems containsBlank="1" containsMixedTypes="1" containsNumber="1" containsInteger="1" minValue="42615" maxValue="42977"/>
    </cacheField>
    <cacheField name="Creation Date" numFmtId="0">
      <sharedItems containsString="0" containsBlank="1" containsNumber="1" minValue="42593.732703391201" maxValue="42983.457309919002"/>
    </cacheField>
    <cacheField name="Application Status" numFmtId="0">
      <sharedItems containsBlank="1" count="2">
        <m/>
        <s v="Application Completed"/>
      </sharedItems>
    </cacheField>
    <cacheField name="Measure RefID" numFmtId="0">
      <sharedItems containsBlank="1"/>
    </cacheField>
    <cacheField name="kWh/Unit" numFmtId="0">
      <sharedItems containsString="0" containsBlank="1" containsNumber="1" minValue="22.184000000000001" maxValue="337400"/>
    </cacheField>
    <cacheField name="Incentive/Unit" numFmtId="0">
      <sharedItems containsString="0" containsBlank="1" containsNumber="1" minValue="0" maxValue="42260"/>
    </cacheField>
    <cacheField name="Avg kWh" numFmtId="0">
      <sharedItems containsBlank="1" containsMixedTypes="1" containsNumber="1" minValue="31.912660854402784" maxValue="4727.4153333333334"/>
    </cacheField>
    <cacheField name="SD kWh" numFmtId="0">
      <sharedItems containsBlank="1" containsMixedTypes="1" containsNumber="1" minValue="0" maxValue="62959.041603410769"/>
    </cacheField>
    <cacheField name="Avg Incentive" numFmtId="0">
      <sharedItems containsBlank="1" containsMixedTypes="1" containsNumber="1" minValue="0" maxValue="677.77777777777783"/>
    </cacheField>
    <cacheField name="SD Incentive" numFmtId="0">
      <sharedItems containsBlank="1" containsMixedTypes="1" containsNumber="1" minValue="0" maxValue="6797.67158087672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3">
  <r>
    <n v="1"/>
    <s v="Residential/Non-Residential - BHPSD - Appliance Recycling"/>
    <b v="0"/>
    <s v="Residential/Non-Residential - BHPSD - Appliance Recycling__"/>
    <n v="0"/>
    <x v="0"/>
    <x v="0"/>
    <x v="0"/>
    <x v="0"/>
    <s v=""/>
    <s v=""/>
    <b v="0"/>
    <b v="0"/>
    <s v="Residential/Non-Residential - BHPSD - Appliance Recycling"/>
    <n v="40"/>
    <n v="1"/>
    <s v=""/>
    <s v=""/>
    <s v=""/>
    <s v=""/>
    <s v=""/>
    <s v=""/>
    <s v=""/>
    <s v=""/>
    <s v=""/>
    <x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4"/>
    <n v="0"/>
    <n v="6.3209999999999997"/>
    <m/>
    <n v="55428"/>
    <m/>
    <m/>
    <m/>
    <m/>
    <m/>
    <n v="0"/>
    <n v="2200"/>
    <s v=""/>
    <m/>
    <x v="0"/>
    <s v=""/>
    <n v="1259.7272727272727"/>
    <n v="50"/>
    <e v="#N/A"/>
    <e v="#N/A"/>
    <e v="#N/A"/>
    <e v="#N/A"/>
  </r>
  <r>
    <n v="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2867712"/>
    <n v="1"/>
    <s v="BHHRPS1532867712"/>
    <s v="3006269332"/>
    <s v="PETER JR"/>
    <s v="PATINO"/>
    <m/>
    <s v="110 E WATERTOWN ST                                LOT 33"/>
    <s v="RAPID CITY"/>
    <s v="SD"/>
    <s v="5770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TB14SFB"/>
    <m/>
    <n v="1"/>
    <n v="0"/>
    <n v="0.14699999999999999"/>
    <m/>
    <n v="1289"/>
    <m/>
    <m/>
    <m/>
    <m/>
    <m/>
    <n v="0"/>
    <n v="50"/>
    <n v="42795"/>
    <n v="42611.6753068287"/>
    <x v="1"/>
    <s v="EC5084DE88534BEFBCDE3EE0C04A36C8"/>
    <n v="1289"/>
    <n v="50"/>
    <n v="1289"/>
    <n v="0"/>
    <n v="50"/>
    <n v="0"/>
  </r>
  <r>
    <n v="3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2891921"/>
    <n v="1"/>
    <s v="BHHRPS1532891921"/>
    <s v="2358792868"/>
    <s v="CLARK W"/>
    <s v="VIDAS"/>
    <m/>
    <s v="2904 LANARK RD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RT176GCD2"/>
    <m/>
    <n v="1"/>
    <n v="0"/>
    <n v="0.14699999999999999"/>
    <m/>
    <n v="1289"/>
    <m/>
    <m/>
    <m/>
    <m/>
    <m/>
    <n v="0"/>
    <n v="50"/>
    <n v="42621"/>
    <n v="42621.686162118101"/>
    <x v="1"/>
    <s v="768FAE3739E44DF68807D0C3786868E9"/>
    <n v="1289"/>
    <n v="50"/>
    <n v="1289"/>
    <n v="0"/>
    <n v="50"/>
    <n v="0"/>
  </r>
  <r>
    <n v="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2920753"/>
    <n v="1"/>
    <s v="BHHRPS1532920753"/>
    <s v="4641823075"/>
    <s v="KRAIG D"/>
    <s v="BLOMME"/>
    <m/>
    <s v="723 ALTA VISTA DR"/>
    <s v="RAPID CITY"/>
    <s v="SD"/>
    <s v="5770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TBX18IADBRWWN"/>
    <m/>
    <n v="1"/>
    <n v="0"/>
    <n v="0.14699999999999999"/>
    <m/>
    <n v="1289"/>
    <m/>
    <m/>
    <m/>
    <m/>
    <m/>
    <n v="0"/>
    <n v="50"/>
    <n v="42632"/>
    <n v="42632.497293055603"/>
    <x v="1"/>
    <s v="07004A6CE4354AAFA4D35E75AC620B53"/>
    <n v="1289"/>
    <n v="50"/>
    <n v="1289"/>
    <n v="0"/>
    <n v="50"/>
    <n v="0"/>
  </r>
  <r>
    <n v="5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025584"/>
    <n v="1"/>
    <s v="BHHRPS1533025584"/>
    <s v="2627869439"/>
    <s v="SUZANNE"/>
    <s v="BOYKIN"/>
    <m/>
    <s v="1021 PERKINS ST"/>
    <s v="BELLE FOURCHE"/>
    <s v="SD"/>
    <s v="57717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RSW22EODAM"/>
    <m/>
    <n v="1"/>
    <n v="0"/>
    <n v="0.14699999999999999"/>
    <m/>
    <n v="1289"/>
    <m/>
    <m/>
    <m/>
    <m/>
    <m/>
    <n v="0"/>
    <n v="50"/>
    <n v="42654"/>
    <n v="42654.784208483798"/>
    <x v="1"/>
    <s v="DE6CBE844C3C42BF8897954407B6DE7E"/>
    <n v="1289"/>
    <n v="50"/>
    <n v="1289"/>
    <n v="0"/>
    <n v="50"/>
    <n v="0"/>
  </r>
  <r>
    <n v="6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059349"/>
    <n v="1"/>
    <s v="BHHRPS1533059349"/>
    <s v="2435954790"/>
    <s v="JOE W"/>
    <s v="BAWDON"/>
    <m/>
    <s v="120 S 10TH ST"/>
    <s v="CUSTER"/>
    <s v="SD"/>
    <s v="57730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D2CHQXKB05"/>
    <m/>
    <n v="1"/>
    <n v="0"/>
    <n v="0.14699999999999999"/>
    <m/>
    <n v="1289"/>
    <m/>
    <m/>
    <m/>
    <m/>
    <m/>
    <n v="0"/>
    <n v="50"/>
    <n v="42795"/>
    <n v="42669.514234918999"/>
    <x v="1"/>
    <s v="1F6AECC24E4E454CB4868537A06CED59"/>
    <n v="1289"/>
    <n v="50"/>
    <n v="1289"/>
    <n v="0"/>
    <n v="50"/>
    <n v="0"/>
  </r>
  <r>
    <n v="7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134339"/>
    <n v="1"/>
    <s v="BHHRPS1533134339"/>
    <s v="5603263304"/>
    <s v="JEFFREY T"/>
    <s v="FRANCIS"/>
    <m/>
    <s v="3707 WESTERN AVE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MCD2456GEW"/>
    <m/>
    <n v="1"/>
    <n v="0"/>
    <n v="0.14699999999999999"/>
    <m/>
    <n v="1289"/>
    <m/>
    <m/>
    <m/>
    <m/>
    <m/>
    <n v="0"/>
    <n v="50"/>
    <n v="42738"/>
    <n v="42688.537395601903"/>
    <x v="1"/>
    <s v="892EB6BD9CB34B8181C113EFC1CD38F6"/>
    <n v="1289"/>
    <n v="50"/>
    <n v="1289"/>
    <n v="0"/>
    <n v="50"/>
    <n v="0"/>
  </r>
  <r>
    <n v="8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137360"/>
    <n v="1"/>
    <s v="BHHRPS1533137360"/>
    <s v="2502462759"/>
    <s v="RACHEL C"/>
    <s v="MANNHALTER"/>
    <m/>
    <s v="4814 W MAIN ST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TBF19DBC"/>
    <m/>
    <n v="1"/>
    <n v="0"/>
    <n v="0.14699999999999999"/>
    <m/>
    <n v="1289"/>
    <m/>
    <m/>
    <m/>
    <m/>
    <m/>
    <n v="0"/>
    <n v="50"/>
    <n v="42738"/>
    <n v="42689.509298379598"/>
    <x v="1"/>
    <s v="FF4F507493974159880D06B11E05CD52"/>
    <n v="1289"/>
    <n v="50"/>
    <n v="1289"/>
    <n v="0"/>
    <n v="50"/>
    <n v="0"/>
  </r>
  <r>
    <n v="9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137630"/>
    <n v="1"/>
    <s v="BHHRPS1533137630"/>
    <s v="5370197765"/>
    <s v="JASON"/>
    <s v="NELSON"/>
    <m/>
    <s v="1503 CHERRY AVE"/>
    <s v="RAPID CITY"/>
    <s v="SD"/>
    <s v="5770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10673842301"/>
    <m/>
    <n v="1"/>
    <n v="0"/>
    <n v="0.14699999999999999"/>
    <m/>
    <n v="1289"/>
    <m/>
    <m/>
    <m/>
    <m/>
    <m/>
    <n v="0"/>
    <n v="50"/>
    <n v="42738"/>
    <n v="42689.647468368101"/>
    <x v="1"/>
    <s v="70DB11F185DB4BBB825C2F12114B55B7"/>
    <n v="1289"/>
    <n v="50"/>
    <n v="1289"/>
    <n v="0"/>
    <n v="50"/>
    <n v="0"/>
  </r>
  <r>
    <n v="10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150364"/>
    <n v="1"/>
    <s v="BHHRPS1533150364"/>
    <s v="3951841409"/>
    <s v="ADAM"/>
    <s v="KAEMINGK"/>
    <m/>
    <s v="415 SAN MARCO BLVD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m/>
    <m/>
    <n v="1"/>
    <n v="0"/>
    <n v="0.14699999999999999"/>
    <m/>
    <n v="1289"/>
    <m/>
    <m/>
    <m/>
    <m/>
    <m/>
    <n v="0"/>
    <n v="50"/>
    <n v="42738"/>
    <n v="42695.756104398097"/>
    <x v="1"/>
    <s v="A410227CF76C4E83AFB01ABDAB74148A"/>
    <n v="1289"/>
    <n v="50"/>
    <n v="1289"/>
    <n v="0"/>
    <n v="50"/>
    <n v="0"/>
  </r>
  <r>
    <n v="11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3195952"/>
    <n v="1"/>
    <s v="BHHRPS1533195952"/>
    <s v="2199807068"/>
    <s v="DENISE M"/>
    <s v="SILBERNAGEL"/>
    <m/>
    <s v="4426 DUCKHORN ST"/>
    <s v="RAPID CITY"/>
    <s v="SD"/>
    <s v="57703"/>
    <x v="1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8"/>
    <m/>
    <n v="1"/>
    <n v="0"/>
    <n v="0.126"/>
    <m/>
    <n v="1105"/>
    <m/>
    <m/>
    <m/>
    <m/>
    <m/>
    <n v="0"/>
    <n v="50"/>
    <n v="42738"/>
    <n v="42703.547365509301"/>
    <x v="1"/>
    <s v="C27C46A5FBE84A3A8C45CBEE908B2DE3"/>
    <n v="1105"/>
    <n v="50"/>
    <n v="1105"/>
    <n v="0"/>
    <n v="50"/>
    <n v="0"/>
  </r>
  <r>
    <n v="1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447931"/>
    <n v="1"/>
    <s v="BHHRPS1533447931"/>
    <s v="3157573418"/>
    <s v="ROBERT"/>
    <s v="HERRMANN"/>
    <m/>
    <s v="209 W ELGIN ST"/>
    <s v="SPEARFISH"/>
    <s v="SD"/>
    <s v="57783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RB21SLEBP"/>
    <m/>
    <n v="1"/>
    <n v="0"/>
    <n v="0.14699999999999999"/>
    <m/>
    <n v="1289"/>
    <m/>
    <m/>
    <m/>
    <m/>
    <m/>
    <n v="0"/>
    <n v="50"/>
    <n v="42795"/>
    <n v="42709.651740509304"/>
    <x v="1"/>
    <s v="D3C5375C5BE343C89DC21B04683E728C"/>
    <n v="1289"/>
    <n v="50"/>
    <n v="1289"/>
    <n v="0"/>
    <n v="50"/>
    <n v="0"/>
  </r>
  <r>
    <n v="13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448018"/>
    <n v="1"/>
    <s v="BHHRPS1533448018"/>
    <s v="9910835667"/>
    <s v="KARA L"/>
    <s v="FAITH"/>
    <m/>
    <s v="4315 BROOKSIDE DR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m/>
    <m/>
    <n v="1"/>
    <n v="0"/>
    <n v="0.14699999999999999"/>
    <m/>
    <n v="1289"/>
    <m/>
    <m/>
    <m/>
    <m/>
    <m/>
    <n v="0"/>
    <n v="50"/>
    <n v="42738"/>
    <n v="42709.676248842603"/>
    <x v="1"/>
    <s v="2B5554E7D9EC49F1B5486DBCF65CB598"/>
    <n v="1289"/>
    <n v="50"/>
    <n v="1289"/>
    <n v="0"/>
    <n v="50"/>
    <n v="0"/>
  </r>
  <r>
    <n v="1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628269"/>
    <n v="1"/>
    <s v="BHHRPS1533628269"/>
    <s v="1385518124"/>
    <s v="CLIFFORD"/>
    <s v="MCARTHUR"/>
    <m/>
    <s v="5127 S CANYON RD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RT18NNCD2"/>
    <m/>
    <n v="1"/>
    <n v="0"/>
    <n v="0.14699999999999999"/>
    <m/>
    <n v="1289"/>
    <m/>
    <m/>
    <m/>
    <m/>
    <m/>
    <n v="0"/>
    <n v="50"/>
    <n v="42738"/>
    <n v="42712.749418900501"/>
    <x v="1"/>
    <s v="C4B16297D49845E2A3CFEBCFFB5E9517"/>
    <n v="1289"/>
    <n v="50"/>
    <n v="1289"/>
    <n v="0"/>
    <n v="50"/>
    <n v="0"/>
  </r>
  <r>
    <n v="15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09762"/>
    <n v="1"/>
    <s v="BHHRPS1533809762"/>
    <s v="2421773127"/>
    <s v="WARREN"/>
    <s v="BRAUN"/>
    <m/>
    <s v="4320 TIMBERLANE PL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D22DQXXN00"/>
    <m/>
    <n v="1"/>
    <n v="0"/>
    <n v="0.14699999999999999"/>
    <m/>
    <n v="1289"/>
    <m/>
    <m/>
    <m/>
    <m/>
    <m/>
    <n v="0"/>
    <n v="50"/>
    <n v="42795"/>
    <n v="42725.620602048599"/>
    <x v="1"/>
    <s v="2325EAA221F749D984469341F807018F"/>
    <n v="1289"/>
    <n v="50"/>
    <n v="1289"/>
    <n v="0"/>
    <n v="50"/>
    <n v="0"/>
  </r>
  <r>
    <n v="16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09928"/>
    <n v="1"/>
    <s v="BHHRPS1533809928"/>
    <s v="7825735120"/>
    <s v="ALANNA"/>
    <s v="STEVENS"/>
    <m/>
    <s v="4835 STURGIS RD                                   LOT 105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RS22PRCW1"/>
    <m/>
    <n v="1"/>
    <n v="0"/>
    <n v="0.14699999999999999"/>
    <m/>
    <n v="1289"/>
    <m/>
    <m/>
    <m/>
    <m/>
    <m/>
    <n v="0"/>
    <n v="50"/>
    <n v="42795"/>
    <n v="42725.667703587998"/>
    <x v="1"/>
    <s v="4714D7A7255B41A2BF607F6CCA7A0A0A"/>
    <n v="1289"/>
    <n v="50"/>
    <n v="1289"/>
    <n v="0"/>
    <n v="50"/>
    <n v="0"/>
  </r>
  <r>
    <n v="17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42053"/>
    <n v="1"/>
    <s v="BHHRPS1533842053"/>
    <s v="2413808695"/>
    <s v="MAKAYLA"/>
    <s v="STANDS"/>
    <m/>
    <s v="4835 STURGIS RD                                   LOT 414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T8WTKXKQ02"/>
    <m/>
    <n v="1"/>
    <n v="0"/>
    <n v="0.14699999999999999"/>
    <m/>
    <n v="1289"/>
    <m/>
    <m/>
    <m/>
    <m/>
    <m/>
    <n v="0"/>
    <n v="50"/>
    <n v="42795"/>
    <n v="42739.7710030093"/>
    <x v="1"/>
    <s v="9104CC0A3CE44BABA23F562A13D271D3"/>
    <n v="1289"/>
    <n v="50"/>
    <n v="1289"/>
    <n v="0"/>
    <n v="50"/>
    <n v="0"/>
  </r>
  <r>
    <n v="18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3842568"/>
    <n v="1"/>
    <s v="BHHRPS1533842568"/>
    <s v="3196539329"/>
    <s v="ALLEN"/>
    <s v="ZANDSTRA"/>
    <s v="ZANDSTRA, ALLEN"/>
    <s v="2918 HARVARD AVE"/>
    <s v="RAPID CITY"/>
    <s v="SD"/>
    <s v="57702"/>
    <x v="1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C158-1"/>
    <m/>
    <n v="1"/>
    <n v="0"/>
    <n v="0.126"/>
    <m/>
    <n v="1105"/>
    <m/>
    <m/>
    <m/>
    <m/>
    <m/>
    <n v="0"/>
    <n v="50"/>
    <n v="42795"/>
    <n v="42739.773195370399"/>
    <x v="1"/>
    <s v="59CE1073B0864AF19E3CE2254B79B986"/>
    <n v="1105"/>
    <n v="50"/>
    <n v="1105"/>
    <n v="0"/>
    <n v="50"/>
    <n v="0"/>
  </r>
  <r>
    <n v="19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43079"/>
    <n v="1"/>
    <s v="BHHRPS1533843079"/>
    <s v="0710789819"/>
    <s v="TOM R"/>
    <s v="DUSING"/>
    <s v="DUSING, TOM R"/>
    <s v="12868 1/2 OLD HILL CITY RD"/>
    <s v="KEYSTONE"/>
    <s v="SD"/>
    <s v="5775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PI-13B-60"/>
    <m/>
    <n v="1"/>
    <n v="0"/>
    <n v="0.14699999999999999"/>
    <m/>
    <n v="1289"/>
    <m/>
    <m/>
    <m/>
    <m/>
    <m/>
    <n v="0"/>
    <n v="50"/>
    <n v="42795"/>
    <n v="42739.7751721065"/>
    <x v="1"/>
    <s v="7547484F658345BC8D00F5E07B0690A2"/>
    <n v="1289"/>
    <n v="50"/>
    <n v="1289"/>
    <n v="0"/>
    <n v="50"/>
    <n v="0"/>
  </r>
  <r>
    <n v="20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56743"/>
    <n v="1"/>
    <s v="BHHRPS1533856743"/>
    <s v="0379785919"/>
    <s v="JUDI"/>
    <s v="LEONARD"/>
    <s v="LEONARD, JUDI"/>
    <s v="301 N 40TH ST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GD5RHAXNT01"/>
    <m/>
    <n v="1"/>
    <n v="0"/>
    <n v="0.14699999999999999"/>
    <m/>
    <n v="1289"/>
    <m/>
    <m/>
    <m/>
    <m/>
    <m/>
    <n v="0"/>
    <n v="50"/>
    <n v="42795"/>
    <n v="42740.758115972203"/>
    <x v="1"/>
    <s v="F90EF4C88CEE495E84E0C3054A8B8EF2"/>
    <n v="1289"/>
    <n v="50"/>
    <n v="1289"/>
    <n v="0"/>
    <n v="50"/>
    <n v="0"/>
  </r>
  <r>
    <n v="21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47846"/>
    <n v="1"/>
    <s v="BHHRPS1533947846"/>
    <s v="7676810238"/>
    <s v="MARGARET M"/>
    <s v="DILLOW"/>
    <m/>
    <s v="2011 PRAIRIE AVE"/>
    <s v="RAPID CITY"/>
    <s v="SD"/>
    <s v="5770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WRT11CFDB01"/>
    <m/>
    <n v="1"/>
    <n v="0"/>
    <n v="0.14699999999999999"/>
    <m/>
    <n v="1289"/>
    <m/>
    <m/>
    <m/>
    <m/>
    <m/>
    <n v="0"/>
    <n v="50"/>
    <n v="42795"/>
    <n v="42766.672992592597"/>
    <x v="1"/>
    <s v="A39F745E9DBB4048ACB5B6387C324FAA"/>
    <n v="1289"/>
    <n v="50"/>
    <n v="1289"/>
    <n v="0"/>
    <n v="50"/>
    <n v="0"/>
  </r>
  <r>
    <n v="2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47849"/>
    <n v="1"/>
    <s v="BHHRPS1533947849"/>
    <s v="4334041818"/>
    <s v="LYNNE D"/>
    <s v="GREENWALDT"/>
    <s v="LYNNE GREENWALDT"/>
    <s v="6813 COG HILL LN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T1CHMXKT06"/>
    <m/>
    <n v="1"/>
    <n v="0"/>
    <n v="0.14699999999999999"/>
    <m/>
    <n v="1289"/>
    <m/>
    <m/>
    <m/>
    <m/>
    <m/>
    <n v="0"/>
    <n v="50"/>
    <n v="42795"/>
    <n v="42766.674826041701"/>
    <x v="1"/>
    <s v="3CBDB171545F44B9ADE37B65832FF3C9"/>
    <n v="1289"/>
    <n v="50"/>
    <n v="1289"/>
    <n v="0"/>
    <n v="50"/>
    <n v="0"/>
  </r>
  <r>
    <n v="23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3979276"/>
    <n v="1"/>
    <s v="BHHRPS1533979276"/>
    <s v="2486178114"/>
    <s v="LAYTON"/>
    <s v="WAUER"/>
    <m/>
    <s v="320 E JACKSON ST"/>
    <s v="RAPID CITY"/>
    <s v="SD"/>
    <s v="57701"/>
    <x v="1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GFU17M4GW2"/>
    <m/>
    <n v="1"/>
    <n v="0"/>
    <n v="0.126"/>
    <m/>
    <n v="1105"/>
    <m/>
    <m/>
    <m/>
    <m/>
    <m/>
    <n v="0"/>
    <n v="50"/>
    <n v="42795"/>
    <n v="42774.687440856498"/>
    <x v="1"/>
    <s v="03DAFEEE0D684AA888508DB5E2F8AE15"/>
    <n v="1105"/>
    <n v="50"/>
    <n v="1105"/>
    <n v="0"/>
    <n v="50"/>
    <n v="0"/>
  </r>
  <r>
    <n v="2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81542"/>
    <n v="1"/>
    <s v="BHHRPS1533981542"/>
    <s v="1168565714"/>
    <s v="JEANINE L"/>
    <s v="GREEN"/>
    <m/>
    <s v="5241 WINTERSET DR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D25PDXDW03"/>
    <m/>
    <n v="1"/>
    <n v="0"/>
    <n v="0.14699999999999999"/>
    <m/>
    <n v="1289"/>
    <m/>
    <m/>
    <m/>
    <m/>
    <m/>
    <n v="0"/>
    <n v="50"/>
    <n v="42795"/>
    <n v="42775.516744409702"/>
    <x v="1"/>
    <s v="8D8666492603434EB026F4580B4D5847"/>
    <n v="1289"/>
    <n v="50"/>
    <n v="1289"/>
    <n v="0"/>
    <n v="50"/>
    <n v="0"/>
  </r>
  <r>
    <n v="25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81555"/>
    <n v="1"/>
    <s v="BHHRPS1533981555"/>
    <s v="8091287980"/>
    <s v="JEROME L"/>
    <s v="LUNDY"/>
    <m/>
    <s v="636 FOX RUN DR"/>
    <s v="RAPID CITY"/>
    <s v="SD"/>
    <s v="5770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D25RFVFW01"/>
    <m/>
    <n v="1"/>
    <n v="0"/>
    <n v="0.14699999999999999"/>
    <m/>
    <n v="1289"/>
    <m/>
    <m/>
    <m/>
    <m/>
    <m/>
    <n v="0"/>
    <n v="50"/>
    <n v="42795"/>
    <n v="42775.525195798597"/>
    <x v="1"/>
    <s v="8892CA3384C14764AA2FB1A7035A8EE6"/>
    <n v="1289"/>
    <n v="50"/>
    <n v="1289"/>
    <n v="0"/>
    <n v="50"/>
    <n v="0"/>
  </r>
  <r>
    <n v="26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95272"/>
    <n v="1"/>
    <s v="BHHRPS1533995272"/>
    <s v="2339548653"/>
    <s v="DORIS J"/>
    <s v="DRESSLER"/>
    <m/>
    <s v="5470 HIDDEN VALLEY LN                             APT B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HMG21330"/>
    <m/>
    <n v="1"/>
    <n v="0"/>
    <n v="0.14699999999999999"/>
    <m/>
    <n v="1289"/>
    <m/>
    <m/>
    <m/>
    <m/>
    <m/>
    <n v="0"/>
    <n v="50"/>
    <n v="42795"/>
    <n v="42782.547896030097"/>
    <x v="1"/>
    <s v="71BB58CA117B4A8D83008FA0E55BFE4B"/>
    <n v="1289"/>
    <n v="50"/>
    <n v="1289"/>
    <n v="0"/>
    <n v="50"/>
    <n v="0"/>
  </r>
  <r>
    <n v="27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18997"/>
    <n v="1"/>
    <s v="BHHRPS1534018997"/>
    <s v="1981839155"/>
    <s v="ROBERT D"/>
    <s v="MEEKER"/>
    <m/>
    <s v="8405 STURGIS RD"/>
    <s v="BLACK HAWK"/>
    <s v="SD"/>
    <s v="57718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CTX20GHB"/>
    <m/>
    <n v="1"/>
    <n v="0"/>
    <n v="0.14699999999999999"/>
    <m/>
    <n v="1289"/>
    <m/>
    <m/>
    <m/>
    <m/>
    <m/>
    <n v="0"/>
    <n v="50"/>
    <n v="42822"/>
    <n v="42788.781059838002"/>
    <x v="1"/>
    <s v="CD55BACCD9EC4C1C939210E22D09AB1A"/>
    <n v="1289"/>
    <n v="50"/>
    <n v="1289"/>
    <n v="0"/>
    <n v="50"/>
    <n v="0"/>
  </r>
  <r>
    <n v="28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30152"/>
    <n v="1"/>
    <s v="BHHRPS1534030152"/>
    <s v="4848256212"/>
    <s v="MRS ROY JR"/>
    <s v="HAYES"/>
    <m/>
    <s v="2009 ASH AVE"/>
    <s v="RAPID CITY"/>
    <s v="SD"/>
    <s v="57703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2538627111"/>
    <m/>
    <n v="1"/>
    <n v="0"/>
    <n v="0.14699999999999999"/>
    <m/>
    <n v="1289"/>
    <m/>
    <m/>
    <m/>
    <m/>
    <m/>
    <n v="0"/>
    <n v="50"/>
    <n v="42822"/>
    <n v="42793.517275034697"/>
    <x v="1"/>
    <s v="74CD26A4653B4813929DF6D6324BC23D"/>
    <n v="1289"/>
    <n v="50"/>
    <n v="1289"/>
    <n v="0"/>
    <n v="50"/>
    <n v="0"/>
  </r>
  <r>
    <n v="29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39733"/>
    <n v="1"/>
    <s v="BHHRPS1534039733"/>
    <s v="9308049070"/>
    <s v="MICHELE R"/>
    <s v="MITCHELL"/>
    <m/>
    <s v="1209 4TH ST"/>
    <s v="RAPID CITY"/>
    <s v="SD"/>
    <s v="5770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25370004800"/>
    <m/>
    <n v="1"/>
    <n v="0"/>
    <n v="0.14699999999999999"/>
    <m/>
    <n v="1289"/>
    <m/>
    <m/>
    <m/>
    <m/>
    <m/>
    <n v="0"/>
    <n v="50"/>
    <n v="42949"/>
    <n v="42796.462048761598"/>
    <x v="1"/>
    <s v="CFB1B412700148D0B47EDE4F10783446"/>
    <n v="1289"/>
    <n v="50"/>
    <n v="1289"/>
    <n v="0"/>
    <n v="50"/>
    <n v="0"/>
  </r>
  <r>
    <n v="30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4069000"/>
    <n v="1"/>
    <s v="BHHRPS1534069000"/>
    <s v="5435654644"/>
    <s v="LES J"/>
    <s v="WERMERS"/>
    <m/>
    <s v="1155 KINGSWOOD DR"/>
    <s v="RAPID CITY"/>
    <s v="SD"/>
    <s v="57702"/>
    <x v="1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NO TAG"/>
    <m/>
    <n v="1"/>
    <n v="0"/>
    <n v="0.126"/>
    <m/>
    <n v="1105"/>
    <m/>
    <m/>
    <m/>
    <m/>
    <m/>
    <n v="0"/>
    <n v="50"/>
    <n v="42803"/>
    <n v="42803.763243518501"/>
    <x v="1"/>
    <s v="5C98877D83A04A5E9E439CD38F0218B8"/>
    <n v="1105"/>
    <n v="50"/>
    <n v="1105"/>
    <n v="0"/>
    <n v="50"/>
    <n v="0"/>
  </r>
  <r>
    <n v="31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69000"/>
    <n v="0"/>
    <s v="BHHRPS1534069000"/>
    <s v="5435654644"/>
    <s v="LES J"/>
    <s v="WERMERS"/>
    <m/>
    <s v="1155 KINGSWOOD DR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HMG453900A"/>
    <m/>
    <n v="1"/>
    <n v="0"/>
    <n v="0.14699999999999999"/>
    <m/>
    <n v="1289"/>
    <m/>
    <m/>
    <m/>
    <m/>
    <m/>
    <n v="0"/>
    <n v="50"/>
    <n v="42803"/>
    <n v="42803.763243518501"/>
    <x v="1"/>
    <s v="40F85973101747BCB5FEBACF70F99EA6"/>
    <n v="1289"/>
    <n v="50"/>
    <n v="1289"/>
    <n v="0"/>
    <n v="50"/>
    <n v="0"/>
  </r>
  <r>
    <n v="3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90856"/>
    <n v="1"/>
    <s v="BHHRPS1534090856"/>
    <s v="6570127952"/>
    <s v="SCOTT M"/>
    <s v="HENRIKSON"/>
    <m/>
    <s v="438 E OAKLAND ST"/>
    <s v="RAPID CITY"/>
    <s v="SD"/>
    <s v="5770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RT18LRHD0"/>
    <m/>
    <n v="1"/>
    <n v="0"/>
    <n v="0.14699999999999999"/>
    <m/>
    <n v="1289"/>
    <m/>
    <m/>
    <m/>
    <m/>
    <m/>
    <n v="0"/>
    <n v="50"/>
    <n v="42811"/>
    <n v="42811.770698923603"/>
    <x v="1"/>
    <s v="0063E5F477484CBBB706A6FA5D7580A0"/>
    <n v="1289"/>
    <n v="50"/>
    <n v="1289"/>
    <n v="0"/>
    <n v="50"/>
    <n v="0"/>
  </r>
  <r>
    <n v="33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90856"/>
    <n v="0"/>
    <s v="BHHRPS1534090856"/>
    <s v="6570127952"/>
    <s v="SCOTT M"/>
    <s v="HENRIKSON"/>
    <m/>
    <s v="438 E OAKLAND ST"/>
    <s v="RAPID CITY"/>
    <s v="SD"/>
    <s v="5770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T8MTMXLT00"/>
    <m/>
    <n v="1"/>
    <n v="0"/>
    <n v="0.14699999999999999"/>
    <m/>
    <n v="1289"/>
    <m/>
    <m/>
    <m/>
    <m/>
    <m/>
    <n v="0"/>
    <n v="50"/>
    <n v="42811"/>
    <n v="42811.770698923603"/>
    <x v="1"/>
    <s v="1833CFF822B94F62858FE613F246A8C0"/>
    <n v="1289"/>
    <n v="50"/>
    <n v="1289"/>
    <n v="0"/>
    <n v="50"/>
    <n v="0"/>
  </r>
  <r>
    <n v="3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90858"/>
    <n v="1"/>
    <s v="BHHRPS1534090858"/>
    <s v="1961878008"/>
    <s v="JASON"/>
    <s v="ANDERSON"/>
    <m/>
    <s v="1901 38TH ST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1067695280"/>
    <m/>
    <n v="1"/>
    <n v="0"/>
    <n v="0.14699999999999999"/>
    <m/>
    <n v="1289"/>
    <m/>
    <m/>
    <m/>
    <m/>
    <m/>
    <n v="0"/>
    <n v="50"/>
    <n v="42811"/>
    <n v="42811.772073726897"/>
    <x v="1"/>
    <s v="E03E7F0176A245008E47BFB27D6A95AD"/>
    <n v="1289"/>
    <n v="50"/>
    <n v="1289"/>
    <n v="0"/>
    <n v="50"/>
    <n v="0"/>
  </r>
  <r>
    <n v="35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4112476"/>
    <n v="1"/>
    <s v="BHHRPS1534112476"/>
    <s v="6505761376"/>
    <s v="ELIZABETH E"/>
    <s v="SHENK"/>
    <m/>
    <s v="2318 CRUZ DR"/>
    <s v="RAPID CITY"/>
    <s v="SD"/>
    <s v="57702"/>
    <x v="1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106.8281511"/>
    <m/>
    <n v="1"/>
    <n v="0"/>
    <n v="0.126"/>
    <m/>
    <n v="1105"/>
    <m/>
    <m/>
    <m/>
    <m/>
    <m/>
    <n v="0"/>
    <n v="50"/>
    <n v="42949"/>
    <n v="42821.784515891202"/>
    <x v="1"/>
    <s v="B4FF9AE03DBE43EB981637EDD0EBD426"/>
    <n v="1105"/>
    <n v="50"/>
    <n v="1105"/>
    <n v="0"/>
    <n v="50"/>
    <n v="0"/>
  </r>
  <r>
    <n v="36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112476"/>
    <n v="0"/>
    <s v="BHHRPS1534112476"/>
    <s v="6505761376"/>
    <s v="ELIZABETH E"/>
    <s v="SHENK"/>
    <m/>
    <s v="2318 CRUZ DR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RTR1817LW2"/>
    <m/>
    <n v="1"/>
    <n v="0"/>
    <n v="0.14699999999999999"/>
    <m/>
    <n v="1289"/>
    <m/>
    <m/>
    <m/>
    <m/>
    <m/>
    <n v="0"/>
    <n v="50"/>
    <n v="42949"/>
    <n v="42821.784515891202"/>
    <x v="1"/>
    <s v="49A534F1353C4B10A73B7CEAE1C8C5B4"/>
    <n v="1289"/>
    <n v="50"/>
    <n v="1289"/>
    <n v="0"/>
    <n v="50"/>
    <n v="0"/>
  </r>
  <r>
    <n v="37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196272"/>
    <n v="1"/>
    <s v="BHHRPS1534196272"/>
    <s v="6261283277"/>
    <s v="JENNIFER J"/>
    <s v="ARNOLD"/>
    <m/>
    <s v="236 MARKAY PL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V706S1"/>
    <m/>
    <n v="1"/>
    <n v="0"/>
    <n v="0.14699999999999999"/>
    <m/>
    <n v="1289"/>
    <m/>
    <m/>
    <m/>
    <m/>
    <m/>
    <n v="0"/>
    <n v="50"/>
    <n v="42949"/>
    <n v="42832.525782638899"/>
    <x v="1"/>
    <s v="0CBF1BBA6A594B5AA75030DB332557F6"/>
    <n v="1289"/>
    <n v="50"/>
    <n v="1289"/>
    <n v="0"/>
    <n v="50"/>
    <n v="0"/>
  </r>
  <r>
    <n v="38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4196272"/>
    <n v="0"/>
    <s v="BHHRPS1534196272"/>
    <s v="6261283277"/>
    <s v="JENNIFER J"/>
    <s v="ARNOLD"/>
    <m/>
    <s v="236 MARKAY PL"/>
    <s v="RAPID CITY"/>
    <s v="SD"/>
    <s v="57702"/>
    <x v="1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ET20PKXXN00"/>
    <m/>
    <n v="1"/>
    <n v="0"/>
    <n v="0.126"/>
    <m/>
    <n v="1105"/>
    <m/>
    <m/>
    <m/>
    <m/>
    <m/>
    <n v="0"/>
    <n v="50"/>
    <n v="42949"/>
    <n v="42832.525782638899"/>
    <x v="1"/>
    <s v="2379681814264488926AE22E3AE53272"/>
    <n v="1105"/>
    <n v="50"/>
    <n v="1105"/>
    <n v="0"/>
    <n v="50"/>
    <n v="0"/>
  </r>
  <r>
    <n v="39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204845"/>
    <n v="1"/>
    <s v="BHHRPS1534204845"/>
    <s v="6189420297"/>
    <s v="LEANNA L"/>
    <s v="BAUMAN"/>
    <m/>
    <s v="4902 EVEREST RD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106.8580311"/>
    <m/>
    <n v="1"/>
    <n v="0"/>
    <n v="0.14699999999999999"/>
    <m/>
    <n v="1289"/>
    <m/>
    <m/>
    <m/>
    <m/>
    <m/>
    <n v="0"/>
    <n v="50"/>
    <n v="42949"/>
    <n v="42837.444085879601"/>
    <x v="1"/>
    <s v="13F11130BB5E44A6A1CB4CF0B98E61DD"/>
    <n v="1289"/>
    <n v="50"/>
    <n v="1289"/>
    <n v="0"/>
    <n v="50"/>
    <n v="0"/>
  </r>
  <r>
    <n v="40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315748"/>
    <n v="1"/>
    <s v="BHHRPS1534315748"/>
    <s v="5505308242"/>
    <s v="JULIE L"/>
    <s v="BRINK"/>
    <m/>
    <s v="915 SAINT ANDREW ST"/>
    <s v="RAPID CITY"/>
    <s v="SD"/>
    <s v="57701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CTF16ERS"/>
    <m/>
    <n v="1"/>
    <n v="0"/>
    <n v="0.14699999999999999"/>
    <m/>
    <n v="1289"/>
    <m/>
    <m/>
    <m/>
    <m/>
    <m/>
    <n v="0"/>
    <n v="50"/>
    <n v="42949"/>
    <n v="42863.720060613399"/>
    <x v="1"/>
    <s v="CFA8C648A4B94A61A487683E50FC01BF"/>
    <n v="1289"/>
    <n v="50"/>
    <n v="1289"/>
    <n v="0"/>
    <n v="50"/>
    <n v="0"/>
  </r>
  <r>
    <n v="41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351110"/>
    <n v="1"/>
    <s v="BHHRPS1534351110"/>
    <s v="0969599076"/>
    <s v="GLORIA J"/>
    <s v="RENFRO"/>
    <m/>
    <s v="7255 W HIGHWAY 44"/>
    <s v="RAPID CITY"/>
    <s v="SD"/>
    <s v="57702"/>
    <x v="1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SCD23VL"/>
    <m/>
    <n v="1"/>
    <n v="0"/>
    <n v="0.14699999999999999"/>
    <m/>
    <n v="1289"/>
    <m/>
    <m/>
    <m/>
    <m/>
    <m/>
    <n v="0"/>
    <n v="50"/>
    <n v="42888"/>
    <n v="42877.436355127298"/>
    <x v="1"/>
    <s v="49974EC3435C4011A534359A8AD89D48"/>
    <n v="1289"/>
    <n v="50"/>
    <n v="1289"/>
    <n v="0"/>
    <n v="50"/>
    <n v="0"/>
  </r>
  <r>
    <n v="4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416117"/>
    <n v="1"/>
    <s v="BHHRPS1534416117"/>
    <s v="4821641008"/>
    <s v="MARK"/>
    <s v="VEDDER"/>
    <m/>
    <s v="804 MARIE CT"/>
    <s v="RAPID CITY"/>
    <s v="SD"/>
    <s v="57701"/>
    <x v="1"/>
    <s v="PO BOX 2026"/>
    <s v="RAPID CITY"/>
    <s v="SD"/>
    <s v="57709"/>
    <s v="605-394-9411"/>
    <s v="kdapp@midconetwork.com"/>
    <s v="Appliance Recycling :- Customer Incentives"/>
    <s v="Refrigerator Recycling - Residential"/>
    <m/>
    <m/>
    <m/>
    <m/>
    <m/>
    <m/>
    <m/>
    <m/>
    <m/>
    <m/>
    <m/>
    <m/>
    <m/>
    <s v="10f-21H-W6"/>
    <m/>
    <n v="1"/>
    <n v="0"/>
    <n v="0.14699999999999999"/>
    <m/>
    <n v="1289"/>
    <m/>
    <m/>
    <m/>
    <m/>
    <m/>
    <n v="0"/>
    <n v="50"/>
    <n v="42956"/>
    <n v="42893.432260960602"/>
    <x v="1"/>
    <s v="9F35ECF3F0C3466DBA322EEC1581CA69"/>
    <n v="1289"/>
    <n v="50"/>
    <n v="1289"/>
    <n v="0"/>
    <n v="50"/>
    <n v="0"/>
  </r>
  <r>
    <n v="43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4463462"/>
    <n v="1"/>
    <s v="BHHRPS1534463462"/>
    <s v="7847095376"/>
    <s v="ROBERT"/>
    <s v="SHANNON"/>
    <m/>
    <s v="210 3RD AVE"/>
    <s v="EDGEMONT"/>
    <s v="SD"/>
    <s v="57735"/>
    <x v="1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MFU17M3GW1"/>
    <m/>
    <n v="1"/>
    <n v="0"/>
    <n v="0.126"/>
    <m/>
    <n v="1105"/>
    <m/>
    <m/>
    <m/>
    <m/>
    <m/>
    <n v="0"/>
    <n v="50"/>
    <n v="42956"/>
    <n v="42909.677866168997"/>
    <x v="1"/>
    <s v="E719DF2ABCDE4C3783A0430FB591DC2B"/>
    <n v="1105"/>
    <n v="50"/>
    <n v="1105"/>
    <n v="0"/>
    <n v="50"/>
    <n v="0"/>
  </r>
  <r>
    <n v="4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533338"/>
    <n v="1"/>
    <s v="BHHRPS1534533338"/>
    <s v="0317128581"/>
    <s v="CYNTHIA S"/>
    <s v="BAILIE"/>
    <m/>
    <s v="4501 S GLENVIEW PL"/>
    <s v="RAPID CITY"/>
    <s v="SD"/>
    <s v="57702"/>
    <x v="1"/>
    <s v="PO BOX 2026"/>
    <s v="RAPID CITY"/>
    <s v="SD"/>
    <s v="57709"/>
    <s v="605-394-9411"/>
    <s v="kdapp@midconetwork.com"/>
    <s v="Appliance Recycling :- Customer Incentives"/>
    <s v="Refrigerator Recycling - Residential"/>
    <m/>
    <m/>
    <m/>
    <m/>
    <m/>
    <m/>
    <m/>
    <m/>
    <m/>
    <m/>
    <m/>
    <m/>
    <m/>
    <s v="TT21AKXKQ06"/>
    <m/>
    <n v="1"/>
    <n v="0"/>
    <n v="0.14699999999999999"/>
    <m/>
    <n v="1289"/>
    <m/>
    <m/>
    <m/>
    <m/>
    <m/>
    <n v="0"/>
    <n v="50"/>
    <n v="42956"/>
    <n v="42926.743472685201"/>
    <x v="1"/>
    <s v="1C495858635245A3818847A846FD5D03"/>
    <n v="1289"/>
    <n v="50"/>
    <n v="1289"/>
    <n v="0"/>
    <n v="50"/>
    <n v="0"/>
  </r>
  <r>
    <n v="45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569025"/>
    <n v="1"/>
    <s v="BHHRPS1534569025"/>
    <s v="4745406152"/>
    <s v="MARCUS R"/>
    <s v="KIMBALL"/>
    <m/>
    <s v="2209 LOCKWOOD DR"/>
    <s v="RAPID CITY"/>
    <s v="SD"/>
    <s v="57702"/>
    <x v="1"/>
    <s v="PO BOX 2026"/>
    <s v="RAPID CITY"/>
    <s v="SD"/>
    <s v="57709"/>
    <s v="605-394-9411"/>
    <s v="kdapp@midconetwork.com"/>
    <s v="Appliance Recycling :- Customer Incentives"/>
    <s v="Refrigerator Recycling - Residential"/>
    <m/>
    <m/>
    <m/>
    <m/>
    <m/>
    <m/>
    <m/>
    <m/>
    <m/>
    <m/>
    <m/>
    <m/>
    <m/>
    <s v="RE4-8112W"/>
    <m/>
    <n v="1"/>
    <n v="0"/>
    <n v="0.14699999999999999"/>
    <m/>
    <n v="1289"/>
    <m/>
    <m/>
    <m/>
    <m/>
    <m/>
    <n v="0"/>
    <n v="50"/>
    <n v="42956"/>
    <n v="42937.741820833297"/>
    <x v="1"/>
    <s v="75457677726D4E77B6060B707B024FB5"/>
    <n v="1289"/>
    <n v="50"/>
    <n v="1289"/>
    <n v="0"/>
    <n v="50"/>
    <n v="0"/>
  </r>
  <r>
    <n v="46"/>
    <s v="Non-Residential - BHPSD - C/I Custom"/>
    <b v="0"/>
    <s v="Non-Residential - BHPSD - C/I Custom__"/>
    <n v="0"/>
    <x v="0"/>
    <x v="0"/>
    <x v="0"/>
    <x v="0"/>
    <s v=""/>
    <s v=""/>
    <b v="0"/>
    <b v="0"/>
    <s v="Non-Residential - BHPSD - C/I Custom"/>
    <n v="48"/>
    <n v="1"/>
    <s v=""/>
    <s v=""/>
    <s v=""/>
    <s v=""/>
    <s v=""/>
    <s v=""/>
    <s v=""/>
    <s v=""/>
    <s v=""/>
    <x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20"/>
    <n v="0"/>
    <n v="493.85037"/>
    <m/>
    <n v="2011742.5374"/>
    <m/>
    <m/>
    <m/>
    <m/>
    <m/>
    <n v="0"/>
    <n v="212345.44996"/>
    <s v=""/>
    <m/>
    <x v="0"/>
    <s v=""/>
    <n v="1648.9692929508196"/>
    <n v="174.05364750819672"/>
    <e v="#N/A"/>
    <e v="#N/A"/>
    <e v="#N/A"/>
    <e v="#N/A"/>
  </r>
  <r>
    <n v="4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1.6376213499941922E-2"/>
    <n v="6.2660625395625114E-2"/>
    <b v="0"/>
    <b v="0"/>
    <s v=""/>
    <s v="BHSCCR1532886014"/>
    <n v="1"/>
    <s v="BHSCCR1532886014"/>
    <s v="5465789860"/>
    <s v="HS FIRE DEPT"/>
    <s v="HS FIRE DEPT"/>
    <s v="HS FIRE DEPT"/>
    <s v="202 N GARDEN ST"/>
    <s v="HOT SPRINGS"/>
    <s v="SD"/>
    <s v="57747"/>
    <x v="2"/>
    <s v="707 BALTIMORE AVE"/>
    <s v="HOT SPRINGS"/>
    <s v="SD"/>
    <s v="57747"/>
    <s v="605-745-7774"/>
    <s v="FLINTSCO@GWTC.NET"/>
    <s v="C&amp;I Custom Rebate :- Customer Incentives"/>
    <s v="Other Commercial"/>
    <s v="Other"/>
    <s v="Existing"/>
    <s v="Boiler"/>
    <s v="Other"/>
    <m/>
    <m/>
    <m/>
    <m/>
    <m/>
    <m/>
    <m/>
    <m/>
    <m/>
    <m/>
    <m/>
    <n v="1"/>
    <n v="0"/>
    <n v="1.34"/>
    <m/>
    <n v="2680"/>
    <m/>
    <m/>
    <m/>
    <m/>
    <m/>
    <n v="0"/>
    <n v="600"/>
    <n v="42619"/>
    <n v="42619.763930752299"/>
    <x v="1"/>
    <s v="D9ADF6496A5F4680AD3548F503C827A5"/>
    <n v="2680"/>
    <n v="600"/>
    <n v="1648.9692929508194"/>
    <n v="62959.041603410769"/>
    <n v="174.05364750819672"/>
    <n v="6797.6715808767258"/>
  </r>
  <r>
    <n v="4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38388498445217495"/>
    <n v="0.48927729339681358"/>
    <b v="0"/>
    <b v="0"/>
    <s v=""/>
    <s v="BHSCCR1532914472"/>
    <n v="1"/>
    <s v="BHSCCR1532914472"/>
    <s v="1968818030"/>
    <s v="MEADE CO"/>
    <s v="MEADE CO"/>
    <s v="MEADE CO"/>
    <s v="1425 SHERMAN ST"/>
    <s v="STURGIS"/>
    <s v="SD"/>
    <s v="57785"/>
    <x v="3"/>
    <s v="PO BOX 1400"/>
    <s v="RAPID CITY"/>
    <s v="SD"/>
    <s v="57709"/>
    <s v="605-721-2687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0"/>
    <m/>
    <n v="25818"/>
    <m/>
    <m/>
    <m/>
    <m/>
    <m/>
    <n v="0"/>
    <n v="3500"/>
    <n v="42629"/>
    <n v="42629.4936606134"/>
    <x v="1"/>
    <s v="0755E8FF7DAE46089CDEEDDE39297552"/>
    <n v="25818"/>
    <n v="3500"/>
    <n v="1648.9692929508194"/>
    <n v="62959.041603410769"/>
    <n v="174.05364750819672"/>
    <n v="6797.6715808767258"/>
  </r>
  <r>
    <n v="4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723370453920654E-2"/>
    <n v="-6.1864782680149536E-3"/>
    <b v="0"/>
    <b v="0"/>
    <s v=""/>
    <s v="BHSCCR1533020321"/>
    <n v="1"/>
    <s v="BHSCCR1533020321"/>
    <s v="3672093512"/>
    <s v="NORTHERN HILLS DENTAL"/>
    <s v="NORTHERN HILLS DENTAL"/>
    <s v="NORTHERN HILLS DENTAL"/>
    <s v="82 DUNMIRE DR"/>
    <s v="LEAD"/>
    <s v="SD"/>
    <s v="57754"/>
    <x v="4"/>
    <s v="PO BOX 30"/>
    <s v="PIEDMONT"/>
    <s v="SD"/>
    <s v="57769"/>
    <s v="605-277-1181"/>
    <s v="todd@genproenergy.com"/>
    <s v="C&amp;I Custom Rebate :- Customer Incentives"/>
    <s v="Other Commercial"/>
    <s v="Office"/>
    <s v="Existing"/>
    <s v="Forced Air Furnace"/>
    <m/>
    <m/>
    <m/>
    <m/>
    <m/>
    <m/>
    <m/>
    <m/>
    <m/>
    <m/>
    <m/>
    <m/>
    <n v="1"/>
    <n v="0"/>
    <n v="0.39"/>
    <m/>
    <n v="722"/>
    <m/>
    <m/>
    <m/>
    <m/>
    <m/>
    <n v="0"/>
    <n v="132"/>
    <n v="42651"/>
    <n v="42651.623066168999"/>
    <x v="1"/>
    <s v="74CEB4FE01294F2DBF1DB5823138D62A"/>
    <n v="722"/>
    <n v="132"/>
    <n v="1648.9692929508194"/>
    <n v="62959.041603410769"/>
    <n v="174.05364750819672"/>
    <n v="6797.6715808767258"/>
  </r>
  <r>
    <n v="5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4.3099612668238088"/>
    <n v="3.6521250044401072"/>
    <b v="1"/>
    <b v="1"/>
    <s v=""/>
    <s v="BHSCCR1533020333"/>
    <n v="1"/>
    <s v="BHSCCR1533020333"/>
    <s v="1378534032"/>
    <s v="MENARDS INC"/>
    <s v="MENARDS INC"/>
    <s v="MENARDS INC"/>
    <s v="710 N CREEK DR"/>
    <s v="RAPID CITY"/>
    <s v="SD"/>
    <s v="57703"/>
    <x v="3"/>
    <s v="PO BOX 1400"/>
    <s v="RAPID CITY"/>
    <s v="SD"/>
    <s v="57709"/>
    <s v="605-721-2687"/>
    <m/>
    <s v="C&amp;I Custom Rebate :- Customer Incentives"/>
    <s v="Other Commercial"/>
    <s v="Retail"/>
    <s v="Existing"/>
    <s v="Forced Air Furnace"/>
    <m/>
    <m/>
    <m/>
    <m/>
    <m/>
    <m/>
    <m/>
    <m/>
    <m/>
    <m/>
    <m/>
    <m/>
    <n v="1"/>
    <n v="0"/>
    <n v="75"/>
    <m/>
    <n v="273000"/>
    <m/>
    <m/>
    <m/>
    <m/>
    <m/>
    <n v="0"/>
    <n v="25000"/>
    <n v="42651"/>
    <n v="42651.672404317098"/>
    <x v="1"/>
    <s v="E3E38ACFC97F463EBF679B5AFBAC28AE"/>
    <n v="273000"/>
    <n v="25000"/>
    <n v="1648.9692929508194"/>
    <n v="62959.041603410769"/>
    <n v="174.05364750819672"/>
    <n v="6797.6715808767258"/>
  </r>
  <r>
    <n v="5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7185288489083423E-2"/>
    <n v="-7.5840156287085023E-3"/>
    <b v="0"/>
    <b v="0"/>
    <s v=""/>
    <s v="BHSCCR1533047151"/>
    <n v="1"/>
    <s v="BHSCCR1533047151"/>
    <s v="3070686314"/>
    <s v="WESTMINSTER PRESB CH"/>
    <s v="WESTMINSTER PRESB CH"/>
    <s v="WESTMINSTER PRESB CH"/>
    <s v="1012 SOO SAN DR"/>
    <s v="RAPID CITY"/>
    <s v="SD"/>
    <s v="57702"/>
    <x v="5"/>
    <s v="317 MAPLE AVE"/>
    <s v="RAPID CITY"/>
    <s v="SD"/>
    <s v="57701"/>
    <s v="605-342-7913"/>
    <m/>
    <s v="C&amp;I Custom Rebate :- Customer Incentives"/>
    <s v="Other Commercial"/>
    <s v="Other"/>
    <s v="Existing"/>
    <s v="Boiler"/>
    <m/>
    <m/>
    <m/>
    <m/>
    <m/>
    <m/>
    <m/>
    <m/>
    <m/>
    <m/>
    <m/>
    <m/>
    <n v="15"/>
    <n v="0"/>
    <n v="3.3"/>
    <m/>
    <n v="8505"/>
    <m/>
    <m/>
    <m/>
    <m/>
    <m/>
    <n v="0"/>
    <n v="1837.5"/>
    <n v="42663"/>
    <n v="42663.748231481499"/>
    <x v="1"/>
    <s v="FEC6390ACD3A4FF8AC71F7BC2CBA1032"/>
    <n v="567"/>
    <n v="122.5"/>
    <n v="1648.9692929508194"/>
    <n v="62959.041603410769"/>
    <n v="174.05364750819672"/>
    <n v="6797.6715808767258"/>
  </r>
  <r>
    <n v="5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1.9622762284925936"/>
    <n v="1.6293735613310241"/>
    <b v="0"/>
    <b v="0"/>
    <s v=""/>
    <s v="BHSCCR1533104485"/>
    <n v="1"/>
    <s v="BHSCCR1533104485"/>
    <s v="0302256574"/>
    <s v="CITY OF DEADWOOD"/>
    <s v="CITY OF DEADWOOD"/>
    <s v="CITY OF DEADWOOD"/>
    <s v="630 BROADWAY ST"/>
    <s v="DEADWOOD"/>
    <s v="SD"/>
    <s v="57732"/>
    <x v="6"/>
    <s v="814 7TH AVE"/>
    <s v="BELLE FOURCHE"/>
    <s v="SD"/>
    <s v="57717"/>
    <s v="605-210-1775"/>
    <m/>
    <s v="C&amp;I Custom Rebate :- Customer Incentives"/>
    <s v="Other Commercial"/>
    <s v="Other"/>
    <s v="Existing"/>
    <s v="Electric Heat Other"/>
    <m/>
    <m/>
    <m/>
    <m/>
    <m/>
    <m/>
    <m/>
    <m/>
    <m/>
    <m/>
    <m/>
    <m/>
    <n v="1"/>
    <n v="0"/>
    <n v="10.78"/>
    <m/>
    <n v="125192"/>
    <m/>
    <m/>
    <m/>
    <m/>
    <m/>
    <n v="0"/>
    <n v="11250"/>
    <n v="42739"/>
    <n v="42678.650670289397"/>
    <x v="1"/>
    <s v="D0C223F7DD094657820E7FC6371475D7"/>
    <n v="125192"/>
    <n v="11250"/>
    <n v="1648.9692929508194"/>
    <n v="62959.041603410769"/>
    <n v="174.05364750819672"/>
    <n v="6797.6715808767258"/>
  </r>
  <r>
    <n v="5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8229141735992438E-2"/>
    <n v="-2.0539922508317009E-2"/>
    <b v="0"/>
    <b v="0"/>
    <s v=""/>
    <s v="BHSCCR1533121922"/>
    <n v="1"/>
    <s v="BHSCCR1533121922"/>
    <s v="5955835343"/>
    <s v="PIEDMONT SCHOOL"/>
    <s v="PIEDMONT SCHOOL"/>
    <s v="MEADE BOARD OF ED"/>
    <s v="16159 2ND ST"/>
    <s v="PIEDMONT"/>
    <s v="SD"/>
    <s v="57769"/>
    <x v="7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25"/>
    <n v="0"/>
    <n v="6.0250000000000004"/>
    <m/>
    <n v="12532"/>
    <m/>
    <m/>
    <m/>
    <m/>
    <m/>
    <n v="0"/>
    <n v="860.75"/>
    <n v="42718"/>
    <n v="42682.559961192099"/>
    <x v="1"/>
    <s v="DF50F1ABD6B14A63A5D17AC0BF1321EB"/>
    <n v="501.28"/>
    <n v="34.43"/>
    <n v="1648.9692929508194"/>
    <n v="62959.041603410769"/>
    <n v="174.05364750819672"/>
    <n v="6797.6715808767258"/>
  </r>
  <r>
    <n v="5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8233589071797892E-2"/>
    <n v="-1.3836156452863849E-2"/>
    <b v="0"/>
    <b v="0"/>
    <s v=""/>
    <s v="BHSCCR1533121922"/>
    <n v="0"/>
    <s v="BHSCCR1533121922"/>
    <s v="5955835343"/>
    <s v="PIEDMONT SCHOOL"/>
    <s v="PIEDMONT SCHOOL"/>
    <s v="MEADE BOARD OF ED"/>
    <s v="16159 2ND ST"/>
    <s v="PIEDMONT"/>
    <s v="SD"/>
    <s v="57769"/>
    <x v="7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2"/>
    <n v="0"/>
    <n v="2.88"/>
    <m/>
    <n v="6012"/>
    <m/>
    <m/>
    <m/>
    <m/>
    <m/>
    <n v="0"/>
    <n v="960"/>
    <n v="42718"/>
    <n v="42682.559961192099"/>
    <x v="1"/>
    <s v="C2634DB91663481CADA16018445CF8B8"/>
    <n v="501"/>
    <n v="80"/>
    <n v="1648.9692929508194"/>
    <n v="62959.041603410769"/>
    <n v="174.05364750819672"/>
    <n v="6797.6715808767258"/>
  </r>
  <r>
    <n v="5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469236979323208E-2"/>
    <n v="-2.3030481194268773E-2"/>
    <b v="0"/>
    <b v="0"/>
    <s v=""/>
    <s v="BHSCCR1533125881"/>
    <n v="1"/>
    <s v="BHSCCR1533125881"/>
    <s v="4286221951"/>
    <s v="SM RUSHMORE MALL LLC"/>
    <s v="SM RUSHMORE MALL LLC"/>
    <s v="SM RUSHMORE MALL LLC"/>
    <s v="2200 N MAPLE AVE                                   NORTH"/>
    <s v="RAPID CITY"/>
    <s v="SD"/>
    <s v="57701"/>
    <x v="8"/>
    <s v="2525 WALNUT HILL LN STE 300"/>
    <s v="DALLAS"/>
    <s v="TX"/>
    <s v="75229"/>
    <s v="214-217-0190"/>
    <m/>
    <s v="C&amp;I Custom Rebate :- Customer Incentives"/>
    <s v="Other Commercial"/>
    <s v="Retail"/>
    <s v="Existing"/>
    <s v="Forced Air Furnace"/>
    <m/>
    <m/>
    <m/>
    <m/>
    <m/>
    <m/>
    <m/>
    <m/>
    <m/>
    <m/>
    <m/>
    <m/>
    <n v="302"/>
    <n v="0"/>
    <n v="51.34"/>
    <m/>
    <n v="222876"/>
    <m/>
    <m/>
    <m/>
    <m/>
    <m/>
    <n v="0"/>
    <n v="5285"/>
    <n v="42772"/>
    <n v="42683.777487650499"/>
    <x v="1"/>
    <s v="BC849AC06F234340A33128A61D11D07E"/>
    <n v="738"/>
    <n v="17.5"/>
    <n v="1648.9692929508194"/>
    <n v="62959.041603410769"/>
    <n v="174.05364750819672"/>
    <n v="6797.6715808767258"/>
  </r>
  <r>
    <n v="5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5.3839652624644773E-3"/>
    <n v="-3.5385127424903354E-3"/>
    <b v="0"/>
    <b v="0"/>
    <s v=""/>
    <s v="BHSCCR1533130310"/>
    <n v="1"/>
    <s v="BHSCCR1533130310"/>
    <s v="5547216721"/>
    <s v="ROOSEVELT SWIM CENTER"/>
    <s v="CITY OF RC"/>
    <s v="CITY OF RC"/>
    <s v="125 WATERLOO ST                                    RSVLT SWIM CNTR"/>
    <s v="RAPID CITY"/>
    <s v="SD"/>
    <s v="57701"/>
    <x v="9"/>
    <s v="1750 E NORTH ST"/>
    <s v="RAPID CITY"/>
    <s v="SD"/>
    <s v="57701"/>
    <s v="605-348-8744"/>
    <s v="bigc@hills.net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6"/>
    <n v="0"/>
    <n v="5.76"/>
    <m/>
    <n v="20960"/>
    <m/>
    <m/>
    <m/>
    <m/>
    <m/>
    <n v="0"/>
    <n v="2400"/>
    <n v="42685"/>
    <n v="42685.562243055603"/>
    <x v="1"/>
    <s v="447A440BD2CE4104A787344CF785FA11"/>
    <n v="1310"/>
    <n v="150"/>
    <n v="1648.9692929508194"/>
    <n v="62959.041603410769"/>
    <n v="174.05364750819672"/>
    <n v="6797.6715808767258"/>
  </r>
  <r>
    <n v="5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8.9418339068287351E-3"/>
    <n v="-2.0088297277019197E-2"/>
    <b v="0"/>
    <b v="0"/>
    <s v=""/>
    <s v="BHSCCR1533132007"/>
    <n v="1"/>
    <s v="BHSCCR1533132007"/>
    <s v="0752498438"/>
    <s v="HILLSVIEW EVANGELICAL CHU"/>
    <s v="HILLSVIEW EVANGELICAL CHU"/>
    <s v="HILLSVIEW EVANGELICAL CHU"/>
    <s v="13776 STURGIS RD"/>
    <s v="PIEDMONT"/>
    <s v="SD"/>
    <s v="57769"/>
    <x v="10"/>
    <s v="1936 MARLIN DR"/>
    <s v="RAPID CITY"/>
    <s v="SD"/>
    <s v="57703"/>
    <s v="605-348-7100"/>
    <s v="jwood@dsginc.biz"/>
    <s v="C&amp;I Custom Rebate :- Customer Incentives"/>
    <s v="Other Commercial"/>
    <s v="Other"/>
    <s v="New"/>
    <s v="Forced Air Furnace"/>
    <m/>
    <m/>
    <m/>
    <m/>
    <m/>
    <m/>
    <m/>
    <m/>
    <m/>
    <m/>
    <m/>
    <m/>
    <n v="11"/>
    <n v="0"/>
    <n v="0"/>
    <m/>
    <n v="11946"/>
    <m/>
    <m/>
    <m/>
    <m/>
    <m/>
    <n v="0"/>
    <n v="412.5"/>
    <n v="42685"/>
    <n v="42685.718518831003"/>
    <x v="1"/>
    <s v="C738ECFD8A804942AACC49DD066253B4"/>
    <n v="1086"/>
    <n v="37.5"/>
    <n v="1648.9692929508194"/>
    <n v="62959.041603410769"/>
    <n v="174.05364750819672"/>
    <n v="6797.6715808767258"/>
  </r>
  <r>
    <n v="5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4571042594571726E-2"/>
    <n v="-2.2920149297371916E-2"/>
    <b v="0"/>
    <b v="0"/>
    <s v=""/>
    <s v="BHSCCR1533132007"/>
    <n v="0"/>
    <s v="BHSCCR1533132007"/>
    <s v="0752498438"/>
    <s v="HILLSVIEW EVANGELICAL CHU"/>
    <s v="HILLSVIEW EVANGELICAL CHU"/>
    <s v="HILLSVIEW EVANGELICAL CHU"/>
    <s v="13776 STURGIS RD"/>
    <s v="PIEDMONT"/>
    <s v="SD"/>
    <s v="57769"/>
    <x v="10"/>
    <s v="1936 MARLIN DR"/>
    <s v="RAPID CITY"/>
    <s v="SD"/>
    <s v="57703"/>
    <s v="605-348-7100"/>
    <s v="jwood@dsginc.biz"/>
    <s v="C&amp;I Custom Rebate :- Customer Incentives"/>
    <s v="Other Commercial"/>
    <s v="Other"/>
    <s v="New"/>
    <s v="Forced Air Furnace"/>
    <m/>
    <m/>
    <m/>
    <m/>
    <m/>
    <m/>
    <m/>
    <m/>
    <m/>
    <m/>
    <m/>
    <m/>
    <n v="15"/>
    <n v="0"/>
    <n v="0.75"/>
    <m/>
    <n v="1530"/>
    <m/>
    <m/>
    <m/>
    <m/>
    <m/>
    <n v="0"/>
    <n v="273.75"/>
    <n v="42685"/>
    <n v="42685.718518831003"/>
    <x v="1"/>
    <s v="08FD1C9DF41E489D90C1025D07D3E4CC"/>
    <n v="102"/>
    <n v="18.25"/>
    <n v="1648.9692929508194"/>
    <n v="62959.041603410769"/>
    <n v="174.05364750819672"/>
    <n v="6797.6715808767258"/>
  </r>
  <r>
    <n v="5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5428743071338109E-2"/>
    <n v="-2.4339753037444834E-2"/>
    <b v="0"/>
    <b v="0"/>
    <s v=""/>
    <s v="BHSCCR1533132007"/>
    <n v="0"/>
    <s v="BHSCCR1533132007"/>
    <s v="0752498438"/>
    <s v="HILLSVIEW EVANGELICAL CHU"/>
    <s v="HILLSVIEW EVANGELICAL CHU"/>
    <s v="HILLSVIEW EVANGELICAL CHU"/>
    <s v="13776 STURGIS RD"/>
    <s v="PIEDMONT"/>
    <s v="SD"/>
    <s v="57769"/>
    <x v="10"/>
    <s v="1936 MARLIN DR"/>
    <s v="RAPID CITY"/>
    <s v="SD"/>
    <s v="57703"/>
    <s v="605-348-7100"/>
    <s v="jwood@dsginc.biz"/>
    <s v="C&amp;I Custom Rebate :- Customer Incentives"/>
    <s v="Other Commercial"/>
    <s v="Other"/>
    <s v="New"/>
    <s v="Forced Air Furnace"/>
    <m/>
    <m/>
    <m/>
    <m/>
    <m/>
    <m/>
    <m/>
    <m/>
    <m/>
    <m/>
    <m/>
    <m/>
    <n v="44"/>
    <n v="0"/>
    <n v="0.88"/>
    <m/>
    <n v="2112"/>
    <m/>
    <m/>
    <m/>
    <m/>
    <m/>
    <n v="0"/>
    <n v="378.4"/>
    <n v="42685"/>
    <n v="42685.718518831003"/>
    <x v="1"/>
    <s v="E7BDD47DDA81494F886A06F71571142E"/>
    <n v="48"/>
    <n v="8.6"/>
    <n v="1648.9692929508194"/>
    <n v="62959.041603410769"/>
    <n v="174.05364750819672"/>
    <n v="6797.6715808767258"/>
  </r>
  <r>
    <n v="6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52160944434182899"/>
    <n v="0.13542966022095887"/>
    <b v="0"/>
    <b v="0"/>
    <s v=""/>
    <s v="BHSCCR1533283610"/>
    <n v="1"/>
    <s v="BHSCCR1533283610"/>
    <s v="0007613801"/>
    <s v="DENVER MATTRESS"/>
    <s v="DENVER MATTRESS"/>
    <s v="FURNITURE ROW"/>
    <s v="240 KNOLLWOOD DR"/>
    <s v="RAPID CITY"/>
    <s v="SD"/>
    <s v="57701"/>
    <x v="3"/>
    <s v="PO BOX 1400"/>
    <s v="RAPID CITY"/>
    <s v="SD"/>
    <s v="57709"/>
    <s v="605-721-2687"/>
    <m/>
    <s v="C&amp;I Custom Rebate :- Customer Incentives"/>
    <s v="Other Commercial"/>
    <s v="Retail"/>
    <s v="Existing"/>
    <s v="Forced Air Furnace"/>
    <m/>
    <m/>
    <m/>
    <m/>
    <m/>
    <m/>
    <m/>
    <m/>
    <m/>
    <m/>
    <m/>
    <m/>
    <n v="1"/>
    <n v="0"/>
    <n v="10.199999999999999"/>
    <m/>
    <n v="34489"/>
    <m/>
    <m/>
    <m/>
    <m/>
    <m/>
    <n v="0"/>
    <n v="1094.6600000000001"/>
    <n v="42705"/>
    <n v="42705.441600231497"/>
    <x v="1"/>
    <s v="507D5733E6A44F03B8A9E1959BEC0ADC"/>
    <n v="34489"/>
    <n v="1094.6600000000001"/>
    <n v="1648.9692929508194"/>
    <n v="62959.041603410769"/>
    <n v="174.05364750819672"/>
    <n v="6797.6715808767258"/>
  </r>
  <r>
    <n v="6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147379087291534E-2"/>
    <n v="-2.3030481194268773E-2"/>
    <b v="0"/>
    <b v="0"/>
    <s v=""/>
    <s v="BHSCCR1533306364"/>
    <n v="1"/>
    <s v="BHSCCR1533306364"/>
    <s v="8708493182"/>
    <s v="SENTINEL FEDERAL"/>
    <s v="SENTINEL FEDERAL"/>
    <s v="SENTINEL FEDERAL"/>
    <s v="18 MOUNT RUSHMORE RD"/>
    <s v="CUSTER"/>
    <s v="SD"/>
    <s v="57730"/>
    <x v="10"/>
    <s v="1936 MARLIN DR"/>
    <s v="RAPID CITY"/>
    <s v="SD"/>
    <s v="57703"/>
    <s v="605-348-7100"/>
    <s v="jwood@dsginc.biz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6"/>
    <n v="0"/>
    <n v="0"/>
    <m/>
    <n v="4752"/>
    <m/>
    <m/>
    <m/>
    <m/>
    <m/>
    <n v="0"/>
    <n v="280"/>
    <n v="42705"/>
    <n v="42705.516738460603"/>
    <x v="1"/>
    <s v="986F1C77D23F4C89990511188A6E847D"/>
    <n v="297"/>
    <n v="17.5"/>
    <n v="1648.9692929508194"/>
    <n v="62959.041603410769"/>
    <n v="174.05364750819672"/>
    <n v="6797.6715808767258"/>
  </r>
  <r>
    <n v="6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8374020532134816"/>
    <n v="0.78173037477142127"/>
    <b v="0"/>
    <b v="0"/>
    <s v=""/>
    <s v="BHSCCR1533306947"/>
    <n v="1"/>
    <s v="BHSCCR1533306947"/>
    <s v="1986115108"/>
    <s v="GODFREY BRAKE SERV"/>
    <s v="GODFREY BRAKE SERV"/>
    <s v="GODFREY BRAKE SERV"/>
    <s v="110 POPLAR AVE"/>
    <s v="RAPID CITY"/>
    <s v="SD"/>
    <s v="57701"/>
    <x v="10"/>
    <s v="1936 MARLIN DR"/>
    <s v="RAPID CITY"/>
    <s v="SD"/>
    <s v="57703"/>
    <s v="605-348-7100"/>
    <s v="jwood@dsginc.biz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17.79"/>
    <m/>
    <n v="54371"/>
    <m/>
    <m/>
    <m/>
    <m/>
    <m/>
    <n v="0"/>
    <n v="5488"/>
    <n v="42705"/>
    <n v="42705.814410266197"/>
    <x v="1"/>
    <s v="117EF2A067CD499F99F5787442AB5BC4"/>
    <n v="54371"/>
    <n v="5488"/>
    <n v="1648.9692929508194"/>
    <n v="62959.041603410769"/>
    <n v="174.05364750819672"/>
    <n v="6797.6715808767258"/>
  </r>
  <r>
    <n v="6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1.3848214408385446"/>
    <n v="1.4454870665029256"/>
    <b v="0"/>
    <b v="0"/>
    <s v=""/>
    <s v="BHSCCR1533448111"/>
    <n v="1"/>
    <s v="BHSCCR1533448111"/>
    <s v="1442388501"/>
    <s v="RUNNINGS"/>
    <s v="RUNNINGS"/>
    <s v="RUNNINGS"/>
    <s v="19010 US HIGHWAY 85"/>
    <s v="BELLE FOURCHE"/>
    <s v="SD"/>
    <s v="57717"/>
    <x v="3"/>
    <s v="PO BOX 1400"/>
    <s v="RAPID CITY"/>
    <s v="SD"/>
    <s v="57709"/>
    <s v="605-721-2687"/>
    <m/>
    <s v="C&amp;I Custom Rebate :- Customer Incentives"/>
    <s v="Other Commercial"/>
    <s v="Retail"/>
    <s v="New"/>
    <s v="Forced Air Furnace"/>
    <m/>
    <m/>
    <m/>
    <m/>
    <m/>
    <m/>
    <m/>
    <m/>
    <m/>
    <m/>
    <m/>
    <m/>
    <n v="1"/>
    <n v="0"/>
    <n v="19.399999999999999"/>
    <m/>
    <n v="88836"/>
    <m/>
    <m/>
    <m/>
    <m/>
    <m/>
    <n v="0"/>
    <n v="10000"/>
    <n v="42709"/>
    <n v="42709.703605324103"/>
    <x v="1"/>
    <s v="36B541801CD9400DB2F7D254D6898222"/>
    <n v="88836"/>
    <n v="10000"/>
    <n v="1648.9692929508194"/>
    <n v="62959.041603410769"/>
    <n v="174.05364750819672"/>
    <n v="6797.6715808767258"/>
  </r>
  <r>
    <n v="6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0250773526415126E-2"/>
    <n v="-2.0563459979655002E-2"/>
    <b v="0"/>
    <b v="0"/>
    <s v=""/>
    <s v="BHSCCR1533526133"/>
    <n v="1"/>
    <s v="BHSCCR1533526133"/>
    <s v="0381286969"/>
    <s v="BLESSED SACRAMENT CH"/>
    <s v="BLESSED SACRAMENT CH"/>
    <s v="BLESSED SACRAMENT CH"/>
    <s v="4500 JACKSON BLVD"/>
    <s v="RAPID CITY"/>
    <s v="SD"/>
    <s v="57702"/>
    <x v="10"/>
    <s v="1936 MARLIN DR"/>
    <s v="RAPID CITY"/>
    <s v="SD"/>
    <s v="57703"/>
    <s v="605-348-7100"/>
    <s v="jwood@dsginc.biz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6"/>
    <n v="0"/>
    <n v="3.68"/>
    <m/>
    <n v="5984"/>
    <m/>
    <m/>
    <m/>
    <m/>
    <m/>
    <n v="0"/>
    <n v="548.32000000000005"/>
    <n v="42710"/>
    <n v="42710.779431215298"/>
    <x v="1"/>
    <s v="FD59F5DCED0047CE9F5F5FD3A25AE61D"/>
    <n v="374"/>
    <n v="34.270000000000003"/>
    <n v="1648.9692929508194"/>
    <n v="62959.041603410769"/>
    <n v="174.05364750819672"/>
    <n v="6797.6715808767258"/>
  </r>
  <r>
    <n v="6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0266656868577468E-2"/>
    <n v="-1.671214123197531E-2"/>
    <b v="0"/>
    <b v="0"/>
    <s v=""/>
    <s v="BHSCCR1533705353"/>
    <n v="1"/>
    <s v="BHSCCR1533705353"/>
    <s v="5472403137"/>
    <s v="STADIUM SPORTS GRILL"/>
    <s v="STADIUM SPORTS GRILL"/>
    <s v="STADIUM SPORTS GRILL"/>
    <s v="744 N MAIN ST"/>
    <s v="SPEARFISH"/>
    <s v="SD"/>
    <s v="57783"/>
    <x v="11"/>
    <s v="821 N RAINBOW RD"/>
    <s v="SPEARFISH"/>
    <s v="SD"/>
    <s v="57783"/>
    <s v="605-642-6480"/>
    <s v="ROYALELECTRICSD@GMAIL.COM"/>
    <s v="C&amp;I Custom Rebate :- Customer Incentives"/>
    <s v="Other Commercial"/>
    <s v="Restaurant"/>
    <s v="Existing"/>
    <s v="Forced Air Furnace"/>
    <s v="Natural Gas"/>
    <m/>
    <m/>
    <m/>
    <m/>
    <m/>
    <m/>
    <m/>
    <m/>
    <m/>
    <m/>
    <m/>
    <n v="11"/>
    <n v="0"/>
    <n v="0.77"/>
    <m/>
    <n v="4103"/>
    <m/>
    <m/>
    <m/>
    <m/>
    <m/>
    <n v="0"/>
    <n v="664.95"/>
    <n v="42716"/>
    <n v="42716.659610532399"/>
    <x v="1"/>
    <s v="14CBA9ED93DB49B0A4045F5D9D3BD75D"/>
    <n v="373"/>
    <n v="60.45"/>
    <n v="1648.9692929508194"/>
    <n v="62959.041603410769"/>
    <n v="174.05364750819672"/>
    <n v="6797.6715808767258"/>
  </r>
  <r>
    <n v="6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0266656868577468E-2"/>
    <n v="-1.671214123197531E-2"/>
    <b v="0"/>
    <b v="0"/>
    <s v=""/>
    <s v="BHSCCR1533710996"/>
    <n v="1"/>
    <s v="BHSCCR1533710996"/>
    <s v="1066286049"/>
    <s v="STADIUM SPORTS GRILL"/>
    <s v="STADIUM SPORTS GRILL"/>
    <s v="STADIUM SPORTS GRILL"/>
    <s v="818 5TH AVE"/>
    <s v="BELLE FOURCHE"/>
    <s v="SD"/>
    <s v="57717"/>
    <x v="11"/>
    <s v="821 N RAINBOW RD"/>
    <s v="SPEARFISH"/>
    <s v="SD"/>
    <s v="57783"/>
    <s v="605-642-6480"/>
    <s v="ROYALELECTRICSD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23"/>
    <n v="0"/>
    <n v="1.61"/>
    <m/>
    <n v="8579"/>
    <m/>
    <m/>
    <m/>
    <m/>
    <m/>
    <n v="0"/>
    <n v="1390.35"/>
    <n v="42716"/>
    <n v="42716.668909259301"/>
    <x v="1"/>
    <s v="D0E4DAB3F40E4E6CB773EB73EDAFB833"/>
    <n v="373"/>
    <n v="60.449999999999996"/>
    <n v="1648.9692929508194"/>
    <n v="62959.041603410769"/>
    <n v="174.05364750819672"/>
    <n v="6797.6715808767258"/>
  </r>
  <r>
    <n v="6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4.9302381802473656E-2"/>
    <n v="0.12030683488629605"/>
    <b v="0"/>
    <b v="0"/>
    <s v=""/>
    <s v="BHSCCR1533836769"/>
    <n v="1"/>
    <s v="BHSCCR1533836769"/>
    <s v="5864774245"/>
    <s v="TOWN OF ST ONGE"/>
    <s v="TOWN OF ST ONGE"/>
    <s v="TOWN OF ST ONGE"/>
    <s v="234 1ST ST"/>
    <s v="ST ONGE"/>
    <s v="SD"/>
    <s v="57779"/>
    <x v="12"/>
    <s v="PO BOX 214"/>
    <s v="ST ONGE"/>
    <s v="SD"/>
    <s v="57779"/>
    <s v="605-722-7767"/>
    <s v="BAOLSON00@HOTMAIL.COM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5.2"/>
    <m/>
    <n v="4753"/>
    <m/>
    <m/>
    <m/>
    <m/>
    <m/>
    <n v="0"/>
    <n v="991.86"/>
    <n v="42739"/>
    <n v="42739.569581134303"/>
    <x v="1"/>
    <s v="346C97B935584D7B99A2372C95501A77"/>
    <n v="4753"/>
    <n v="991.86"/>
    <n v="1648.9692929508194"/>
    <n v="62959.041603410769"/>
    <n v="174.05364750819672"/>
    <n v="6797.6715808767258"/>
  </r>
  <r>
    <n v="6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782062217557704E-2"/>
    <n v="-1.2070846102514105E-2"/>
    <b v="0"/>
    <b v="0"/>
    <s v=""/>
    <s v="BHSCCR1533851200"/>
    <n v="1"/>
    <s v="BHSCCR1533851200"/>
    <s v="BHP12327676"/>
    <s v="WHEELER LUM OPER"/>
    <s v="WHEELER LUM OPER"/>
    <s v="WHEELER LUM OPER"/>
    <s v="1835 WHITEWOOD RD"/>
    <s v="WHITEWOOD"/>
    <s v="SD"/>
    <s v="57793"/>
    <x v="13"/>
    <s v="2840 ELK RD"/>
    <s v="STURGIS"/>
    <s v="SD"/>
    <s v="57785"/>
    <s v="605-347-5036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8"/>
    <n v="0"/>
    <n v="4.1399999999999997"/>
    <m/>
    <n v="9486"/>
    <m/>
    <m/>
    <m/>
    <m/>
    <m/>
    <n v="0"/>
    <n v="1656"/>
    <n v="42739"/>
    <n v="42739.8135223032"/>
    <x v="1"/>
    <s v="36B8573F7F9444C8AE378E3D81BEC1E6"/>
    <n v="527"/>
    <n v="92"/>
    <n v="1648.9692929508194"/>
    <n v="62959.041603410769"/>
    <n v="174.05364750819672"/>
    <n v="6797.6715808767258"/>
  </r>
  <r>
    <n v="6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7910680725637507E-2"/>
    <n v="-1.0893972535614275E-2"/>
    <b v="0"/>
    <b v="0"/>
    <s v=""/>
    <s v="BHSCCR1533883582"/>
    <n v="1"/>
    <s v="BHSCCR1533883582"/>
    <s v="0635135528"/>
    <s v="LD DWD SCH"/>
    <s v="LD DWD SCH"/>
    <s v="LD DWD SCH DIST 40-1"/>
    <s v="320 S MAIN ST"/>
    <s v="LEAD"/>
    <s v="SD"/>
    <s v="57754"/>
    <x v="6"/>
    <s v="814 7TH AVE"/>
    <s v="BELLE FOURCHE"/>
    <s v="SD"/>
    <s v="57717"/>
    <s v="605-210-1775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36"/>
    <n v="0"/>
    <n v="9.9"/>
    <m/>
    <n v="18767.88"/>
    <m/>
    <m/>
    <m/>
    <m/>
    <m/>
    <n v="0"/>
    <n v="3600"/>
    <n v="42865"/>
    <n v="42744.691814849502"/>
    <x v="1"/>
    <s v="364E20535FE840A0A7FB73C49515FED9"/>
    <n v="521.33000000000004"/>
    <n v="100"/>
    <n v="1648.9692929508194"/>
    <n v="62959.041603410769"/>
    <n v="174.05364750819672"/>
    <n v="6797.6715808767258"/>
  </r>
  <r>
    <n v="7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5295170771764911E-2"/>
    <n v="-5.0096047011151234E-3"/>
    <b v="0"/>
    <b v="0"/>
    <s v=""/>
    <s v="BHSCCR1533903175"/>
    <n v="1"/>
    <s v="BHSCCR1533903175"/>
    <s v="2796921701"/>
    <s v="WAREHOUSE"/>
    <s v="BUILDING"/>
    <s v="DALES TIRE"/>
    <s v="3200 S HIGHWAY 79"/>
    <s v="RAPID CITY"/>
    <s v="SD"/>
    <s v="57701"/>
    <x v="14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6"/>
    <n v="0"/>
    <n v="4"/>
    <m/>
    <n v="10976"/>
    <m/>
    <m/>
    <m/>
    <m/>
    <m/>
    <n v="0"/>
    <n v="2240"/>
    <n v="42752"/>
    <n v="42752.572395949101"/>
    <x v="1"/>
    <s v="2AD1BB75D5F74F04AC78F6979E46A81C"/>
    <n v="686"/>
    <n v="140"/>
    <n v="1648.9692929508194"/>
    <n v="62959.041603410769"/>
    <n v="174.05364750819672"/>
    <n v="6797.6715808767258"/>
  </r>
  <r>
    <n v="7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2.2729550364878098E-2"/>
    <n v="6.2660625395625114E-2"/>
    <b v="0"/>
    <b v="0"/>
    <s v=""/>
    <s v="BHSCCR1533903175"/>
    <n v="0"/>
    <s v="BHSCCR1533903175"/>
    <s v="2796921701"/>
    <s v="WAREHOUSE"/>
    <s v="BUILDING"/>
    <s v="DALES TIRE"/>
    <s v="3200 S HIGHWAY 79"/>
    <s v="RAPID CITY"/>
    <s v="SD"/>
    <s v="57701"/>
    <x v="14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1.1000000000000001"/>
    <m/>
    <n v="3080"/>
    <m/>
    <m/>
    <m/>
    <m/>
    <m/>
    <n v="0"/>
    <n v="600"/>
    <n v="42752"/>
    <n v="42752.572395949101"/>
    <x v="1"/>
    <s v="ADEB4EF2AE7E4D1EA1DF7FE5B0C8709E"/>
    <n v="3080"/>
    <n v="600"/>
    <n v="1648.9692929508194"/>
    <n v="62959.041603410769"/>
    <n v="174.05364750819672"/>
    <n v="6797.6715808767258"/>
  </r>
  <r>
    <n v="7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3.9446443970899789"/>
    <n v="6.1912297250264912"/>
    <b v="1"/>
    <b v="1"/>
    <s v=""/>
    <s v="BHSCCR1533938861"/>
    <n v="1"/>
    <s v="BHSCCR1533938861"/>
    <s v="6013746720"/>
    <s v="HOT SPRINGS SCHOOL DIST"/>
    <s v="HOT SPRINGS SCHOOL DIST"/>
    <s v="HOT SPRINGS SCHOOL DIST"/>
    <s v="278 N 19TH ST"/>
    <s v="HOT SPRINGS"/>
    <s v="SD"/>
    <s v="57747"/>
    <x v="4"/>
    <s v="PO BOX 30"/>
    <s v="PIEDMONT"/>
    <s v="SD"/>
    <s v="57769"/>
    <s v="605-277-1181"/>
    <s v="todd@genproenergy.com"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"/>
    <n v="0"/>
    <n v="75"/>
    <m/>
    <n v="250000"/>
    <m/>
    <m/>
    <m/>
    <m/>
    <m/>
    <n v="0"/>
    <n v="42260"/>
    <n v="42822"/>
    <n v="42762.671858796297"/>
    <x v="1"/>
    <s v="261C5AA31B02469C9C0423A2A114C3B8"/>
    <n v="250000"/>
    <n v="42260"/>
    <n v="1648.9692929508194"/>
    <n v="62959.041603410769"/>
    <n v="174.05364750819672"/>
    <n v="6797.6715808767258"/>
  </r>
  <r>
    <n v="7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2175228586438212"/>
    <n v="0.47456637381056571"/>
    <b v="0"/>
    <b v="0"/>
    <s v=""/>
    <s v="BHSCCR1533975295"/>
    <n v="1"/>
    <s v="BHSCCR1533975295"/>
    <s v="8548246472"/>
    <s v="MASS MARKETS"/>
    <s v="MASS MARKETS"/>
    <s v="MASS MARKETS-ATLAS BUILDING"/>
    <s v="120 INDUSTRIAL                                    STE A ATLAS"/>
    <s v="SPEARFISH"/>
    <s v="SD"/>
    <s v="57783"/>
    <x v="15"/>
    <s v="PO BOX 669"/>
    <s v="SPEARFISH"/>
    <s v="SD"/>
    <s v="57783"/>
    <s v="605-641-6645"/>
    <s v="deanw@phazeel.com"/>
    <s v="C&amp;I Custom Rebate :- Customer Incentives"/>
    <s v="Other Commercial"/>
    <s v="Office"/>
    <s v="New"/>
    <s v="Forced Air Furnace"/>
    <m/>
    <m/>
    <m/>
    <m/>
    <m/>
    <m/>
    <m/>
    <m/>
    <m/>
    <m/>
    <m/>
    <m/>
    <n v="1"/>
    <n v="0"/>
    <n v="7.4"/>
    <m/>
    <n v="15344"/>
    <m/>
    <m/>
    <m/>
    <m/>
    <m/>
    <n v="0"/>
    <n v="3400"/>
    <n v="42773"/>
    <n v="42773.624298113398"/>
    <x v="1"/>
    <s v="05006E9FCA37496F93082F6864B4D8A5"/>
    <n v="15344"/>
    <n v="3400"/>
    <n v="1648.9692929508194"/>
    <n v="62959.041603410769"/>
    <n v="174.05364750819672"/>
    <n v="6797.6715808767258"/>
  </r>
  <r>
    <n v="7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2156774585895978E-2"/>
    <n v="-1.9941188081156719E-2"/>
    <b v="0"/>
    <b v="0"/>
    <s v=""/>
    <s v="BHSCCR1533975460"/>
    <n v="1"/>
    <s v="BHSCCR1533975460"/>
    <s v="3246071649"/>
    <s v="CHRIST CHURCH"/>
    <s v="CHRIST CHURCH"/>
    <s v="CHRIST CHURCH"/>
    <s v="3402 COTTONWOOD ST"/>
    <s v="RAPID CITY"/>
    <s v="SD"/>
    <s v="57702"/>
    <x v="14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2"/>
    <n v="0"/>
    <n v="0"/>
    <m/>
    <n v="508"/>
    <m/>
    <m/>
    <m/>
    <m/>
    <m/>
    <n v="0"/>
    <n v="77"/>
    <n v="42773"/>
    <n v="42773.6456201736"/>
    <x v="1"/>
    <s v="60797EDA78004F2DB93A53E306983EF7"/>
    <n v="254"/>
    <n v="38.5"/>
    <n v="1648.9692929508194"/>
    <n v="62959.041603410769"/>
    <n v="174.05364750819672"/>
    <n v="6797.6715808767258"/>
  </r>
  <r>
    <n v="7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1060823976694489E-2"/>
    <n v="-1.7955213937013256E-2"/>
    <b v="0"/>
    <b v="0"/>
    <s v=""/>
    <s v="BHSCCR1534039616"/>
    <n v="1"/>
    <s v="BHSCCR1534039616"/>
    <s v="5011134698"/>
    <s v="TALLYS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8"/>
    <n v="0"/>
    <n v="0.48"/>
    <m/>
    <n v="2584"/>
    <m/>
    <m/>
    <m/>
    <m/>
    <m/>
    <n v="0"/>
    <n v="416"/>
    <n v="42796"/>
    <n v="42796.441803043999"/>
    <x v="1"/>
    <s v="5CB98101E97F4F35A4C025FB2C730A1B"/>
    <n v="323"/>
    <n v="52"/>
    <n v="1648.9692929508194"/>
    <n v="62959.041603410769"/>
    <n v="174.05364750819672"/>
    <n v="6797.6715808767258"/>
  </r>
  <r>
    <n v="7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512695957025364E-2"/>
    <n v="-2.4023468266340504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2"/>
    <n v="0"/>
    <n v="0.02"/>
    <m/>
    <n v="134"/>
    <m/>
    <m/>
    <m/>
    <m/>
    <m/>
    <n v="0"/>
    <n v="21.5"/>
    <n v="42796"/>
    <n v="42796.441803043999"/>
    <x v="1"/>
    <s v="EC5668A5FB9340D8A5C7B2A589BDB8E0"/>
    <n v="67"/>
    <n v="10.75"/>
    <n v="1648.9692929508194"/>
    <n v="62959.041603410769"/>
    <n v="174.05364750819672"/>
    <n v="6797.6715808767258"/>
  </r>
  <r>
    <n v="7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8853039416129168E-2"/>
    <n v="-2.276568464171631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4"/>
    <n v="0"/>
    <n v="0.32"/>
    <m/>
    <n v="1848"/>
    <m/>
    <m/>
    <m/>
    <m/>
    <m/>
    <n v="0"/>
    <n v="77.2"/>
    <n v="42796"/>
    <n v="42796.441803043999"/>
    <x v="1"/>
    <s v="71423314487C4E109833AB6F2FB816D6"/>
    <n v="462"/>
    <n v="19.3"/>
    <n v="1648.9692929508194"/>
    <n v="62959.041603410769"/>
    <n v="174.05364750819672"/>
    <n v="6797.6715808767258"/>
  </r>
  <r>
    <n v="7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3808642170779385E-2"/>
    <n v="-2.2000716823231421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3"/>
    <n v="0"/>
    <n v="0.09"/>
    <m/>
    <n v="450"/>
    <m/>
    <m/>
    <m/>
    <m/>
    <m/>
    <n v="0"/>
    <n v="73.5"/>
    <n v="42796"/>
    <n v="42796.441803043999"/>
    <x v="1"/>
    <s v="0C4E437875424070A71C91F3A1EB9842"/>
    <n v="150"/>
    <n v="24.5"/>
    <n v="1648.9692929508194"/>
    <n v="62959.041603410769"/>
    <n v="174.05364750819672"/>
    <n v="6797.6715808767258"/>
  </r>
  <r>
    <n v="7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4428092515110661E-2"/>
    <n v="-2.2956926596337534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6"/>
    <n v="0"/>
    <n v="0.12"/>
    <m/>
    <n v="666"/>
    <m/>
    <m/>
    <m/>
    <m/>
    <m/>
    <n v="0"/>
    <n v="108"/>
    <n v="42796"/>
    <n v="42796.441803043999"/>
    <x v="1"/>
    <s v="344AD37BD7184556BDD5F1F1A50E4B97"/>
    <n v="111"/>
    <n v="18"/>
    <n v="1648.9692929508194"/>
    <n v="62959.041603410769"/>
    <n v="174.05364750819672"/>
    <n v="6797.6715808767258"/>
  </r>
  <r>
    <n v="8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3538625354019599E-2"/>
    <n v="-2.1632943833575224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6"/>
    <n v="0"/>
    <n v="0.18"/>
    <m/>
    <n v="1002"/>
    <m/>
    <m/>
    <m/>
    <m/>
    <m/>
    <n v="0"/>
    <n v="162"/>
    <n v="42796"/>
    <n v="42796.441803043999"/>
    <x v="1"/>
    <s v="B6321820EFF34955973C8D025C9DBADF"/>
    <n v="167"/>
    <n v="27"/>
    <n v="1648.9692929508194"/>
    <n v="62959.041603410769"/>
    <n v="174.05364750819672"/>
    <n v="6797.6715808767258"/>
  </r>
  <r>
    <n v="8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4062775645376833E-2"/>
    <n v="-2.2442044410818859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2"/>
    <n v="0"/>
    <n v="0.04"/>
    <m/>
    <n v="268"/>
    <m/>
    <m/>
    <m/>
    <m/>
    <m/>
    <n v="0"/>
    <n v="43"/>
    <n v="42796"/>
    <n v="42796.441803043999"/>
    <x v="1"/>
    <s v="75C8D6AE81A84B63BFE5C4CABBAD0BCC"/>
    <n v="134"/>
    <n v="21.5"/>
    <n v="1648.9692929508194"/>
    <n v="62959.041603410769"/>
    <n v="174.05364750819672"/>
    <n v="6797.6715808767258"/>
  </r>
  <r>
    <n v="8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4412209172948323E-2"/>
    <n v="-2.3104035792200012E-2"/>
    <b v="0"/>
    <b v="0"/>
    <s v=""/>
    <s v="BHSCCR1534040897"/>
    <n v="1"/>
    <s v="BHSCCR1534040897"/>
    <s v="7413451014"/>
    <s v="JDS EQUIPMENT SVC LLC"/>
    <s v="JDS EQUIPMENT SVC LLC"/>
    <s v="JDS EQUIPMENT SVC LLC"/>
    <s v="12176 SIOUXLAND RD"/>
    <s v="SUMMERSET"/>
    <s v="SD"/>
    <s v="57718"/>
    <x v="17"/>
    <s v="2321 SOPHIA CT"/>
    <s v="RAPID CITY"/>
    <s v="SD"/>
    <s v="57702"/>
    <s v="605-342-5945"/>
    <m/>
    <s v="C&amp;I Custom Rebate :- Customer Incentives"/>
    <s v="Other Commercial"/>
    <s v="Warehouse"/>
    <s v="Existing"/>
    <s v="Forced Air Furnace"/>
    <m/>
    <m/>
    <m/>
    <m/>
    <m/>
    <m/>
    <m/>
    <m/>
    <m/>
    <m/>
    <m/>
    <m/>
    <n v="3"/>
    <n v="0"/>
    <n v="0"/>
    <m/>
    <n v="336"/>
    <m/>
    <m/>
    <m/>
    <m/>
    <m/>
    <n v="0"/>
    <n v="51"/>
    <n v="42796"/>
    <n v="42796.749864664402"/>
    <x v="1"/>
    <s v="0BF4BA016C7A4AD9B0BA320A6BBF4C7C"/>
    <n v="112"/>
    <n v="17"/>
    <n v="1648.9692929508194"/>
    <n v="62959.041603410769"/>
    <n v="174.05364750819672"/>
    <n v="6797.6715808767258"/>
  </r>
  <r>
    <n v="8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1467285310640864E-2"/>
    <n v="-1.0326551771885272E-2"/>
    <b v="0"/>
    <b v="0"/>
    <s v=""/>
    <s v="BHSCCR1534040990"/>
    <n v="1"/>
    <s v="BHSCCR1534040990"/>
    <s v="0293338895"/>
    <s v="WHITEWOOD ELEMENTARY"/>
    <s v="WHITEWOOD ELEMENTARY"/>
    <s v="WHITEWOOD ELEMENTARY"/>
    <s v="603 GARFIELD ST"/>
    <s v="WHITEWOOD"/>
    <s v="SD"/>
    <s v="57793"/>
    <x v="4"/>
    <s v="PO BOX 30"/>
    <s v="PIEDMONT"/>
    <s v="SD"/>
    <s v="57769"/>
    <s v="605-277-1181"/>
    <s v="todd@genproenergy.com"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4"/>
    <n v="0"/>
    <n v="4.34"/>
    <m/>
    <n v="12978"/>
    <m/>
    <m/>
    <m/>
    <m/>
    <m/>
    <n v="0"/>
    <n v="1453.9999600000001"/>
    <n v="42796"/>
    <n v="42796.792681828701"/>
    <x v="1"/>
    <s v="EB91128C4F4F4BCA803B70C1DD857F4D"/>
    <n v="927"/>
    <n v="103.85714"/>
    <n v="1648.9692929508194"/>
    <n v="62959.041603410769"/>
    <n v="174.05364750819672"/>
    <n v="6797.6715808767258"/>
  </r>
  <r>
    <n v="8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11378875098157583"/>
    <n v="0.17961243610629574"/>
    <b v="0"/>
    <b v="0"/>
    <s v=""/>
    <s v="BHSCCR1534066566"/>
    <n v="1"/>
    <s v="BHSCCR1534066566"/>
    <s v="3852871419"/>
    <s v="LODGE AT DEADWOOD"/>
    <s v="DEADWOOD RESORTS LLC"/>
    <s v="DEADWOOD RESORTS LLC"/>
    <s v="101 PINE CREST DR"/>
    <s v="DEADWOOD"/>
    <s v="SD"/>
    <s v="57732"/>
    <x v="18"/>
    <s v="1825 SAMCO ROAD"/>
    <s v="RAPID CITY"/>
    <s v="SD"/>
    <s v="57702"/>
    <s v="605-341-3554"/>
    <s v="RSCHREMPP@MUTHELECTRIC.COM"/>
    <s v="C&amp;I Custom Rebate :- Customer Incentives"/>
    <s v="Other Commercial"/>
    <s v="Lodging"/>
    <s v="Existing"/>
    <s v="Forced Air Furnace"/>
    <m/>
    <m/>
    <m/>
    <m/>
    <m/>
    <m/>
    <m/>
    <m/>
    <m/>
    <m/>
    <m/>
    <m/>
    <n v="1"/>
    <n v="0"/>
    <n v="1"/>
    <m/>
    <n v="8813"/>
    <m/>
    <m/>
    <m/>
    <m/>
    <m/>
    <n v="0"/>
    <n v="1395"/>
    <n v="42802"/>
    <n v="42802.659724687503"/>
    <x v="1"/>
    <s v="333DE4C2F9FB41F69A8D93E0BAE05C16"/>
    <n v="8813"/>
    <n v="1395"/>
    <n v="1648.9692929508194"/>
    <n v="62959.041603410769"/>
    <n v="174.05364750819672"/>
    <n v="6797.6715808767258"/>
  </r>
  <r>
    <n v="8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2641280055216012E-2"/>
    <n v="-2.3030481194268773E-2"/>
    <b v="0"/>
    <b v="0"/>
    <s v=""/>
    <s v="BHSCCR1534068124"/>
    <n v="1"/>
    <s v="BHSCCR1534068124"/>
    <s v="5045772714"/>
    <s v="STRUGIS ELEMENTARY"/>
    <s v="MEADE BOARD OF ED"/>
    <s v="STURGIS ELEMENTARY"/>
    <s v="1121 BALLPARK RD"/>
    <s v="STURGIS"/>
    <s v="SD"/>
    <s v="57785"/>
    <x v="7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6"/>
    <n v="0"/>
    <n v="0"/>
    <m/>
    <n v="1340.9760000000001"/>
    <m/>
    <m/>
    <m/>
    <m/>
    <m/>
    <n v="0"/>
    <n v="105"/>
    <n v="42803"/>
    <n v="42803.488046493097"/>
    <x v="1"/>
    <s v="CA3BF792B8FA479B857E248E70CA030E"/>
    <n v="223.49600000000001"/>
    <n v="17.5"/>
    <n v="1648.9692929508194"/>
    <n v="62959.041603410769"/>
    <n v="174.05364750819672"/>
    <n v="6797.6715808767258"/>
  </r>
  <r>
    <n v="8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10972261538801668"/>
    <n v="0.18770344187873209"/>
    <b v="0"/>
    <b v="0"/>
    <s v=""/>
    <s v="BHSCCR1534068124"/>
    <n v="0"/>
    <s v="BHSCCR1534068124"/>
    <s v="5045772714"/>
    <s v="STRUGIS ELEMENTARY"/>
    <s v="MEADE BOARD OF ED"/>
    <s v="STURGIS ELEMENTARY"/>
    <s v="1121 BALLPARK RD"/>
    <s v="STURGIS"/>
    <s v="SD"/>
    <s v="57785"/>
    <x v="7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"/>
    <n v="0"/>
    <n v="2.73"/>
    <m/>
    <n v="8557"/>
    <m/>
    <m/>
    <m/>
    <m/>
    <m/>
    <n v="0"/>
    <n v="1450"/>
    <n v="42803"/>
    <n v="42803.488046493097"/>
    <x v="1"/>
    <s v="961B0728E4814AD984669F3911E7139F"/>
    <n v="8557"/>
    <n v="1450"/>
    <n v="1648.9692929508194"/>
    <n v="62959.041603410769"/>
    <n v="174.05364750819672"/>
    <n v="6797.6715808767258"/>
  </r>
  <r>
    <n v="8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751762576780465E-3"/>
    <n v="-1.8249432328738213E-2"/>
    <b v="0"/>
    <b v="0"/>
    <s v=""/>
    <s v="BHSCCR1534068124"/>
    <n v="0"/>
    <s v="BHSCCR1534068124"/>
    <s v="5045772714"/>
    <s v="STRUGIS ELEMENTARY"/>
    <s v="MEADE BOARD OF ED"/>
    <s v="STURGIS ELEMENTARY"/>
    <s v="1121 BALLPARK RD"/>
    <s v="STURGIS"/>
    <s v="SD"/>
    <s v="57785"/>
    <x v="7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1"/>
    <n v="0"/>
    <n v="0"/>
    <m/>
    <n v="16925.48"/>
    <m/>
    <m/>
    <m/>
    <m/>
    <m/>
    <n v="0"/>
    <n v="550"/>
    <n v="42803"/>
    <n v="42803.488046493097"/>
    <x v="1"/>
    <s v="8E14C1E3F7AE492DB2A1CDE015021362"/>
    <n v="1538.68"/>
    <n v="50"/>
    <n v="1648.9692929508194"/>
    <n v="62959.041603410769"/>
    <n v="174.05364750819672"/>
    <n v="6797.6715808767258"/>
  </r>
  <r>
    <n v="88"/>
    <s v="Non-Residential - BHPSD - C/I Custom"/>
    <b v="1"/>
    <s v="Non-Residential - BHPSD - C/I Custom_C&amp;I Custom Rebate :- Customer Incentives_Other Industrial"/>
    <s v="C&amp;I_C&amp;I Custom_Various_C&amp;I Custom"/>
    <x v="2"/>
    <x v="2"/>
    <x v="2"/>
    <x v="3"/>
    <n v="-1.1324335231179801E-2"/>
    <n v="-3.5385127424903354E-3"/>
    <b v="0"/>
    <b v="0"/>
    <s v=""/>
    <s v="BHSCCR1534098220"/>
    <n v="1"/>
    <s v="BHSCCR1534098220"/>
    <s v="0172437736"/>
    <s v="FORTERRA CONCRETE PRODUCT"/>
    <s v="FORTERRA CONCRETE PRODUCT"/>
    <s v="FORTERRA CONCRETE PRODUCT"/>
    <s v="1601 CULVERT ST"/>
    <s v="RAPID CITY"/>
    <s v="SD"/>
    <s v="57701"/>
    <x v="10"/>
    <s v="1936 MARLIN DR"/>
    <s v="RAPID CITY"/>
    <s v="SD"/>
    <s v="57703"/>
    <s v="605-348-7100"/>
    <s v="jwood@dsginc.biz"/>
    <s v="C&amp;I Custom Rebate :- Customer Incentives"/>
    <s v="Other Industrial"/>
    <s v="Industrial"/>
    <s v="Existing"/>
    <s v="Forced Air Furnace"/>
    <m/>
    <m/>
    <m/>
    <m/>
    <m/>
    <m/>
    <m/>
    <m/>
    <m/>
    <m/>
    <m/>
    <m/>
    <n v="26"/>
    <n v="0"/>
    <n v="7.8"/>
    <m/>
    <n v="24336"/>
    <m/>
    <m/>
    <m/>
    <m/>
    <m/>
    <n v="0"/>
    <n v="3900"/>
    <n v="42815"/>
    <n v="42815.730486145803"/>
    <x v="1"/>
    <s v="0D214E5CA3DF4B6DA8BDD6FFE4FA7AA4"/>
    <n v="936"/>
    <n v="150"/>
    <n v="1648.9692929508194"/>
    <n v="62959.041603410769"/>
    <n v="174.05364750819672"/>
    <n v="6797.6715808767258"/>
  </r>
  <r>
    <n v="8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86632053338172E-2"/>
    <n v="-1.4424593236313765E-2"/>
    <b v="0"/>
    <b v="0"/>
    <s v=""/>
    <s v="BHSCCR1534114370"/>
    <n v="1"/>
    <s v="BHSCCR1534114370"/>
    <s v="3485115409"/>
    <s v="FARM CREDIT SER"/>
    <s v="FARM CREDIT SER"/>
    <s v="FARM CREDIT SER"/>
    <s v="2510 N PLAZA DR"/>
    <s v="RAPID CITY"/>
    <s v="SD"/>
    <s v="57702"/>
    <x v="19"/>
    <s v="PO BOX 647"/>
    <s v="RAPID CITY"/>
    <s v="SD"/>
    <s v="57709"/>
    <s v="605-348-9756"/>
    <s v="advancedelectricaltg@knology.net"/>
    <s v="C&amp;I Custom Rebate :- Customer Incentives"/>
    <s v="Other Commercial"/>
    <s v="Office"/>
    <s v="Existing"/>
    <s v="Forced Air Furnace"/>
    <m/>
    <m/>
    <m/>
    <m/>
    <m/>
    <m/>
    <m/>
    <m/>
    <m/>
    <m/>
    <m/>
    <m/>
    <n v="8"/>
    <n v="0"/>
    <n v="0"/>
    <m/>
    <n v="5704"/>
    <m/>
    <m/>
    <m/>
    <m/>
    <m/>
    <n v="0"/>
    <n v="608"/>
    <n v="42822"/>
    <n v="42822.454243321801"/>
    <x v="1"/>
    <s v="45E5E081F9D844EB83D6AE8B96D10447"/>
    <n v="713"/>
    <n v="76"/>
    <n v="1648.9692929508194"/>
    <n v="62959.041603410769"/>
    <n v="174.05364750819672"/>
    <n v="6797.6715808767258"/>
  </r>
  <r>
    <n v="9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8281239098284913E-2"/>
    <n v="-1.4390758121265395E-2"/>
    <b v="0"/>
    <b v="0"/>
    <s v=""/>
    <s v="BHSCCR1534136018"/>
    <n v="1"/>
    <s v="BHSCCR1534136018"/>
    <s v="0719758948"/>
    <s v="TRAFFIC SERVICES COMPANY"/>
    <s v="TRAFFIC SERVICES COMPANY"/>
    <s v="TRAFFIC SERVICES COMPANY"/>
    <s v="11740 J B RD"/>
    <s v="BLACK HAWK"/>
    <s v="SD"/>
    <s v="57718"/>
    <x v="7"/>
    <s v="PO BOX 505"/>
    <s v="PIEDMONT"/>
    <s v="SD"/>
    <s v="57769"/>
    <s v="605-381-0729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7"/>
    <n v="0"/>
    <m/>
    <m/>
    <n v="3486"/>
    <m/>
    <m/>
    <m/>
    <m/>
    <m/>
    <n v="0"/>
    <n v="533.61"/>
    <n v="42828"/>
    <n v="42825.446017557901"/>
    <x v="1"/>
    <s v="2D9EB293BE3644F882DD4F51F65DD355"/>
    <n v="498"/>
    <n v="76.23"/>
    <n v="1648.9692929508194"/>
    <n v="62959.041603410769"/>
    <n v="174.05364750819672"/>
    <n v="6797.6715808767258"/>
  </r>
  <r>
    <n v="9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818670506894697E-2"/>
    <n v="-7.3633518349147838E-3"/>
    <b v="0"/>
    <b v="0"/>
    <s v=""/>
    <s v="BHSCCR1534136018"/>
    <n v="0"/>
    <s v="BHSCCR1534136018"/>
    <s v="0719758948"/>
    <s v="TRAFFIC SERVICES COMPANY"/>
    <s v="TRAFFIC SERVICES COMPANY"/>
    <s v="TRAFFIC SERVICES COMPANY"/>
    <s v="11740 J B RD"/>
    <s v="BLACK HAWK"/>
    <s v="SD"/>
    <s v="57718"/>
    <x v="7"/>
    <s v="PO BOX 505"/>
    <s v="PIEDMONT"/>
    <s v="SD"/>
    <s v="57769"/>
    <s v="605-381-0729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43"/>
    <n v="0"/>
    <n v="15.48"/>
    <m/>
    <n v="30788"/>
    <m/>
    <m/>
    <m/>
    <m/>
    <m/>
    <n v="0"/>
    <n v="5332"/>
    <n v="42828"/>
    <n v="42825.446017557901"/>
    <x v="1"/>
    <s v="97E285284CC7443AAAB74E5411505A19"/>
    <n v="716"/>
    <n v="124"/>
    <n v="1648.9692929508194"/>
    <n v="62959.041603410769"/>
    <n v="174.05364750819672"/>
    <n v="6797.6715808767258"/>
  </r>
  <r>
    <n v="92"/>
    <s v="Non-Residential - BHPSD - C/I Custom"/>
    <b v="1"/>
    <s v="Non-Residential - BHPSD - C/I Custom_C&amp;I Custom Rebate :- Customer Incentives_Other Industrial"/>
    <s v="C&amp;I_C&amp;I Custom_Various_C&amp;I Custom"/>
    <x v="2"/>
    <x v="2"/>
    <x v="2"/>
    <x v="3"/>
    <n v="-1.6772321592862571E-2"/>
    <n v="-1.3394828865276414E-2"/>
    <b v="0"/>
    <b v="0"/>
    <s v=""/>
    <s v="BHSCCR1534190711"/>
    <n v="1"/>
    <s v="BHSCCR1534190711"/>
    <s v="0172437736"/>
    <s v="FORTERRA CONCRETE PRODUCT"/>
    <s v="FORTERRA CONCRETE PRODUCT"/>
    <s v="FORTERRA CONCRETE PRODUCT"/>
    <s v="1601 CULVERT ST"/>
    <s v="RAPID CITY"/>
    <s v="SD"/>
    <s v="57701"/>
    <x v="10"/>
    <s v="1936 MARLIN DR"/>
    <s v="RAPID CITY"/>
    <s v="SD"/>
    <s v="57703"/>
    <s v="605-348-7100"/>
    <s v="jwood@dsginc.biz"/>
    <s v="C&amp;I Custom Rebate :- Customer Incentives"/>
    <s v="Other Industrial"/>
    <s v="Industrial"/>
    <s v="Existing"/>
    <s v="Forced Air Furnace"/>
    <m/>
    <m/>
    <m/>
    <m/>
    <m/>
    <m/>
    <m/>
    <m/>
    <m/>
    <m/>
    <m/>
    <m/>
    <n v="5"/>
    <n v="0"/>
    <n v="0.95"/>
    <m/>
    <n v="2965"/>
    <m/>
    <m/>
    <m/>
    <m/>
    <m/>
    <n v="0"/>
    <n v="415"/>
    <n v="42830"/>
    <n v="42830.672180555601"/>
    <x v="1"/>
    <s v="6CAD591D1E914F5DAFC5EF458C52170F"/>
    <n v="593"/>
    <n v="83"/>
    <n v="1648.9692929508194"/>
    <n v="62959.041603410769"/>
    <n v="174.05364750819672"/>
    <n v="6797.6715808767258"/>
  </r>
  <r>
    <n v="9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167376875875129E-2"/>
    <n v="3.0814010713212095E-3"/>
    <b v="0"/>
    <b v="0"/>
    <s v=""/>
    <s v="BHSCCR1534193525"/>
    <n v="1"/>
    <s v="BHSCCR1534193525"/>
    <s v="6108833553"/>
    <s v="ROTH TRUCKING INC"/>
    <s v="ROTH TRUCKING INC"/>
    <s v="ROTH TRUCKING INC"/>
    <s v="3730 ELK VALE RD"/>
    <s v="RAPID CITY"/>
    <s v="SD"/>
    <s v="57703"/>
    <x v="20"/>
    <s v="1304 OREGON ST"/>
    <s v="RAPID CITY"/>
    <s v="SD"/>
    <s v="57701"/>
    <s v="605-348-2335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9"/>
    <n v="0"/>
    <n v="2.61"/>
    <m/>
    <n v="8226"/>
    <m/>
    <m/>
    <m/>
    <m/>
    <m/>
    <n v="0"/>
    <n v="1755"/>
    <n v="42831"/>
    <n v="42831.775187615698"/>
    <x v="1"/>
    <s v="C7C32CA244134E7D97519624A626CFDC"/>
    <n v="914"/>
    <n v="195"/>
    <n v="1648.9692929508194"/>
    <n v="62959.041603410769"/>
    <n v="174.05364750819672"/>
    <n v="6797.6715808767258"/>
  </r>
  <r>
    <n v="9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3618042064831299E-2"/>
    <n v="-2.1927162225300181E-2"/>
    <b v="0"/>
    <b v="0"/>
    <s v=""/>
    <s v="BHSCCR1534196955"/>
    <n v="1"/>
    <s v="BHSCCR1534196955"/>
    <s v="3346842936"/>
    <s v="KOTA CAMPGROUND-HOT SPRINGS"/>
    <s v="ZEST LLC"/>
    <s v="KOTA CAMPGROUND-HOT SPRINGS"/>
    <s v="27585 SD HIGHWAY 79"/>
    <s v="HOT SPRINGS"/>
    <s v="SD"/>
    <s v="57747"/>
    <x v="10"/>
    <s v="1936 MARLIN DR"/>
    <s v="RAPID CITY"/>
    <s v="SD"/>
    <s v="57703"/>
    <s v="605-348-7100"/>
    <s v="jwood@dsginc.biz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26"/>
    <n v="0"/>
    <n v="1.508"/>
    <m/>
    <n v="4212"/>
    <m/>
    <m/>
    <m/>
    <m/>
    <m/>
    <n v="0"/>
    <n v="650"/>
    <n v="42832"/>
    <n v="42832.6431449421"/>
    <x v="1"/>
    <s v="1891926658A8402FBD7C9B52543ED4D4"/>
    <n v="162"/>
    <n v="25"/>
    <n v="1648.9692929508194"/>
    <n v="62959.041603410769"/>
    <n v="174.05364750819672"/>
    <n v="6797.6715808767258"/>
  </r>
  <r>
    <n v="9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1413291222618987E-2"/>
    <n v="-1.9426305895638044E-2"/>
    <b v="0"/>
    <b v="0"/>
    <s v=""/>
    <s v="BHSCCR1534205095"/>
    <n v="1"/>
    <s v="BHSCCR1534205095"/>
    <s v="2143860150"/>
    <s v="RAMKOTA/BEST WESTERN"/>
    <s v="REGENCY RC VENTURES"/>
    <s v="RAMKOTA/BEST WESTERN"/>
    <s v="2111 N LACROSSE ST"/>
    <s v="RAPID CITY"/>
    <s v="SD"/>
    <s v="57701"/>
    <x v="5"/>
    <s v="317 MAPLE AVE"/>
    <s v="RAPID CITY"/>
    <s v="SD"/>
    <s v="57701"/>
    <s v="605-342-7913"/>
    <m/>
    <s v="C&amp;I Custom Rebate :- Customer Incentives"/>
    <s v="Other Commercial"/>
    <s v="Lodging"/>
    <s v="Existing"/>
    <s v="Forced Air Furnace"/>
    <m/>
    <m/>
    <m/>
    <m/>
    <m/>
    <m/>
    <m/>
    <m/>
    <m/>
    <m/>
    <m/>
    <m/>
    <n v="341"/>
    <n v="0"/>
    <n v="35.317369999999997"/>
    <m/>
    <n v="102575.86900000001"/>
    <m/>
    <m/>
    <m/>
    <m/>
    <m/>
    <n v="0"/>
    <n v="14322"/>
    <n v="42837"/>
    <n v="42837.5739428241"/>
    <x v="1"/>
    <s v="E4DC11C58B484EB4B719C433B702BEDF"/>
    <n v="300.80900000000003"/>
    <n v="42"/>
    <n v="1648.9692929508194"/>
    <n v="62959.041603410769"/>
    <n v="174.05364750819672"/>
    <n v="6797.6715808767258"/>
  </r>
  <r>
    <n v="9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35486611832157899"/>
    <n v="0.39365631608620238"/>
    <b v="0"/>
    <b v="0"/>
    <s v=""/>
    <s v="BHSCCR1534210353"/>
    <n v="1"/>
    <s v="BHSCCR1534210353"/>
    <s v="2049499193"/>
    <s v="FIRST INTERSTATE GATEWAY"/>
    <s v="FIRST INTERSTATE GATEWAY"/>
    <s v="FIRST INTERSTATE GATEWAY"/>
    <s v="333 WEST BLVD"/>
    <s v="RAPID CITY"/>
    <s v="SD"/>
    <s v="57701"/>
    <x v="14"/>
    <s v="PO BOX 4035"/>
    <s v="RAPID CITY"/>
    <s v="SD"/>
    <s v="57709"/>
    <s v="605-381-9452"/>
    <m/>
    <s v="C&amp;I Custom Rebate :- Customer Incentives"/>
    <s v="Other Commercial"/>
    <s v="Office"/>
    <s v="Existing"/>
    <s v="Electric Heat Other"/>
    <s v="Natural Gas"/>
    <m/>
    <m/>
    <m/>
    <m/>
    <m/>
    <m/>
    <m/>
    <m/>
    <m/>
    <m/>
    <m/>
    <n v="1"/>
    <n v="0"/>
    <n v="0"/>
    <m/>
    <n v="23991"/>
    <m/>
    <m/>
    <m/>
    <m/>
    <m/>
    <n v="0"/>
    <n v="2850"/>
    <n v="42839"/>
    <n v="42839.495634571802"/>
    <x v="1"/>
    <s v="992CD7B958D04F4D96798B26739DFA71"/>
    <n v="23991"/>
    <n v="2850"/>
    <n v="1648.9692929508194"/>
    <n v="62959.041603410769"/>
    <n v="174.05364750819672"/>
    <n v="6797.6715808767258"/>
  </r>
  <r>
    <n v="9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5.3400284080357484E-2"/>
    <n v="3.0296602305879782E-2"/>
    <b v="0"/>
    <b v="0"/>
    <s v=""/>
    <s v="BHSCCR1534211212"/>
    <n v="1"/>
    <s v="BHSCCR1534211212"/>
    <s v="5036865016"/>
    <s v="COMFORT INN"/>
    <s v="COMFORT INN"/>
    <s v="COMFORT INN"/>
    <s v="1550 N LACROSSE ST"/>
    <s v="RAPID CITY"/>
    <s v="SD"/>
    <s v="57701"/>
    <x v="10"/>
    <s v="1936 MARLIN DR"/>
    <s v="RAPID CITY"/>
    <s v="SD"/>
    <s v="57703"/>
    <s v="605-348-7100"/>
    <s v="jwood@dsginc.biz"/>
    <s v="C&amp;I Custom Rebate :- Customer Incentives"/>
    <s v="Other Commercial"/>
    <s v="Lodging"/>
    <s v="Existing"/>
    <s v="Forced Air Furnace"/>
    <m/>
    <m/>
    <m/>
    <m/>
    <m/>
    <m/>
    <m/>
    <m/>
    <m/>
    <m/>
    <m/>
    <m/>
    <n v="1"/>
    <n v="0"/>
    <n v="0"/>
    <m/>
    <n v="5011"/>
    <m/>
    <m/>
    <m/>
    <m/>
    <m/>
    <n v="0"/>
    <n v="380"/>
    <n v="42839"/>
    <n v="42839.650260844901"/>
    <x v="1"/>
    <s v="429F06CE165A4DD687B346E0E10F732C"/>
    <n v="5011"/>
    <n v="380"/>
    <n v="1648.9692929508194"/>
    <n v="62959.041603410769"/>
    <n v="174.05364750819672"/>
    <n v="6797.6715808767258"/>
  </r>
  <r>
    <n v="9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15927864293451882"/>
    <n v="0.17299252229248419"/>
    <b v="0"/>
    <b v="0"/>
    <s v=""/>
    <s v="BHSCCR1534260178"/>
    <n v="1"/>
    <s v="BHSCCR1534260178"/>
    <s v="5681739982"/>
    <s v="TRUPOWER INC"/>
    <s v="TRUPOWER INC"/>
    <s v="TRUPOWER INC"/>
    <s v="2021 MARLIN DR"/>
    <s v="RAPID CITY"/>
    <s v="SD"/>
    <s v="57701"/>
    <x v="10"/>
    <s v="1936 MARLIN DR"/>
    <s v="RAPID CITY"/>
    <s v="SD"/>
    <s v="57703"/>
    <s v="605-348-7100"/>
    <s v="jwood@dsginc.biz"/>
    <s v="C&amp;I Custom Rebate :- Customer Incentives"/>
    <s v="Other Commercial"/>
    <s v="Office"/>
    <s v="New"/>
    <s v="Forced Air Furnace"/>
    <m/>
    <m/>
    <m/>
    <m/>
    <m/>
    <m/>
    <m/>
    <m/>
    <m/>
    <m/>
    <m/>
    <m/>
    <n v="1"/>
    <n v="0"/>
    <n v="0"/>
    <m/>
    <n v="11677"/>
    <m/>
    <m/>
    <m/>
    <m/>
    <m/>
    <n v="0"/>
    <n v="1350"/>
    <n v="42850"/>
    <n v="42850.765667013897"/>
    <x v="1"/>
    <s v="2DA5432D7A4241B9ABB17CA6546D9F5B"/>
    <n v="11677"/>
    <n v="1350"/>
    <n v="1648.9692929508194"/>
    <n v="62959.041603410769"/>
    <n v="174.05364750819672"/>
    <n v="6797.6715808767258"/>
  </r>
  <r>
    <n v="9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24793945888470315"/>
    <n v="0.32010171815496297"/>
    <b v="0"/>
    <b v="0"/>
    <s v=""/>
    <s v="BHSCCR1534260178"/>
    <n v="0"/>
    <s v="BHSCCR1534260178"/>
    <s v="5681739982"/>
    <s v="TRUPOWER INC"/>
    <s v="TRUPOWER INC"/>
    <s v="TRUPOWER INC"/>
    <s v="2021 MARLIN DR"/>
    <s v="RAPID CITY"/>
    <s v="SD"/>
    <s v="57701"/>
    <x v="10"/>
    <s v="1936 MARLIN DR"/>
    <s v="RAPID CITY"/>
    <s v="SD"/>
    <s v="57703"/>
    <s v="605-348-7100"/>
    <s v="jwood@dsginc.biz"/>
    <s v="C&amp;I Custom Rebate :- Customer Incentives"/>
    <s v="Other Commercial"/>
    <s v="Office"/>
    <s v="New"/>
    <s v="Forced Air Furnace"/>
    <m/>
    <m/>
    <m/>
    <m/>
    <m/>
    <m/>
    <m/>
    <m/>
    <m/>
    <m/>
    <m/>
    <m/>
    <n v="1"/>
    <n v="0"/>
    <n v="6.6"/>
    <m/>
    <n v="17259"/>
    <m/>
    <m/>
    <m/>
    <m/>
    <m/>
    <n v="0"/>
    <n v="2350"/>
    <n v="42850"/>
    <n v="42850.765667013897"/>
    <x v="1"/>
    <s v="127217EF78114C96AFF03961D3B8FDC6"/>
    <n v="17259"/>
    <n v="2350"/>
    <n v="1648.9692929508194"/>
    <n v="62959.041603410769"/>
    <n v="174.05364750819672"/>
    <n v="6797.6715808767258"/>
  </r>
  <r>
    <n v="10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58512692964902835"/>
    <n v="0.85705028305301045"/>
    <b v="0"/>
    <b v="0"/>
    <s v=""/>
    <s v="BHSCCR1534266555"/>
    <n v="1"/>
    <s v="BHSCCR1534266555"/>
    <s v="5904825717"/>
    <s v="CIVIC CENTER"/>
    <s v="CITY OF RC"/>
    <s v="CIVIC CENTER"/>
    <s v="444 N MOUNT RUSHMORE RD                            913 CC ARENA"/>
    <s v="RAPID CITY"/>
    <s v="SD"/>
    <s v="57701"/>
    <x v="3"/>
    <s v="PO BOX 1400"/>
    <s v="RAPID CITY"/>
    <s v="SD"/>
    <s v="57709"/>
    <s v="605-721-2687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4.0999999999999996"/>
    <m/>
    <n v="38488"/>
    <m/>
    <m/>
    <m/>
    <m/>
    <m/>
    <n v="0"/>
    <n v="6000"/>
    <n v="42852"/>
    <n v="42852.635758877303"/>
    <x v="1"/>
    <s v="F48C468928E84B07924E179796E1F6FB"/>
    <n v="38488"/>
    <n v="6000"/>
    <n v="1648.9692929508194"/>
    <n v="62959.041603410769"/>
    <n v="174.05364750819672"/>
    <n v="6797.6715808767258"/>
  </r>
  <r>
    <n v="10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5.3328485020785337"/>
    <n v="3.25051689973554"/>
    <b v="1"/>
    <b v="1"/>
    <s v=""/>
    <s v="BHSCCR1534269532"/>
    <n v="1"/>
    <s v="BHSCCR1534269532"/>
    <s v="1359204156"/>
    <s v="LYNNS DAKOTAMART"/>
    <s v="LYNNS DAKOTAMART"/>
    <s v="LYNNS DAKOTAMART"/>
    <s v="1111 LAZELLE ST"/>
    <s v="STURGIS"/>
    <s v="SD"/>
    <s v="57785"/>
    <x v="21"/>
    <s v="4590 ISH DR UNIT #100"/>
    <s v="SIMI VALLEY"/>
    <s v="CA"/>
    <s v="93063"/>
    <s v="805-523-7500"/>
    <m/>
    <s v="C&amp;I Custom Rebate :- Customer Incentives"/>
    <s v="Other Commercial"/>
    <s v="Grocery"/>
    <s v="Existing"/>
    <s v="Forced Air Furnace"/>
    <m/>
    <m/>
    <m/>
    <m/>
    <m/>
    <m/>
    <m/>
    <m/>
    <m/>
    <m/>
    <m/>
    <m/>
    <n v="1"/>
    <n v="0"/>
    <n v="38.520000000000003"/>
    <m/>
    <n v="337400"/>
    <m/>
    <m/>
    <m/>
    <m/>
    <m/>
    <n v="0"/>
    <n v="22270"/>
    <n v="42856"/>
    <n v="42853.637417858801"/>
    <x v="1"/>
    <s v="AE62856CDB6740A0B2BC3E21CC064278"/>
    <n v="337400"/>
    <n v="22270"/>
    <n v="1648.9692929508194"/>
    <n v="62959.041603410769"/>
    <n v="174.05364750819672"/>
    <n v="6797.6715808767258"/>
  </r>
  <r>
    <n v="10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13489771271532625"/>
    <n v="0.24213384434784924"/>
    <b v="0"/>
    <b v="0"/>
    <s v=""/>
    <s v="BHSCCR1534277743"/>
    <n v="1"/>
    <s v="BHSCCR1534277743"/>
    <s v="3185776379"/>
    <s v="MAMMOTH SITE OF HSSD"/>
    <s v="MAMMOTH SITE OF HSSD"/>
    <s v="MAMMOTH SITE OF HSSD"/>
    <s v="1745 EVANSTON AVE"/>
    <s v="HOT SPRINGS"/>
    <s v="SD"/>
    <s v="57747"/>
    <x v="4"/>
    <s v="PO BOX 30"/>
    <s v="PIEDMONT"/>
    <s v="SD"/>
    <s v="57769"/>
    <s v="605-277-1181"/>
    <s v="todd@genproenergy.com"/>
    <s v="C&amp;I Custom Rebate :- Customer Incentives"/>
    <s v="Other Commercial"/>
    <s v="Other"/>
    <s v="Existing"/>
    <s v="Electric Heat Other"/>
    <m/>
    <m/>
    <m/>
    <m/>
    <m/>
    <m/>
    <m/>
    <m/>
    <m/>
    <m/>
    <m/>
    <m/>
    <n v="1"/>
    <n v="0"/>
    <n v="4.88"/>
    <m/>
    <n v="10142"/>
    <m/>
    <m/>
    <m/>
    <m/>
    <m/>
    <n v="0"/>
    <n v="1820"/>
    <n v="42857"/>
    <n v="42857.704060914402"/>
    <x v="1"/>
    <s v="625AC985FF574981A5B864F82D5A11C1"/>
    <n v="10142"/>
    <n v="1820"/>
    <n v="1648.9692929508194"/>
    <n v="62959.041603410769"/>
    <n v="174.05364750819672"/>
    <n v="6797.6715808767258"/>
  </r>
  <r>
    <n v="10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8070172196569243"/>
    <n v="1.3903211180544961"/>
    <b v="0"/>
    <b v="0"/>
    <s v=""/>
    <s v="BHSCCR1534306467"/>
    <n v="1"/>
    <s v="BHSCCR1534306467"/>
    <s v="5442401556"/>
    <s v="EVENTS CENTER"/>
    <s v="EVENTS CENTER"/>
    <s v="CENTRAL STATES FAIR"/>
    <s v="800 SAN FRANCISCO ST"/>
    <s v="RAPID CITY"/>
    <s v="SD"/>
    <s v="57701"/>
    <x v="4"/>
    <s v="PO BOX 30"/>
    <s v="PIEDMONT"/>
    <s v="SD"/>
    <s v="57769"/>
    <s v="605-277-1181"/>
    <s v="todd@genproenergy.com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28.74"/>
    <m/>
    <n v="52458"/>
    <m/>
    <m/>
    <m/>
    <m/>
    <m/>
    <n v="0"/>
    <n v="9625"/>
    <n v="42858"/>
    <n v="42858.781469560199"/>
    <x v="1"/>
    <s v="097C23E68AD94B6D904DBBE3A1E6F3C3"/>
    <n v="52458"/>
    <n v="9625"/>
    <n v="1648.9692929508194"/>
    <n v="62959.041603410769"/>
    <n v="174.05364750819672"/>
    <n v="6797.6715808767258"/>
  </r>
  <r>
    <n v="10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6.7091725024294946E-2"/>
    <n v="0.11414884394749268"/>
    <b v="0"/>
    <b v="0"/>
    <s v=""/>
    <s v="BHSCCR1534322882"/>
    <n v="1"/>
    <s v="BHSCCR1534322882"/>
    <s v="6142826120"/>
    <s v="PARTY TIME LIQUOR"/>
    <s v="PARTY TIME LIQUOR"/>
    <s v="PARTY TIME LIQUOR"/>
    <s v="729 N 12TH ST"/>
    <s v="SPEARFISH"/>
    <s v="SD"/>
    <s v="57783"/>
    <x v="11"/>
    <s v="821 N RAINBOW RD"/>
    <s v="SPEARFISH"/>
    <s v="SD"/>
    <s v="57783"/>
    <s v="605-642-6480"/>
    <s v="ROYALELECTRICSD@GMAIL.COM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1.04"/>
    <m/>
    <n v="5873"/>
    <m/>
    <m/>
    <m/>
    <m/>
    <m/>
    <n v="0"/>
    <n v="950"/>
    <n v="42866"/>
    <n v="42866.480812419002"/>
    <x v="1"/>
    <s v="9DA1F6ACC8D34C41A000741CBA0518A7"/>
    <n v="5873"/>
    <n v="950"/>
    <n v="1648.9692929508194"/>
    <n v="62959.041603410769"/>
    <n v="174.05364750819672"/>
    <n v="6797.6715808767258"/>
  </r>
  <r>
    <n v="10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5.4379686258164365E-3"/>
    <n v="-1.8249432328738213E-2"/>
    <b v="0"/>
    <b v="0"/>
    <s v=""/>
    <s v="BHSCCR1534325391"/>
    <n v="1"/>
    <s v="BHSCCR1534325391"/>
    <s v="3852871419"/>
    <s v="DEADWOOD RESORTS LLC"/>
    <s v="DEADWOOD RESORTS LLC"/>
    <s v="DEADWOOD RESORTS LLC"/>
    <s v="100 PINE CREST DR                                  LIGHTS AND RV"/>
    <s v="DEADWOOD"/>
    <s v="SD"/>
    <s v="57732"/>
    <x v="22"/>
    <s v="1720 SAMCO RD #A"/>
    <s v="RAPID CITY"/>
    <s v="SD"/>
    <s v="57702"/>
    <s v="605-391-0086"/>
    <s v="BUCKSELECTRIC@RUSHMORE.COM"/>
    <s v="C&amp;I Custom Rebate :- Customer Incentives"/>
    <s v="Other Commercial"/>
    <s v="Other"/>
    <s v="New"/>
    <s v="Forced Air Furnace"/>
    <m/>
    <m/>
    <m/>
    <m/>
    <m/>
    <m/>
    <m/>
    <m/>
    <m/>
    <m/>
    <m/>
    <m/>
    <n v="10"/>
    <n v="0"/>
    <n v="0"/>
    <m/>
    <n v="13066"/>
    <m/>
    <m/>
    <m/>
    <m/>
    <m/>
    <n v="0"/>
    <n v="500"/>
    <n v="42867"/>
    <n v="42867.459180324098"/>
    <x v="1"/>
    <s v="DE44C086AB43449786A2643B9554C1C8"/>
    <n v="1306.5999999999999"/>
    <n v="50"/>
    <n v="1648.9692929508194"/>
    <n v="62959.041603410769"/>
    <n v="174.05364750819672"/>
    <n v="6797.6715808767258"/>
  </r>
  <r>
    <n v="10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850437191219378E-2"/>
    <n v="-1.3836156452863849E-2"/>
    <b v="0"/>
    <b v="0"/>
    <s v=""/>
    <s v="BHSCCR1534532652"/>
    <n v="1"/>
    <s v="BHSCCR1534532652"/>
    <s v="2930407586"/>
    <s v="SOUTH CANYON BAPTIST"/>
    <s v="SOUTH CANYON BAPTIST"/>
    <s v="SOUTH CANYON BAPTIST"/>
    <s v="3333 W CHICAGO ST"/>
    <s v="RAPID CITY"/>
    <s v="SD"/>
    <s v="57702"/>
    <x v="23"/>
    <s v="401 MAPLE AVE"/>
    <s v="RAPID CITY"/>
    <s v="SD"/>
    <s v="57701"/>
    <s v="605-342-4099"/>
    <s v="DLARSON@FREEMANSELECTRIC.COM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36"/>
    <n v="0"/>
    <n v="16.559999999999999"/>
    <m/>
    <n v="25704"/>
    <m/>
    <m/>
    <m/>
    <m/>
    <m/>
    <n v="0"/>
    <n v="2880"/>
    <n v="42926"/>
    <n v="42926.480953009297"/>
    <x v="1"/>
    <s v="77E057E21D8740B888064F79F8F85639"/>
    <n v="714"/>
    <n v="80"/>
    <n v="1648.9692929508194"/>
    <n v="62959.041603410769"/>
    <n v="174.05364750819672"/>
    <n v="6797.6715808767258"/>
  </r>
  <r>
    <n v="10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3459208643207895E-2"/>
    <n v="-2.1191616245987789E-2"/>
    <b v="0"/>
    <b v="0"/>
    <s v=""/>
    <s v="BHSCCR1534560962"/>
    <n v="1"/>
    <s v="BHSCCR1534560962"/>
    <s v="3369771763"/>
    <s v="EVERETT"/>
    <s v="BURGESON"/>
    <s v="EDWARD JONES OFFICE"/>
    <s v="120 W HUDSON ST"/>
    <s v="SPEARFISH"/>
    <s v="SD"/>
    <s v="57783"/>
    <x v="24"/>
    <s v="PO BOX 9"/>
    <s v="SUNDANCE"/>
    <s v="WY"/>
    <s v="82729"/>
    <s v="605-642-2981"/>
    <s v="HARTLELEC@GMAIL.COM"/>
    <s v="C&amp;I Custom Rebate :- Customer Incentives"/>
    <s v="Other Commercial"/>
    <s v="Office"/>
    <s v="Existing"/>
    <s v="Forced Air Furnace"/>
    <m/>
    <m/>
    <m/>
    <m/>
    <m/>
    <m/>
    <m/>
    <m/>
    <m/>
    <m/>
    <m/>
    <m/>
    <n v="14"/>
    <n v="0"/>
    <n v="0.98"/>
    <m/>
    <n v="2408"/>
    <m/>
    <m/>
    <m/>
    <m/>
    <m/>
    <n v="0"/>
    <n v="420"/>
    <n v="42935"/>
    <n v="42935.638149999999"/>
    <x v="1"/>
    <s v="A1D333D52EE547E2B72F3FB5511AF8FE"/>
    <n v="172"/>
    <n v="30"/>
    <n v="1648.9692929508194"/>
    <n v="62959.041603410769"/>
    <n v="174.05364750819672"/>
    <n v="6797.6715808767258"/>
  </r>
  <r>
    <n v="10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2977180975265188E-2"/>
    <n v="-2.0456070266675393E-2"/>
    <b v="0"/>
    <b v="0"/>
    <s v=""/>
    <s v="BHSCCR1534574707"/>
    <n v="1"/>
    <s v="BHSCCR1534574707"/>
    <s v="9798957253"/>
    <s v="PERFECT HANGING GALLERY"/>
    <s v="PERFECT HANGING GALLERY"/>
    <s v="PERFECT HANGING GALLERY"/>
    <s v="621 MAIN ST"/>
    <s v="RAPID CITY"/>
    <s v="SD"/>
    <s v="57701"/>
    <x v="14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8"/>
    <n v="0"/>
    <n v="0.60799999999999998"/>
    <m/>
    <n v="1618.7840000000001"/>
    <m/>
    <m/>
    <m/>
    <m/>
    <m/>
    <n v="0"/>
    <n v="280"/>
    <n v="42940"/>
    <n v="42940.547665046302"/>
    <x v="1"/>
    <s v="57C9CA72F6E34D20BD763371F6143833"/>
    <n v="202.34800000000001"/>
    <n v="35"/>
    <n v="1648.9692929508194"/>
    <n v="62959.041603410769"/>
    <n v="174.05364750819672"/>
    <n v="6797.6715808767258"/>
  </r>
  <r>
    <n v="10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5809943283234282E-2"/>
    <n v="-2.5181217637778214E-2"/>
    <b v="0"/>
    <b v="0"/>
    <s v=""/>
    <s v="BHSCCR1534574707"/>
    <n v="0"/>
    <s v="BHSCCR1534574707"/>
    <s v="9798957253"/>
    <s v="PERFECT HANGING GALLERY"/>
    <s v="PERFECT HANGING GALLERY"/>
    <s v="PERFECT HANGING GALLERY"/>
    <s v="621 MAIN ST"/>
    <s v="RAPID CITY"/>
    <s v="SD"/>
    <s v="57701"/>
    <x v="14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20"/>
    <n v="0"/>
    <n v="0.18"/>
    <m/>
    <n v="480"/>
    <m/>
    <m/>
    <m/>
    <m/>
    <m/>
    <n v="0"/>
    <n v="57.6"/>
    <n v="42940"/>
    <n v="42940.547665046302"/>
    <x v="1"/>
    <s v="B22527E8F3F5467BA106592742961C21"/>
    <n v="24"/>
    <n v="2.88"/>
    <n v="1648.9692929508194"/>
    <n v="62959.041603410769"/>
    <n v="174.05364750819672"/>
    <n v="6797.6715808767258"/>
  </r>
  <r>
    <n v="11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527708256703522E-2"/>
    <n v="-2.4133800163237365E-2"/>
    <b v="0"/>
    <b v="0"/>
    <s v=""/>
    <s v="BHSCCR1534574707"/>
    <n v="0"/>
    <s v="BHSCCR1534574707"/>
    <s v="9798957253"/>
    <s v="PERFECT HANGING GALLERY"/>
    <s v="PERFECT HANGING GALLERY"/>
    <s v="PERFECT HANGING GALLERY"/>
    <s v="621 MAIN ST"/>
    <s v="RAPID CITY"/>
    <s v="SD"/>
    <s v="57701"/>
    <x v="14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2.1999999999999999E-2"/>
    <m/>
    <n v="57.548400000000001"/>
    <m/>
    <m/>
    <m/>
    <m/>
    <m/>
    <n v="0"/>
    <n v="10"/>
    <n v="42940"/>
    <n v="42940.547665046302"/>
    <x v="1"/>
    <s v="61F29D8752C54840A7351FEBA60159BA"/>
    <n v="57.548400000000001"/>
    <n v="10"/>
    <n v="1648.9692929508194"/>
    <n v="62959.041603410769"/>
    <n v="174.05364750819672"/>
    <n v="6797.6715808767258"/>
  </r>
  <r>
    <n v="111"/>
    <s v="Non-Residential - BHPSD - C/I Prescriptive Rebate"/>
    <b v="0"/>
    <s v="Non-Residential - BHPSD - C/I Prescriptive Rebate__"/>
    <n v="0"/>
    <x v="0"/>
    <x v="0"/>
    <x v="0"/>
    <x v="0"/>
    <s v=""/>
    <s v=""/>
    <b v="0"/>
    <b v="0"/>
    <s v="Non-Residential - BHPSD - C/I Prescriptive Rebate"/>
    <n v="66"/>
    <n v="1"/>
    <s v=""/>
    <s v=""/>
    <s v=""/>
    <s v=""/>
    <s v=""/>
    <s v=""/>
    <s v=""/>
    <s v=""/>
    <s v=""/>
    <x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530"/>
    <n v="0"/>
    <n v="397.78709300000003"/>
    <m/>
    <n v="1831274.4110000001"/>
    <m/>
    <m/>
    <m/>
    <m/>
    <m/>
    <n v="0"/>
    <n v="212569.81034"/>
    <s v=""/>
    <m/>
    <x v="0"/>
    <s v=""/>
    <n v="104.46516891043925"/>
    <n v="12.126058775812892"/>
    <e v="#N/A"/>
    <e v="#N/A"/>
    <e v="#N/A"/>
    <e v="#N/A"/>
  </r>
  <r>
    <n v="112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2834320"/>
    <n v="1"/>
    <s v="BHHPPS1532834320"/>
    <s v="3546493334"/>
    <s v="DAVID L"/>
    <s v="BUSSKOHL"/>
    <s v="DAVES ROCK SHOP"/>
    <s v="1020 MOUNT RUSHMORE RD                             ROCK SHOP"/>
    <s v="CUSTER"/>
    <s v="SD"/>
    <s v="57730"/>
    <x v="25"/>
    <s v="710 N CREEK DR"/>
    <s v="RAPID CITY"/>
    <s v="SD"/>
    <s v="57703"/>
    <s v="605-399-3922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8"/>
    <n v="0"/>
    <n v="0.11952"/>
    <m/>
    <n v="349.38400000000001"/>
    <m/>
    <m/>
    <m/>
    <m/>
    <m/>
    <n v="0"/>
    <n v="64"/>
    <n v="42835"/>
    <n v="42593.732703391201"/>
    <x v="1"/>
    <s v="96E03B0CAA5946E0AF6756CC4CC7D75A"/>
    <n v="43.673000000000002"/>
    <n v="8"/>
    <n v="71.928403166606657"/>
    <n v="30.28616226838243"/>
    <n v="10.421419234256929"/>
    <n v="3.9940053618595535"/>
  </r>
  <r>
    <n v="113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6067925266997778"/>
    <n v="-0.79127047621093749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x v="25"/>
    <s v="710 N CREEK DR"/>
    <s v="RAPID CITY"/>
    <s v="SD"/>
    <s v="57703"/>
    <s v="605-399-3922"/>
    <m/>
    <s v="C&amp;I Prescriptive Rebate :- C&amp;I Lighting :- Customer Incentives"/>
    <s v="Energy Star LED Lamps - 5W to 10W"/>
    <s v="Retail"/>
    <s v="Existing"/>
    <m/>
    <m/>
    <m/>
    <m/>
    <m/>
    <m/>
    <m/>
    <m/>
    <m/>
    <m/>
    <m/>
    <m/>
    <m/>
    <n v="2"/>
    <n v="0"/>
    <n v="5.9760000000000001E-2"/>
    <m/>
    <n v="174.69200000000001"/>
    <m/>
    <m/>
    <m/>
    <m/>
    <m/>
    <n v="0"/>
    <n v="6.42"/>
    <n v="42835"/>
    <n v="42593.732703391201"/>
    <x v="1"/>
    <s v="8247F16C24A3433A9F174DDFE9356E91"/>
    <n v="87.346000000000004"/>
    <n v="3.21"/>
    <n v="124.22266552020636"/>
    <n v="22.950483592270654"/>
    <n v="4.8732072914875317"/>
    <n v="2.1019453416888925"/>
  </r>
  <r>
    <n v="11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x v="25"/>
    <s v="710 N CREEK DR"/>
    <s v="RAPID CITY"/>
    <s v="SD"/>
    <s v="57703"/>
    <s v="605-399-3922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34"/>
    <n v="0"/>
    <n v="0.50795999999999997"/>
    <m/>
    <n v="1484.8820000000001"/>
    <m/>
    <m/>
    <m/>
    <m/>
    <m/>
    <n v="0"/>
    <n v="272"/>
    <n v="42835"/>
    <n v="42593.732703391201"/>
    <x v="1"/>
    <s v="43663287F4E643DEAA2FF60DB36BB9FF"/>
    <n v="43.673000000000002"/>
    <n v="8"/>
    <n v="71.928403166606657"/>
    <n v="30.28616226838243"/>
    <n v="10.421419234256929"/>
    <n v="3.9940053618595535"/>
  </r>
  <r>
    <n v="115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6067925266997778"/>
    <n v="-0.29649072177433061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x v="25"/>
    <s v="710 N CREEK DR"/>
    <s v="RAPID CITY"/>
    <s v="SD"/>
    <s v="57703"/>
    <s v="605-399-3922"/>
    <m/>
    <s v="C&amp;I Prescriptive Rebate :- C&amp;I Lighting :- Customer Incentives"/>
    <s v="Energy Star LED Lamps - 5W to 10W"/>
    <s v="Retail"/>
    <s v="Existing"/>
    <m/>
    <m/>
    <m/>
    <m/>
    <m/>
    <m/>
    <m/>
    <m/>
    <m/>
    <m/>
    <m/>
    <m/>
    <m/>
    <n v="2"/>
    <n v="0"/>
    <n v="5.9760000000000001E-2"/>
    <m/>
    <n v="174.69200000000001"/>
    <m/>
    <m/>
    <m/>
    <m/>
    <m/>
    <n v="0"/>
    <n v="8.5"/>
    <n v="42835"/>
    <n v="42593.732703391201"/>
    <x v="1"/>
    <s v="9849C99E33224450AC436E6EB98ED91E"/>
    <n v="87.346000000000004"/>
    <n v="4.25"/>
    <n v="124.22266552020636"/>
    <n v="22.950483592270654"/>
    <n v="4.8732072914875317"/>
    <n v="2.1019453416888925"/>
  </r>
  <r>
    <n v="116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6067925266997778"/>
    <n v="-1.0291453581516139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x v="25"/>
    <s v="710 N CREEK DR"/>
    <s v="RAPID CITY"/>
    <s v="SD"/>
    <s v="57703"/>
    <s v="605-399-3922"/>
    <m/>
    <s v="C&amp;I Prescriptive Rebate :- C&amp;I Lighting :- Customer Incentives"/>
    <s v="Energy Star LED Lamps - 5W to 10W"/>
    <s v="Retail"/>
    <s v="Existing"/>
    <m/>
    <m/>
    <m/>
    <m/>
    <m/>
    <m/>
    <m/>
    <m/>
    <m/>
    <m/>
    <m/>
    <m/>
    <m/>
    <n v="10"/>
    <n v="0"/>
    <n v="0.29880000000000001"/>
    <m/>
    <n v="873.46"/>
    <m/>
    <m/>
    <m/>
    <m/>
    <m/>
    <n v="0"/>
    <n v="27.1"/>
    <n v="42835"/>
    <n v="42593.732703391201"/>
    <x v="1"/>
    <s v="8280BA1D5915486E87D9160CB788A331"/>
    <n v="87.346000000000004"/>
    <n v="2.71"/>
    <n v="124.22266552020636"/>
    <n v="22.950483592270654"/>
    <n v="4.8732072914875317"/>
    <n v="2.1019453416888925"/>
  </r>
  <r>
    <n v="117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1.4199828794462095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x v="25"/>
    <s v="710 N CREEK DR"/>
    <s v="RAPID CITY"/>
    <s v="SD"/>
    <s v="57703"/>
    <s v="605-399-3922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10"/>
    <n v="0"/>
    <n v="0.14940000000000001"/>
    <m/>
    <n v="436.73"/>
    <m/>
    <m/>
    <m/>
    <m/>
    <m/>
    <n v="0"/>
    <n v="47.5"/>
    <n v="42835"/>
    <n v="42593.732703391201"/>
    <x v="1"/>
    <s v="72BF192DA79940859C48D0DC2037F428"/>
    <n v="43.673000000000002"/>
    <n v="4.75"/>
    <n v="71.928403166606657"/>
    <n v="30.28616226838243"/>
    <n v="10.421419234256929"/>
    <n v="3.9940053618595535"/>
  </r>
  <r>
    <n v="118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1268030379184058"/>
    <n v="-4.8057188404622845E-3"/>
    <b v="0"/>
    <b v="0"/>
    <s v=""/>
    <s v="BHHPPS1532903451"/>
    <n v="1"/>
    <s v="BHHPPS1532903451"/>
    <s v="6055909084"/>
    <s v="CBH COOPERATIVE"/>
    <s v="CBH COOPERATIVE"/>
    <s v="CBH COOPERATIVE"/>
    <s v="2311 5TH AVE"/>
    <s v="BELLE FOURCHE"/>
    <s v="SD"/>
    <s v="57717"/>
    <x v="3"/>
    <s v="PO BOX 1400"/>
    <s v="RAPID CITY"/>
    <s v="SD"/>
    <s v="57709"/>
    <s v="605-721-2687"/>
    <m/>
    <s v="C&amp;I Prescriptive Rebate :- C&amp;I Lighting :- Customer Incentives"/>
    <s v="LED Fixtures Exterior &amp; Garage - 60W to 150W"/>
    <s v="Convenience"/>
    <s v="Existing"/>
    <m/>
    <m/>
    <m/>
    <m/>
    <m/>
    <m/>
    <m/>
    <m/>
    <m/>
    <m/>
    <m/>
    <m/>
    <m/>
    <n v="14"/>
    <n v="0"/>
    <n v="3.6151390000000001"/>
    <m/>
    <n v="16748.745999999999"/>
    <m/>
    <m/>
    <m/>
    <m/>
    <m/>
    <n v="0"/>
    <n v="1400"/>
    <n v="42625"/>
    <n v="42625.788249421297"/>
    <x v="1"/>
    <s v="2891919D6B1446B0A09817667C04F825"/>
    <n v="1196.3389999999999"/>
    <n v="100"/>
    <n v="1175.7261559139786"/>
    <n v="162.55796725694501"/>
    <n v="100.15639784946237"/>
    <n v="32.544111433560438"/>
  </r>
  <r>
    <n v="119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-4.8057188404622845E-3"/>
    <b v="0"/>
    <b v="0"/>
    <s v=""/>
    <s v="BHHPPS1532903452"/>
    <n v="1"/>
    <s v="BHHPPS1532903452"/>
    <s v="6055909084"/>
    <s v="CBH COOPERATIVE"/>
    <s v="CBH COOPERATIVE"/>
    <s v="CBH COOPERATIVE"/>
    <s v="2030 LAZELLE ST"/>
    <s v="STURGIS"/>
    <s v="SD"/>
    <s v="57785"/>
    <x v="3"/>
    <s v="PO BOX 1400"/>
    <s v="RAPID CITY"/>
    <s v="SD"/>
    <s v="57709"/>
    <s v="605-721-2687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32"/>
    <n v="0"/>
    <n v="7.9039070000000002"/>
    <m/>
    <n v="37036.127999999997"/>
    <m/>
    <m/>
    <m/>
    <m/>
    <m/>
    <n v="0"/>
    <n v="3200"/>
    <n v="42625"/>
    <n v="42625.797486921299"/>
    <x v="1"/>
    <s v="9807B2ECA873433A81D48867EB783E41"/>
    <n v="1157.3789999999999"/>
    <n v="100"/>
    <n v="1175.7261559139786"/>
    <n v="162.55796725694501"/>
    <n v="100.15639784946237"/>
    <n v="32.544111433560438"/>
  </r>
  <r>
    <n v="120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0.51704137446278264"/>
    <b v="0"/>
    <b v="0"/>
    <s v=""/>
    <s v="BHHPPS1532910932"/>
    <n v="1"/>
    <s v="BHHPPS1532910932"/>
    <s v="9464120950"/>
    <s v="CELEBRITY HOTEL"/>
    <s v="ROLLING HILLS FARM INVEST"/>
    <s v="ROLLING HILLS FARM INVEST"/>
    <s v="627 MAIN ST"/>
    <s v="DEADWOOD"/>
    <s v="SD"/>
    <s v="57732"/>
    <x v="10"/>
    <s v="1936 MARLIN DR"/>
    <s v="RAPID CITY"/>
    <s v="SD"/>
    <s v="57703"/>
    <s v="605-348-7100"/>
    <s v="jwood@dsginc.biz"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39"/>
    <n v="0"/>
    <n v="0.94517300000000004"/>
    <m/>
    <n v="4428.8789999999999"/>
    <m/>
    <m/>
    <m/>
    <m/>
    <m/>
    <n v="0"/>
    <n v="232.44"/>
    <n v="42627"/>
    <n v="42627.686588078701"/>
    <x v="1"/>
    <s v="16B611841A6D4C349DDAF9EDFB861BB4"/>
    <n v="113.56099999999999"/>
    <n v="5.96"/>
    <n v="124.22266552020636"/>
    <n v="22.950483592270654"/>
    <n v="4.8732072914875317"/>
    <n v="2.1019453416888925"/>
  </r>
  <r>
    <n v="121"/>
    <s v="Non-Residential - BHPSD - C/I Prescriptive Rebate"/>
    <b v="1"/>
    <s v="Non-Residential - BHPSD - C/I Prescriptive Rebate_C&amp;I Prescriptive Rebate :- C&amp;I Lighting :- Customer Incentives_Energy Star LED Lamps - 5W or less"/>
    <s v="C&amp;I_C&amp;I Prescriptive_Lighting_Energy Star LED Lamp (≤5W)"/>
    <x v="2"/>
    <x v="3"/>
    <x v="3"/>
    <x v="7"/>
    <n v="-3.9408866995073705E-2"/>
    <n v="3.9408866995073871E-2"/>
    <b v="0"/>
    <b v="0"/>
    <s v=""/>
    <s v="BHHPPS1532910932"/>
    <n v="0"/>
    <s v="BHHPPS1532910932"/>
    <s v="9464120950"/>
    <s v="CELEBRITY HOTEL"/>
    <s v="ROLLING HILLS FARM INVEST"/>
    <s v="ROLLING HILLS FARM INVEST"/>
    <s v="627 MAIN ST"/>
    <s v="DEADWOOD"/>
    <s v="SD"/>
    <s v="57732"/>
    <x v="10"/>
    <s v="1936 MARLIN DR"/>
    <s v="RAPID CITY"/>
    <s v="SD"/>
    <s v="57703"/>
    <s v="605-348-7100"/>
    <s v="jwood@dsginc.biz"/>
    <s v="C&amp;I Prescriptive Rebate :- C&amp;I Lighting :- Customer Incentives"/>
    <s v="Energy Star LED Lamps - 5W or less"/>
    <s v="Other"/>
    <s v="Existing"/>
    <m/>
    <m/>
    <m/>
    <m/>
    <m/>
    <m/>
    <m/>
    <m/>
    <m/>
    <m/>
    <m/>
    <m/>
    <m/>
    <n v="398"/>
    <n v="0"/>
    <n v="6.4304059999999996"/>
    <m/>
    <n v="30131.784"/>
    <m/>
    <m/>
    <m/>
    <m/>
    <m/>
    <n v="0"/>
    <n v="1990"/>
    <n v="42627"/>
    <n v="42627.686588078701"/>
    <x v="1"/>
    <s v="7322DE2D450745F6B8EC27FECD2C50DE"/>
    <n v="75.707999999999998"/>
    <n v="5"/>
    <n v="76.267448275862066"/>
    <n v="14.196000000000021"/>
    <n v="4.9761576354679802"/>
    <n v="0.60500000000000331"/>
  </r>
  <r>
    <n v="122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1.3319094756253556"/>
    <b v="0"/>
    <b v="0"/>
    <s v=""/>
    <s v="BHHPPS1532910932"/>
    <n v="0"/>
    <s v="BHHPPS1532910932"/>
    <s v="9464120950"/>
    <s v="CELEBRITY HOTEL"/>
    <s v="ROLLING HILLS FARM INVEST"/>
    <s v="ROLLING HILLS FARM INVEST"/>
    <s v="627 MAIN ST"/>
    <s v="DEADWOOD"/>
    <s v="SD"/>
    <s v="57732"/>
    <x v="10"/>
    <s v="1936 MARLIN DR"/>
    <s v="RAPID CITY"/>
    <s v="SD"/>
    <s v="57703"/>
    <s v="605-348-7100"/>
    <s v="jwood@dsginc.biz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154"/>
    <n v="0"/>
    <n v="5.9093499999999999"/>
    <m/>
    <n v="27689.97"/>
    <m/>
    <m/>
    <m/>
    <m/>
    <m/>
    <n v="0"/>
    <n v="1925"/>
    <n v="42627"/>
    <n v="42627.686588078701"/>
    <x v="1"/>
    <s v="32961D5C4EE94AC79826907563B3A1D3"/>
    <n v="179.80500000000001"/>
    <n v="12.5"/>
    <n v="183.5885054112554"/>
    <n v="35.763002108901198"/>
    <n v="9.5846103896103898"/>
    <n v="2.1888796977142775"/>
  </r>
  <r>
    <n v="12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2913128"/>
    <n v="1"/>
    <s v="BHHPPS1532913128"/>
    <s v="7513202077"/>
    <s v="KENS MINERALS LLC"/>
    <s v="KENS MINERALS LLC"/>
    <s v="KENS MINERALS LLC"/>
    <s v="12372 US HIGHWAY 16A"/>
    <s v="CUSTER"/>
    <s v="SD"/>
    <s v="57730"/>
    <x v="26"/>
    <s v="12390 WILOW CREEK RD"/>
    <s v="CUSTER"/>
    <s v="SD"/>
    <s v="57730"/>
    <s v="605-673-2810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12"/>
    <n v="0"/>
    <n v="0.17927999999999999"/>
    <m/>
    <n v="524.07600000000002"/>
    <m/>
    <m/>
    <m/>
    <m/>
    <m/>
    <n v="0"/>
    <n v="96"/>
    <n v="42628"/>
    <n v="42628.496363275503"/>
    <x v="1"/>
    <s v="5F57E7FFBEAF4E5CA3AD7DDA9F13D7A9"/>
    <n v="43.673000000000002"/>
    <n v="8"/>
    <n v="71.928403166606657"/>
    <n v="30.28616226838243"/>
    <n v="10.421419234256929"/>
    <n v="3.9940053618595535"/>
  </r>
  <r>
    <n v="124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5090640635406195"/>
    <n v="1.3967384267971441"/>
    <b v="0"/>
    <b v="0"/>
    <s v=""/>
    <s v="BHHPPS1532913128"/>
    <n v="0"/>
    <s v="BHHPPS1532913128"/>
    <s v="7513202077"/>
    <s v="KENS MINERALS LLC"/>
    <s v="KENS MINERALS LLC"/>
    <s v="KENS MINERALS LLC"/>
    <s v="12372 US HIGHWAY 16A"/>
    <s v="CUSTER"/>
    <s v="SD"/>
    <s v="57730"/>
    <x v="26"/>
    <s v="12390 WILOW CREEK RD"/>
    <s v="CUSTER"/>
    <s v="SD"/>
    <s v="57730"/>
    <s v="605-673-2810"/>
    <m/>
    <s v="C&amp;I Prescriptive Rebate :- C&amp;I Lighting :- Customer Incentives"/>
    <s v="LED Replacement for T12 Linear Fluorescent Lamps - 4 ft or less"/>
    <s v="Retail"/>
    <s v="Existing"/>
    <m/>
    <m/>
    <m/>
    <m/>
    <m/>
    <m/>
    <m/>
    <m/>
    <m/>
    <m/>
    <m/>
    <m/>
    <m/>
    <n v="40"/>
    <n v="0"/>
    <n v="1.1952"/>
    <m/>
    <n v="3493.84"/>
    <m/>
    <m/>
    <m/>
    <m/>
    <m/>
    <n v="0"/>
    <n v="640"/>
    <n v="42628"/>
    <n v="42628.496363275503"/>
    <x v="1"/>
    <s v="710AABFEEEF44A389785A7DE9C0E2E71"/>
    <n v="87.346000000000004"/>
    <n v="16"/>
    <n v="71.928403166606657"/>
    <n v="30.28616226838243"/>
    <n v="10.421419234256929"/>
    <n v="3.9940053618595535"/>
  </r>
  <r>
    <n v="125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1.2664346598571101"/>
    <n v="1.3319094756253556"/>
    <b v="0"/>
    <b v="0"/>
    <s v=""/>
    <s v="BHHPPS1532913128"/>
    <n v="0"/>
    <s v="BHHPPS1532913128"/>
    <s v="7513202077"/>
    <s v="KENS MINERALS LLC"/>
    <s v="KENS MINERALS LLC"/>
    <s v="KENS MINERALS LLC"/>
    <s v="12372 US HIGHWAY 16A"/>
    <s v="CUSTER"/>
    <s v="SD"/>
    <s v="57730"/>
    <x v="26"/>
    <s v="12390 WILOW CREEK RD"/>
    <s v="CUSTER"/>
    <s v="SD"/>
    <s v="57730"/>
    <s v="605-673-2810"/>
    <m/>
    <s v="C&amp;I Prescriptive Rebate :- C&amp;I Lighting :- Customer Incentives"/>
    <s v="Energy Star LED Lamps - 10W or greater"/>
    <s v="Retail"/>
    <s v="Existing"/>
    <m/>
    <m/>
    <m/>
    <m/>
    <m/>
    <m/>
    <m/>
    <m/>
    <m/>
    <m/>
    <m/>
    <m/>
    <m/>
    <n v="5"/>
    <n v="0"/>
    <n v="0.23655000000000001"/>
    <m/>
    <n v="691.48500000000001"/>
    <m/>
    <m/>
    <m/>
    <m/>
    <m/>
    <n v="0"/>
    <n v="62.5"/>
    <n v="42628"/>
    <n v="42628.496363275503"/>
    <x v="1"/>
    <s v="B351AC2A2AEB4E998A90C9EF864CD293"/>
    <n v="138.297"/>
    <n v="12.5"/>
    <n v="183.5885054112554"/>
    <n v="35.763002108901198"/>
    <n v="9.5846103896103898"/>
    <n v="2.1888796977142775"/>
  </r>
  <r>
    <n v="126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0.85592793599842021"/>
    <b v="0"/>
    <b v="0"/>
    <s v=""/>
    <s v="BHHPPS1532913553"/>
    <n v="1"/>
    <s v="BHHPPS1532913553"/>
    <s v="9045807119"/>
    <s v="BH COMMUNITY BANK"/>
    <s v="BH COMMUNITY BANK"/>
    <s v="BH COMMUNITY BANK"/>
    <s v="840 MOUNT RUSHMORE RD"/>
    <s v="RAPID CITY"/>
    <s v="SD"/>
    <s v="57701"/>
    <x v="4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399"/>
    <n v="0"/>
    <n v="4.4557130000000003"/>
    <m/>
    <n v="19812.345000000001"/>
    <m/>
    <m/>
    <m/>
    <m/>
    <m/>
    <n v="0"/>
    <n v="5522.16"/>
    <n v="42628"/>
    <n v="42628.684845486103"/>
    <x v="1"/>
    <s v="49D2C58A0D424687A6EF2AF768BCAB77"/>
    <n v="49.655000000000001"/>
    <n v="13.84"/>
    <n v="71.928403166606657"/>
    <n v="30.28616226838243"/>
    <n v="10.421419234256929"/>
    <n v="3.9940053618595535"/>
  </r>
  <r>
    <n v="127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0854963216808442"/>
    <n v="1.7254457747214187"/>
    <b v="0"/>
    <b v="0"/>
    <s v=""/>
    <s v="BHHPPS1532913553"/>
    <n v="0"/>
    <s v="BHHPPS1532913553"/>
    <s v="9045807119"/>
    <s v="BH COMMUNITY BANK"/>
    <s v="BH COMMUNITY BANK"/>
    <s v="BH COMMUNITY BANK"/>
    <s v="840 MOUNT RUSHMORE RD"/>
    <s v="RAPID CITY"/>
    <s v="SD"/>
    <s v="57701"/>
    <x v="4"/>
    <s v="PO BOX 30"/>
    <s v="PIEDMONT"/>
    <s v="SD"/>
    <s v="57769"/>
    <s v="605-277-1181"/>
    <s v="todd@genproenergy.com"/>
    <s v="C&amp;I Prescriptive Rebate :- C&amp;I Lighting :- Customer Incentives"/>
    <s v="Energy Star LED Lamps - 5W to 10W"/>
    <s v="Office"/>
    <s v="Existing"/>
    <m/>
    <m/>
    <m/>
    <m/>
    <m/>
    <m/>
    <m/>
    <m/>
    <m/>
    <m/>
    <m/>
    <m/>
    <m/>
    <n v="90"/>
    <n v="0"/>
    <n v="2.0100959999999999"/>
    <m/>
    <n v="8937.9"/>
    <m/>
    <m/>
    <m/>
    <m/>
    <m/>
    <n v="0"/>
    <n v="765"/>
    <n v="42628"/>
    <n v="42628.684845486103"/>
    <x v="1"/>
    <s v="B0B4B498EBCB41BAB88BEF72CB7752A7"/>
    <n v="99.31"/>
    <n v="8.5"/>
    <n v="124.22266552020636"/>
    <n v="22.950483592270654"/>
    <n v="4.8732072914875317"/>
    <n v="2.1019453416888925"/>
  </r>
  <r>
    <n v="128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2.9859042963554194"/>
    <b v="0"/>
    <b v="1"/>
    <s v=""/>
    <s v="BHHPPS1532913633"/>
    <n v="1"/>
    <s v="BHHPPS1532913633"/>
    <s v="4078328840"/>
    <s v="ROBINSON ENT CENTER LLC"/>
    <s v="ROBINSON ENT CENTER LLC"/>
    <s v="ROBINSON ENT CENTER LLC"/>
    <s v="805 E SAINT PATRICK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4"/>
    <n v="0"/>
    <n v="0.98798799999999998"/>
    <m/>
    <n v="4629.5159999999996"/>
    <m/>
    <m/>
    <m/>
    <m/>
    <m/>
    <n v="0"/>
    <n v="789.32"/>
    <n v="42628"/>
    <n v="42628.752856712999"/>
    <x v="1"/>
    <s v="998351C1B8FD4601B71BFC0458194602"/>
    <n v="1157.3789999999999"/>
    <n v="197.33"/>
    <n v="1175.7261559139786"/>
    <n v="162.55796725694501"/>
    <n v="100.15639784946237"/>
    <n v="32.544111433560438"/>
  </r>
  <r>
    <n v="129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0.49527084869422489"/>
    <s v="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Linear Fluorescent Lamps - 5 to 8 f"/>
    <s v="Other"/>
    <s v="Existing"/>
    <m/>
    <m/>
    <m/>
    <m/>
    <m/>
    <m/>
    <m/>
    <m/>
    <m/>
    <m/>
    <m/>
    <m/>
    <m/>
    <n v="36"/>
    <n v="0"/>
    <n v="1.3523240000000001"/>
    <m/>
    <n v="6336.72"/>
    <m/>
    <m/>
    <m/>
    <m/>
    <m/>
    <n v="0"/>
    <n v="828"/>
    <n v="42628"/>
    <n v="42628.752856712999"/>
    <x v="1"/>
    <s v="4E47F129F2884926BA35B11950A35D60"/>
    <n v="176.02"/>
    <n v="23"/>
    <n v="159.23217764165389"/>
    <n v="33.896245665592865"/>
    <n v="23"/>
    <n v="0"/>
  </r>
  <r>
    <n v="13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1.3319094756253556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69"/>
    <n v="0"/>
    <n v="2.6476959999999998"/>
    <m/>
    <n v="12406.545"/>
    <m/>
    <m/>
    <m/>
    <m/>
    <m/>
    <n v="0"/>
    <n v="862.5"/>
    <n v="42628"/>
    <n v="42628.752856712999"/>
    <x v="1"/>
    <s v="D3893005AA0D4FDD8EB8719DDBE72790"/>
    <n v="179.80500000000001"/>
    <n v="12.5"/>
    <n v="183.5885054112554"/>
    <n v="35.763002108901198"/>
    <n v="9.5846103896103898"/>
    <n v="2.1888796977142775"/>
  </r>
  <r>
    <n v="131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673"/>
    <n v="-4.8057188404622845E-3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3"/>
    <n v="0"/>
    <n v="0.74099099999999996"/>
    <m/>
    <n v="3472.1370000000002"/>
    <m/>
    <m/>
    <m/>
    <m/>
    <m/>
    <n v="0"/>
    <n v="300"/>
    <n v="42628"/>
    <n v="42628.752856712999"/>
    <x v="1"/>
    <s v="226E9B39C1FF4DB8A883C2CE28AC5CE5"/>
    <n v="1157.3790000000001"/>
    <n v="100"/>
    <n v="1175.7261559139786"/>
    <n v="162.55796725694501"/>
    <n v="100.15639784946237"/>
    <n v="32.544111433560438"/>
  </r>
  <r>
    <n v="132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1.7254457747214187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36"/>
    <n v="0"/>
    <n v="0.87246699999999999"/>
    <m/>
    <n v="4088.1959999999999"/>
    <m/>
    <m/>
    <m/>
    <m/>
    <m/>
    <n v="0"/>
    <n v="306"/>
    <n v="42628"/>
    <n v="42628.752856712999"/>
    <x v="1"/>
    <s v="10A4513F914E436F98A9E6638DA07AFC"/>
    <n v="113.56099999999999"/>
    <n v="8.5"/>
    <n v="124.22266552020636"/>
    <n v="22.950483592270654"/>
    <n v="4.8732072914875317"/>
    <n v="2.1019453416888925"/>
  </r>
  <r>
    <n v="13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6"/>
    <n v="0"/>
    <n v="7.2706000000000007E-2"/>
    <m/>
    <n v="340.68599999999998"/>
    <m/>
    <m/>
    <m/>
    <m/>
    <m/>
    <n v="0"/>
    <n v="48"/>
    <n v="42628"/>
    <n v="42628.752856712999"/>
    <x v="1"/>
    <s v="DD1B35490A1449DABCB841DEA3D8B712"/>
    <n v="56.780999999999999"/>
    <n v="8"/>
    <n v="71.928403166606657"/>
    <n v="30.28616226838243"/>
    <n v="10.421419234256929"/>
    <n v="3.9940053618595535"/>
  </r>
  <r>
    <n v="134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703"/>
    <n v="0.74402665660424805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9"/>
    <n v="0"/>
    <n v="1.185101"/>
    <m/>
    <n v="5553.1440000000002"/>
    <m/>
    <m/>
    <m/>
    <m/>
    <m/>
    <n v="0"/>
    <n v="675"/>
    <n v="42628"/>
    <n v="42628.752856712999"/>
    <x v="1"/>
    <s v="A7E319E517A84F1AB8E7C8D9BAD9B931"/>
    <n v="617.01600000000008"/>
    <n v="75"/>
    <n v="540.38278358208959"/>
    <n v="100.67961898397597"/>
    <n v="63.736940298507463"/>
    <n v="15.137978729011348"/>
  </r>
  <r>
    <n v="13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3967384267971441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296"/>
    <n v="0"/>
    <n v="7.1736190000000004"/>
    <m/>
    <n v="33614.055999999997"/>
    <m/>
    <m/>
    <m/>
    <m/>
    <m/>
    <n v="0"/>
    <n v="4736"/>
    <n v="42628"/>
    <n v="42628.752856712999"/>
    <x v="1"/>
    <s v="4769C9B6529E419AB04E2FA5C78C737F"/>
    <n v="113.56099999999999"/>
    <n v="16"/>
    <n v="71.928403166606657"/>
    <n v="30.28616226838243"/>
    <n v="10.421419234256929"/>
    <n v="3.9940053618595535"/>
  </r>
  <r>
    <n v="136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2.0846659860123062"/>
    <b v="0"/>
    <b v="1"/>
    <s v=""/>
    <s v="BHHPPS1533025585"/>
    <n v="1"/>
    <s v="BHHPPS1533025585"/>
    <s v="4403360152"/>
    <s v="CENTRAL STATES FAIR"/>
    <s v="CENTRAL STATES FAIR"/>
    <s v="CENTRAL STATES FAIR"/>
    <s v="811 E CENTRE ST                                    INFIELD"/>
    <s v="RAPID CITY"/>
    <s v="SD"/>
    <s v="57701"/>
    <x v="4"/>
    <s v="PO BOX 30"/>
    <s v="PIEDMONT"/>
    <s v="SD"/>
    <s v="57769"/>
    <s v="605-277-1181"/>
    <s v="todd@genproenergy.com"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4"/>
    <n v="0"/>
    <n v="0.98798799999999998"/>
    <m/>
    <n v="4629.5159999999996"/>
    <m/>
    <m/>
    <m/>
    <m/>
    <m/>
    <n v="0"/>
    <n v="672"/>
    <n v="42654"/>
    <n v="42654.793417361099"/>
    <x v="1"/>
    <s v="AB36469654804B51B667F79CED46E440"/>
    <n v="1157.3789999999999"/>
    <n v="168"/>
    <n v="1175.7261559139786"/>
    <n v="162.55796725694501"/>
    <n v="100.15639784946237"/>
    <n v="32.544111433560438"/>
  </r>
  <r>
    <n v="137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3025585"/>
    <n v="0"/>
    <s v="BHHPPS1533025585"/>
    <s v="4403360152"/>
    <s v="CENTRAL STATES FAIR"/>
    <s v="CENTRAL STATES FAIR"/>
    <s v="CENTRAL STATES FAIR"/>
    <s v="811 E CENTRE ST                                    INFIELD"/>
    <s v="RAPID CITY"/>
    <s v="SD"/>
    <s v="57701"/>
    <x v="4"/>
    <s v="PO BOX 30"/>
    <s v="PIEDMONT"/>
    <s v="SD"/>
    <s v="57769"/>
    <s v="605-277-1181"/>
    <s v="todd@genproenergy.com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3"/>
    <n v="0"/>
    <n v="0.395034"/>
    <m/>
    <n v="1851.048"/>
    <m/>
    <m/>
    <m/>
    <m/>
    <m/>
    <n v="0"/>
    <n v="225"/>
    <n v="42654"/>
    <n v="42654.793417361099"/>
    <x v="1"/>
    <s v="A40E529927524D75B331270B48A6257C"/>
    <n v="617.01599999999996"/>
    <n v="75"/>
    <n v="540.38278358208959"/>
    <n v="100.67961898397597"/>
    <n v="63.736940298507463"/>
    <n v="15.137978729011348"/>
  </r>
  <r>
    <n v="138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5090640635406195"/>
    <n v="1.3967384267971441"/>
    <b v="0"/>
    <b v="0"/>
    <s v=""/>
    <s v="BHHPPS1533052953"/>
    <n v="1"/>
    <s v="BHHPPS1533052953"/>
    <s v="4971457645"/>
    <s v="SAINT JOE ANTIQUE MALL"/>
    <s v="SAINT JOE ANTIQUE MALL"/>
    <s v="SAINT JOE ANTIQUE MALL"/>
    <s v="615 SAINT JOSEPH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T12 Linear Fluorescent Lamps - 4 ft or less"/>
    <s v="Retail"/>
    <s v="Existing"/>
    <m/>
    <m/>
    <m/>
    <m/>
    <m/>
    <m/>
    <m/>
    <m/>
    <m/>
    <m/>
    <m/>
    <m/>
    <m/>
    <n v="96"/>
    <n v="0"/>
    <n v="2.8684799999999999"/>
    <m/>
    <n v="8385.2160000000003"/>
    <m/>
    <m/>
    <m/>
    <m/>
    <m/>
    <n v="0"/>
    <n v="1536"/>
    <n v="42667"/>
    <n v="42667.512082060202"/>
    <x v="1"/>
    <s v="E55A66F2BE7C426995B8B622F043A9F4"/>
    <n v="87.346000000000004"/>
    <n v="16"/>
    <n v="71.928403166606657"/>
    <n v="30.28616226838243"/>
    <n v="10.421419234256929"/>
    <n v="3.9940053618595535"/>
  </r>
  <r>
    <n v="139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-0.70350498037189668"/>
    <s v=""/>
    <b v="0"/>
    <b v="0"/>
    <s v=""/>
    <s v="BHHPPS1533052953"/>
    <n v="0"/>
    <s v="BHHPPS1533052953"/>
    <s v="4971457645"/>
    <s v="SAINT JOE ANTIQUE MALL"/>
    <s v="SAINT JOE ANTIQUE MALL"/>
    <s v="SAINT JOE ANTIQUE MALL"/>
    <s v="615 SAINT JOSEPH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Linear Fluorescent Lamps - 5 to 8 f"/>
    <s v="Retail"/>
    <s v="Existing"/>
    <m/>
    <m/>
    <m/>
    <m/>
    <m/>
    <m/>
    <m/>
    <m/>
    <m/>
    <m/>
    <m/>
    <m/>
    <m/>
    <n v="164"/>
    <n v="0"/>
    <n v="7.5954959999999998"/>
    <m/>
    <n v="22203.304"/>
    <m/>
    <m/>
    <m/>
    <m/>
    <m/>
    <n v="0"/>
    <n v="3772"/>
    <n v="42667"/>
    <n v="42667.512082060202"/>
    <x v="1"/>
    <s v="F0B4D9F058044D9A95E5B834D99C9A1D"/>
    <n v="135.386"/>
    <n v="23"/>
    <n v="159.23217764165389"/>
    <n v="33.896245665592865"/>
    <n v="23"/>
    <n v="0"/>
  </r>
  <r>
    <n v="20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2.0923283799330266"/>
    <n v="1.3967384267971441"/>
    <b v="1"/>
    <b v="0"/>
    <s v=""/>
    <s v="BHHPPS1533063427"/>
    <n v="1"/>
    <s v="BHHPPS1533063427"/>
    <s v="1812563563"/>
    <s v="RC MEDICAL CENTER"/>
    <s v="RC MEDICAL CENTER"/>
    <s v="RC MEDICAL CENTER"/>
    <s v="2820 MOUNT RUSHMORE RD"/>
    <s v="RAPID CITY"/>
    <s v="SD"/>
    <s v="57701"/>
    <x v="27"/>
    <s v="2810 NORTH FIRST AVE"/>
    <s v="SIOUX FALLS"/>
    <s v="SD"/>
    <s v="57101"/>
    <s v="605-731-7918"/>
    <m/>
    <s v="C&amp;I Prescriptive Rebate :- C&amp;I Lighting :- Customer Incentives"/>
    <s v="LED Replacement for T12 Linear Fluorescent Lamps - 4 ft or less"/>
    <s v="Health Care"/>
    <s v="Existing"/>
    <m/>
    <m/>
    <m/>
    <m/>
    <m/>
    <m/>
    <m/>
    <m/>
    <m/>
    <m/>
    <m/>
    <m/>
    <m/>
    <n v="1120"/>
    <n v="0"/>
    <n v="29.635200000000001"/>
    <m/>
    <n v="151532.64000000001"/>
    <m/>
    <m/>
    <m/>
    <m/>
    <m/>
    <n v="0"/>
    <n v="17920"/>
    <n v="42670"/>
    <n v="42670.4809193287"/>
    <x v="1"/>
    <s v="8E058EA355334E618117DF1BAB7D6DA7"/>
    <n v="135.29700000000003"/>
    <n v="16"/>
    <n v="71.928403166606657"/>
    <n v="30.28616226838243"/>
    <n v="10.421419234256929"/>
    <n v="3.9940053618595535"/>
  </r>
  <r>
    <n v="141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3063427"/>
    <n v="0"/>
    <s v="BHHPPS1533063427"/>
    <s v="1812563563"/>
    <s v="RC MEDICAL CENTER"/>
    <s v="RC MEDICAL CENTER"/>
    <s v="RC MEDICAL CENTER"/>
    <s v="2820 MOUNT RUSHMORE RD"/>
    <s v="RAPID CITY"/>
    <s v="SD"/>
    <s v="57701"/>
    <x v="27"/>
    <s v="2810 NORTH FIRST AVE"/>
    <s v="SIOUX FALLS"/>
    <s v="SD"/>
    <s v="57101"/>
    <s v="605-731-7918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162"/>
    <n v="0"/>
    <n v="2.1432600000000002"/>
    <m/>
    <n v="10959.138000000001"/>
    <m/>
    <m/>
    <m/>
    <m/>
    <m/>
    <n v="0"/>
    <n v="1296"/>
    <n v="42670"/>
    <n v="42670.4809193287"/>
    <x v="1"/>
    <s v="1EBECE7781CA4A9790752491F2767C8A"/>
    <n v="67.649000000000001"/>
    <n v="8"/>
    <n v="71.928403166606657"/>
    <n v="30.28616226838243"/>
    <n v="10.421419234256929"/>
    <n v="3.9940053618595535"/>
  </r>
  <r>
    <n v="142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3071924"/>
    <n v="1"/>
    <s v="BHHPPS1533071924"/>
    <s v="9030249117"/>
    <s v="W CENTRAL HOLLOW METAL"/>
    <s v="W CENTRAL HOLLOW METAL"/>
    <s v="W CENTRAL HOLLOW METAL"/>
    <s v="910 E SAINT ANDREW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6"/>
    <n v="0"/>
    <n v="0.79006799999999999"/>
    <m/>
    <n v="3702.096"/>
    <m/>
    <m/>
    <m/>
    <m/>
    <m/>
    <n v="0"/>
    <n v="450"/>
    <n v="42675"/>
    <n v="42674.699255590298"/>
    <x v="1"/>
    <s v="36B8F18BDFEF41CFA1D41755DA4A295C"/>
    <n v="617.01599999999996"/>
    <n v="75"/>
    <n v="540.38278358208959"/>
    <n v="100.67961898397597"/>
    <n v="63.736940298507463"/>
    <n v="15.137978729011348"/>
  </r>
  <r>
    <n v="143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3967384267971441"/>
    <b v="0"/>
    <b v="0"/>
    <s v=""/>
    <s v="BHHPPS1533071924"/>
    <n v="0"/>
    <s v="BHHPPS1533071924"/>
    <s v="9030249117"/>
    <s v="W CENTRAL HOLLOW METAL"/>
    <s v="W CENTRAL HOLLOW METAL"/>
    <s v="W CENTRAL HOLLOW METAL"/>
    <s v="910 E SAINT ANDREW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210"/>
    <n v="0"/>
    <n v="5.0893920000000001"/>
    <m/>
    <n v="23847.81"/>
    <m/>
    <m/>
    <m/>
    <m/>
    <m/>
    <n v="0"/>
    <n v="3360"/>
    <n v="42675"/>
    <n v="42674.699255590298"/>
    <x v="1"/>
    <s v="F180CE084A814C31AEF8DD03AE80AA23"/>
    <n v="113.56100000000001"/>
    <n v="16"/>
    <n v="71.928403166606657"/>
    <n v="30.28616226838243"/>
    <n v="10.421419234256929"/>
    <n v="3.9940053618595535"/>
  </r>
  <r>
    <n v="144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0.49527084869422489"/>
    <s v=""/>
    <b v="0"/>
    <b v="0"/>
    <s v=""/>
    <s v="BHHPPS1533071924"/>
    <n v="0"/>
    <s v="BHHPPS1533071924"/>
    <s v="9030249117"/>
    <s v="W CENTRAL HOLLOW METAL"/>
    <s v="W CENTRAL HOLLOW METAL"/>
    <s v="W CENTRAL HOLLOW METAL"/>
    <s v="910 E SAINT ANDREW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Linear Fluorescent Lamps - 5 to 8 f"/>
    <s v="Other"/>
    <s v="Existing"/>
    <m/>
    <m/>
    <m/>
    <m/>
    <m/>
    <m/>
    <m/>
    <m/>
    <m/>
    <m/>
    <m/>
    <m/>
    <m/>
    <n v="169"/>
    <n v="0"/>
    <n v="6.3484109999999996"/>
    <m/>
    <n v="29747.38"/>
    <m/>
    <m/>
    <m/>
    <m/>
    <m/>
    <n v="0"/>
    <n v="3887"/>
    <n v="42675"/>
    <n v="42674.699255590298"/>
    <x v="1"/>
    <s v="2955585AEC5E41E99DC4BD2F8BC1514D"/>
    <n v="176.02"/>
    <n v="23"/>
    <n v="159.23217764165389"/>
    <n v="33.896245665592865"/>
    <n v="23"/>
    <n v="0"/>
  </r>
  <r>
    <n v="14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92238813837952005"/>
    <n v="1.3967384267971441"/>
    <b v="0"/>
    <b v="0"/>
    <s v=""/>
    <s v="BHHPPS1533104569"/>
    <n v="1"/>
    <s v="BHHPPS1533104569"/>
    <s v="3024133820"/>
    <s v="KRULLS MARKET"/>
    <s v="KRULLS MARKET"/>
    <s v="KRULLS MARKET"/>
    <s v="531 E MAIN ST"/>
    <s v="HILL CITY"/>
    <s v="SD"/>
    <s v="57745"/>
    <x v="21"/>
    <s v="4590 ISH DR UNIT #100"/>
    <s v="SIMI VALLEY"/>
    <s v="CA"/>
    <s v="93063"/>
    <s v="805-523-7500"/>
    <m/>
    <s v="C&amp;I Prescriptive Rebate :- C&amp;I Lighting :- Customer Incentives"/>
    <s v="LED Replacement for T12 Linear Fluorescent Lamps - 4 ft or less"/>
    <s v="Grocery"/>
    <s v="Existing"/>
    <m/>
    <m/>
    <m/>
    <m/>
    <m/>
    <m/>
    <m/>
    <m/>
    <m/>
    <m/>
    <m/>
    <m/>
    <m/>
    <n v="37"/>
    <n v="0"/>
    <n v="0.82717200000000002"/>
    <m/>
    <n v="3694.9679999999998"/>
    <m/>
    <m/>
    <m/>
    <m/>
    <m/>
    <n v="0"/>
    <n v="592"/>
    <n v="42678"/>
    <n v="42678.695870451404"/>
    <x v="1"/>
    <s v="B646FB9FD32E4BB49B38D5B4106B108D"/>
    <n v="99.86399999999999"/>
    <n v="16"/>
    <n v="71.928403166606657"/>
    <n v="30.28616226838243"/>
    <n v="10.421419234256929"/>
    <n v="3.9940053618595535"/>
  </r>
  <r>
    <n v="146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97162359113610708"/>
    <n v="-4.8057188404622845E-3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x v="21"/>
    <s v="4590 ISH DR UNIT #100"/>
    <s v="SIMI VALLEY"/>
    <s v="CA"/>
    <s v="93063"/>
    <s v="805-523-7500"/>
    <m/>
    <s v="C&amp;I Prescriptive Rebate :- C&amp;I Lighting :- Customer Incentives"/>
    <s v="LED Fixtures Exterior &amp; Garage - 60W to 150W"/>
    <s v="Grocery"/>
    <s v="Existing"/>
    <m/>
    <m/>
    <m/>
    <m/>
    <m/>
    <m/>
    <m/>
    <m/>
    <m/>
    <m/>
    <m/>
    <m/>
    <m/>
    <n v="2"/>
    <n v="0"/>
    <n v="0.45568999999999998"/>
    <m/>
    <n v="2035.5619999999999"/>
    <m/>
    <m/>
    <m/>
    <m/>
    <m/>
    <n v="0"/>
    <n v="200"/>
    <n v="42678"/>
    <n v="42678.695870451404"/>
    <x v="1"/>
    <s v="7A400E06338A4B549C987D1C479BA11E"/>
    <n v="1017.7809999999999"/>
    <n v="100"/>
    <n v="1175.7261559139786"/>
    <n v="162.55796725694501"/>
    <n v="100.15639784946237"/>
    <n v="32.544111433560438"/>
  </r>
  <r>
    <n v="147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2.1962900140318212E-2"/>
    <n v="0.74402665660424805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x v="21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Grocery"/>
    <s v="Existing"/>
    <m/>
    <m/>
    <m/>
    <m/>
    <m/>
    <m/>
    <m/>
    <m/>
    <m/>
    <m/>
    <m/>
    <m/>
    <m/>
    <n v="3"/>
    <n v="0"/>
    <n v="0.36440299999999998"/>
    <m/>
    <n v="1627.7819999999999"/>
    <m/>
    <m/>
    <m/>
    <m/>
    <m/>
    <n v="0"/>
    <n v="225"/>
    <n v="42678"/>
    <n v="42678.695870451404"/>
    <x v="1"/>
    <s v="F292082DFA2F454EB94248B0B1B70BAC"/>
    <n v="542.59399999999994"/>
    <n v="75"/>
    <n v="540.38278358208959"/>
    <n v="100.67961898397597"/>
    <n v="63.736940298507463"/>
    <n v="15.137978729011348"/>
  </r>
  <r>
    <n v="148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0613573967744179"/>
    <n v="0.53607136501803676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x v="21"/>
    <s v="4590 ISH DR UNIT #100"/>
    <s v="SIMI VALLEY"/>
    <s v="CA"/>
    <s v="93063"/>
    <s v="805-523-7500"/>
    <m/>
    <s v="C&amp;I Prescriptive Rebate :- C&amp;I Lighting :- Customer Incentives"/>
    <s v="Energy Star LED Lamps - 5W to 10W"/>
    <s v="Grocery"/>
    <s v="Existing"/>
    <m/>
    <m/>
    <m/>
    <m/>
    <m/>
    <m/>
    <m/>
    <m/>
    <m/>
    <m/>
    <m/>
    <m/>
    <m/>
    <n v="11"/>
    <n v="0"/>
    <n v="0.245916"/>
    <m/>
    <n v="1098.5039999999999"/>
    <m/>
    <m/>
    <m/>
    <m/>
    <m/>
    <n v="0"/>
    <n v="66"/>
    <n v="42678"/>
    <n v="42678.695870451404"/>
    <x v="1"/>
    <s v="7528AF38587046909AAAE95CED2B8785"/>
    <n v="99.86399999999999"/>
    <n v="6"/>
    <n v="124.22266552020636"/>
    <n v="22.950483592270654"/>
    <n v="4.8732072914875317"/>
    <n v="2.1019453416888925"/>
  </r>
  <r>
    <n v="149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-0.13108170401785971"/>
    <s v="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x v="21"/>
    <s v="4590 ISH DR UNIT #100"/>
    <s v="SIMI VALLEY"/>
    <s v="CA"/>
    <s v="93063"/>
    <s v="805-523-7500"/>
    <m/>
    <s v="C&amp;I Prescriptive Rebate :- C&amp;I Lighting :- Customer Incentives"/>
    <s v="LED Replacement for Linear Fluorescent Lamps - 5 to 8 f"/>
    <s v="Grocery"/>
    <s v="Existing"/>
    <m/>
    <m/>
    <m/>
    <m/>
    <m/>
    <m/>
    <m/>
    <m/>
    <m/>
    <m/>
    <m/>
    <m/>
    <m/>
    <n v="248"/>
    <n v="0"/>
    <n v="8.5936459999999997"/>
    <m/>
    <n v="38387.671999999999"/>
    <m/>
    <m/>
    <m/>
    <m/>
    <m/>
    <n v="0"/>
    <n v="5704"/>
    <n v="42678"/>
    <n v="42678.695870451404"/>
    <x v="1"/>
    <s v="215603D8B3FA471FB9F9B1037D77A0F5"/>
    <n v="154.78899999999999"/>
    <n v="23"/>
    <n v="159.23217764165389"/>
    <n v="33.896245665592865"/>
    <n v="23"/>
    <n v="0"/>
  </r>
  <r>
    <n v="15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7122026650250356"/>
    <n v="-0.72393672035293133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x v="21"/>
    <s v="4590 ISH DR UNIT #100"/>
    <s v="SIMI VALLEY"/>
    <s v="CA"/>
    <s v="93063"/>
    <s v="805-523-7500"/>
    <m/>
    <s v="C&amp;I Prescriptive Rebate :- C&amp;I Lighting :- Customer Incentives"/>
    <s v="Energy Star LED Lamps - 10W or greater"/>
    <s v="Grocery"/>
    <s v="Existing"/>
    <m/>
    <m/>
    <m/>
    <m/>
    <m/>
    <m/>
    <m/>
    <m/>
    <m/>
    <m/>
    <m/>
    <m/>
    <m/>
    <n v="1"/>
    <n v="0"/>
    <n v="3.5396999999999998E-2"/>
    <m/>
    <n v="158.11799999999999"/>
    <m/>
    <m/>
    <m/>
    <m/>
    <m/>
    <n v="0"/>
    <n v="8"/>
    <n v="42678"/>
    <n v="42678.695870451404"/>
    <x v="1"/>
    <s v="01BDD593B41F45209A7B282989CCF044"/>
    <n v="158.11799999999999"/>
    <n v="8"/>
    <n v="183.5885054112554"/>
    <n v="35.763002108901198"/>
    <n v="9.5846103896103898"/>
    <n v="2.1888796977142775"/>
  </r>
  <r>
    <n v="151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1.5999443105533322"/>
    <n v="0.74402665660424805"/>
    <b v="0"/>
    <b v="0"/>
    <s v=""/>
    <s v="BHHPPS1533108027"/>
    <n v="1"/>
    <s v="BHHPPS1533108027"/>
    <s v="5955835343"/>
    <s v="PIEDMONT SCHOOL"/>
    <s v="PIEDMONT SCHOOL"/>
    <s v="MEADE BOARD OF ED"/>
    <s v="16159 2ND ST"/>
    <s v="PIEDMONT"/>
    <s v="SD"/>
    <s v="57769"/>
    <x v="7"/>
    <s v="PO BOX 505"/>
    <s v="PIEDMONT"/>
    <s v="SD"/>
    <s v="57769"/>
    <s v="605-381-0729"/>
    <m/>
    <s v="C&amp;I Prescriptive Rebate :- C&amp;I Lighting :- Customer Incentives"/>
    <s v="LED Fixtures Exterior &amp; Garage - 25W to 60W"/>
    <s v="Education"/>
    <s v="Existing"/>
    <m/>
    <m/>
    <m/>
    <m/>
    <m/>
    <m/>
    <m/>
    <m/>
    <m/>
    <m/>
    <m/>
    <m/>
    <m/>
    <n v="31"/>
    <n v="0"/>
    <n v="1.280632"/>
    <m/>
    <n v="11758.331"/>
    <m/>
    <m/>
    <m/>
    <m/>
    <m/>
    <n v="0"/>
    <n v="2325"/>
    <n v="42718"/>
    <n v="42681.4730405093"/>
    <x v="1"/>
    <s v="35AE5BEB1508444A85EB595F086D5204"/>
    <n v="379.30099999999999"/>
    <n v="75"/>
    <n v="540.38278358208959"/>
    <n v="100.67961898397597"/>
    <n v="63.736940298507463"/>
    <n v="15.137978729011348"/>
  </r>
  <r>
    <n v="152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2.0427676957542755"/>
    <n v="-0.6462714196159739"/>
    <b v="1"/>
    <b v="0"/>
    <s v=""/>
    <s v="BHHPPS1533108027"/>
    <n v="0"/>
    <s v="BHHPPS1533108027"/>
    <s v="5955835343"/>
    <s v="PIEDMONT SCHOOL"/>
    <s v="PIEDMONT SCHOOL"/>
    <s v="MEADE BOARD OF ED"/>
    <s v="16159 2ND ST"/>
    <s v="PIEDMONT"/>
    <s v="SD"/>
    <s v="57769"/>
    <x v="7"/>
    <s v="PO BOX 505"/>
    <s v="PIEDMONT"/>
    <s v="SD"/>
    <s v="57769"/>
    <s v="605-381-0729"/>
    <m/>
    <s v="C&amp;I Prescriptive Rebate :- C&amp;I Lighting :- Customer Incentives"/>
    <s v="Energy Star LED Lamps - 10W or greater"/>
    <s v="Education"/>
    <s v="Existing"/>
    <m/>
    <m/>
    <m/>
    <m/>
    <m/>
    <m/>
    <m/>
    <m/>
    <m/>
    <m/>
    <m/>
    <m/>
    <m/>
    <n v="2"/>
    <n v="0"/>
    <n v="2.4077000000000001E-2"/>
    <m/>
    <n v="221.066"/>
    <m/>
    <m/>
    <m/>
    <m/>
    <m/>
    <n v="0"/>
    <n v="16.34"/>
    <n v="42718"/>
    <n v="42681.4730405093"/>
    <x v="1"/>
    <s v="D261ABE85E8A4FCA8305C22570022C91"/>
    <n v="110.533"/>
    <n v="8.17"/>
    <n v="183.5885054112554"/>
    <n v="35.763002108901198"/>
    <n v="9.5846103896103898"/>
    <n v="2.1888796977142775"/>
  </r>
  <r>
    <n v="153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1.5999443105533322"/>
    <n v="0.74402665660424805"/>
    <b v="0"/>
    <b v="0"/>
    <s v=""/>
    <s v="BHHPPS1533108027"/>
    <n v="0"/>
    <s v="BHHPPS1533108027"/>
    <s v="5955835343"/>
    <s v="PIEDMONT SCHOOL"/>
    <s v="PIEDMONT SCHOOL"/>
    <s v="MEADE BOARD OF ED"/>
    <s v="16159 2ND ST"/>
    <s v="PIEDMONT"/>
    <s v="SD"/>
    <s v="57769"/>
    <x v="7"/>
    <s v="PO BOX 505"/>
    <s v="PIEDMONT"/>
    <s v="SD"/>
    <s v="57769"/>
    <s v="605-381-0729"/>
    <m/>
    <s v="C&amp;I Prescriptive Rebate :- C&amp;I Lighting :- Customer Incentives"/>
    <s v="LED Fixtures Exterior &amp; Garage - 25W to 60W"/>
    <s v="Education"/>
    <s v="Existing"/>
    <m/>
    <m/>
    <m/>
    <m/>
    <m/>
    <m/>
    <m/>
    <m/>
    <m/>
    <m/>
    <m/>
    <m/>
    <m/>
    <n v="1"/>
    <n v="0"/>
    <n v="4.1311E-2"/>
    <m/>
    <n v="379.30099999999999"/>
    <m/>
    <m/>
    <m/>
    <m/>
    <m/>
    <n v="0"/>
    <n v="75"/>
    <n v="42718"/>
    <n v="42681.4730405093"/>
    <x v="1"/>
    <s v="850D57E951364345AF9E3D2BFC584A58"/>
    <n v="379.30099999999999"/>
    <n v="75"/>
    <n v="540.38278358208959"/>
    <n v="100.67961898397597"/>
    <n v="63.736940298507463"/>
    <n v="15.137978729011348"/>
  </r>
  <r>
    <n v="15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3125879"/>
    <n v="1"/>
    <s v="BHHPPS1533125879"/>
    <s v="4286221951"/>
    <s v="SM RUSHMORE MALL LLC"/>
    <s v="SM RUSHMORE MALL LLC"/>
    <s v="SM RUSHMORE MALL LLC"/>
    <s v="2200 N MAPLE AVE                                   NORTH"/>
    <s v="RAPID CITY"/>
    <s v="SD"/>
    <s v="57701"/>
    <x v="8"/>
    <s v="2525 WALNUT HILL LN STE 300"/>
    <s v="DALLAS"/>
    <s v="TX"/>
    <s v="75229"/>
    <s v="214-217-0190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400"/>
    <n v="0"/>
    <n v="5.976"/>
    <m/>
    <n v="17469.2"/>
    <m/>
    <m/>
    <m/>
    <m/>
    <m/>
    <n v="0"/>
    <n v="3200"/>
    <n v="42772"/>
    <n v="42683.771857210602"/>
    <x v="1"/>
    <s v="EE28FFB8880F42429D61F55C9C3D7364"/>
    <n v="43.673000000000002"/>
    <n v="8"/>
    <n v="71.928403166606657"/>
    <n v="30.28616226838243"/>
    <n v="10.421419234256929"/>
    <n v="3.9940053618595535"/>
  </r>
  <r>
    <n v="155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3125879"/>
    <n v="0"/>
    <s v="BHHPPS1533125879"/>
    <s v="4286221951"/>
    <s v="SM RUSHMORE MALL LLC"/>
    <s v="SM RUSHMORE MALL LLC"/>
    <s v="SM RUSHMORE MALL LLC"/>
    <s v="2200 N MAPLE AVE                                   NORTH"/>
    <s v="RAPID CITY"/>
    <s v="SD"/>
    <s v="57701"/>
    <x v="8"/>
    <s v="2525 WALNUT HILL LN STE 300"/>
    <s v="DALLAS"/>
    <s v="TX"/>
    <s v="75229"/>
    <s v="214-217-0190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1224"/>
    <n v="0"/>
    <n v="18.286560000000001"/>
    <m/>
    <n v="53455.752"/>
    <m/>
    <m/>
    <m/>
    <m/>
    <m/>
    <n v="0"/>
    <n v="9792"/>
    <n v="42772"/>
    <n v="42683.771857210602"/>
    <x v="1"/>
    <s v="DF234C3EBB304628A067934E15D36990"/>
    <n v="43.673000000000002"/>
    <n v="8"/>
    <n v="71.928403166606657"/>
    <n v="30.28616226838243"/>
    <n v="10.421419234256929"/>
    <n v="3.9940053618595535"/>
  </r>
  <r>
    <n v="156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0.65360580667834023"/>
    <n v="0.74402665660424805"/>
    <b v="0"/>
    <b v="0"/>
    <s v=""/>
    <s v="BHHPPS1533125879"/>
    <n v="0"/>
    <s v="BHHPPS1533125879"/>
    <s v="4286221951"/>
    <s v="SM RUSHMORE MALL LLC"/>
    <s v="SM RUSHMORE MALL LLC"/>
    <s v="SM RUSHMORE MALL LLC"/>
    <s v="2200 N MAPLE AVE                                   NORTH"/>
    <s v="RAPID CITY"/>
    <s v="SD"/>
    <s v="57701"/>
    <x v="8"/>
    <s v="2525 WALNUT HILL LN STE 300"/>
    <s v="DALLAS"/>
    <s v="TX"/>
    <s v="75229"/>
    <s v="214-217-0190"/>
    <m/>
    <s v="C&amp;I Prescriptive Rebate :- C&amp;I Lighting :- Customer Incentives"/>
    <s v="LED Fixtures Exterior &amp; Garage - 25W to 60W"/>
    <s v="Retail"/>
    <s v="Existing"/>
    <m/>
    <m/>
    <m/>
    <m/>
    <m/>
    <m/>
    <m/>
    <m/>
    <m/>
    <m/>
    <m/>
    <m/>
    <m/>
    <n v="44"/>
    <n v="0"/>
    <n v="7.1433119999999999"/>
    <m/>
    <n v="20881.432000000001"/>
    <m/>
    <m/>
    <m/>
    <m/>
    <m/>
    <n v="0"/>
    <n v="3300"/>
    <n v="42772"/>
    <n v="42683.771857210602"/>
    <x v="1"/>
    <s v="DD0CA91F9D0F4C5D9C749BA12DBA5018"/>
    <n v="474.57800000000003"/>
    <n v="75"/>
    <n v="540.38278358208959"/>
    <n v="100.67961898397597"/>
    <n v="63.736940298507463"/>
    <n v="15.137978729011348"/>
  </r>
  <r>
    <n v="15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-1.2339067216950319"/>
    <b v="0"/>
    <b v="0"/>
    <s v=""/>
    <s v="BHHPPS1533129782"/>
    <n v="1"/>
    <s v="BHHPPS1533129782"/>
    <s v="0702488407"/>
    <s v="KUSTOMZ TRUCK &amp; AUTO"/>
    <s v="4 D ENTERPRISES LLC"/>
    <s v="4 D ENTERPRISES LLC"/>
    <s v="2760 HAINES AVE"/>
    <s v="RAPID CITY"/>
    <s v="SD"/>
    <s v="57701"/>
    <x v="4"/>
    <s v="PO BOX 30"/>
    <s v="PIEDMONT"/>
    <s v="SD"/>
    <s v="57769"/>
    <s v="605-277-1181"/>
    <s v="todd@genproenergy.com"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1"/>
    <n v="0"/>
    <n v="0.24699699999999999"/>
    <m/>
    <n v="1157.3789999999999"/>
    <m/>
    <m/>
    <m/>
    <m/>
    <m/>
    <n v="0"/>
    <n v="60"/>
    <n v="42685"/>
    <n v="42685.460930671303"/>
    <x v="1"/>
    <s v="EAA8D0DA2C8C4B0E8E5C71D05DF75BEF"/>
    <n v="1157.3789999999999"/>
    <n v="60"/>
    <n v="1175.7261559139786"/>
    <n v="162.55796725694501"/>
    <n v="100.15639784946237"/>
    <n v="32.544111433560438"/>
  </r>
  <r>
    <n v="158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65"/>
    <n v="-0.60626339097590731"/>
    <b v="0"/>
    <b v="0"/>
    <s v=""/>
    <s v="BHHPPS1533129782"/>
    <n v="0"/>
    <s v="BHHPPS1533129782"/>
    <s v="0702488407"/>
    <s v="KUSTOMZ TRUCK &amp; AUTO"/>
    <s v="4 D ENTERPRISES LLC"/>
    <s v="4 D ENTERPRISES LLC"/>
    <s v="2760 HAINES AVE"/>
    <s v="RAPID CITY"/>
    <s v="SD"/>
    <s v="57701"/>
    <x v="4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10"/>
    <n v="0"/>
    <n v="0.12117600000000001"/>
    <m/>
    <n v="567.80999999999995"/>
    <m/>
    <m/>
    <m/>
    <m/>
    <m/>
    <n v="0"/>
    <n v="80"/>
    <n v="42685"/>
    <n v="42685.460930671303"/>
    <x v="1"/>
    <s v="7330D8F08A5D4A928EE62C6F8BEF89EC"/>
    <n v="56.780999999999992"/>
    <n v="8"/>
    <n v="71.928403166606657"/>
    <n v="30.28616226838243"/>
    <n v="10.421419234256929"/>
    <n v="3.9940053618595535"/>
  </r>
  <r>
    <n v="159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-0.60626339097590731"/>
    <b v="0"/>
    <b v="0"/>
    <s v=""/>
    <s v="BHHPPS1533134705"/>
    <n v="1"/>
    <s v="BHHPPS1533134705"/>
    <s v="0541537755"/>
    <s v="ADMINISTRATION BUILDING"/>
    <s v="CENTRAL STATES FAIR"/>
    <s v="CENTRAL STATES FAIR"/>
    <s v="800 SAN FRANCISCO ST                               ADMINISTRATION"/>
    <s v="RAPID CITY"/>
    <s v="SD"/>
    <s v="57701"/>
    <x v="4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134"/>
    <n v="0"/>
    <n v="1.496405"/>
    <m/>
    <n v="6653.77"/>
    <m/>
    <m/>
    <m/>
    <m/>
    <m/>
    <n v="0"/>
    <n v="1072"/>
    <n v="42718"/>
    <n v="42688.652053969898"/>
    <x v="1"/>
    <s v="4A18FFB3F82F473AB09E70587323FA9C"/>
    <n v="49.655000000000001"/>
    <n v="8"/>
    <n v="71.928403166606657"/>
    <n v="30.28616226838243"/>
    <n v="10.421419234256929"/>
    <n v="3.9940053618595535"/>
  </r>
  <r>
    <n v="160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1.7564759250628477"/>
    <n v="4.9889275786565664E-2"/>
    <b v="0"/>
    <b v="0"/>
    <s v=""/>
    <s v="BHHPPS1533273500"/>
    <n v="1"/>
    <s v="BHHPPS1533273500"/>
    <s v="0007613801"/>
    <s v="DENVER MATTRESS"/>
    <s v="FURNITURE ROW"/>
    <s v="FURNITURE ROW"/>
    <s v="240 KNOLLWOOD DR"/>
    <s v="RAPID CITY"/>
    <s v="SD"/>
    <s v="57701"/>
    <x v="3"/>
    <s v="PO BOX 1400"/>
    <s v="RAPID CITY"/>
    <s v="SD"/>
    <s v="57709"/>
    <s v="605-721-2687"/>
    <m/>
    <s v="C&amp;I Prescriptive Rebate :- C&amp;I Lighting :- Customer Incentives"/>
    <s v="LED Fixtures Exterior &amp; Garage - 60W to 150W"/>
    <s v="Retail"/>
    <s v="Existing"/>
    <m/>
    <m/>
    <m/>
    <m/>
    <m/>
    <m/>
    <m/>
    <m/>
    <m/>
    <m/>
    <m/>
    <m/>
    <m/>
    <n v="3"/>
    <n v="0"/>
    <n v="0.91358099999999998"/>
    <m/>
    <n v="2670.5909999999999"/>
    <m/>
    <m/>
    <m/>
    <m/>
    <m/>
    <n v="0"/>
    <n v="305.33999999999997"/>
    <n v="42705"/>
    <n v="42705.432560069399"/>
    <x v="1"/>
    <s v="2AD6E9F827B14457B687E1B5878EEB69"/>
    <n v="890.197"/>
    <n v="101.77999999999999"/>
    <n v="1175.7261559139786"/>
    <n v="162.55796725694501"/>
    <n v="100.15639784946237"/>
    <n v="32.544111433560438"/>
  </r>
  <r>
    <n v="161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0.65360580667834078"/>
    <n v="0.74402665660424805"/>
    <b v="0"/>
    <b v="0"/>
    <s v=""/>
    <s v="BHHPPS1533273500"/>
    <n v="0"/>
    <s v="BHHPPS1533273500"/>
    <s v="0007613801"/>
    <s v="DENVER MATTRESS"/>
    <s v="FURNITURE ROW"/>
    <s v="FURNITURE ROW"/>
    <s v="240 KNOLLWOOD DR"/>
    <s v="RAPID CITY"/>
    <s v="SD"/>
    <s v="57701"/>
    <x v="3"/>
    <s v="PO BOX 1400"/>
    <s v="RAPID CITY"/>
    <s v="SD"/>
    <s v="57709"/>
    <s v="605-721-2687"/>
    <m/>
    <s v="C&amp;I Prescriptive Rebate :- C&amp;I Lighting :- Customer Incentives"/>
    <s v="LED Fixtures Exterior &amp; Garage - 25W to 60W"/>
    <s v="Retail"/>
    <s v="Existing"/>
    <m/>
    <m/>
    <m/>
    <m/>
    <m/>
    <m/>
    <m/>
    <m/>
    <m/>
    <m/>
    <m/>
    <m/>
    <m/>
    <n v="8"/>
    <n v="0"/>
    <n v="1.2987839999999999"/>
    <m/>
    <n v="3796.6239999999998"/>
    <m/>
    <m/>
    <m/>
    <m/>
    <m/>
    <n v="0"/>
    <n v="600"/>
    <n v="42705"/>
    <n v="42705.432560069399"/>
    <x v="1"/>
    <s v="AE07B2D54E234F748F742A5041AE1428"/>
    <n v="474.57799999999997"/>
    <n v="75"/>
    <n v="540.38278358208959"/>
    <n v="100.67961898397597"/>
    <n v="63.736940298507463"/>
    <n v="15.137978729011348"/>
  </r>
  <r>
    <n v="162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3967384267971441"/>
    <b v="0"/>
    <b v="0"/>
    <s v=""/>
    <s v="BHHPPS1533306948"/>
    <n v="1"/>
    <s v="BHHPPS1533306948"/>
    <s v="1986115108"/>
    <s v="GODFREY BRAKE SERV"/>
    <s v="GODFREY BRAKE SERV"/>
    <s v="GODFREY BRAKE SERV"/>
    <s v="110 POPLAR AVE"/>
    <s v="RAPID CITY"/>
    <s v="SD"/>
    <s v="57701"/>
    <x v="10"/>
    <s v="1936 MARLIN DR"/>
    <s v="RAPID CITY"/>
    <s v="SD"/>
    <s v="57703"/>
    <s v="605-348-7100"/>
    <s v="jwood@dsginc.biz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270"/>
    <n v="0"/>
    <n v="6.5435040000000004"/>
    <m/>
    <n v="30661.47"/>
    <m/>
    <m/>
    <m/>
    <m/>
    <m/>
    <n v="0"/>
    <n v="4320"/>
    <n v="42705"/>
    <n v="42705.821729976902"/>
    <x v="1"/>
    <s v="BEAB5747AF674AF49D4978ECCB059FE4"/>
    <n v="113.56100000000001"/>
    <n v="16"/>
    <n v="71.928403166606657"/>
    <n v="30.28616226838243"/>
    <n v="10.421419234256929"/>
    <n v="3.9940053618595535"/>
  </r>
  <r>
    <n v="16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3306948"/>
    <n v="0"/>
    <s v="BHHPPS1533306948"/>
    <s v="1986115108"/>
    <s v="GODFREY BRAKE SERV"/>
    <s v="GODFREY BRAKE SERV"/>
    <s v="GODFREY BRAKE SERV"/>
    <s v="110 POPLAR AVE"/>
    <s v="RAPID CITY"/>
    <s v="SD"/>
    <s v="57701"/>
    <x v="10"/>
    <s v="1936 MARLIN DR"/>
    <s v="RAPID CITY"/>
    <s v="SD"/>
    <s v="57703"/>
    <s v="605-348-7100"/>
    <s v="jwood@dsginc.biz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24"/>
    <n v="0"/>
    <n v="0.29082200000000002"/>
    <m/>
    <n v="1362.7439999999999"/>
    <m/>
    <m/>
    <m/>
    <m/>
    <m/>
    <n v="0"/>
    <n v="192"/>
    <n v="42705"/>
    <n v="42705.821729976902"/>
    <x v="1"/>
    <s v="D3C552CFFBFC4E2F864431A867D17B00"/>
    <n v="56.780999999999999"/>
    <n v="8"/>
    <n v="71.928403166606657"/>
    <n v="30.28616226838243"/>
    <n v="10.421419234256929"/>
    <n v="3.9940053618595535"/>
  </r>
  <r>
    <n v="164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-1.0848519414246751"/>
    <b v="0"/>
    <b v="0"/>
    <s v=""/>
    <s v="BHHPPS1533526122"/>
    <n v="1"/>
    <s v="BHHPPS1533526122"/>
    <s v="0381286969"/>
    <s v="BLESSED SACRAMENT CH"/>
    <s v="BLESSED SACRAMENT CH"/>
    <s v="BLESSED SACRAMENT CH"/>
    <s v="4500 JACKSON BLVD"/>
    <s v="RAPID CITY"/>
    <s v="SD"/>
    <s v="57702"/>
    <x v="10"/>
    <s v="1936 MARLIN DR"/>
    <s v="RAPID CITY"/>
    <s v="SD"/>
    <s v="57703"/>
    <s v="605-348-7100"/>
    <s v="jwood@dsginc.biz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155"/>
    <n v="0"/>
    <n v="5.9477219999999997"/>
    <m/>
    <n v="27869.775000000001"/>
    <m/>
    <m/>
    <m/>
    <m/>
    <m/>
    <n v="0"/>
    <n v="1117.55"/>
    <n v="42710"/>
    <n v="42710.773168136599"/>
    <x v="1"/>
    <s v="5EF4F2C7913248FA971C3E704FB4017D"/>
    <n v="179.80500000000001"/>
    <n v="7.21"/>
    <n v="183.5885054112554"/>
    <n v="35.763002108901198"/>
    <n v="9.5846103896103898"/>
    <n v="2.1888796977142775"/>
  </r>
  <r>
    <n v="165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-0.37672714058770967"/>
    <b v="0"/>
    <b v="0"/>
    <s v=""/>
    <s v="BHHPPS1533526122"/>
    <n v="0"/>
    <s v="BHHPPS1533526122"/>
    <s v="0381286969"/>
    <s v="BLESSED SACRAMENT CH"/>
    <s v="BLESSED SACRAMENT CH"/>
    <s v="BLESSED SACRAMENT CH"/>
    <s v="4500 JACKSON BLVD"/>
    <s v="RAPID CITY"/>
    <s v="SD"/>
    <s v="57702"/>
    <x v="10"/>
    <s v="1936 MARLIN DR"/>
    <s v="RAPID CITY"/>
    <s v="SD"/>
    <s v="57703"/>
    <s v="605-348-7100"/>
    <s v="jwood@dsginc.biz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54"/>
    <n v="0"/>
    <n v="2.0721099999999999"/>
    <m/>
    <n v="9709.4699999999993"/>
    <m/>
    <m/>
    <m/>
    <m/>
    <m/>
    <n v="0"/>
    <n v="473.04"/>
    <n v="42710"/>
    <n v="42710.773168136599"/>
    <x v="1"/>
    <s v="C1CED5D78D5D446E8990BB3760FB0AEC"/>
    <n v="179.80499999999998"/>
    <n v="8.76"/>
    <n v="183.5885054112554"/>
    <n v="35.763002108901198"/>
    <n v="9.5846103896103898"/>
    <n v="2.1888796977142775"/>
  </r>
  <r>
    <n v="166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3967384267971441"/>
    <b v="0"/>
    <b v="0"/>
    <s v=""/>
    <s v="BHHPPS1533589353"/>
    <n v="1"/>
    <s v="BHHPPS1533589353"/>
    <s v="5515919601"/>
    <s v="FTC LAUNDRY"/>
    <s v="FTC LAUNDRY"/>
    <s v="FTC LAUNDRY"/>
    <s v="1512 E SAINT PATRICK ST"/>
    <s v="RAPID CITY"/>
    <s v="SD"/>
    <s v="57703"/>
    <x v="28"/>
    <s v="4315 BROOKSIDE DR"/>
    <s v="RAPID CITY"/>
    <s v="SD"/>
    <s v="57702"/>
    <s v="605-939-4047"/>
    <s v="JASONFAITH@HOTMAIL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98"/>
    <n v="0"/>
    <n v="2.3750499999999999"/>
    <m/>
    <n v="11128.977999999999"/>
    <m/>
    <m/>
    <m/>
    <m/>
    <m/>
    <n v="0"/>
    <n v="1568"/>
    <n v="42711"/>
    <n v="42711.686807557897"/>
    <x v="1"/>
    <s v="79899035AF7E42E7960F42763E2ABD1A"/>
    <n v="113.56099999999999"/>
    <n v="16"/>
    <n v="71.928403166606657"/>
    <n v="30.28616226838243"/>
    <n v="10.421419234256929"/>
    <n v="3.9940053618595535"/>
  </r>
  <r>
    <n v="16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1.7564759250628483"/>
    <n v="-4.8057188404622845E-3"/>
    <b v="0"/>
    <b v="0"/>
    <s v=""/>
    <s v="BHHPPS1533855799"/>
    <n v="1"/>
    <s v="BHHPPS1533855799"/>
    <s v="5567664825"/>
    <s v="AUTO ZONE"/>
    <s v="AUTO ZONE"/>
    <s v="AUTO ZONE"/>
    <s v="414 E NORTH ST"/>
    <s v="RAPID CITY"/>
    <s v="SD"/>
    <s v="57701"/>
    <x v="29"/>
    <s v="PO BOX 12203"/>
    <s v="GREEN BAY"/>
    <s v="WI"/>
    <s v="54307"/>
    <s v="920-660-5995"/>
    <s v="MHOLMAN@ROIENERGYINVESTMENTS.COM"/>
    <s v="C&amp;I Prescriptive Rebate :- C&amp;I Lighting :- Customer Incentives"/>
    <s v="LED Fixtures Exterior &amp; Garage - 60W to 150W"/>
    <s v="Retail"/>
    <s v="Existing"/>
    <m/>
    <m/>
    <m/>
    <m/>
    <m/>
    <m/>
    <m/>
    <m/>
    <m/>
    <m/>
    <m/>
    <m/>
    <m/>
    <n v="10"/>
    <n v="0"/>
    <n v="3.0452699999999999"/>
    <m/>
    <n v="8901.9699999999993"/>
    <m/>
    <m/>
    <m/>
    <m/>
    <m/>
    <n v="0"/>
    <n v="1000"/>
    <n v="42740"/>
    <n v="42740.498401273202"/>
    <x v="1"/>
    <s v="9A80BF122A9542A88B5C9EABEAACF925"/>
    <n v="890.19699999999989"/>
    <n v="100"/>
    <n v="1175.7261559139786"/>
    <n v="162.55796725694501"/>
    <n v="100.15639784946237"/>
    <n v="32.544111433560438"/>
  </r>
  <r>
    <n v="168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0.65360580667834078"/>
    <n v="0.74402665660424805"/>
    <b v="0"/>
    <b v="0"/>
    <s v=""/>
    <s v="BHHPPS1533855799"/>
    <n v="0"/>
    <s v="BHHPPS1533855799"/>
    <s v="5567664825"/>
    <s v="AUTO ZONE"/>
    <s v="AUTO ZONE"/>
    <s v="AUTO ZONE"/>
    <s v="414 E NORTH ST"/>
    <s v="RAPID CITY"/>
    <s v="SD"/>
    <s v="57701"/>
    <x v="29"/>
    <s v="PO BOX 12203"/>
    <s v="GREEN BAY"/>
    <s v="WI"/>
    <s v="54307"/>
    <s v="920-660-5995"/>
    <s v="MHOLMAN@ROIENERGYINVESTMENTS.COM"/>
    <s v="C&amp;I Prescriptive Rebate :- C&amp;I Lighting :- Customer Incentives"/>
    <s v="LED Fixtures Exterior &amp; Garage - 25W to 60W"/>
    <s v="Retail"/>
    <s v="Existing"/>
    <m/>
    <m/>
    <m/>
    <m/>
    <m/>
    <m/>
    <m/>
    <m/>
    <m/>
    <m/>
    <m/>
    <m/>
    <m/>
    <n v="7"/>
    <n v="0"/>
    <n v="1.136436"/>
    <m/>
    <n v="3322.0459999999998"/>
    <m/>
    <m/>
    <m/>
    <m/>
    <m/>
    <n v="0"/>
    <n v="525"/>
    <n v="42740"/>
    <n v="42740.498401273202"/>
    <x v="1"/>
    <s v="98D813EFF5B948BCAFFBE6BD558F1C8E"/>
    <n v="474.57799999999997"/>
    <n v="75"/>
    <n v="540.38278358208959"/>
    <n v="100.67961898397597"/>
    <n v="63.736940298507463"/>
    <n v="15.137978729011348"/>
  </r>
  <r>
    <n v="169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1238294291255659"/>
    <b v="0"/>
    <b v="0"/>
    <s v=""/>
    <s v="BHHPPS1533885329"/>
    <n v="1"/>
    <s v="BHHPPS1533885329"/>
    <s v="0653156237"/>
    <s v="DINING HALL"/>
    <s v="OUTLAW RANCH"/>
    <s v="OUTLAW RANCH"/>
    <s v="12710 OUTLAW RANCH RD"/>
    <s v="CUSTER"/>
    <s v="SD"/>
    <s v="57730"/>
    <x v="4"/>
    <s v="PO BOX 30"/>
    <s v="PIEDMONT"/>
    <s v="SD"/>
    <s v="57769"/>
    <s v="605-277-1181"/>
    <s v="todd@genproenergy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00"/>
    <n v="0"/>
    <n v="2.4235199999999999"/>
    <m/>
    <n v="11356.1"/>
    <m/>
    <m/>
    <m/>
    <m/>
    <m/>
    <n v="0"/>
    <n v="1491"/>
    <n v="42745"/>
    <n v="42745.681562002297"/>
    <x v="1"/>
    <s v="49ECE2CF3496453AA64CD07DF34AD37A"/>
    <n v="113.56100000000001"/>
    <n v="14.91"/>
    <n v="71.928403166606657"/>
    <n v="30.28616226838243"/>
    <n v="10.421419234256929"/>
    <n v="3.9940053618595535"/>
  </r>
  <r>
    <n v="170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3886935"/>
    <n v="1"/>
    <s v="BHHPPS1533886935"/>
    <s v="4829790872"/>
    <s v="RUNNINGS"/>
    <s v="RUNNINGS"/>
    <s v="RUNNINGS"/>
    <s v="1020 N LACROSSE ST"/>
    <s v="RAPID CITY"/>
    <s v="SD"/>
    <s v="57701"/>
    <x v="30"/>
    <s v="2615 210TH AVE"/>
    <s v="MARSHALL"/>
    <s v="MN"/>
    <s v="56258"/>
    <s v="605-321-0570"/>
    <s v="CHAD@MYIDEALENERGY.COM"/>
    <s v="C&amp;I Prescriptive Rebate :- C&amp;I Lighting :- Customer Incentives"/>
    <s v="LED Replacement for T8 Linear Fluorescent Lamps - 4 ft or less"/>
    <s v="Large Retail"/>
    <s v="Existing"/>
    <m/>
    <m/>
    <m/>
    <m/>
    <m/>
    <m/>
    <m/>
    <m/>
    <m/>
    <m/>
    <m/>
    <m/>
    <m/>
    <n v="2965"/>
    <n v="0"/>
    <n v="44.001786000000003"/>
    <m/>
    <n v="129490.44500000001"/>
    <m/>
    <m/>
    <m/>
    <m/>
    <m/>
    <n v="0"/>
    <n v="23720"/>
    <n v="42829"/>
    <n v="42746.554173807897"/>
    <x v="1"/>
    <s v="5C1ED64B0D834EF19FB94AB65DA57179"/>
    <n v="43.673000000000002"/>
    <n v="8"/>
    <n v="71.928403166606657"/>
    <n v="30.28616226838243"/>
    <n v="10.421419234256929"/>
    <n v="3.9940053618595535"/>
  </r>
  <r>
    <n v="171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69335995827537733"/>
    <n v="0.74402665660424805"/>
    <b v="0"/>
    <b v="0"/>
    <s v=""/>
    <s v="BHHPPS1533904083"/>
    <n v="1"/>
    <s v="BHHPPS1533904083"/>
    <s v="2796921701"/>
    <s v="WAREHOUSE"/>
    <s v="BUILDING"/>
    <s v="DALES TIRE"/>
    <s v="3200 S HIGHWAY 79"/>
    <s v="RAPID CITY"/>
    <s v="SD"/>
    <s v="57701"/>
    <x v="14"/>
    <s v="PO BOX 4035"/>
    <s v="RAPID CITY"/>
    <s v="SD"/>
    <s v="57709"/>
    <s v="605-381-9452"/>
    <m/>
    <s v="C&amp;I Prescriptive Rebate :- C&amp;I Lighting :- Customer Incentives"/>
    <s v="LED Fixtures Exterior &amp; Garage - 25W to 60W"/>
    <s v="Warehouse"/>
    <s v="Existing"/>
    <m/>
    <m/>
    <m/>
    <m/>
    <m/>
    <m/>
    <m/>
    <m/>
    <m/>
    <m/>
    <m/>
    <m/>
    <m/>
    <n v="2"/>
    <n v="0"/>
    <n v="0.266538"/>
    <m/>
    <n v="1220.3800000000001"/>
    <m/>
    <m/>
    <m/>
    <m/>
    <m/>
    <n v="0"/>
    <n v="150"/>
    <n v="42752"/>
    <n v="42752.773998298602"/>
    <x v="1"/>
    <s v="EBB0CFCF6D7C477F8BBEDB3A5EA167F6"/>
    <n v="610.19000000000005"/>
    <n v="75"/>
    <n v="540.38278358208959"/>
    <n v="100.67961898397597"/>
    <n v="63.736940298507463"/>
    <n v="15.137978729011348"/>
  </r>
  <r>
    <n v="172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-3.0873963515973197"/>
    <b v="0"/>
    <b v="1"/>
    <s v=""/>
    <s v="BHHPPS1533917381"/>
    <n v="1"/>
    <s v="BHHPPS1533917381"/>
    <s v="5344540148"/>
    <s v="EDGEMONT SENIOR CENTER"/>
    <s v="EDGEMONT SENIOR CENTER"/>
    <s v="EDGEMONT SENIOR CENTER"/>
    <s v="601 5TH AVE"/>
    <s v="EDGEMONT"/>
    <s v="SD"/>
    <s v="57735"/>
    <x v="31"/>
    <s v="PO BOX 32"/>
    <s v="PRINGLE"/>
    <s v="SD"/>
    <s v="57773"/>
    <s v="605-745-4364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5"/>
    <n v="0"/>
    <n v="0.65839000000000003"/>
    <m/>
    <n v="3085.08"/>
    <m/>
    <m/>
    <m/>
    <m/>
    <m/>
    <n v="0"/>
    <n v="85"/>
    <n v="42755"/>
    <n v="42755.638858599501"/>
    <x v="1"/>
    <s v="3937D31AA51B4BC4973C6561A4BB030C"/>
    <n v="617.01599999999996"/>
    <n v="17"/>
    <n v="540.38278358208959"/>
    <n v="100.67961898397597"/>
    <n v="63.736940298507463"/>
    <n v="15.137978729011348"/>
  </r>
  <r>
    <n v="173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3967384267971441"/>
    <b v="0"/>
    <b v="0"/>
    <s v=""/>
    <s v="BHHPPS1533917381"/>
    <n v="0"/>
    <s v="BHHPPS1533917381"/>
    <s v="5344540148"/>
    <s v="EDGEMONT SENIOR CENTER"/>
    <s v="EDGEMONT SENIOR CENTER"/>
    <s v="EDGEMONT SENIOR CENTER"/>
    <s v="601 5TH AVE"/>
    <s v="EDGEMONT"/>
    <s v="SD"/>
    <s v="57735"/>
    <x v="31"/>
    <s v="PO BOX 32"/>
    <s v="PRINGLE"/>
    <s v="SD"/>
    <s v="57773"/>
    <s v="605-745-4364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02"/>
    <n v="0"/>
    <n v="2.4719899999999999"/>
    <m/>
    <n v="11583.222"/>
    <m/>
    <m/>
    <m/>
    <m/>
    <m/>
    <n v="0"/>
    <n v="1632"/>
    <n v="42755"/>
    <n v="42755.638858599501"/>
    <x v="1"/>
    <s v="7B10AF6747454742A65FCB7D17C87F72"/>
    <n v="113.56099999999999"/>
    <n v="16"/>
    <n v="71.928403166606657"/>
    <n v="30.28616226838243"/>
    <n v="10.421419234256929"/>
    <n v="3.9940053618595535"/>
  </r>
  <r>
    <n v="174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0.94606301779820789"/>
    <b v="0"/>
    <b v="0"/>
    <s v=""/>
    <s v="BHHPPS1533935644"/>
    <n v="1"/>
    <s v="BHHPPS1533935644"/>
    <s v="0684557137"/>
    <s v="DIESEL MACHINERY INC"/>
    <s v="DIESEL MACHINERY INC"/>
    <s v="DAKOTA RV"/>
    <s v="3801 DEADWOOD AVE N"/>
    <s v="RAPID CITY"/>
    <s v="SD"/>
    <s v="57702"/>
    <x v="10"/>
    <s v="1936 MARLIN DR"/>
    <s v="RAPID CITY"/>
    <s v="SD"/>
    <s v="57703"/>
    <s v="605-348-7100"/>
    <s v="jwood@dsginc.biz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36"/>
    <n v="0"/>
    <n v="3.2959870000000002"/>
    <m/>
    <n v="15444.296"/>
    <m/>
    <m/>
    <m/>
    <m/>
    <m/>
    <n v="0"/>
    <n v="1931.2"/>
    <n v="42761"/>
    <n v="42761.645441932902"/>
    <x v="1"/>
    <s v="7961E8687D774D14B0AB7C53DA22BB87"/>
    <n v="113.56100000000001"/>
    <n v="14.200000000000001"/>
    <n v="71.928403166606657"/>
    <n v="30.28616226838243"/>
    <n v="10.421419234256929"/>
    <n v="3.9940053618595535"/>
  </r>
  <r>
    <n v="175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3935644"/>
    <n v="0"/>
    <s v="BHHPPS1533935644"/>
    <s v="0684557137"/>
    <s v="DIESEL MACHINERY INC"/>
    <s v="DIESEL MACHINERY INC"/>
    <s v="DAKOTA RV"/>
    <s v="3801 DEADWOOD AVE N"/>
    <s v="RAPID CITY"/>
    <s v="SD"/>
    <s v="57702"/>
    <x v="10"/>
    <s v="1936 MARLIN DR"/>
    <s v="RAPID CITY"/>
    <s v="SD"/>
    <s v="57703"/>
    <s v="605-348-7100"/>
    <s v="jwood@dsginc.biz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1"/>
    <n v="0"/>
    <n v="0.13167799999999999"/>
    <m/>
    <n v="617.01599999999996"/>
    <m/>
    <m/>
    <m/>
    <m/>
    <m/>
    <n v="0"/>
    <n v="75"/>
    <n v="42761"/>
    <n v="42761.645441932902"/>
    <x v="1"/>
    <s v="E6092B73E82D48ADB79B280939E5ED7F"/>
    <n v="617.01599999999996"/>
    <n v="75"/>
    <n v="540.38278358208959"/>
    <n v="100.67961898397597"/>
    <n v="63.736940298507463"/>
    <n v="15.137978729011348"/>
  </r>
  <r>
    <n v="176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0.28702377678926755"/>
    <n v="-1.3074589700222052"/>
    <b v="0"/>
    <b v="0"/>
    <s v=""/>
    <s v="BHHPPS1533967523"/>
    <n v="1"/>
    <s v="BHHPPS1533967523"/>
    <s v="4585360348"/>
    <s v="COMFORT INN&amp;SUITES"/>
    <s v="JZ LODGING"/>
    <s v="JZ LODGING"/>
    <s v="12454 OLD HILL CITY RD"/>
    <s v="HILL CITY"/>
    <s v="SD"/>
    <s v="57745"/>
    <x v="32"/>
    <s v="29 EAST CHICAGO"/>
    <s v="RAPID CITY"/>
    <s v="SD"/>
    <s v="57701"/>
    <s v="605-343-9686"/>
    <s v="steve@kilowattelec.com"/>
    <s v="C&amp;I Prescriptive Rebate :- C&amp;I Lighting :- Customer Incentives"/>
    <s v="Energy Star LED Lamps - 5W to 10W"/>
    <s v="Lodging"/>
    <s v="New"/>
    <m/>
    <m/>
    <m/>
    <m/>
    <m/>
    <m/>
    <m/>
    <m/>
    <m/>
    <m/>
    <m/>
    <m/>
    <m/>
    <n v="444"/>
    <n v="0"/>
    <n v="3.4909059999999998"/>
    <m/>
    <n v="58079.64"/>
    <m/>
    <m/>
    <m/>
    <m/>
    <m/>
    <n v="0"/>
    <n v="943.5"/>
    <n v="42769"/>
    <n v="42769.497099189801"/>
    <x v="1"/>
    <s v="8264280FCB5E478CBEBC8D5005F8BD5B"/>
    <n v="130.81"/>
    <n v="2.125"/>
    <n v="124.22266552020636"/>
    <n v="22.950483592270654"/>
    <n v="4.8732072914875317"/>
    <n v="2.1019453416888925"/>
  </r>
  <r>
    <n v="17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96852739206047811"/>
    <n v="-2.3093700991927801"/>
    <b v="0"/>
    <b v="1"/>
    <s v=""/>
    <s v="BHHPPS1533967523"/>
    <n v="0"/>
    <s v="BHHPPS1533967523"/>
    <s v="4585360348"/>
    <s v="COMFORT INN&amp;SUITES"/>
    <s v="JZ LODGING"/>
    <s v="JZ LODGING"/>
    <s v="12454 OLD HILL CITY RD"/>
    <s v="HILL CITY"/>
    <s v="SD"/>
    <s v="57745"/>
    <x v="32"/>
    <s v="29 EAST CHICAGO"/>
    <s v="RAPID CITY"/>
    <s v="SD"/>
    <s v="57701"/>
    <s v="605-343-9686"/>
    <s v="steve@kilowattelec.com"/>
    <s v="C&amp;I Prescriptive Rebate :- C&amp;I Lighting :- Customer Incentives"/>
    <s v="LED Fixtures Exterior &amp; Garage - 60W to 150W"/>
    <s v="Lodging"/>
    <s v="New"/>
    <m/>
    <m/>
    <m/>
    <m/>
    <m/>
    <m/>
    <m/>
    <m/>
    <m/>
    <m/>
    <m/>
    <m/>
    <m/>
    <n v="9"/>
    <n v="0"/>
    <n v="0.72117900000000001"/>
    <m/>
    <n v="11998.512000000001"/>
    <m/>
    <m/>
    <m/>
    <m/>
    <m/>
    <n v="0"/>
    <n v="225"/>
    <n v="42769"/>
    <n v="42769.497099189801"/>
    <x v="1"/>
    <s v="A70BDD5676204E1F958D9EF1DB341ABD"/>
    <n v="1333.1680000000001"/>
    <n v="25"/>
    <n v="1175.7261559139786"/>
    <n v="162.55796725694501"/>
    <n v="100.15639784946237"/>
    <n v="32.544111433560438"/>
  </r>
  <r>
    <n v="178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3973082"/>
    <n v="1"/>
    <s v="BHHPPS1533973082"/>
    <s v="2465653193"/>
    <s v="RCS STORAGE"/>
    <s v="RCS STORAGE"/>
    <s v="RCS STORAGE"/>
    <s v="2400 COMMERCE RD"/>
    <s v="RAPID CITY"/>
    <s v="SD"/>
    <s v="57702"/>
    <x v="17"/>
    <s v="2321 SOPHIA CT"/>
    <s v="RAPID CITY"/>
    <s v="SD"/>
    <s v="57702"/>
    <s v="605-342-5945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25"/>
    <n v="0"/>
    <n v="3.2919480000000001"/>
    <m/>
    <n v="15425.4"/>
    <m/>
    <m/>
    <m/>
    <m/>
    <m/>
    <n v="0"/>
    <n v="1875"/>
    <n v="42772"/>
    <n v="42772.445572835597"/>
    <x v="1"/>
    <s v="87594555DB3248658114F95DD5EE9527"/>
    <n v="617.01599999999996"/>
    <n v="75"/>
    <n v="540.38278358208959"/>
    <n v="100.67961898397597"/>
    <n v="63.736940298507463"/>
    <n v="15.137978729011348"/>
  </r>
  <r>
    <n v="179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-0.15639424182705158"/>
    <s v=""/>
    <b v="0"/>
    <b v="0"/>
    <s v=""/>
    <s v="BHHPPS1533975017"/>
    <n v="1"/>
    <s v="BHHPPS1533975017"/>
    <s v="1086894116"/>
    <s v="JANELLE"/>
    <s v="FINCK"/>
    <s v="FISK LAND SURVEY"/>
    <s v="1022 W MAIN ST"/>
    <s v="RAPID CITY"/>
    <s v="SD"/>
    <s v="57701"/>
    <x v="14"/>
    <s v="PO BOX 4035"/>
    <s v="RAPID CITY"/>
    <s v="SD"/>
    <s v="57709"/>
    <s v="605-381-9452"/>
    <m/>
    <s v="C&amp;I Prescriptive Rebate :- C&amp;I Lighting :- Customer Incentives"/>
    <s v="LED Replacement for Linear Fluorescent Lamps - 5 to 8 f"/>
    <s v="Office"/>
    <s v="Existing"/>
    <m/>
    <m/>
    <m/>
    <m/>
    <m/>
    <m/>
    <m/>
    <m/>
    <m/>
    <m/>
    <m/>
    <m/>
    <m/>
    <n v="16"/>
    <n v="0"/>
    <n v="0.55389299999999997"/>
    <m/>
    <n v="2462.8960000000002"/>
    <m/>
    <m/>
    <m/>
    <m/>
    <m/>
    <n v="0"/>
    <n v="368"/>
    <n v="42773"/>
    <n v="42773.443283449102"/>
    <x v="1"/>
    <s v="CA290171EA34411DBAC7E9851411D38D"/>
    <n v="153.93100000000001"/>
    <n v="23"/>
    <n v="159.23217764165389"/>
    <n v="33.896245665592865"/>
    <n v="23"/>
    <n v="0"/>
  </r>
  <r>
    <n v="180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-0.60626339097590731"/>
    <b v="0"/>
    <b v="0"/>
    <s v=""/>
    <s v="BHHPPS1533975017"/>
    <n v="0"/>
    <s v="BHHPPS1533975017"/>
    <s v="1086894116"/>
    <s v="JANELLE"/>
    <s v="FINCK"/>
    <s v="FISK LAND SURVEY"/>
    <s v="1022 W MAIN ST"/>
    <s v="RAPID CITY"/>
    <s v="SD"/>
    <s v="57701"/>
    <x v="14"/>
    <s v="PO BOX 4035"/>
    <s v="RAPID CITY"/>
    <s v="SD"/>
    <s v="57709"/>
    <s v="605-381-9452"/>
    <m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20"/>
    <n v="0"/>
    <n v="0.22334399999999999"/>
    <m/>
    <n v="993.1"/>
    <m/>
    <m/>
    <m/>
    <m/>
    <m/>
    <n v="0"/>
    <n v="160"/>
    <n v="42773"/>
    <n v="42773.443283449102"/>
    <x v="1"/>
    <s v="189FB37DDA084859B436A8D052925B41"/>
    <n v="49.655000000000001"/>
    <n v="8"/>
    <n v="71.928403166606657"/>
    <n v="30.28616226838243"/>
    <n v="10.421419234256929"/>
    <n v="3.9940053618595535"/>
  </r>
  <r>
    <n v="181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0.10982312579381885"/>
    <b v="0"/>
    <b v="0"/>
    <s v=""/>
    <s v="BHHPPS1533979839"/>
    <n v="1"/>
    <s v="BHHPPS1533979839"/>
    <s v="5587911853"/>
    <s v="DALES TIRE"/>
    <s v="DALES TIRE"/>
    <s v="DALES TIRE"/>
    <s v="691 DEADWOOD AVE N"/>
    <s v="RAPID CITY"/>
    <s v="SD"/>
    <s v="57702"/>
    <x v="14"/>
    <s v="PO BOX 4035"/>
    <s v="RAPID CITY"/>
    <s v="SD"/>
    <s v="57709"/>
    <s v="605-381-9452"/>
    <m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6"/>
    <n v="0"/>
    <n v="0.23023399999999999"/>
    <m/>
    <n v="1078.83"/>
    <m/>
    <m/>
    <m/>
    <m/>
    <m/>
    <n v="0"/>
    <n v="58.95"/>
    <n v="42774"/>
    <n v="42774.778149849502"/>
    <x v="1"/>
    <s v="4354D1D4FB1040E98BC343A62F78B595"/>
    <n v="179.80499999999998"/>
    <n v="9.8250000000000011"/>
    <n v="183.5885054112554"/>
    <n v="35.763002108901198"/>
    <n v="9.5846103896103898"/>
    <n v="2.1888796977142775"/>
  </r>
  <r>
    <n v="182"/>
    <s v="Non-Residential - BHPSD - C/I Prescriptive Rebate"/>
    <b v="1"/>
    <s v="Non-Residential - BHPSD - C/I Prescriptive Rebate_C&amp;I Prescriptive Rebate :- C&amp;I Lighting :- Customer Incentives_Energy Star LED Lamps - 5W or less"/>
    <s v="C&amp;I_C&amp;I Prescriptive_Lighting_Energy Star LED Lamp (≤5W)"/>
    <x v="2"/>
    <x v="3"/>
    <x v="3"/>
    <x v="7"/>
    <n v="1.960591133004923"/>
    <n v="-1.9605911330049151"/>
    <b v="0"/>
    <b v="0"/>
    <s v=""/>
    <s v="BHHPPS1534039959"/>
    <n v="1"/>
    <s v="BHHPPS1534039959"/>
    <s v="5011134698"/>
    <s v="LATE HARVEST INC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Prescriptive Rebate :- C&amp;I Lighting :- Customer Incentives"/>
    <s v="Energy Star LED Lamps - 5W or less"/>
    <s v="Restaurant"/>
    <s v="Existing"/>
    <m/>
    <m/>
    <m/>
    <m/>
    <m/>
    <m/>
    <m/>
    <m/>
    <m/>
    <m/>
    <m/>
    <m/>
    <m/>
    <n v="8"/>
    <n v="0"/>
    <n v="0.13619200000000001"/>
    <m/>
    <n v="832.8"/>
    <m/>
    <m/>
    <m/>
    <m/>
    <m/>
    <n v="0"/>
    <n v="30.32"/>
    <n v="42796"/>
    <n v="42796.520584490703"/>
    <x v="1"/>
    <s v="EE2102B7B50A4E27B48D54BF2B2FF81A"/>
    <n v="104.1"/>
    <n v="3.79"/>
    <n v="76.267448275862066"/>
    <n v="14.196000000000021"/>
    <n v="4.9761576354679802"/>
    <n v="0.60500000000000331"/>
  </r>
  <r>
    <n v="183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-0.37736818163416058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3"/>
    <n v="0"/>
    <n v="7.6607999999999996E-2"/>
    <m/>
    <n v="468.45"/>
    <m/>
    <m/>
    <m/>
    <m/>
    <m/>
    <n v="0"/>
    <n v="12.24"/>
    <n v="42796"/>
    <n v="42796.520584490703"/>
    <x v="1"/>
    <s v="E9B6D62BDDC741EE99BC579F6140716E"/>
    <n v="156.15"/>
    <n v="4.08"/>
    <n v="124.22266552020636"/>
    <n v="22.950483592270654"/>
    <n v="4.8732072914875317"/>
    <n v="2.1019453416888925"/>
  </r>
  <r>
    <n v="18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0.20295066700511452"/>
    <n v="-0.70390972959234355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Prescriptive Rebate :- C&amp;I Lighting :- Customer Incentives"/>
    <s v="LED Replacement for T8 Linear Fluorescent Lamps - 4 ft or less"/>
    <s v="Restaurant"/>
    <s v="Existing"/>
    <m/>
    <m/>
    <m/>
    <m/>
    <m/>
    <m/>
    <m/>
    <m/>
    <m/>
    <m/>
    <m/>
    <m/>
    <m/>
    <n v="2"/>
    <n v="0"/>
    <n v="2.5536E-2"/>
    <m/>
    <n v="156.15"/>
    <m/>
    <m/>
    <m/>
    <m/>
    <m/>
    <n v="0"/>
    <n v="15.22"/>
    <n v="42796"/>
    <n v="42796.520584490703"/>
    <x v="1"/>
    <s v="E4289F3D3EB24263BF1DB74AFDD1A04C"/>
    <n v="78.075000000000003"/>
    <n v="7.61"/>
    <n v="71.928403166606657"/>
    <n v="30.28616226838243"/>
    <n v="10.421419234256929"/>
    <n v="3.9940053618595535"/>
  </r>
  <r>
    <n v="185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1.7797301914120589"/>
    <n v="-0.88840441603119402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Prescriptive Rebate :- C&amp;I Lighting :- Customer Incentives"/>
    <s v="Energy Star LED Lamps - 10W or greater"/>
    <s v="Restaurant"/>
    <s v="Existing"/>
    <m/>
    <m/>
    <m/>
    <m/>
    <m/>
    <m/>
    <m/>
    <m/>
    <m/>
    <m/>
    <m/>
    <m/>
    <m/>
    <n v="12"/>
    <n v="0"/>
    <n v="0.485184"/>
    <m/>
    <n v="2966.8440000000001"/>
    <m/>
    <m/>
    <m/>
    <m/>
    <m/>
    <n v="0"/>
    <n v="91.68"/>
    <n v="42796"/>
    <n v="42796.520584490703"/>
    <x v="1"/>
    <s v="48EE0DD7FD1E4CC1A392AE40E8292169"/>
    <n v="247.23699999999999"/>
    <n v="7.6400000000000006"/>
    <n v="183.5885054112554"/>
    <n v="35.763002108901198"/>
    <n v="9.5846103896103898"/>
    <n v="2.1888796977142775"/>
  </r>
  <r>
    <n v="186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0.20295066700511452"/>
    <n v="-0.8891873977363508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Prescriptive Rebate :- C&amp;I Lighting :- Customer Incentives"/>
    <s v="LED Replacement for T8 Linear Fluorescent Lamps - 4 ft or less"/>
    <s v="Restaurant"/>
    <s v="Existing"/>
    <m/>
    <m/>
    <m/>
    <m/>
    <m/>
    <m/>
    <m/>
    <m/>
    <m/>
    <m/>
    <m/>
    <m/>
    <m/>
    <n v="2"/>
    <n v="0"/>
    <n v="2.5536E-2"/>
    <m/>
    <n v="156.15"/>
    <m/>
    <m/>
    <m/>
    <m/>
    <m/>
    <n v="0"/>
    <n v="13.74"/>
    <n v="42796"/>
    <n v="42796.520584490703"/>
    <x v="1"/>
    <s v="B17A86A87C2F403DBD6E9C04A8995DBD"/>
    <n v="78.075000000000003"/>
    <n v="6.87"/>
    <n v="71.928403166606657"/>
    <n v="30.28616226838243"/>
    <n v="10.421419234256929"/>
    <n v="3.9940053618595535"/>
  </r>
  <r>
    <n v="187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0.39334643585363099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20"/>
    <n v="0"/>
    <n v="0.51071999999999995"/>
    <m/>
    <n v="3123"/>
    <m/>
    <m/>
    <m/>
    <m/>
    <m/>
    <n v="0"/>
    <n v="114"/>
    <n v="42796"/>
    <n v="42796.520584490703"/>
    <x v="1"/>
    <s v="645605E58E0C4D8F878C740F1B745CB4"/>
    <n v="156.15"/>
    <n v="5.7"/>
    <n v="124.22266552020636"/>
    <n v="22.950483592270654"/>
    <n v="4.8732072914875317"/>
    <n v="2.1019453416888925"/>
  </r>
  <r>
    <n v="188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-0.52009311079856657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x v="16"/>
    <s v="2843 SAMCO RD UNIT E"/>
    <s v="RAPID CITY"/>
    <s v="SD"/>
    <s v="57702"/>
    <s v="605-391-0231"/>
    <s v="APEX.HOLZER@GMAIL.COM"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12"/>
    <n v="0"/>
    <n v="0.30643199999999998"/>
    <m/>
    <n v="1873.8"/>
    <m/>
    <m/>
    <m/>
    <m/>
    <m/>
    <n v="0"/>
    <n v="45.36"/>
    <n v="42796"/>
    <n v="42796.520584490703"/>
    <x v="1"/>
    <s v="00F41F02B7B2487BA0720C8924DD6C22"/>
    <n v="156.15"/>
    <n v="3.78"/>
    <n v="124.22266552020636"/>
    <n v="22.950483592270654"/>
    <n v="4.8732072914875317"/>
    <n v="2.1019453416888925"/>
  </r>
  <r>
    <n v="18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-0.28697572649670333"/>
    <b v="0"/>
    <b v="0"/>
    <s v=""/>
    <s v="BHHPPS1534040769"/>
    <n v="1"/>
    <s v="BHHPPS1534040769"/>
    <s v="6156656520"/>
    <s v="CHURCH OF ALL ANGELS"/>
    <s v="CHURCH OF ALL ANGELS"/>
    <s v="CHURCH OF ALL ANGELS"/>
    <s v="1046 N 5TH ST"/>
    <s v="SPEARFISH"/>
    <s v="SD"/>
    <s v="57783"/>
    <x v="3"/>
    <s v="PO BOX 1400"/>
    <s v="RAPID CITY"/>
    <s v="SD"/>
    <s v="57709"/>
    <s v="605-721-2687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3"/>
    <n v="0"/>
    <n v="7.2706000000000007E-2"/>
    <m/>
    <n v="340.68299999999999"/>
    <m/>
    <m/>
    <m/>
    <m/>
    <m/>
    <n v="0"/>
    <n v="12.81"/>
    <n v="42796"/>
    <n v="42796.677917673602"/>
    <x v="1"/>
    <s v="23C4FD3698B642FE80BB0AA31E8D5CC7"/>
    <n v="113.56099999999999"/>
    <n v="4.2700000000000005"/>
    <n v="124.22266552020636"/>
    <n v="22.950483592270654"/>
    <n v="4.8732072914875317"/>
    <n v="2.1019453416888925"/>
  </r>
  <r>
    <n v="190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040769"/>
    <n v="0"/>
    <s v="BHHPPS1534040769"/>
    <s v="6156656520"/>
    <s v="CHURCH OF ALL ANGELS"/>
    <s v="CHURCH OF ALL ANGELS"/>
    <s v="CHURCH OF ALL ANGELS"/>
    <s v="1046 N 5TH ST"/>
    <s v="SPEARFISH"/>
    <s v="SD"/>
    <s v="57783"/>
    <x v="3"/>
    <s v="PO BOX 1400"/>
    <s v="RAPID CITY"/>
    <s v="SD"/>
    <s v="57709"/>
    <s v="605-721-2687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1"/>
    <n v="0"/>
    <n v="0.13167799999999999"/>
    <m/>
    <n v="617.01599999999996"/>
    <m/>
    <m/>
    <m/>
    <m/>
    <m/>
    <n v="0"/>
    <n v="75"/>
    <n v="42796"/>
    <n v="42796.677917673602"/>
    <x v="1"/>
    <s v="B9151104630C4F0BABD18BC4515CBA68"/>
    <n v="617.01599999999996"/>
    <n v="75"/>
    <n v="540.38278358208959"/>
    <n v="100.67961898397597"/>
    <n v="63.736940298507463"/>
    <n v="15.137978729011348"/>
  </r>
  <r>
    <n v="191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2.4427431632168606"/>
    <s v=""/>
    <b v="1"/>
    <b v="0"/>
    <s v=""/>
    <s v="BHHPPS1534040824"/>
    <n v="1"/>
    <s v="BHHPPS1534040824"/>
    <s v="0211290232"/>
    <s v="MILLSTONE RESTAURANT"/>
    <s v="MILLSTONE RESTAURANT"/>
    <s v="MILLSTONE RESTAURANT"/>
    <s v="2010 W MAIN ST"/>
    <s v="RAPID CITY"/>
    <s v="SD"/>
    <s v="57702"/>
    <x v="33"/>
    <s v="8420 ALBERTTA DR"/>
    <s v="RAPID CITY"/>
    <s v="SD"/>
    <s v="57702"/>
    <s v="605-343-8615"/>
    <s v="GORDEN@DAKFIRE.COM"/>
    <s v="C&amp;I Prescriptive Rebate :- C&amp;I Lighting :- Customer Incentives"/>
    <s v="LED Replacement for Linear Fluorescent Lamps - 5 to 8 f"/>
    <s v="Restaurant"/>
    <s v="Existing"/>
    <m/>
    <m/>
    <m/>
    <m/>
    <m/>
    <m/>
    <m/>
    <m/>
    <m/>
    <m/>
    <m/>
    <m/>
    <m/>
    <n v="20"/>
    <n v="0"/>
    <n v="0.79161599999999999"/>
    <m/>
    <n v="4840.6400000000003"/>
    <m/>
    <m/>
    <m/>
    <m/>
    <m/>
    <n v="0"/>
    <n v="460"/>
    <n v="42796"/>
    <n v="42796.702790740703"/>
    <x v="1"/>
    <s v="C614C5E81397436F80188F907FB0380F"/>
    <n v="242.03200000000001"/>
    <n v="23"/>
    <n v="159.23217764165389"/>
    <n v="33.896245665592865"/>
    <n v="23"/>
    <n v="0"/>
  </r>
  <r>
    <n v="192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-1.0101153675963599"/>
    <b v="0"/>
    <b v="0"/>
    <s v=""/>
    <s v="BHHPPS1534040824"/>
    <n v="0"/>
    <s v="BHHPPS1534040824"/>
    <s v="0211290232"/>
    <s v="MILLSTONE RESTAURANT"/>
    <s v="MILLSTONE RESTAURANT"/>
    <s v="MILLSTONE RESTAURANT"/>
    <s v="2010 W MAIN ST"/>
    <s v="RAPID CITY"/>
    <s v="SD"/>
    <s v="57702"/>
    <x v="33"/>
    <s v="8420 ALBERTTA DR"/>
    <s v="RAPID CITY"/>
    <s v="SD"/>
    <s v="57702"/>
    <s v="605-343-8615"/>
    <s v="GORDEN@DAKFIRE.COM"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101"/>
    <n v="0"/>
    <n v="2.5791360000000001"/>
    <m/>
    <n v="15771.15"/>
    <m/>
    <m/>
    <m/>
    <m/>
    <m/>
    <n v="0"/>
    <n v="277.75"/>
    <n v="42796"/>
    <n v="42796.702790740703"/>
    <x v="1"/>
    <s v="DB9D7D63DF1D4CC4A706FE448D8797B5"/>
    <n v="156.15"/>
    <n v="2.75"/>
    <n v="124.22266552020636"/>
    <n v="22.950483592270654"/>
    <n v="4.8732072914875317"/>
    <n v="2.1019453416888925"/>
  </r>
  <r>
    <n v="19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0.20295066700511452"/>
    <n v="-0.88417989319191814"/>
    <b v="0"/>
    <b v="0"/>
    <s v=""/>
    <s v="BHHPPS1534040824"/>
    <n v="0"/>
    <s v="BHHPPS1534040824"/>
    <s v="0211290232"/>
    <s v="MILLSTONE RESTAURANT"/>
    <s v="MILLSTONE RESTAURANT"/>
    <s v="MILLSTONE RESTAURANT"/>
    <s v="2010 W MAIN ST"/>
    <s v="RAPID CITY"/>
    <s v="SD"/>
    <s v="57702"/>
    <x v="33"/>
    <s v="8420 ALBERTTA DR"/>
    <s v="RAPID CITY"/>
    <s v="SD"/>
    <s v="57702"/>
    <s v="605-343-8615"/>
    <s v="GORDEN@DAKFIRE.COM"/>
    <s v="C&amp;I Prescriptive Rebate :- C&amp;I Lighting :- Customer Incentives"/>
    <s v="LED Replacement for T8 Linear Fluorescent Lamps - 4 ft or less"/>
    <s v="Restaurant"/>
    <s v="Existing"/>
    <m/>
    <m/>
    <m/>
    <m/>
    <m/>
    <m/>
    <m/>
    <m/>
    <m/>
    <m/>
    <m/>
    <m/>
    <m/>
    <n v="24"/>
    <n v="0"/>
    <n v="0.30643199999999998"/>
    <m/>
    <n v="1873.8"/>
    <m/>
    <m/>
    <m/>
    <m/>
    <m/>
    <n v="0"/>
    <n v="165.36"/>
    <n v="42796"/>
    <n v="42796.702790740703"/>
    <x v="1"/>
    <s v="1A5507BCDE2340249971B4A986534E4A"/>
    <n v="78.075000000000003"/>
    <n v="6.8900000000000006"/>
    <n v="71.928403166606657"/>
    <n v="30.28616226838243"/>
    <n v="10.421419234256929"/>
    <n v="3.9940053618595535"/>
  </r>
  <r>
    <n v="194"/>
    <s v="Non-Residential - BHPSD - C/I Prescriptive Rebate"/>
    <b v="1"/>
    <s v="Non-Residential - BHPSD - C/I Prescriptive Rebate_C&amp;I Prescriptive Rebate :- C&amp;I Lighting :- Customer Incentives_LED Fixtures Exterior &amp; Garage - 25W or less"/>
    <s v="C&amp;I_C&amp;I Prescriptive_Lighting_LED Parking Garage/Canopy (&lt;30W)"/>
    <x v="2"/>
    <x v="3"/>
    <x v="3"/>
    <x v="11"/>
    <n v="1.0213764617139034"/>
    <n v="-6.7654237626589869E-2"/>
    <b v="0"/>
    <b v="0"/>
    <s v=""/>
    <s v="BHHPPS1534040824"/>
    <n v="0"/>
    <s v="BHHPPS1534040824"/>
    <s v="0211290232"/>
    <s v="MILLSTONE RESTAURANT"/>
    <s v="MILLSTONE RESTAURANT"/>
    <s v="MILLSTONE RESTAURANT"/>
    <s v="2010 W MAIN ST"/>
    <s v="RAPID CITY"/>
    <s v="SD"/>
    <s v="57702"/>
    <x v="33"/>
    <s v="8420 ALBERTTA DR"/>
    <s v="RAPID CITY"/>
    <s v="SD"/>
    <s v="57702"/>
    <s v="605-343-8615"/>
    <s v="GORDEN@DAKFIRE.COM"/>
    <s v="C&amp;I Prescriptive Rebate :- C&amp;I Lighting :- Customer Incentives"/>
    <s v="LED Fixtures Exterior &amp; Garage - 25W or less"/>
    <s v="Restaurant"/>
    <s v="Existing"/>
    <m/>
    <m/>
    <m/>
    <m/>
    <m/>
    <m/>
    <m/>
    <m/>
    <m/>
    <m/>
    <m/>
    <m/>
    <m/>
    <n v="14"/>
    <n v="0"/>
    <n v="1.5745070000000001"/>
    <m/>
    <n v="9627.94"/>
    <m/>
    <m/>
    <m/>
    <m/>
    <m/>
    <n v="0"/>
    <n v="126.56"/>
    <n v="42796"/>
    <n v="42796.702790740703"/>
    <x v="1"/>
    <s v="639C268A7354441A94352A06DA771177"/>
    <n v="687.71"/>
    <n v="9.0400000000000009"/>
    <n v="597.39996296296295"/>
    <n v="88.419931751211379"/>
    <n v="9.8725925925925928"/>
    <n v="12.306584506768004"/>
  </r>
  <r>
    <n v="199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1.7797301914120589"/>
    <n v="-1.4686098980072886"/>
    <b v="0"/>
    <b v="0"/>
    <s v=""/>
    <s v="BHHPPS1534040824"/>
    <n v="0"/>
    <s v="BHHPPS1534040824"/>
    <s v="0211290232"/>
    <s v="MILLSTONE RESTAURANT"/>
    <s v="MILLSTONE RESTAURANT"/>
    <s v="MILLSTONE RESTAURANT"/>
    <s v="2010 W MAIN ST"/>
    <s v="RAPID CITY"/>
    <s v="SD"/>
    <s v="57702"/>
    <x v="33"/>
    <s v="8420 ALBERTTA DR"/>
    <s v="RAPID CITY"/>
    <s v="SD"/>
    <s v="57702"/>
    <s v="605-343-8615"/>
    <s v="GORDEN@DAKFIRE.COM"/>
    <s v="C&amp;I Prescriptive Rebate :- C&amp;I Lighting :- Customer Incentives"/>
    <s v="Energy Star LED Lamps - 10W or greater"/>
    <s v="Restaurant"/>
    <s v="Existing"/>
    <m/>
    <m/>
    <m/>
    <m/>
    <m/>
    <m/>
    <m/>
    <m/>
    <m/>
    <m/>
    <m/>
    <m/>
    <m/>
    <n v="38"/>
    <n v="0"/>
    <n v="1.536416"/>
    <m/>
    <n v="9395.0059999999994"/>
    <m/>
    <m/>
    <m/>
    <m/>
    <m/>
    <n v="0"/>
    <n v="242.06"/>
    <n v="42796"/>
    <n v="42796.702790740703"/>
    <x v="1"/>
    <s v="6C97DB03B40C4522BF3CDC3912B56ACC"/>
    <n v="247.23699999999999"/>
    <n v="6.37"/>
    <n v="183.5885054112554"/>
    <n v="35.763002108901198"/>
    <n v="9.5846103896103898"/>
    <n v="2.1888796977142775"/>
  </r>
  <r>
    <n v="196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2091126722505232"/>
    <n v="-0.60626339097590731"/>
    <b v="0"/>
    <b v="0"/>
    <s v=""/>
    <s v="BHHPPS1534040957"/>
    <n v="1"/>
    <s v="BHHPPS1534040957"/>
    <s v="7413451014"/>
    <s v="JDS EQUIPMENT SVC LLC"/>
    <s v="JDS EQUIPMENT SVC LLC"/>
    <s v="JDS EQUIPMENT SVC LLC"/>
    <s v="12176 SIOUXLAND RD"/>
    <s v="SUMMERSET"/>
    <s v="SD"/>
    <s v="57718"/>
    <x v="17"/>
    <s v="2321 SOPHIA CT"/>
    <s v="RAPID CITY"/>
    <s v="SD"/>
    <s v="57702"/>
    <s v="605-342-5945"/>
    <m/>
    <s v="C&amp;I Prescriptive Rebate :- C&amp;I Lighting :- Customer Incentives"/>
    <s v="LED Replacement for T8 Linear Fluorescent Lamps - 4 ft or less"/>
    <s v="Warehouse"/>
    <s v="Existing"/>
    <m/>
    <m/>
    <m/>
    <m/>
    <m/>
    <m/>
    <m/>
    <m/>
    <m/>
    <m/>
    <m/>
    <m/>
    <m/>
    <n v="32"/>
    <n v="0"/>
    <n v="0.39244800000000002"/>
    <m/>
    <n v="1796.864"/>
    <m/>
    <m/>
    <m/>
    <m/>
    <m/>
    <n v="0"/>
    <n v="256"/>
    <n v="42796"/>
    <n v="42796.756497071801"/>
    <x v="1"/>
    <s v="5C48101BF5AF4B3796C7511C08D3253D"/>
    <n v="56.152000000000001"/>
    <n v="8"/>
    <n v="71.928403166606657"/>
    <n v="30.28616226838243"/>
    <n v="10.421419234256929"/>
    <n v="3.9940053618595535"/>
  </r>
  <r>
    <n v="197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1.2224527768992919"/>
    <n v="-0.60626339097590731"/>
    <b v="0"/>
    <b v="0"/>
    <s v=""/>
    <s v="BHHPPS1534040981"/>
    <n v="1"/>
    <s v="BHHPPS1534040981"/>
    <s v="0293338895"/>
    <s v="WHITEWOOD ELEMENTARY"/>
    <s v="WHITEWOOD ELEMENTARY"/>
    <s v="WHITEWOOD ELEMENTARY"/>
    <s v="603 GARFIELD ST"/>
    <s v="WHITEWOOD"/>
    <s v="SD"/>
    <s v="57793"/>
    <x v="4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Education"/>
    <s v="Existing"/>
    <m/>
    <m/>
    <m/>
    <m/>
    <m/>
    <m/>
    <m/>
    <m/>
    <m/>
    <m/>
    <m/>
    <m/>
    <m/>
    <n v="512"/>
    <n v="0"/>
    <n v="1.9464189999999999"/>
    <m/>
    <n v="17871.36"/>
    <m/>
    <m/>
    <m/>
    <m/>
    <m/>
    <n v="0"/>
    <n v="4096"/>
    <n v="42796"/>
    <n v="42796.784825659699"/>
    <x v="1"/>
    <s v="7FAA159624EB4155B5450BF2196A1B42"/>
    <n v="34.905000000000001"/>
    <n v="8"/>
    <n v="71.928403166606657"/>
    <n v="30.28616226838243"/>
    <n v="10.421419234256929"/>
    <n v="3.9940053618595535"/>
  </r>
  <r>
    <n v="198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2.8558806667419399"/>
    <n v="-4.8057188404622845E-3"/>
    <b v="1"/>
    <b v="0"/>
    <s v=""/>
    <s v="BHHPPS1534040981"/>
    <n v="0"/>
    <s v="BHHPPS1534040981"/>
    <s v="0293338895"/>
    <s v="WHITEWOOD ELEMENTARY"/>
    <s v="WHITEWOOD ELEMENTARY"/>
    <s v="WHITEWOOD ELEMENTARY"/>
    <s v="603 GARFIELD ST"/>
    <s v="WHITEWOOD"/>
    <s v="SD"/>
    <s v="57793"/>
    <x v="4"/>
    <s v="PO BOX 30"/>
    <s v="PIEDMONT"/>
    <s v="SD"/>
    <s v="57769"/>
    <s v="605-277-1181"/>
    <s v="todd@genproenergy.com"/>
    <s v="C&amp;I Prescriptive Rebate :- C&amp;I Lighting :- Customer Incentives"/>
    <s v="LED Fixtures Exterior &amp; Garage - 60W to 150W"/>
    <s v="Education"/>
    <s v="Existing"/>
    <m/>
    <m/>
    <m/>
    <m/>
    <m/>
    <m/>
    <m/>
    <m/>
    <m/>
    <m/>
    <m/>
    <m/>
    <m/>
    <n v="1"/>
    <n v="0"/>
    <n v="7.7489000000000002E-2"/>
    <m/>
    <n v="711.48"/>
    <m/>
    <m/>
    <m/>
    <m/>
    <m/>
    <n v="0"/>
    <n v="100"/>
    <n v="42796"/>
    <n v="42796.784825659699"/>
    <x v="1"/>
    <s v="CA3545FA75CD4812B6D4ADC9F02B874A"/>
    <n v="711.48"/>
    <n v="100"/>
    <n v="1175.7261559139786"/>
    <n v="162.55796725694501"/>
    <n v="100.15639784946237"/>
    <n v="32.544111433560438"/>
  </r>
  <r>
    <n v="140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1.5999443105533322"/>
    <n v="0.74402665660424805"/>
    <b v="0"/>
    <b v="0"/>
    <s v=""/>
    <s v="BHHPPS1534040981"/>
    <n v="0"/>
    <s v="BHHPPS1534040981"/>
    <s v="0293338895"/>
    <s v="WHITEWOOD ELEMENTARY"/>
    <s v="WHITEWOOD ELEMENTARY"/>
    <s v="WHITEWOOD ELEMENTARY"/>
    <s v="603 GARFIELD ST"/>
    <s v="WHITEWOOD"/>
    <s v="SD"/>
    <s v="57793"/>
    <x v="4"/>
    <s v="PO BOX 30"/>
    <s v="PIEDMONT"/>
    <s v="SD"/>
    <s v="57769"/>
    <s v="605-277-1181"/>
    <s v="todd@genproenergy.com"/>
    <s v="C&amp;I Prescriptive Rebate :- C&amp;I Lighting :- Customer Incentives"/>
    <s v="LED Fixtures Exterior &amp; Garage - 25W to 60W"/>
    <s v="Education"/>
    <s v="Existing"/>
    <m/>
    <m/>
    <m/>
    <m/>
    <m/>
    <m/>
    <m/>
    <m/>
    <m/>
    <m/>
    <m/>
    <m/>
    <m/>
    <n v="4"/>
    <n v="0"/>
    <n v="0.165243"/>
    <m/>
    <n v="1517.204"/>
    <m/>
    <m/>
    <m/>
    <m/>
    <m/>
    <n v="0"/>
    <n v="300"/>
    <n v="42796"/>
    <n v="42796.784825659699"/>
    <x v="1"/>
    <s v="A5BBC286274341768C785CBC3C054EF9"/>
    <n v="379.30099999999999"/>
    <n v="75"/>
    <n v="540.38278358208959"/>
    <n v="100.67961898397597"/>
    <n v="63.736940298507463"/>
    <n v="15.137978729011348"/>
  </r>
  <r>
    <n v="20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1.2224527768992919"/>
    <n v="-0.60626339097590731"/>
    <b v="0"/>
    <b v="0"/>
    <s v=""/>
    <s v="BHHPPS1534040981"/>
    <n v="0"/>
    <s v="BHHPPS1534040981"/>
    <s v="0293338895"/>
    <s v="WHITEWOOD ELEMENTARY"/>
    <s v="WHITEWOOD ELEMENTARY"/>
    <s v="WHITEWOOD ELEMENTARY"/>
    <s v="603 GARFIELD ST"/>
    <s v="WHITEWOOD"/>
    <s v="SD"/>
    <s v="57793"/>
    <x v="4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Education"/>
    <s v="Existing"/>
    <m/>
    <m/>
    <m/>
    <m/>
    <m/>
    <m/>
    <m/>
    <m/>
    <m/>
    <m/>
    <m/>
    <m/>
    <m/>
    <n v="100"/>
    <n v="0"/>
    <n v="0.38016"/>
    <m/>
    <n v="3490.5"/>
    <m/>
    <m/>
    <m/>
    <m/>
    <m/>
    <n v="0"/>
    <n v="800"/>
    <n v="42796"/>
    <n v="42796.784825659699"/>
    <x v="1"/>
    <s v="72B986B948EA46AA9C908F2145D3539F"/>
    <n v="34.905000000000001"/>
    <n v="8"/>
    <n v="71.928403166606657"/>
    <n v="30.28616226838243"/>
    <n v="10.421419234256929"/>
    <n v="3.9940053618595535"/>
  </r>
  <r>
    <n v="201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2.0427676957542755"/>
    <n v="1.3319094756253556"/>
    <b v="1"/>
    <b v="0"/>
    <s v=""/>
    <s v="BHHPPS1534040981"/>
    <n v="0"/>
    <s v="BHHPPS1534040981"/>
    <s v="0293338895"/>
    <s v="WHITEWOOD ELEMENTARY"/>
    <s v="WHITEWOOD ELEMENTARY"/>
    <s v="WHITEWOOD ELEMENTARY"/>
    <s v="603 GARFIELD ST"/>
    <s v="WHITEWOOD"/>
    <s v="SD"/>
    <s v="57793"/>
    <x v="4"/>
    <s v="PO BOX 30"/>
    <s v="PIEDMONT"/>
    <s v="SD"/>
    <s v="57769"/>
    <s v="605-277-1181"/>
    <s v="todd@genproenergy.com"/>
    <s v="C&amp;I Prescriptive Rebate :- C&amp;I Lighting :- Customer Incentives"/>
    <s v="Energy Star LED Lamps - 10W or greater"/>
    <s v="Education"/>
    <s v="Existing"/>
    <m/>
    <m/>
    <m/>
    <m/>
    <m/>
    <m/>
    <m/>
    <m/>
    <m/>
    <m/>
    <m/>
    <m/>
    <m/>
    <n v="28"/>
    <n v="0"/>
    <n v="0.33707500000000001"/>
    <m/>
    <n v="3094.924"/>
    <m/>
    <m/>
    <m/>
    <m/>
    <m/>
    <n v="0"/>
    <n v="350"/>
    <n v="42796"/>
    <n v="42796.784825659699"/>
    <x v="1"/>
    <s v="09CB1042A7D64EE19843BDC3B8A0C61A"/>
    <n v="110.533"/>
    <n v="12.5"/>
    <n v="183.5885054112554"/>
    <n v="35.763002108901198"/>
    <n v="9.5846103896103898"/>
    <n v="2.1888796977142775"/>
  </r>
  <r>
    <n v="202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7.9239829286255527E-3"/>
    <n v="0.74402665660424805"/>
    <b v="0"/>
    <b v="0"/>
    <s v=""/>
    <s v="BHHPPS1534044382"/>
    <n v="1"/>
    <s v="BHHPPS1534044382"/>
    <s v="5114672783"/>
    <s v="THE PROFESSIONAL PLAZA"/>
    <s v="THE PROFESSIONAL PLAZA"/>
    <s v="THE PROFESSIONAL PLAZA"/>
    <s v="550 N 5TH ST"/>
    <s v="RAPID CITY"/>
    <s v="SD"/>
    <s v="57701"/>
    <x v="9"/>
    <s v="1750 E NORTH ST"/>
    <s v="RAPID CITY"/>
    <s v="SD"/>
    <s v="57701"/>
    <s v="605-348-8744"/>
    <s v="bigc@hills.net"/>
    <s v="C&amp;I Prescriptive Rebate :- C&amp;I Lighting :- Customer Incentives"/>
    <s v="LED Fixtures Exterior &amp; Garage - 25W to 60W"/>
    <s v="Office"/>
    <s v="Existing"/>
    <m/>
    <m/>
    <m/>
    <m/>
    <m/>
    <m/>
    <m/>
    <m/>
    <m/>
    <m/>
    <m/>
    <m/>
    <m/>
    <n v="5"/>
    <n v="0"/>
    <n v="0.60675100000000004"/>
    <m/>
    <n v="2697.9250000000002"/>
    <m/>
    <m/>
    <m/>
    <m/>
    <m/>
    <n v="0"/>
    <n v="375"/>
    <n v="42797"/>
    <n v="42797.695157523201"/>
    <x v="1"/>
    <s v="1A575973D0BB4AC3A676799A6EBC58B4"/>
    <n v="539.58500000000004"/>
    <n v="75"/>
    <n v="540.38278358208959"/>
    <n v="100.67961898397597"/>
    <n v="63.736940298507463"/>
    <n v="15.137978729011348"/>
  </r>
  <r>
    <n v="19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2.780860648076148"/>
    <n v="-0.10029762054961784"/>
    <b v="1"/>
    <b v="0"/>
    <s v=""/>
    <s v="BHHPPS1534063598"/>
    <n v="1"/>
    <s v="BHHPPS1534063598"/>
    <s v="3218771955"/>
    <s v="ELK CREEK STEAKHOUSE"/>
    <s v="VJ DINING GROUP LLC"/>
    <s v="VJ DINING GROUP LLC"/>
    <s v="0 I 90 EXIT 46"/>
    <s v="PIEDMONT"/>
    <s v="SD"/>
    <s v="57769"/>
    <x v="3"/>
    <s v="PO BOX 1400"/>
    <s v="RAPID CITY"/>
    <s v="SD"/>
    <s v="57709"/>
    <s v="605-721-2687"/>
    <m/>
    <s v="C&amp;I Prescriptive Rebate :- C&amp;I Lighting :- Customer Incentives"/>
    <s v="LED Replacement for T12 Linear Fluorescent Lamps - 4 ft or less"/>
    <s v="Restaurant"/>
    <s v="Existing"/>
    <m/>
    <m/>
    <m/>
    <m/>
    <m/>
    <m/>
    <m/>
    <m/>
    <m/>
    <m/>
    <m/>
    <m/>
    <m/>
    <n v="24"/>
    <n v="0"/>
    <n v="0.61286399999999996"/>
    <m/>
    <n v="3747.6"/>
    <m/>
    <m/>
    <m/>
    <m/>
    <m/>
    <n v="0"/>
    <n v="240.49992"/>
    <n v="42801"/>
    <n v="42801.629139780103"/>
    <x v="1"/>
    <s v="D356FD4041694B92A84CF5D54DA5CCA4"/>
    <n v="156.15"/>
    <n v="10.02083"/>
    <n v="71.928403166606657"/>
    <n v="30.28616226838243"/>
    <n v="10.421419234256929"/>
    <n v="3.9940053618595535"/>
  </r>
  <r>
    <n v="204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0.12403876701331371"/>
    <b v="0"/>
    <b v="0"/>
    <s v=""/>
    <s v="BHHPPS1534063598"/>
    <n v="0"/>
    <s v="BHHPPS1534063598"/>
    <s v="3218771955"/>
    <s v="ELK CREEK STEAKHOUSE"/>
    <s v="VJ DINING GROUP LLC"/>
    <s v="VJ DINING GROUP LLC"/>
    <s v="0 I 90 EXIT 46"/>
    <s v="PIEDMONT"/>
    <s v="SD"/>
    <s v="57769"/>
    <x v="3"/>
    <s v="PO BOX 1400"/>
    <s v="RAPID CITY"/>
    <s v="SD"/>
    <s v="57709"/>
    <s v="605-721-2687"/>
    <m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56"/>
    <n v="0"/>
    <n v="1.430016"/>
    <m/>
    <n v="8744.4"/>
    <m/>
    <m/>
    <m/>
    <m/>
    <m/>
    <n v="0"/>
    <n v="287.50008000000003"/>
    <n v="42801"/>
    <n v="42801.629139780103"/>
    <x v="1"/>
    <s v="8747289A156D401289841E829CE7C081"/>
    <n v="156.15"/>
    <n v="5.1339300000000003"/>
    <n v="124.22266552020636"/>
    <n v="22.950483592270654"/>
    <n v="4.8732072914875317"/>
    <n v="2.1019453416888925"/>
  </r>
  <r>
    <n v="20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2.042767695754276"/>
    <n v="-0.6462714196159739"/>
    <b v="1"/>
    <b v="0"/>
    <s v=""/>
    <s v="BHHPPS1534068070"/>
    <n v="1"/>
    <s v="BHHPPS1534068070"/>
    <s v="5045772714"/>
    <s v="STURGIS ELEMENTARY"/>
    <s v="MEADE SCHOOLS"/>
    <s v="STURGIS ELEMENTARY"/>
    <s v="1121 BALLPARK RD"/>
    <s v="STURGIS"/>
    <s v="SD"/>
    <s v="57785"/>
    <x v="7"/>
    <s v="PO BOX 505"/>
    <s v="PIEDMONT"/>
    <s v="SD"/>
    <s v="57769"/>
    <s v="605-381-0729"/>
    <m/>
    <s v="C&amp;I Prescriptive Rebate :- C&amp;I Lighting :- Customer Incentives"/>
    <s v="Energy Star LED Lamps - 10W or greater"/>
    <s v="Education"/>
    <s v="Existing"/>
    <m/>
    <m/>
    <m/>
    <m/>
    <m/>
    <m/>
    <m/>
    <m/>
    <m/>
    <m/>
    <m/>
    <m/>
    <m/>
    <n v="10"/>
    <n v="0"/>
    <n v="0.120384"/>
    <m/>
    <n v="1105.33"/>
    <m/>
    <m/>
    <m/>
    <m/>
    <m/>
    <n v="0"/>
    <n v="81.7"/>
    <n v="42803"/>
    <n v="42803.467709340301"/>
    <x v="1"/>
    <s v="4DCE5FB9C9E44C0ABB7013F18F8CED5A"/>
    <n v="110.53299999999999"/>
    <n v="8.17"/>
    <n v="183.5885054112554"/>
    <n v="35.763002108901198"/>
    <n v="9.5846103896103898"/>
    <n v="2.1888796977142775"/>
  </r>
  <r>
    <n v="206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1.5999443105533315"/>
    <n v="0.74402665660424805"/>
    <b v="0"/>
    <b v="0"/>
    <s v=""/>
    <s v="BHHPPS1534068070"/>
    <n v="0"/>
    <s v="BHHPPS1534068070"/>
    <s v="5045772714"/>
    <s v="STURGIS ELEMENTARY"/>
    <s v="MEADE SCHOOLS"/>
    <s v="STURGIS ELEMENTARY"/>
    <s v="1121 BALLPARK RD"/>
    <s v="STURGIS"/>
    <s v="SD"/>
    <s v="57785"/>
    <x v="7"/>
    <s v="PO BOX 505"/>
    <s v="PIEDMONT"/>
    <s v="SD"/>
    <s v="57769"/>
    <s v="605-381-0729"/>
    <m/>
    <s v="C&amp;I Prescriptive Rebate :- C&amp;I Lighting :- Customer Incentives"/>
    <s v="LED Fixtures Exterior &amp; Garage - 25W to 60W"/>
    <s v="Education"/>
    <s v="Existing"/>
    <m/>
    <m/>
    <m/>
    <m/>
    <m/>
    <m/>
    <m/>
    <m/>
    <m/>
    <m/>
    <m/>
    <m/>
    <m/>
    <n v="37"/>
    <n v="0"/>
    <n v="1.528497"/>
    <m/>
    <n v="14034.137000000001"/>
    <m/>
    <m/>
    <m/>
    <m/>
    <m/>
    <n v="0"/>
    <n v="2775"/>
    <n v="42803"/>
    <n v="42803.467709340301"/>
    <x v="1"/>
    <s v="3E420A2FFE6E415ABB5F5041C5CA85D3"/>
    <n v="379.30100000000004"/>
    <n v="75"/>
    <n v="540.38278358208959"/>
    <n v="100.67961898397597"/>
    <n v="63.736940298507463"/>
    <n v="15.137978729011348"/>
  </r>
  <r>
    <n v="207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3967384267971441"/>
    <b v="0"/>
    <b v="0"/>
    <s v=""/>
    <s v="BHHPPS1534068606"/>
    <n v="1"/>
    <s v="BHHPPS1534068606"/>
    <s v="1062466713"/>
    <s v="HOT SPRINGS SENIOR CENTER"/>
    <s v="HOT SPRINGS SENIOR CENTER"/>
    <s v="HOT SPRINGS SENIOR CENTER"/>
    <s v="206 S CHICAGO ST"/>
    <s v="HOT SPRINGS"/>
    <s v="SD"/>
    <s v="57747"/>
    <x v="31"/>
    <s v="PO BOX 32"/>
    <s v="PRINGLE"/>
    <s v="SD"/>
    <s v="57773"/>
    <s v="605-745-4364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00"/>
    <n v="0"/>
    <n v="2.4235199999999999"/>
    <m/>
    <n v="11356.1"/>
    <m/>
    <m/>
    <m/>
    <m/>
    <m/>
    <n v="0"/>
    <n v="1600"/>
    <n v="42837"/>
    <n v="42803.631562499999"/>
    <x v="1"/>
    <s v="F106E694E75C4213BDB4EE2AEC4ECF51"/>
    <n v="113.56100000000001"/>
    <n v="16"/>
    <n v="71.928403166606657"/>
    <n v="30.28616226838243"/>
    <n v="10.421419234256929"/>
    <n v="3.9940053618595535"/>
  </r>
  <r>
    <n v="208"/>
    <s v="Non-Residential - BHPSD - C/I Prescriptive Rebate"/>
    <b v="1"/>
    <s v="Non-Residential - BHPSD - C/I Prescriptive Rebate_C&amp;I Prescriptive Rebate :- C&amp;I Lighting :- Customer Incentives_LED Fixtures Exterior &amp; Garage - 25W or less"/>
    <s v="C&amp;I_C&amp;I Prescriptive_Lighting_LED Parking Garage/Canopy (&lt;30W)"/>
    <x v="2"/>
    <x v="3"/>
    <x v="3"/>
    <x v="11"/>
    <n v="-1.0999438818457408"/>
    <n v="-9.1218858650442228E-2"/>
    <b v="0"/>
    <b v="0"/>
    <s v=""/>
    <s v="BHHPPS1534090523"/>
    <n v="1"/>
    <s v="BHHPPS1534090523"/>
    <s v="4986611058"/>
    <s v="BLACK HAWK FIRE DEPT"/>
    <s v="BLACK HAWK FIRE DEPT"/>
    <s v="BLACK HAWK FIRE DEPT"/>
    <s v="6010 PEACEFUL PINES RD"/>
    <s v="BLACK HAWK"/>
    <s v="SD"/>
    <s v="57718"/>
    <x v="33"/>
    <s v="8420 ALBERTTA DR"/>
    <s v="RAPID CITY"/>
    <s v="SD"/>
    <s v="57702"/>
    <s v="605-343-8615"/>
    <s v="GORDEN@DAKFIRE.COM"/>
    <s v="C&amp;I Prescriptive Rebate :- C&amp;I Lighting :- Customer Incentives"/>
    <s v="LED Fixtures Exterior &amp; Garage - 25W or less"/>
    <s v="Other"/>
    <s v="Existing"/>
    <m/>
    <m/>
    <m/>
    <m/>
    <m/>
    <m/>
    <m/>
    <m/>
    <m/>
    <m/>
    <m/>
    <m/>
    <m/>
    <n v="12"/>
    <n v="0"/>
    <n v="1.2808299999999999"/>
    <m/>
    <n v="6001.7160000000003"/>
    <m/>
    <m/>
    <m/>
    <m/>
    <m/>
    <n v="0"/>
    <n v="105"/>
    <n v="42811"/>
    <n v="42811.6521103009"/>
    <x v="1"/>
    <s v="0D1A6A832EA74A229A58055A8BD81D19"/>
    <n v="500.14300000000003"/>
    <n v="8.75"/>
    <n v="597.39996296296295"/>
    <n v="88.419931751211379"/>
    <n v="9.8725925925925928"/>
    <n v="12.306584506768004"/>
  </r>
  <r>
    <n v="209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87782787367730541"/>
    <b v="0"/>
    <b v="0"/>
    <s v=""/>
    <s v="BHHPPS1534090523"/>
    <n v="0"/>
    <s v="BHHPPS1534090523"/>
    <s v="4986611058"/>
    <s v="BLACK HAWK FIRE DEPT"/>
    <s v="BLACK HAWK FIRE DEPT"/>
    <s v="BLACK HAWK FIRE DEPT"/>
    <s v="6010 PEACEFUL PINES RD"/>
    <s v="BLACK HAWK"/>
    <s v="SD"/>
    <s v="57718"/>
    <x v="33"/>
    <s v="8420 ALBERTTA DR"/>
    <s v="RAPID CITY"/>
    <s v="SD"/>
    <s v="57702"/>
    <s v="605-343-8615"/>
    <s v="GORDEN@DAKFIRE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514"/>
    <n v="0"/>
    <n v="6.2284459999999999"/>
    <m/>
    <n v="29185.434000000001"/>
    <m/>
    <m/>
    <m/>
    <m/>
    <m/>
    <n v="0"/>
    <n v="3554.50018"/>
    <n v="42811"/>
    <n v="42811.6521103009"/>
    <x v="1"/>
    <s v="D69C45CF30A849CA9F2E63294566C991"/>
    <n v="56.780999999999999"/>
    <n v="6.9153700000000002"/>
    <n v="71.928403166606657"/>
    <n v="30.28616226838243"/>
    <n v="10.421419234256929"/>
    <n v="3.9940053618595535"/>
  </r>
  <r>
    <n v="21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73672521481907827"/>
    <n v="0.76084108785360927"/>
    <b v="0"/>
    <b v="0"/>
    <s v=""/>
    <s v="BHHPPS1534131642"/>
    <n v="1"/>
    <s v="BHHPPS1534131642"/>
    <s v="0702488407"/>
    <s v="PLUMBING DESIGN &amp; INSTALLATION"/>
    <s v="4 D ENTERPRISES LLC"/>
    <s v="4 D ENTERPRISES LLC"/>
    <s v="2760 HAINES AVE"/>
    <s v="RAPID CITY"/>
    <s v="SD"/>
    <s v="57701"/>
    <x v="10"/>
    <s v="1936 MARLIN DR"/>
    <s v="RAPID CITY"/>
    <s v="SD"/>
    <s v="57703"/>
    <s v="605-348-7100"/>
    <s v="jwood@dsginc.biz"/>
    <s v="C&amp;I Prescriptive Rebate :- C&amp;I Lighting :- Customer Incentives"/>
    <s v="Energy Star LED Lamps - 10W or greater"/>
    <s v="Office"/>
    <s v="Existing"/>
    <m/>
    <m/>
    <m/>
    <m/>
    <m/>
    <m/>
    <m/>
    <m/>
    <m/>
    <m/>
    <m/>
    <m/>
    <m/>
    <n v="10"/>
    <n v="0"/>
    <n v="0.353628"/>
    <m/>
    <n v="1572.41"/>
    <m/>
    <m/>
    <m/>
    <m/>
    <m/>
    <n v="0"/>
    <n v="112.5"/>
    <n v="42823"/>
    <n v="42823.785489467598"/>
    <x v="1"/>
    <s v="E6F99D52733B4E6298BCD035F5563391"/>
    <n v="157.24100000000001"/>
    <n v="11.25"/>
    <n v="183.5885054112554"/>
    <n v="35.763002108901198"/>
    <n v="9.5846103896103898"/>
    <n v="2.1888796977142775"/>
  </r>
  <r>
    <n v="211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-0.60626339097590731"/>
    <b v="0"/>
    <b v="0"/>
    <s v=""/>
    <s v="BHHPPS1534131642"/>
    <n v="0"/>
    <s v="BHHPPS1534131642"/>
    <s v="0702488407"/>
    <s v="PLUMBING DESIGN &amp; INSTALLATION"/>
    <s v="4 D ENTERPRISES LLC"/>
    <s v="4 D ENTERPRISES LLC"/>
    <s v="2760 HAINES AVE"/>
    <s v="RAPID CITY"/>
    <s v="SD"/>
    <s v="57701"/>
    <x v="10"/>
    <s v="1936 MARLIN DR"/>
    <s v="RAPID CITY"/>
    <s v="SD"/>
    <s v="57703"/>
    <s v="605-348-7100"/>
    <s v="jwood@dsginc.biz"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24"/>
    <n v="0"/>
    <n v="0.268013"/>
    <m/>
    <n v="1191.72"/>
    <m/>
    <m/>
    <m/>
    <m/>
    <m/>
    <n v="0"/>
    <n v="192"/>
    <n v="42823"/>
    <n v="42823.785489467598"/>
    <x v="1"/>
    <s v="B12E0D2292904FC1908C80F1F6CCC807"/>
    <n v="49.655000000000001"/>
    <n v="8"/>
    <n v="71.928403166606657"/>
    <n v="30.28616226838243"/>
    <n v="10.421419234256929"/>
    <n v="3.9940053618595535"/>
  </r>
  <r>
    <n v="212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-4.8057188404622845E-3"/>
    <b v="0"/>
    <b v="0"/>
    <s v=""/>
    <s v="BHHPPS1534136050"/>
    <n v="1"/>
    <s v="BHHPPS1534136050"/>
    <s v="0719758948"/>
    <s v="TRAFFIC SERVICES COMPANY"/>
    <s v="TRAFFIC SERVICES COMPANY"/>
    <s v="TRAFFIC SERVICES COMPANY"/>
    <s v="11740 J B RD"/>
    <s v="BLACK HAWK"/>
    <s v="SD"/>
    <s v="57718"/>
    <x v="7"/>
    <s v="PO BOX 505"/>
    <s v="PIEDMONT"/>
    <s v="SD"/>
    <s v="57769"/>
    <s v="605-381-0729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1"/>
    <n v="0"/>
    <n v="0.24699699999999999"/>
    <m/>
    <n v="1157.3789999999999"/>
    <m/>
    <m/>
    <m/>
    <m/>
    <m/>
    <n v="0"/>
    <n v="100"/>
    <n v="42829"/>
    <n v="42825.459288078702"/>
    <x v="1"/>
    <s v="1E4607817F95460FB78093C6F60C1821"/>
    <n v="1157.3789999999999"/>
    <n v="100"/>
    <n v="1175.7261559139786"/>
    <n v="162.55796725694501"/>
    <n v="100.15639784946237"/>
    <n v="32.544111433560438"/>
  </r>
  <r>
    <n v="213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1268030379184058"/>
    <n v="-4.8057188404622845E-3"/>
    <b v="0"/>
    <b v="0"/>
    <s v=""/>
    <s v="BHHPPS1534136105"/>
    <n v="1"/>
    <s v="BHHPPS1534136105"/>
    <s v="5003740496"/>
    <s v="MINITMAN INC"/>
    <s v="MINITMAN INC"/>
    <s v="MINITMAN INC"/>
    <s v="820 E COLORADO BLVD"/>
    <s v="SPEARFISH"/>
    <s v="SD"/>
    <s v="57783"/>
    <x v="11"/>
    <s v="821 N RAINBOW RD"/>
    <s v="SPEARFISH"/>
    <s v="SD"/>
    <s v="57783"/>
    <s v="605-642-6480"/>
    <s v="ROYALELECTRICSD@GMAIL.COM"/>
    <s v="C&amp;I Prescriptive Rebate :- C&amp;I Lighting :- Customer Incentives"/>
    <s v="LED Fixtures Exterior &amp; Garage - 60W to 150W"/>
    <s v="Convenience"/>
    <s v="Existing"/>
    <m/>
    <m/>
    <m/>
    <m/>
    <m/>
    <m/>
    <m/>
    <m/>
    <m/>
    <m/>
    <m/>
    <m/>
    <m/>
    <n v="8"/>
    <n v="0"/>
    <n v="2.0657939999999999"/>
    <m/>
    <n v="9570.7119999999995"/>
    <m/>
    <m/>
    <m/>
    <m/>
    <m/>
    <n v="0"/>
    <n v="800"/>
    <n v="42828"/>
    <n v="42825.490190659701"/>
    <x v="1"/>
    <s v="822848EAA74346758E84CEDB0291E60F"/>
    <n v="1196.3389999999999"/>
    <n v="100"/>
    <n v="1175.7261559139786"/>
    <n v="162.55796725694501"/>
    <n v="100.15639784946237"/>
    <n v="32.544111433560438"/>
  </r>
  <r>
    <n v="214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0.85651351347600191"/>
    <n v="0.56896210956230164"/>
    <b v="0"/>
    <b v="0"/>
    <s v=""/>
    <s v="BHHPPS1534203343"/>
    <n v="1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Energy Star LED Lamps - 10W or greater"/>
    <s v="Health Care"/>
    <s v="Existing"/>
    <m/>
    <m/>
    <m/>
    <m/>
    <m/>
    <m/>
    <m/>
    <m/>
    <m/>
    <m/>
    <m/>
    <m/>
    <m/>
    <n v="98"/>
    <n v="0"/>
    <n v="4.1057100000000002"/>
    <m/>
    <n v="20993.56"/>
    <m/>
    <m/>
    <m/>
    <m/>
    <m/>
    <n v="0"/>
    <n v="1061.3399999999999"/>
    <n v="42836"/>
    <n v="42836.753146099501"/>
    <x v="1"/>
    <s v="841E090D8E83441694A7B131CDD5636D"/>
    <n v="214.22000000000003"/>
    <n v="10.829999999999998"/>
    <n v="183.5885054112554"/>
    <n v="35.763002108901198"/>
    <n v="9.5846103896103898"/>
    <n v="2.1888796977142775"/>
  </r>
  <r>
    <n v="215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16"/>
    <n v="0"/>
    <n v="0.21168000000000001"/>
    <m/>
    <n v="1082.384"/>
    <m/>
    <m/>
    <m/>
    <m/>
    <m/>
    <n v="0"/>
    <n v="128"/>
    <n v="42836"/>
    <n v="42836.753146099501"/>
    <x v="1"/>
    <s v="30B08BC9FA634F1DAB2DC25A24BB94D2"/>
    <n v="67.649000000000001"/>
    <n v="8"/>
    <n v="71.928403166606657"/>
    <n v="30.28616226838243"/>
    <n v="10.421419234256929"/>
    <n v="3.9940053618595535"/>
  </r>
  <r>
    <n v="216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1.934167196728303"/>
    <n v="0.74402665660424805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Health Care"/>
    <s v="Existing"/>
    <m/>
    <m/>
    <m/>
    <m/>
    <m/>
    <m/>
    <m/>
    <m/>
    <m/>
    <m/>
    <m/>
    <m/>
    <m/>
    <n v="1"/>
    <n v="0"/>
    <n v="0.143766"/>
    <m/>
    <n v="735.11400000000003"/>
    <m/>
    <m/>
    <m/>
    <m/>
    <m/>
    <n v="0"/>
    <n v="75"/>
    <n v="42836"/>
    <n v="42836.753146099501"/>
    <x v="1"/>
    <s v="93324EF22368426ABF611151E109E595"/>
    <n v="735.11400000000003"/>
    <n v="75"/>
    <n v="540.38278358208959"/>
    <n v="100.67961898397597"/>
    <n v="63.736940298507463"/>
    <n v="15.137978729011348"/>
  </r>
  <r>
    <n v="21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1.2498731837909414"/>
    <n v="-4.8057188404622845E-3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Fixtures Exterior &amp; Garage - 60W to 150W"/>
    <s v="Health Care"/>
    <s v="Existing"/>
    <m/>
    <m/>
    <m/>
    <m/>
    <m/>
    <m/>
    <m/>
    <m/>
    <m/>
    <m/>
    <m/>
    <m/>
    <m/>
    <n v="11"/>
    <n v="0"/>
    <n v="2.9663870000000001"/>
    <m/>
    <n v="15167.933000000001"/>
    <m/>
    <m/>
    <m/>
    <m/>
    <m/>
    <n v="0"/>
    <n v="1100"/>
    <n v="42836"/>
    <n v="42836.753146099501"/>
    <x v="1"/>
    <s v="908DA5E2BD9A470191F1289E7303AF2E"/>
    <n v="1378.903"/>
    <n v="100"/>
    <n v="1175.7261559139786"/>
    <n v="162.55796725694501"/>
    <n v="100.15639784946237"/>
    <n v="32.544111433560438"/>
  </r>
  <r>
    <n v="218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0.48253163970467655"/>
    <n v="1.7254457747214187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Energy Star LED Lamps - 5W to 10W"/>
    <s v="Health Care"/>
    <s v="Existing"/>
    <m/>
    <m/>
    <m/>
    <m/>
    <m/>
    <m/>
    <m/>
    <m/>
    <m/>
    <m/>
    <m/>
    <m/>
    <m/>
    <n v="8"/>
    <n v="0"/>
    <n v="0.21168000000000001"/>
    <m/>
    <n v="1082.376"/>
    <m/>
    <m/>
    <m/>
    <m/>
    <m/>
    <n v="0"/>
    <n v="68"/>
    <n v="42836"/>
    <n v="42836.753146099501"/>
    <x v="1"/>
    <s v="0852A1C2CED941E48C0294B1D3DD31D7"/>
    <n v="135.297"/>
    <n v="8.5"/>
    <n v="124.22266552020636"/>
    <n v="22.950483592270654"/>
    <n v="4.8732072914875317"/>
    <n v="2.1019453416888925"/>
  </r>
  <r>
    <n v="21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0.48253163970467655"/>
    <n v="0.77394624695871317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Energy Star LED Lamps - 5W to 10W"/>
    <s v="Health Care"/>
    <s v="Existing"/>
    <m/>
    <m/>
    <m/>
    <m/>
    <m/>
    <m/>
    <m/>
    <m/>
    <m/>
    <m/>
    <m/>
    <m/>
    <m/>
    <n v="12"/>
    <n v="0"/>
    <n v="0.31752000000000002"/>
    <m/>
    <n v="1623.5640000000001"/>
    <m/>
    <m/>
    <m/>
    <m/>
    <m/>
    <n v="0"/>
    <n v="78"/>
    <n v="42836"/>
    <n v="42836.753146099501"/>
    <x v="1"/>
    <s v="3B3A357674DD4E2BBF9EF0A320D7F5E0"/>
    <n v="135.297"/>
    <n v="6.5"/>
    <n v="124.22266552020636"/>
    <n v="22.950483592270654"/>
    <n v="4.8732072914875317"/>
    <n v="2.1019453416888925"/>
  </r>
  <r>
    <n v="220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1.9341671967283018"/>
    <n v="-2.7901307733747842"/>
    <b v="0"/>
    <b v="1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Health Care"/>
    <s v="Existing"/>
    <m/>
    <m/>
    <m/>
    <m/>
    <m/>
    <m/>
    <m/>
    <m/>
    <m/>
    <m/>
    <m/>
    <m/>
    <m/>
    <n v="51"/>
    <n v="0"/>
    <n v="7.3320660000000002"/>
    <m/>
    <n v="37490.813999999998"/>
    <m/>
    <m/>
    <m/>
    <m/>
    <m/>
    <n v="0"/>
    <n v="1096.5"/>
    <n v="42836"/>
    <n v="42836.753146099501"/>
    <x v="1"/>
    <s v="004A462FCFAD4DD5BF85B69D1BC663EF"/>
    <n v="735.11399999999992"/>
    <n v="21.5"/>
    <n v="540.38278358208959"/>
    <n v="100.67961898397597"/>
    <n v="63.736940298507463"/>
    <n v="15.137978729011348"/>
  </r>
  <r>
    <n v="221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60"/>
    <n v="0"/>
    <n v="0.79379999999999995"/>
    <m/>
    <n v="4058.94"/>
    <m/>
    <m/>
    <m/>
    <m/>
    <m/>
    <n v="0"/>
    <n v="480"/>
    <n v="42836"/>
    <n v="42836.753146099501"/>
    <x v="1"/>
    <s v="2504F813E93F4B0FA385E367D9551FB0"/>
    <n v="67.649000000000001"/>
    <n v="8"/>
    <n v="71.928403166606657"/>
    <n v="30.28616226838243"/>
    <n v="10.421419234256929"/>
    <n v="3.9940053618595535"/>
  </r>
  <r>
    <n v="222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94470059311593102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372"/>
    <n v="0"/>
    <n v="4.9215600000000004"/>
    <m/>
    <n v="25165.428"/>
    <m/>
    <m/>
    <m/>
    <m/>
    <m/>
    <n v="0"/>
    <n v="2473.1601599999999"/>
    <n v="42836"/>
    <n v="42836.753146099501"/>
    <x v="1"/>
    <s v="AD7BE34DB59F407180BFFA66CA2F35D1"/>
    <n v="67.649000000000001"/>
    <n v="6.6482799999999997"/>
    <n v="71.928403166606657"/>
    <n v="30.28616226838243"/>
    <n v="10.421419234256929"/>
    <n v="3.9940053618595535"/>
  </r>
  <r>
    <n v="223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0.48253163970467655"/>
    <n v="1.4875708927807423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Energy Star LED Lamps - 5W to 10W"/>
    <s v="Health Care"/>
    <s v="Existing"/>
    <m/>
    <m/>
    <m/>
    <m/>
    <m/>
    <m/>
    <m/>
    <m/>
    <m/>
    <m/>
    <m/>
    <m/>
    <m/>
    <n v="28"/>
    <n v="0"/>
    <n v="0.74087999999999998"/>
    <m/>
    <n v="3788.3159999999998"/>
    <m/>
    <m/>
    <m/>
    <m/>
    <m/>
    <n v="0"/>
    <n v="224"/>
    <n v="42836"/>
    <n v="42836.753146099501"/>
    <x v="1"/>
    <s v="9D61358728654D48AB849EB8A0EBFAF0"/>
    <n v="135.297"/>
    <n v="8"/>
    <n v="124.22266552020636"/>
    <n v="22.950483592270654"/>
    <n v="4.8732072914875317"/>
    <n v="2.1019453416888925"/>
  </r>
  <r>
    <n v="22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11"/>
    <n v="0"/>
    <n v="0.14552999999999999"/>
    <m/>
    <n v="744.13900000000001"/>
    <m/>
    <m/>
    <m/>
    <m/>
    <m/>
    <n v="0"/>
    <n v="88"/>
    <n v="42836"/>
    <n v="42836.753146099501"/>
    <x v="1"/>
    <s v="07B99A8B1EB6496991180D8816F8BF2D"/>
    <n v="67.649000000000001"/>
    <n v="8"/>
    <n v="71.928403166606657"/>
    <n v="30.28616226838243"/>
    <n v="10.421419234256929"/>
    <n v="3.9940053618595535"/>
  </r>
  <r>
    <n v="225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x v="21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1"/>
    <n v="0"/>
    <n v="1.323E-2"/>
    <m/>
    <n v="67.649000000000001"/>
    <m/>
    <m/>
    <m/>
    <m/>
    <m/>
    <n v="0"/>
    <n v="8"/>
    <n v="42836"/>
    <n v="42836.753146099501"/>
    <x v="1"/>
    <s v="60A7B71E124B42C4845535F81EC2B2EB"/>
    <n v="67.649000000000001"/>
    <n v="8"/>
    <n v="71.928403166606657"/>
    <n v="30.28616226838243"/>
    <n v="10.421419234256929"/>
    <n v="3.9940053618595535"/>
  </r>
  <r>
    <n v="226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-0.80617056819206268"/>
    <b v="0"/>
    <b v="0"/>
    <s v=""/>
    <s v="BHHPPS1534205522"/>
    <n v="1"/>
    <s v="BHHPPS1534205522"/>
    <s v="2143860150"/>
    <s v="RAMKOTA/BEST WESTERN"/>
    <s v="REGENCY RC VENTURES"/>
    <s v="RAMKOTA/BEST WESTERN"/>
    <s v="2111 N LACROSSE ST"/>
    <s v="RAPID CITY"/>
    <s v="SD"/>
    <s v="57701"/>
    <x v="5"/>
    <s v="317 MAPLE AVE"/>
    <s v="RAPID CITY"/>
    <s v="SD"/>
    <s v="57701"/>
    <s v="605-342-7913"/>
    <m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8"/>
    <n v="0"/>
    <n v="0.306979"/>
    <m/>
    <n v="1438.44"/>
    <m/>
    <m/>
    <m/>
    <m/>
    <m/>
    <n v="0"/>
    <n v="62.56"/>
    <n v="42837"/>
    <n v="42837.652539618102"/>
    <x v="1"/>
    <s v="CB5670C7A28E4B04BEB42CB2CAB59181"/>
    <n v="179.80500000000001"/>
    <n v="7.82"/>
    <n v="183.5885054112554"/>
    <n v="35.763002108901198"/>
    <n v="9.5846103896103898"/>
    <n v="2.1888796977142775"/>
  </r>
  <r>
    <n v="227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1.4162084281985392"/>
    <b v="0"/>
    <b v="0"/>
    <s v=""/>
    <s v="BHHPPS1534205522"/>
    <n v="0"/>
    <s v="BHHPPS1534205522"/>
    <s v="2143860150"/>
    <s v="RAMKOTA/BEST WESTERN"/>
    <s v="REGENCY RC VENTURES"/>
    <s v="RAMKOTA/BEST WESTERN"/>
    <s v="2111 N LACROSSE ST"/>
    <s v="RAPID CITY"/>
    <s v="SD"/>
    <s v="57701"/>
    <x v="5"/>
    <s v="317 MAPLE AVE"/>
    <s v="RAPID CITY"/>
    <s v="SD"/>
    <s v="57701"/>
    <s v="605-342-7913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20"/>
    <n v="0"/>
    <n v="0.48470400000000002"/>
    <m/>
    <n v="2271.2199999999998"/>
    <m/>
    <m/>
    <m/>
    <m/>
    <m/>
    <n v="0"/>
    <n v="157"/>
    <n v="42837"/>
    <n v="42837.652539618102"/>
    <x v="1"/>
    <s v="1D63C883F2FA40FFBEB00E7052146EA3"/>
    <n v="113.56099999999999"/>
    <n v="7.85"/>
    <n v="124.22266552020636"/>
    <n v="22.950483592270654"/>
    <n v="4.8732072914875317"/>
    <n v="2.1019453416888925"/>
  </r>
  <r>
    <n v="228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-0.64170287251379998"/>
    <b v="0"/>
    <b v="0"/>
    <s v=""/>
    <s v="BHHPPS1534205522"/>
    <n v="0"/>
    <s v="BHHPPS1534205522"/>
    <s v="2143860150"/>
    <s v="RAMKOTA/BEST WESTERN"/>
    <s v="REGENCY RC VENTURES"/>
    <s v="RAMKOTA/BEST WESTERN"/>
    <s v="2111 N LACROSSE ST"/>
    <s v="RAPID CITY"/>
    <s v="SD"/>
    <s v="57701"/>
    <x v="5"/>
    <s v="317 MAPLE AVE"/>
    <s v="RAPID CITY"/>
    <s v="SD"/>
    <s v="57701"/>
    <s v="605-342-7913"/>
    <m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128"/>
    <n v="0"/>
    <n v="4.9116669999999996"/>
    <m/>
    <n v="23015.040000000001"/>
    <m/>
    <m/>
    <m/>
    <m/>
    <m/>
    <n v="0"/>
    <n v="1047.04"/>
    <n v="42837"/>
    <n v="42837.652539618102"/>
    <x v="1"/>
    <s v="58C6CC1A2DA24024B7DD4236A0C3E27B"/>
    <n v="179.80500000000001"/>
    <n v="8.18"/>
    <n v="183.5885054112554"/>
    <n v="35.763002108901198"/>
    <n v="9.5846103896103898"/>
    <n v="2.1888796977142775"/>
  </r>
  <r>
    <n v="22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1.4162084281985392"/>
    <b v="0"/>
    <b v="0"/>
    <s v=""/>
    <s v="BHHPPS1534205522"/>
    <n v="0"/>
    <s v="BHHPPS1534205522"/>
    <s v="2143860150"/>
    <s v="RAMKOTA/BEST WESTERN"/>
    <s v="REGENCY RC VENTURES"/>
    <s v="RAMKOTA/BEST WESTERN"/>
    <s v="2111 N LACROSSE ST"/>
    <s v="RAPID CITY"/>
    <s v="SD"/>
    <s v="57701"/>
    <x v="5"/>
    <s v="317 MAPLE AVE"/>
    <s v="RAPID CITY"/>
    <s v="SD"/>
    <s v="57701"/>
    <s v="605-342-7913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20"/>
    <n v="0"/>
    <n v="0.48470400000000002"/>
    <m/>
    <n v="2271.2199999999998"/>
    <m/>
    <m/>
    <m/>
    <m/>
    <m/>
    <n v="0"/>
    <n v="157"/>
    <n v="42837"/>
    <n v="42837.652539618102"/>
    <x v="1"/>
    <s v="2B41E3AE79884BB7AA50A44197977A37"/>
    <n v="113.56099999999999"/>
    <n v="7.85"/>
    <n v="124.22266552020636"/>
    <n v="22.950483592270654"/>
    <n v="4.8732072914875317"/>
    <n v="2.1019453416888925"/>
  </r>
  <r>
    <n v="23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73672521481907827"/>
    <n v="1.3319094756253556"/>
    <b v="0"/>
    <b v="0"/>
    <s v=""/>
    <s v="BHHPPS1534208165"/>
    <n v="1"/>
    <s v="BHHPPS1534208165"/>
    <s v="3355993456"/>
    <s v="SWEET INVESTMENT"/>
    <s v="SWEET INVESTMENT"/>
    <s v="SWEET INVESTMENT"/>
    <s v="540 DEADWOOD AVE N                                STE 201"/>
    <s v="RAPID CITY"/>
    <s v="SD"/>
    <s v="57702"/>
    <x v="4"/>
    <s v="PO BOX 30"/>
    <s v="PIEDMONT"/>
    <s v="SD"/>
    <s v="57769"/>
    <s v="605-277-1181"/>
    <s v="todd@genproenergy.com"/>
    <s v="C&amp;I Prescriptive Rebate :- C&amp;I Lighting :- Customer Incentives"/>
    <s v="Energy Star LED Lamps - 10W or greater"/>
    <s v="Office"/>
    <s v="Existing"/>
    <m/>
    <m/>
    <m/>
    <m/>
    <m/>
    <m/>
    <m/>
    <m/>
    <m/>
    <m/>
    <m/>
    <m/>
    <m/>
    <n v="1"/>
    <n v="0"/>
    <n v="3.5362999999999999E-2"/>
    <m/>
    <n v="157.24100000000001"/>
    <m/>
    <m/>
    <m/>
    <m/>
    <m/>
    <n v="0"/>
    <n v="12.5"/>
    <n v="42838"/>
    <n v="42838.684498611103"/>
    <x v="1"/>
    <s v="F00A0D2F8ECF495BB924E17B391688D9"/>
    <n v="157.24100000000001"/>
    <n v="12.5"/>
    <n v="183.5885054112554"/>
    <n v="35.763002108901198"/>
    <n v="9.5846103896103898"/>
    <n v="2.1888796977142775"/>
  </r>
  <r>
    <n v="231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90409595612510674"/>
    <n v="1.3967384267971441"/>
    <b v="0"/>
    <b v="0"/>
    <s v=""/>
    <s v="BHHPPS1534208165"/>
    <n v="0"/>
    <s v="BHHPPS1534208165"/>
    <s v="3355993456"/>
    <s v="SWEET INVESTMENT"/>
    <s v="SWEET INVESTMENT"/>
    <s v="SWEET INVESTMENT"/>
    <s v="540 DEADWOOD AVE N                                STE 201"/>
    <s v="RAPID CITY"/>
    <s v="SD"/>
    <s v="57702"/>
    <x v="4"/>
    <s v="PO BOX 30"/>
    <s v="PIEDMONT"/>
    <s v="SD"/>
    <s v="57769"/>
    <s v="605-277-1181"/>
    <s v="todd@genproenergy.com"/>
    <s v="C&amp;I Prescriptive Rebate :- C&amp;I Lighting :- Customer Incentives"/>
    <s v="LED Replacement for T12 Linear Fluorescent Lamps - 4 ft or less"/>
    <s v="Office"/>
    <s v="Existing"/>
    <m/>
    <m/>
    <m/>
    <m/>
    <m/>
    <m/>
    <m/>
    <m/>
    <m/>
    <m/>
    <m/>
    <m/>
    <m/>
    <n v="96"/>
    <n v="0"/>
    <n v="2.1441020000000002"/>
    <m/>
    <n v="9533.76"/>
    <m/>
    <m/>
    <m/>
    <m/>
    <m/>
    <n v="0"/>
    <n v="1536"/>
    <n v="42838"/>
    <n v="42838.684498611103"/>
    <x v="1"/>
    <s v="D8CC1F42483643FB8203AB79C64D37BF"/>
    <n v="99.31"/>
    <n v="16"/>
    <n v="71.928403166606657"/>
    <n v="30.28616226838243"/>
    <n v="10.421419234256929"/>
    <n v="3.9940053618595535"/>
  </r>
  <r>
    <n v="232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1.3319094756253556"/>
    <b v="0"/>
    <b v="0"/>
    <s v=""/>
    <s v="BHHPPS1534210234"/>
    <n v="1"/>
    <s v="BHHPPS1534210234"/>
    <s v="5038104559"/>
    <s v="THE MAN SALON"/>
    <s v="THE MAN SALON"/>
    <s v="THE MAN SALON"/>
    <s v="1745 EGLIN ST                                     STE 220"/>
    <s v="RAPID CITY"/>
    <s v="SD"/>
    <s v="57701"/>
    <x v="4"/>
    <s v="PO BOX 30"/>
    <s v="PIEDMONT"/>
    <s v="SD"/>
    <s v="57769"/>
    <s v="605-277-1181"/>
    <s v="todd@genproenergy.com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9"/>
    <n v="0"/>
    <n v="0.34535199999999999"/>
    <m/>
    <n v="1618.2449999999999"/>
    <m/>
    <m/>
    <m/>
    <m/>
    <m/>
    <n v="0"/>
    <n v="112.5"/>
    <n v="42839"/>
    <n v="42839.452269097201"/>
    <x v="1"/>
    <s v="5E4CC10AC22B4467BFA6E8F4E6ED3BCA"/>
    <n v="179.80499999999998"/>
    <n v="12.5"/>
    <n v="183.5885054112554"/>
    <n v="35.763002108901198"/>
    <n v="9.5846103896103898"/>
    <n v="2.1888796977142775"/>
  </r>
  <r>
    <n v="23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4210234"/>
    <n v="0"/>
    <s v="BHHPPS1534210234"/>
    <s v="5038104559"/>
    <s v="THE MAN SALON"/>
    <s v="THE MAN SALON"/>
    <s v="THE MAN SALON"/>
    <s v="1745 EGLIN ST                                     STE 220"/>
    <s v="RAPID CITY"/>
    <s v="SD"/>
    <s v="57701"/>
    <x v="4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66"/>
    <n v="0"/>
    <n v="0.79976199999999997"/>
    <m/>
    <n v="3747.5459999999998"/>
    <m/>
    <m/>
    <m/>
    <m/>
    <m/>
    <n v="0"/>
    <n v="528"/>
    <n v="42839"/>
    <n v="42839.452269097201"/>
    <x v="1"/>
    <s v="BF1A57A36227416CB2D04F5288C97C5F"/>
    <n v="56.780999999999999"/>
    <n v="8"/>
    <n v="71.928403166606657"/>
    <n v="30.28616226838243"/>
    <n v="10.421419234256929"/>
    <n v="3.9940053618595535"/>
  </r>
  <r>
    <n v="234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96852739206047678"/>
    <n v="-4.8057188404622845E-3"/>
    <b v="0"/>
    <b v="0"/>
    <s v=""/>
    <s v="BHHPPS1534211206"/>
    <n v="1"/>
    <s v="BHHPPS1534211206"/>
    <s v="5036865016"/>
    <s v="COMFORT INN"/>
    <s v="COMFORT INN"/>
    <s v="COMFORT INN"/>
    <s v="1550 N LACROSSE ST"/>
    <s v="RAPID CITY"/>
    <s v="SD"/>
    <s v="57701"/>
    <x v="10"/>
    <s v="1936 MARLIN DR"/>
    <s v="RAPID CITY"/>
    <s v="SD"/>
    <s v="57703"/>
    <s v="605-348-7100"/>
    <s v="jwood@dsginc.biz"/>
    <s v="C&amp;I Prescriptive Rebate :- C&amp;I Lighting :- Customer Incentives"/>
    <s v="LED Fixtures Exterior &amp; Garage - 60W to 150W"/>
    <s v="Lodging"/>
    <s v="Existing"/>
    <m/>
    <m/>
    <m/>
    <m/>
    <m/>
    <m/>
    <m/>
    <m/>
    <m/>
    <m/>
    <m/>
    <m/>
    <m/>
    <n v="8"/>
    <n v="0"/>
    <n v="0.64104799999999995"/>
    <m/>
    <n v="10665.343999999999"/>
    <m/>
    <m/>
    <m/>
    <m/>
    <m/>
    <n v="0"/>
    <n v="800"/>
    <n v="42839"/>
    <n v="42839.645592627297"/>
    <x v="1"/>
    <s v="B6B59BF1F85C458887E1D40D36D756E2"/>
    <n v="1333.1679999999999"/>
    <n v="100"/>
    <n v="1175.7261559139786"/>
    <n v="162.55796725694501"/>
    <n v="100.15639784946237"/>
    <n v="32.544111433560438"/>
  </r>
  <r>
    <n v="235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-4.8057188404622845E-3"/>
    <b v="0"/>
    <b v="0"/>
    <s v=""/>
    <s v="BHHPPS1534211234"/>
    <n v="1"/>
    <s v="BHHPPS1534211234"/>
    <s v="0242088666"/>
    <s v="SENTINEL FEDERAL"/>
    <s v="SENTINEL FEDERAL"/>
    <s v="SENTINEL FEDERAL"/>
    <s v="4011 TRIPLE CROWN DR"/>
    <s v="RAPID CITY"/>
    <s v="SD"/>
    <s v="57701"/>
    <x v="34"/>
    <s v="1080 KENNEL DR SUITE A"/>
    <s v="RAPID CITY"/>
    <s v="SD"/>
    <s v="57703"/>
    <s v="605-341-7577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9"/>
    <n v="0"/>
    <n v="2.2229739999999998"/>
    <m/>
    <n v="10416.411"/>
    <m/>
    <m/>
    <m/>
    <m/>
    <m/>
    <n v="0"/>
    <n v="900"/>
    <n v="42839"/>
    <n v="42839.671523958299"/>
    <x v="1"/>
    <s v="820726D92EA6467080C40D971CCCE4BB"/>
    <n v="1157.3789999999999"/>
    <n v="100"/>
    <n v="1175.7261559139786"/>
    <n v="162.55796725694501"/>
    <n v="100.15639784946237"/>
    <n v="32.544111433560438"/>
  </r>
  <r>
    <n v="236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90409595612510674"/>
    <n v="1.3967384267971441"/>
    <b v="0"/>
    <b v="0"/>
    <s v=""/>
    <s v="BHHPPS1534211302"/>
    <n v="1"/>
    <s v="BHHPPS1534211302"/>
    <s v="4607577338"/>
    <s v="HORST PROPERTIES"/>
    <s v="HORST PROPERTIES"/>
    <s v="HORST PROPERTIES"/>
    <s v="1090 DEADWOOD AVE N                               APT 1"/>
    <s v="RAPID CITY"/>
    <s v="SD"/>
    <s v="57702"/>
    <x v="17"/>
    <s v="2321 SOPHIA CT"/>
    <s v="RAPID CITY"/>
    <s v="SD"/>
    <s v="57702"/>
    <s v="605-342-5945"/>
    <m/>
    <s v="C&amp;I Prescriptive Rebate :- C&amp;I Lighting :- Customer Incentives"/>
    <s v="LED Replacement for T12 Linear Fluorescent Lamps - 4 ft or less"/>
    <s v="Office"/>
    <s v="Existing"/>
    <m/>
    <m/>
    <m/>
    <m/>
    <m/>
    <m/>
    <m/>
    <m/>
    <m/>
    <m/>
    <m/>
    <m/>
    <m/>
    <n v="60"/>
    <n v="0"/>
    <n v="1.3400639999999999"/>
    <m/>
    <n v="5958.6"/>
    <m/>
    <m/>
    <m/>
    <m/>
    <m/>
    <n v="0"/>
    <n v="960"/>
    <n v="42839"/>
    <n v="42839.733336342601"/>
    <x v="1"/>
    <s v="B36A0DA4E3DA49F99A8EE75E58A0CF28"/>
    <n v="99.31"/>
    <n v="16"/>
    <n v="71.928403166606657"/>
    <n v="30.28616226838243"/>
    <n v="10.421419234256929"/>
    <n v="3.9940053618595535"/>
  </r>
  <r>
    <n v="237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231260"/>
    <n v="1"/>
    <s v="BHHPPS1534231260"/>
    <s v="4503012294"/>
    <s v="BLACK HILLS BAGELS"/>
    <s v="BLACK HILLS BAGELS"/>
    <s v="BLACK HILLS BAGELS"/>
    <s v="913 MOUNT RUSHMORE RD"/>
    <s v="RAPID CITY"/>
    <s v="SD"/>
    <s v="57701"/>
    <x v="35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8"/>
    <n v="0"/>
    <n v="1.053423"/>
    <m/>
    <n v="4936.1279999999997"/>
    <m/>
    <m/>
    <m/>
    <m/>
    <m/>
    <n v="0"/>
    <n v="600"/>
    <n v="42846"/>
    <n v="42846.473754976898"/>
    <x v="1"/>
    <s v="4B49A284755143E5BAF54080F7116332"/>
    <n v="617.01599999999996"/>
    <n v="75"/>
    <n v="540.38278358208959"/>
    <n v="100.67961898397597"/>
    <n v="63.736940298507463"/>
    <n v="15.137978729011348"/>
  </r>
  <r>
    <n v="238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1138144200367004"/>
    <b v="0"/>
    <b v="0"/>
    <s v=""/>
    <s v="BHHPPS1534322940"/>
    <n v="1"/>
    <s v="BHHPPS1534322940"/>
    <s v="6142826120"/>
    <s v="PARTY TIME LIQUOR"/>
    <s v="PARTY TIME LIQUOR"/>
    <s v="PARTY TIME LIQUOR"/>
    <s v="729 N 12TH ST"/>
    <s v="SPEARFISH"/>
    <s v="SD"/>
    <s v="57783"/>
    <x v="11"/>
    <s v="821 N RAINBOW RD"/>
    <s v="SPEARFISH"/>
    <s v="SD"/>
    <s v="57783"/>
    <s v="605-642-6480"/>
    <s v="ROYALELECTRICSD@GMAIL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2"/>
    <n v="0"/>
    <n v="0.29082200000000002"/>
    <m/>
    <n v="1362.732"/>
    <m/>
    <m/>
    <m/>
    <m/>
    <m/>
    <n v="0"/>
    <n v="178.44"/>
    <n v="42866"/>
    <n v="42866.493438738398"/>
    <x v="1"/>
    <s v="1E26CFCBBE9C4EB7A9CF3D90C3338397"/>
    <n v="113.56099999999999"/>
    <n v="14.87"/>
    <n v="71.928403166606657"/>
    <n v="30.28616226838243"/>
    <n v="10.421419234256929"/>
    <n v="3.9940053618595535"/>
  </r>
  <r>
    <n v="239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96852739206047811"/>
    <n v="7.7236773100079856E-2"/>
    <b v="0"/>
    <b v="0"/>
    <s v=""/>
    <s v="BHHPPS1534325509"/>
    <n v="1"/>
    <s v="BHHPPS1534325509"/>
    <s v="3852871419"/>
    <s v="DEADWOOD RESORTS LLC"/>
    <s v="DEADWOOD RESORTS LLC"/>
    <s v="DEADWOOD RESORTS LLC"/>
    <s v="101 PINE CREST DR"/>
    <s v="DEADWOOD"/>
    <s v="SD"/>
    <s v="57732"/>
    <x v="22"/>
    <s v="1720 SAMCO RD #A"/>
    <s v="RAPID CITY"/>
    <s v="SD"/>
    <s v="57702"/>
    <s v="605-391-0086"/>
    <s v="BUCKSELECTRIC@RUSHMORE.COM"/>
    <s v="C&amp;I Prescriptive Rebate :- C&amp;I Lighting :- Customer Incentives"/>
    <s v="LED Fixtures Exterior &amp; Garage - 60W to 150W"/>
    <s v="Lodging"/>
    <s v="Existing"/>
    <m/>
    <m/>
    <m/>
    <m/>
    <m/>
    <m/>
    <m/>
    <m/>
    <m/>
    <m/>
    <m/>
    <m/>
    <m/>
    <n v="29"/>
    <n v="0"/>
    <n v="2.323798"/>
    <m/>
    <n v="38661.872000000003"/>
    <m/>
    <m/>
    <m/>
    <m/>
    <m/>
    <n v="0"/>
    <n v="2977.43"/>
    <n v="42867"/>
    <n v="42867.491538506903"/>
    <x v="1"/>
    <s v="80F4EC75892D40BE84315D82E685A41B"/>
    <n v="1333.1680000000001"/>
    <n v="102.66999999999999"/>
    <n v="1175.7261559139786"/>
    <n v="162.55796725694501"/>
    <n v="100.15639784946237"/>
    <n v="32.544111433560438"/>
  </r>
  <r>
    <n v="240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-1.1696076522245782"/>
    <b v="0"/>
    <b v="0"/>
    <s v=""/>
    <s v="BHHPPS1534332028"/>
    <n v="1"/>
    <s v="BHHPPS1534332028"/>
    <s v="2470662751"/>
    <s v="CITY OF SPEARFISH"/>
    <s v="LIBRARY"/>
    <s v="CITY OF SPEARFISH"/>
    <s v="625 N 5TH ST"/>
    <s v="SPEARFISH"/>
    <s v="SD"/>
    <s v="57783"/>
    <x v="6"/>
    <s v="814 7TH AVE"/>
    <s v="BELLE FOURCHE"/>
    <s v="SD"/>
    <s v="57717"/>
    <s v="605-210-1775"/>
    <m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600"/>
    <n v="0"/>
    <n v="6.7003199999999996"/>
    <m/>
    <n v="29793"/>
    <m/>
    <m/>
    <m/>
    <m/>
    <m/>
    <n v="0"/>
    <n v="3450"/>
    <n v="42870"/>
    <n v="42870.451993287003"/>
    <x v="1"/>
    <s v="88D3DE8CCB1F49BAB5EE9071DE3E26A5"/>
    <n v="49.655000000000001"/>
    <n v="5.75"/>
    <n v="71.928403166606657"/>
    <n v="30.28616226838243"/>
    <n v="10.421419234256929"/>
    <n v="3.9940053618595535"/>
  </r>
  <r>
    <n v="241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-1.2271939544855535"/>
    <b v="0"/>
    <b v="0"/>
    <s v=""/>
    <s v="BHHPPS1534355576"/>
    <n v="1"/>
    <s v="BHHPPS1534355576"/>
    <s v="4504423066"/>
    <s v="BIBLE FELLOWSHIP"/>
    <s v="BIBLE FELLOWSHIP"/>
    <s v="BIBLE FELLOWSHIP"/>
    <s v="1212 E FAIRMONT BLVD"/>
    <s v="RAPID CITY"/>
    <s v="SD"/>
    <s v="57701"/>
    <x v="35"/>
    <s v="2221 BRIDGE VIEW DR"/>
    <s v="RAPID CITY"/>
    <s v="SD"/>
    <s v="57701"/>
    <s v="605-343-1386"/>
    <s v="paul@solarsoundcorp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36"/>
    <n v="0"/>
    <n v="0.87246699999999999"/>
    <m/>
    <n v="4088.1959999999999"/>
    <m/>
    <m/>
    <m/>
    <m/>
    <m/>
    <n v="0"/>
    <n v="198.72"/>
    <n v="42878"/>
    <n v="42878.666603391197"/>
    <x v="1"/>
    <s v="183B4D2484224AFC800B23EBAC2E9D51"/>
    <n v="113.56099999999999"/>
    <n v="5.52"/>
    <n v="71.928403166606657"/>
    <n v="30.28616226838243"/>
    <n v="10.421419234256929"/>
    <n v="3.9940053618595535"/>
  </r>
  <r>
    <n v="242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1.2271939544855535"/>
    <b v="0"/>
    <b v="0"/>
    <s v=""/>
    <s v="BHHPPS1534355576"/>
    <n v="0"/>
    <s v="BHHPPS1534355576"/>
    <s v="4504423066"/>
    <s v="BIBLE FELLOWSHIP"/>
    <s v="BIBLE FELLOWSHIP"/>
    <s v="BIBLE FELLOWSHIP"/>
    <s v="1212 E FAIRMONT BLVD"/>
    <s v="RAPID CITY"/>
    <s v="SD"/>
    <s v="57701"/>
    <x v="35"/>
    <s v="2221 BRIDGE VIEW DR"/>
    <s v="RAPID CITY"/>
    <s v="SD"/>
    <s v="57701"/>
    <s v="605-343-1386"/>
    <s v="paul@solarsoundcorp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38"/>
    <n v="0"/>
    <n v="0.46046900000000002"/>
    <m/>
    <n v="2157.6779999999999"/>
    <m/>
    <m/>
    <m/>
    <m/>
    <m/>
    <n v="0"/>
    <n v="209.76"/>
    <n v="42878"/>
    <n v="42878.666603391197"/>
    <x v="1"/>
    <s v="5BFCE2FB4C86428FB46D7C816186BB31"/>
    <n v="56.780999999999999"/>
    <n v="5.52"/>
    <n v="71.928403166606657"/>
    <n v="30.28616226838243"/>
    <n v="10.421419234256929"/>
    <n v="3.9940053618595535"/>
  </r>
  <r>
    <n v="243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386785"/>
    <n v="1"/>
    <s v="BHHPPS1534386785"/>
    <s v="1711129512"/>
    <s v="J J BODY SHOP"/>
    <s v="J J BODY SHOP"/>
    <s v="J J BODY SHOP"/>
    <s v="1513 E PHILADELPHIA ST"/>
    <s v="RAPID CITY"/>
    <s v="SD"/>
    <s v="57703"/>
    <x v="34"/>
    <s v="1080 KENNEL DR SUITE A"/>
    <s v="RAPID CITY"/>
    <s v="SD"/>
    <s v="57703"/>
    <s v="605-341-7577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4"/>
    <n v="0"/>
    <n v="0.52671199999999996"/>
    <m/>
    <n v="2468.0639999999999"/>
    <m/>
    <m/>
    <m/>
    <m/>
    <m/>
    <n v="0"/>
    <n v="300"/>
    <n v="42888"/>
    <n v="42888.576423263898"/>
    <x v="1"/>
    <s v="D9DA182E7A1246ED9F1A7EA3B4BF3897"/>
    <n v="617.01599999999996"/>
    <n v="75"/>
    <n v="540.38278358208959"/>
    <n v="100.67961898397597"/>
    <n v="63.736940298507463"/>
    <n v="15.137978729011348"/>
  </r>
  <r>
    <n v="244"/>
    <s v="Non-Residential - BHPSD - C/I Prescriptive Rebate"/>
    <b v="1"/>
    <s v="Non-Residential - BHPSD - C/I Prescriptive Rebate_C&amp;I Prescriptive Rebate :- C&amp;I Lighting :- Customer Incentives_LED Fixtures Exterior &amp; Garage - 25W or less"/>
    <s v="C&amp;I_C&amp;I Prescriptive_Lighting_LED Parking Garage/Canopy (&lt;30W)"/>
    <x v="2"/>
    <x v="3"/>
    <x v="3"/>
    <x v="11"/>
    <n v="-1.0999438818457414"/>
    <n v="2.0417856305775652"/>
    <b v="0"/>
    <b v="1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x v="34"/>
    <s v="1080 KENNEL DR SUITE A"/>
    <s v="RAPID CITY"/>
    <s v="SD"/>
    <s v="57703"/>
    <s v="605-341-7577"/>
    <m/>
    <s v="C&amp;I Prescriptive Rebate :- C&amp;I Lighting :- Customer Incentives"/>
    <s v="LED Fixtures Exterior &amp; Garage - 25W or less"/>
    <s v="Other"/>
    <s v="Existing"/>
    <m/>
    <m/>
    <m/>
    <m/>
    <m/>
    <m/>
    <m/>
    <m/>
    <m/>
    <m/>
    <m/>
    <m/>
    <m/>
    <n v="1"/>
    <n v="0"/>
    <n v="0.106736"/>
    <m/>
    <n v="500.14299999999997"/>
    <m/>
    <m/>
    <m/>
    <m/>
    <m/>
    <n v="0"/>
    <n v="35"/>
    <n v="42888"/>
    <n v="42888.576423263898"/>
    <x v="1"/>
    <s v="8EC653C49D954B06972659FD435D6F98"/>
    <n v="500.14299999999997"/>
    <n v="35"/>
    <n v="597.39996296296295"/>
    <n v="88.419931751211379"/>
    <n v="9.8725925925925928"/>
    <n v="12.306584506768004"/>
  </r>
  <r>
    <n v="245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x v="34"/>
    <s v="1080 KENNEL DR SUITE A"/>
    <s v="RAPID CITY"/>
    <s v="SD"/>
    <s v="57703"/>
    <s v="605-341-7577"/>
    <m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616"/>
    <n v="0"/>
    <n v="7.464442"/>
    <m/>
    <n v="34977.095999999998"/>
    <m/>
    <m/>
    <m/>
    <m/>
    <m/>
    <n v="0"/>
    <n v="4928"/>
    <n v="42888"/>
    <n v="42888.576423263898"/>
    <x v="1"/>
    <s v="08D748D983914B9A8BAB43AB7D3B190E"/>
    <n v="56.780999999999999"/>
    <n v="8"/>
    <n v="71.928403166606657"/>
    <n v="30.28616226838243"/>
    <n v="10.421419234256929"/>
    <n v="3.9940053618595535"/>
  </r>
  <r>
    <n v="246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0.70570279966544147"/>
    <b v="0"/>
    <b v="0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x v="34"/>
    <s v="1080 KENNEL DR SUITE A"/>
    <s v="RAPID CITY"/>
    <s v="SD"/>
    <s v="57703"/>
    <s v="605-341-7577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74"/>
    <n v="0"/>
    <n v="1.7934049999999999"/>
    <m/>
    <n v="8403.5139999999992"/>
    <m/>
    <m/>
    <m/>
    <m/>
    <m/>
    <n v="0"/>
    <n v="979.76"/>
    <n v="42888"/>
    <n v="42888.576423263898"/>
    <x v="1"/>
    <s v="6ED8358A44964716A023BD7D0A1FFF5B"/>
    <n v="113.56099999999999"/>
    <n v="13.24"/>
    <n v="71.928403166606657"/>
    <n v="30.28616226838243"/>
    <n v="10.421419234256929"/>
    <n v="3.9940053618595535"/>
  </r>
  <r>
    <n v="247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0.42528254517721442"/>
    <b v="0"/>
    <b v="0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x v="34"/>
    <s v="1080 KENNEL DR SUITE A"/>
    <s v="RAPID CITY"/>
    <s v="SD"/>
    <s v="57703"/>
    <s v="605-341-7577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236"/>
    <n v="0"/>
    <n v="5.7195070000000001"/>
    <m/>
    <n v="26800.396000000001"/>
    <m/>
    <m/>
    <m/>
    <m/>
    <m/>
    <n v="0"/>
    <n v="2860.32"/>
    <n v="42888"/>
    <n v="42888.576423263898"/>
    <x v="1"/>
    <s v="5DE1E01C06D144B9949E97684DD8BCE6"/>
    <n v="113.56100000000001"/>
    <n v="12.120000000000001"/>
    <n v="71.928403166606657"/>
    <n v="30.28616226838243"/>
    <n v="10.421419234256929"/>
    <n v="3.9940053618595535"/>
  </r>
  <r>
    <n v="248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2890770790918427"/>
    <b v="0"/>
    <b v="0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x v="34"/>
    <s v="1080 KENNEL DR SUITE A"/>
    <s v="RAPID CITY"/>
    <s v="SD"/>
    <s v="57703"/>
    <s v="605-341-7577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4"/>
    <n v="0"/>
    <n v="9.6940999999999999E-2"/>
    <m/>
    <n v="454.24400000000003"/>
    <m/>
    <m/>
    <m/>
    <m/>
    <m/>
    <n v="0"/>
    <n v="62.28"/>
    <n v="42888"/>
    <n v="42888.576423263898"/>
    <x v="1"/>
    <s v="69163625717845ACB93645D863990297"/>
    <n v="113.56100000000001"/>
    <n v="15.57"/>
    <n v="71.928403166606657"/>
    <n v="30.28616226838243"/>
    <n v="10.421419234256929"/>
    <n v="3.9940053618595535"/>
  </r>
  <r>
    <n v="24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12"/>
    <n v="0.65500880598837496"/>
    <b v="0"/>
    <b v="0"/>
    <s v=""/>
    <s v="BHHPPS1534408855"/>
    <n v="1"/>
    <s v="BHHPPS1534408855"/>
    <s v="3557285423"/>
    <s v="THE MAN SALON"/>
    <s v="THE MAN SALON"/>
    <s v="THE MAN SALON"/>
    <s v="2335 W MAIN ST                                    STE 220"/>
    <s v="RAPID CITY"/>
    <s v="SD"/>
    <s v="57702"/>
    <x v="4"/>
    <s v="PO BOX 30"/>
    <s v="PIEDMONT"/>
    <s v="SD"/>
    <s v="57769"/>
    <s v="605-277-1181"/>
    <s v="todd@genproenergy.com"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8"/>
    <n v="0"/>
    <n v="0.193882"/>
    <m/>
    <n v="908.48800000000006"/>
    <m/>
    <m/>
    <m/>
    <m/>
    <m/>
    <n v="0"/>
    <n v="50"/>
    <n v="42891"/>
    <n v="42891.763463622701"/>
    <x v="1"/>
    <s v="AD7B073E802742C9818ACD8C305CE43F"/>
    <n v="113.56100000000001"/>
    <n v="6.25"/>
    <n v="124.22266552020636"/>
    <n v="22.950483592270654"/>
    <n v="4.8732072914875317"/>
    <n v="2.1019453416888925"/>
  </r>
  <r>
    <n v="250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4408855"/>
    <n v="0"/>
    <s v="BHHPPS1534408855"/>
    <s v="3557285423"/>
    <s v="THE MAN SALON"/>
    <s v="THE MAN SALON"/>
    <s v="THE MAN SALON"/>
    <s v="2335 W MAIN ST                                    STE 220"/>
    <s v="RAPID CITY"/>
    <s v="SD"/>
    <s v="57702"/>
    <x v="4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96"/>
    <n v="0"/>
    <n v="1.1632899999999999"/>
    <m/>
    <n v="5450.9759999999997"/>
    <m/>
    <m/>
    <m/>
    <m/>
    <m/>
    <n v="0"/>
    <n v="768"/>
    <n v="42891"/>
    <n v="42891.763463622701"/>
    <x v="1"/>
    <s v="87C398EEB1D043B0A31FD00AA5E4B4C6"/>
    <n v="56.780999999999999"/>
    <n v="8"/>
    <n v="71.928403166606657"/>
    <n v="30.28616226838243"/>
    <n v="10.421419234256929"/>
    <n v="3.9940053618595535"/>
  </r>
  <r>
    <n v="251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0854963216808446"/>
    <n v="1.7254457747214187"/>
    <b v="0"/>
    <b v="0"/>
    <s v=""/>
    <s v="BHHPPS1534428852"/>
    <n v="1"/>
    <s v="BHHPPS1534428852"/>
    <s v="0884531973"/>
    <m/>
    <s v="BARKER WILSON LLP"/>
    <s v="BARKER WILSON LLP"/>
    <s v="211 ZINNIA ST"/>
    <s v="BELLE FOURCHE"/>
    <s v="SD"/>
    <s v="57717"/>
    <x v="3"/>
    <s v="PO BOX 1400"/>
    <s v="RAPID CITY"/>
    <s v="SD"/>
    <s v="57709"/>
    <s v="605-721-2687"/>
    <m/>
    <s v="C&amp;I Prescriptive Rebate :- C&amp;I Lighting :- Customer Incentives"/>
    <s v="Energy Star LED Lamps - 5W to 10W"/>
    <s v="Office"/>
    <s v="Existing"/>
    <m/>
    <m/>
    <m/>
    <m/>
    <m/>
    <m/>
    <m/>
    <m/>
    <m/>
    <m/>
    <m/>
    <m/>
    <m/>
    <n v="188"/>
    <n v="0"/>
    <n v="4.1988669999999999"/>
    <m/>
    <n v="18670.28"/>
    <m/>
    <m/>
    <m/>
    <m/>
    <m/>
    <n v="0"/>
    <n v="1598"/>
    <n v="42919"/>
    <n v="42899.433779282401"/>
    <x v="1"/>
    <s v="E4873A6F5A944FDCA8DC81479FFD01C1"/>
    <n v="99.309999999999988"/>
    <n v="8.5"/>
    <n v="124.22266552020636"/>
    <n v="22.950483592270654"/>
    <n v="4.8732072914875317"/>
    <n v="2.1019453416888925"/>
  </r>
  <r>
    <n v="252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5090640635406195"/>
    <n v="1.3967384267971441"/>
    <b v="0"/>
    <b v="0"/>
    <s v=""/>
    <s v="BHHPPS1534455625"/>
    <n v="1"/>
    <s v="BHHPPS1534455625"/>
    <s v="5378888087"/>
    <s v="LUCYS NEARLY NEW"/>
    <s v="LUCYS NEARLY NEW"/>
    <s v="LUCYS NEARLY NEW"/>
    <s v="2320 JUNCTION AVE                                 STE B"/>
    <s v="STURGIS"/>
    <s v="SD"/>
    <s v="57785"/>
    <x v="36"/>
    <s v="1440 DAVENPORT"/>
    <s v="STURGIS"/>
    <s v="SD"/>
    <s v="57785"/>
    <m/>
    <s v="rathelectric@yahoo.com"/>
    <s v="C&amp;I Prescriptive Rebate :- C&amp;I Lighting :- Customer Incentives"/>
    <s v="LED Replacement for T12 Linear Fluorescent Lamps - 4 ft or less"/>
    <s v="Retail"/>
    <s v="Existing"/>
    <m/>
    <m/>
    <m/>
    <m/>
    <m/>
    <m/>
    <m/>
    <m/>
    <m/>
    <m/>
    <m/>
    <m/>
    <m/>
    <n v="90"/>
    <n v="0"/>
    <n v="2.6892"/>
    <m/>
    <n v="7861.14"/>
    <m/>
    <m/>
    <m/>
    <m/>
    <m/>
    <n v="0"/>
    <n v="1440"/>
    <n v="42919"/>
    <n v="42907.726920752299"/>
    <x v="1"/>
    <s v="6D0C807B1D3D419C95EE59F92C5EEB79"/>
    <n v="87.346000000000004"/>
    <n v="16"/>
    <n v="71.928403166606657"/>
    <n v="30.28616226838243"/>
    <n v="10.421419234256929"/>
    <n v="3.9940053618595535"/>
  </r>
  <r>
    <n v="253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-1.5301479794237274"/>
    <b v="0"/>
    <b v="0"/>
    <s v=""/>
    <s v="BHHPPS1534482433"/>
    <n v="1"/>
    <s v="BHHPPS1534482433"/>
    <s v="4504423066"/>
    <s v="BIBLE FELLOWSHIP"/>
    <s v="BIBLE FELLOWSHIP"/>
    <s v="BIBLE FELLOWSHIP"/>
    <s v="1212 E FAIRMONT BLVD"/>
    <s v="RAPID CITY"/>
    <s v="SD"/>
    <s v="57701"/>
    <x v="35"/>
    <s v="2221 BRIDGE VIEW DR"/>
    <s v="RAPID CITY"/>
    <s v="SD"/>
    <s v="57701"/>
    <s v="605-343-1386"/>
    <s v="paul@solarsoundcorp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72"/>
    <n v="0"/>
    <n v="1.744934"/>
    <m/>
    <n v="8176.3919999999998"/>
    <m/>
    <m/>
    <m/>
    <m/>
    <m/>
    <n v="0"/>
    <n v="310.32"/>
    <n v="42919"/>
    <n v="42915.7690427083"/>
    <x v="1"/>
    <s v="F6EF60E693CC423FA20400B47D5B80E7"/>
    <n v="113.56099999999999"/>
    <n v="4.3099999999999996"/>
    <n v="71.928403166606657"/>
    <n v="30.28616226838243"/>
    <n v="10.421419234256929"/>
    <n v="3.9940053618595535"/>
  </r>
  <r>
    <n v="25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1.5301479794237272"/>
    <b v="0"/>
    <b v="0"/>
    <s v=""/>
    <s v="BHHPPS1534482433"/>
    <n v="0"/>
    <s v="BHHPPS1534482433"/>
    <s v="4504423066"/>
    <s v="BIBLE FELLOWSHIP"/>
    <s v="BIBLE FELLOWSHIP"/>
    <s v="BIBLE FELLOWSHIP"/>
    <s v="1212 E FAIRMONT BLVD"/>
    <s v="RAPID CITY"/>
    <s v="SD"/>
    <s v="57701"/>
    <x v="35"/>
    <s v="2221 BRIDGE VIEW DR"/>
    <s v="RAPID CITY"/>
    <s v="SD"/>
    <s v="57701"/>
    <s v="605-343-1386"/>
    <s v="paul@solarsoundcorp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28"/>
    <n v="0"/>
    <n v="0.33929300000000001"/>
    <m/>
    <n v="1589.8679999999999"/>
    <m/>
    <m/>
    <m/>
    <m/>
    <m/>
    <n v="0"/>
    <n v="120.68"/>
    <n v="42919"/>
    <n v="42915.7690427083"/>
    <x v="1"/>
    <s v="C7536D8446CE41EB810BD7E5A4B26685"/>
    <n v="56.780999999999999"/>
    <n v="4.3100000000000005"/>
    <n v="71.928403166606657"/>
    <n v="30.28616226838243"/>
    <n v="10.421419234256929"/>
    <n v="3.9940053618595535"/>
  </r>
  <r>
    <n v="255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97162359113610641"/>
    <n v="-4.8057188404622845E-3"/>
    <b v="0"/>
    <b v="0"/>
    <s v=""/>
    <s v="BHHPPS1534498537"/>
    <n v="1"/>
    <s v="BHHPPS1534498537"/>
    <s v="4973180282"/>
    <s v="HAGGARS GROCERY"/>
    <s v="HAGGARS GROCERY"/>
    <s v="HAGGARS GROCERY"/>
    <s v="8015 STAGE STOP RD"/>
    <s v="SUMMERSET"/>
    <s v="SD"/>
    <s v="57769"/>
    <x v="35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60W to 150W"/>
    <s v="Grocery"/>
    <s v="Existing"/>
    <m/>
    <m/>
    <m/>
    <m/>
    <m/>
    <m/>
    <m/>
    <m/>
    <m/>
    <m/>
    <m/>
    <m/>
    <m/>
    <n v="15"/>
    <n v="0"/>
    <n v="3.4176739999999999"/>
    <m/>
    <n v="15266.715"/>
    <m/>
    <m/>
    <m/>
    <m/>
    <m/>
    <n v="0"/>
    <n v="1500"/>
    <n v="42921"/>
    <n v="42921.783852696797"/>
    <x v="1"/>
    <s v="79DEA4A8FEC64F4BA87BD693DFEB44A1"/>
    <n v="1017.7810000000001"/>
    <n v="100"/>
    <n v="1175.7261559139786"/>
    <n v="162.55796725694501"/>
    <n v="100.15639784946237"/>
    <n v="32.544111433560438"/>
  </r>
  <r>
    <n v="256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97162359113610708"/>
    <n v="-4.8057188404622845E-3"/>
    <b v="0"/>
    <b v="0"/>
    <s v=""/>
    <s v="BHHPPS1534498537"/>
    <n v="0"/>
    <s v="BHHPPS1534498537"/>
    <s v="4973180282"/>
    <s v="HAGGARS GROCERY"/>
    <s v="HAGGARS GROCERY"/>
    <s v="HAGGARS GROCERY"/>
    <s v="8015 STAGE STOP RD"/>
    <s v="SUMMERSET"/>
    <s v="SD"/>
    <s v="57769"/>
    <x v="35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60W to 150W"/>
    <s v="Grocery"/>
    <s v="Existing"/>
    <m/>
    <m/>
    <m/>
    <m/>
    <m/>
    <m/>
    <m/>
    <m/>
    <m/>
    <m/>
    <m/>
    <m/>
    <m/>
    <n v="12"/>
    <n v="0"/>
    <n v="2.7341389999999999"/>
    <m/>
    <n v="12213.371999999999"/>
    <m/>
    <m/>
    <m/>
    <m/>
    <m/>
    <n v="0"/>
    <n v="1200"/>
    <n v="42921"/>
    <n v="42921.783852696797"/>
    <x v="1"/>
    <s v="A4EBE213AD60437EBFFB7B27F29E2AEA"/>
    <n v="1017.7809999999999"/>
    <n v="100"/>
    <n v="1175.7261559139786"/>
    <n v="162.55796725694501"/>
    <n v="100.15639784946237"/>
    <n v="32.544111433560438"/>
  </r>
  <r>
    <n v="257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262855878431993"/>
    <n v="-0.60626339097590731"/>
    <b v="0"/>
    <b v="0"/>
    <s v=""/>
    <s v="BHHPPS1534498537"/>
    <n v="0"/>
    <s v="BHHPPS1534498537"/>
    <s v="4973180282"/>
    <s v="HAGGARS GROCERY"/>
    <s v="HAGGARS GROCERY"/>
    <s v="HAGGARS GROCERY"/>
    <s v="8015 STAGE STOP RD"/>
    <s v="SUMMERSET"/>
    <s v="SD"/>
    <s v="57769"/>
    <x v="35"/>
    <s v="2221 BRIDGE VIEW DR"/>
    <s v="RAPID CITY"/>
    <s v="SD"/>
    <s v="57701"/>
    <s v="605-343-1386"/>
    <s v="paul@solarsoundcorp.com"/>
    <s v="C&amp;I Prescriptive Rebate :- C&amp;I Lighting :- Customer Incentives"/>
    <s v="LED Replacement for T8 Linear Fluorescent Lamps - 4 ft or less"/>
    <s v="Grocery"/>
    <s v="Existing"/>
    <m/>
    <m/>
    <m/>
    <m/>
    <m/>
    <m/>
    <m/>
    <m/>
    <m/>
    <m/>
    <m/>
    <m/>
    <m/>
    <n v="564"/>
    <n v="0"/>
    <n v="6.304392"/>
    <m/>
    <n v="28161.648000000001"/>
    <m/>
    <m/>
    <m/>
    <m/>
    <m/>
    <n v="0"/>
    <n v="4512"/>
    <n v="42921"/>
    <n v="42921.783852696797"/>
    <x v="1"/>
    <s v="6D66509EF30D441CA5DC7B9FD330E0BD"/>
    <n v="49.932000000000002"/>
    <n v="8"/>
    <n v="71.928403166606657"/>
    <n v="30.28616226838243"/>
    <n v="10.421419234256929"/>
    <n v="3.9940053618595535"/>
  </r>
  <r>
    <n v="258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2.1962900140319343E-2"/>
    <n v="0.74402665660424805"/>
    <b v="0"/>
    <b v="0"/>
    <s v=""/>
    <s v="BHHPPS1534498537"/>
    <n v="0"/>
    <s v="BHHPPS1534498537"/>
    <s v="4973180282"/>
    <s v="HAGGARS GROCERY"/>
    <s v="HAGGARS GROCERY"/>
    <s v="HAGGARS GROCERY"/>
    <s v="8015 STAGE STOP RD"/>
    <s v="SUMMERSET"/>
    <s v="SD"/>
    <s v="57769"/>
    <x v="35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25W to 60W"/>
    <s v="Grocery"/>
    <s v="Existing"/>
    <m/>
    <m/>
    <m/>
    <m/>
    <m/>
    <m/>
    <m/>
    <m/>
    <m/>
    <m/>
    <m/>
    <m/>
    <m/>
    <n v="2"/>
    <n v="0"/>
    <n v="0.24293500000000001"/>
    <m/>
    <n v="1085.1880000000001"/>
    <m/>
    <m/>
    <m/>
    <m/>
    <m/>
    <n v="0"/>
    <n v="150"/>
    <n v="42921"/>
    <n v="42921.783852696797"/>
    <x v="1"/>
    <s v="D6FCD154C0914C948BA36BBD911D01AF"/>
    <n v="542.59400000000005"/>
    <n v="75"/>
    <n v="540.38278358208959"/>
    <n v="100.67961898397597"/>
    <n v="63.736940298507463"/>
    <n v="15.137978729011348"/>
  </r>
  <r>
    <n v="259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2.1962900140319343E-2"/>
    <n v="0.74402665660424805"/>
    <b v="0"/>
    <b v="0"/>
    <s v=""/>
    <s v="BHHPPS1534498537"/>
    <n v="0"/>
    <s v="BHHPPS1534498537"/>
    <s v="4973180282"/>
    <s v="HAGGARS GROCERY"/>
    <s v="HAGGARS GROCERY"/>
    <s v="HAGGARS GROCERY"/>
    <s v="8015 STAGE STOP RD"/>
    <s v="SUMMERSET"/>
    <s v="SD"/>
    <s v="57769"/>
    <x v="35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25W to 60W"/>
    <s v="Grocery"/>
    <s v="Existing"/>
    <m/>
    <m/>
    <m/>
    <m/>
    <m/>
    <m/>
    <m/>
    <m/>
    <m/>
    <m/>
    <m/>
    <m/>
    <m/>
    <n v="2"/>
    <n v="0"/>
    <n v="0.24293500000000001"/>
    <m/>
    <n v="1085.1880000000001"/>
    <m/>
    <m/>
    <m/>
    <m/>
    <m/>
    <n v="0"/>
    <n v="150"/>
    <n v="42921"/>
    <n v="42921.783852696797"/>
    <x v="1"/>
    <s v="5C66278014994D6BABD72C9FFD969879"/>
    <n v="542.59400000000005"/>
    <n v="75"/>
    <n v="540.38278358208959"/>
    <n v="100.67961898397597"/>
    <n v="63.736940298507463"/>
    <n v="15.137978729011348"/>
  </r>
  <r>
    <n v="260"/>
    <s v="Non-Residential - BHPSD - C/I Prescriptive Rebate"/>
    <b v="1"/>
    <s v="Non-Residential - BHPSD - C/I Prescriptive Rebate_C&amp;I Prescriptive Rebate :- C&amp;I Lighting :- Customer Incentives_Occupancy Sensor - Fixture"/>
    <s v="C&amp;I_C&amp;I Prescriptive_Lighting_Fixture Mount Occupancy"/>
    <x v="2"/>
    <x v="3"/>
    <x v="3"/>
    <x v="12"/>
    <s v=""/>
    <s v=""/>
    <b v="0"/>
    <b v="0"/>
    <s v=""/>
    <s v="BHHPPS1534532626"/>
    <n v="1"/>
    <s v="BHHPPS1534532626"/>
    <s v="2930407586"/>
    <s v="SOUTH CANYON BAPTIST"/>
    <s v="SOUTH CANYON BAPTIST"/>
    <s v="SOUTH CANYON BAPTIST"/>
    <s v="3333 W CHICAGO ST"/>
    <s v="RAPID CITY"/>
    <s v="SD"/>
    <s v="57702"/>
    <x v="23"/>
    <s v="401 MAPLE AVE"/>
    <s v="RAPID CITY"/>
    <s v="SD"/>
    <s v="57701"/>
    <s v="605-342-4099"/>
    <s v="DLARSON@FREEMANSELECTRIC.COM"/>
    <s v="C&amp;I Prescriptive Rebate :- C&amp;I Lighting :- Customer Incentives"/>
    <s v="Occupancy Sensor - Fixture"/>
    <s v="Other"/>
    <s v="Existing"/>
    <m/>
    <m/>
    <m/>
    <m/>
    <m/>
    <m/>
    <m/>
    <m/>
    <m/>
    <m/>
    <m/>
    <m/>
    <m/>
    <n v="8"/>
    <n v="0"/>
    <n v="0.67050699999999996"/>
    <m/>
    <n v="3141.864"/>
    <m/>
    <m/>
    <m/>
    <m/>
    <m/>
    <n v="0"/>
    <n v="224"/>
    <n v="42926"/>
    <n v="42926.472461493096"/>
    <x v="1"/>
    <s v="C4552AE8622F4BC99FD538E62FCE5C42"/>
    <n v="392.733"/>
    <n v="28"/>
    <n v="392.733"/>
    <n v="0"/>
    <n v="28"/>
    <n v="0"/>
  </r>
  <r>
    <n v="261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-0.335610216668144"/>
    <b v="0"/>
    <b v="0"/>
    <s v=""/>
    <s v="BHHPPS1534532626"/>
    <n v="0"/>
    <s v="BHHPPS1534532626"/>
    <s v="2930407586"/>
    <s v="SOUTH CANYON BAPTIST"/>
    <s v="SOUTH CANYON BAPTIST"/>
    <s v="SOUTH CANYON BAPTIST"/>
    <s v="3333 W CHICAGO ST"/>
    <s v="RAPID CITY"/>
    <s v="SD"/>
    <s v="57702"/>
    <x v="23"/>
    <s v="401 MAPLE AVE"/>
    <s v="RAPID CITY"/>
    <s v="SD"/>
    <s v="57701"/>
    <s v="605-342-4099"/>
    <s v="DLARSON@FREEMANSELECTRIC.COM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46"/>
    <n v="0"/>
    <n v="1.7651300000000001"/>
    <m/>
    <n v="8271.0300000000007"/>
    <m/>
    <m/>
    <m/>
    <m/>
    <m/>
    <n v="0"/>
    <n v="407.1"/>
    <n v="42926"/>
    <n v="42926.472461493096"/>
    <x v="1"/>
    <s v="1D66B4E0F74745D8B3D5B877A162776E"/>
    <n v="179.80500000000001"/>
    <n v="8.85"/>
    <n v="183.5885054112554"/>
    <n v="35.763002108901198"/>
    <n v="9.5846103896103898"/>
    <n v="2.1888796977142775"/>
  </r>
  <r>
    <n v="262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532626"/>
    <n v="0"/>
    <s v="BHHPPS1534532626"/>
    <s v="2930407586"/>
    <s v="SOUTH CANYON BAPTIST"/>
    <s v="SOUTH CANYON BAPTIST"/>
    <s v="SOUTH CANYON BAPTIST"/>
    <s v="3333 W CHICAGO ST"/>
    <s v="RAPID CITY"/>
    <s v="SD"/>
    <s v="57702"/>
    <x v="23"/>
    <s v="401 MAPLE AVE"/>
    <s v="RAPID CITY"/>
    <s v="SD"/>
    <s v="57701"/>
    <s v="605-342-4099"/>
    <s v="DLARSON@FREEMANSELECTRIC.COM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6"/>
    <n v="0"/>
    <n v="0.79006799999999999"/>
    <m/>
    <n v="3702.096"/>
    <m/>
    <m/>
    <m/>
    <m/>
    <m/>
    <n v="0"/>
    <n v="450"/>
    <n v="42926"/>
    <n v="42926.472461493096"/>
    <x v="1"/>
    <s v="589E241D340E47DA9E6C6D30D686F22C"/>
    <n v="617.01599999999996"/>
    <n v="75"/>
    <n v="540.38278358208959"/>
    <n v="100.67961898397597"/>
    <n v="63.736940298507463"/>
    <n v="15.137978729011348"/>
  </r>
  <r>
    <n v="263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1.3319094756253556"/>
    <b v="0"/>
    <b v="0"/>
    <s v=""/>
    <s v="BHHPPS1534532626"/>
    <n v="0"/>
    <s v="BHHPPS1534532626"/>
    <s v="2930407586"/>
    <s v="SOUTH CANYON BAPTIST"/>
    <s v="SOUTH CANYON BAPTIST"/>
    <s v="SOUTH CANYON BAPTIST"/>
    <s v="3333 W CHICAGO ST"/>
    <s v="RAPID CITY"/>
    <s v="SD"/>
    <s v="57702"/>
    <x v="23"/>
    <s v="401 MAPLE AVE"/>
    <s v="RAPID CITY"/>
    <s v="SD"/>
    <s v="57701"/>
    <s v="605-342-4099"/>
    <s v="DLARSON@FREEMANSELECTRIC.COM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18"/>
    <n v="0"/>
    <n v="0.69070299999999996"/>
    <m/>
    <n v="3236.49"/>
    <m/>
    <m/>
    <m/>
    <m/>
    <m/>
    <n v="0"/>
    <n v="225"/>
    <n v="42926"/>
    <n v="42926.472461493096"/>
    <x v="1"/>
    <s v="003699733782457D90AEAF6BE31B5B61"/>
    <n v="179.80499999999998"/>
    <n v="12.5"/>
    <n v="183.5885054112554"/>
    <n v="35.763002108901198"/>
    <n v="9.5846103896103898"/>
    <n v="2.1888796977142775"/>
  </r>
  <r>
    <n v="264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-1.0391664704029351"/>
    <b v="0"/>
    <b v="0"/>
    <s v=""/>
    <s v="BHHPPS1534532626"/>
    <n v="0"/>
    <s v="BHHPPS1534532626"/>
    <s v="2930407586"/>
    <s v="SOUTH CANYON BAPTIST"/>
    <s v="SOUTH CANYON BAPTIST"/>
    <s v="SOUTH CANYON BAPTIST"/>
    <s v="3333 W CHICAGO ST"/>
    <s v="RAPID CITY"/>
    <s v="SD"/>
    <s v="57702"/>
    <x v="23"/>
    <s v="401 MAPLE AVE"/>
    <s v="RAPID CITY"/>
    <s v="SD"/>
    <s v="57701"/>
    <s v="605-342-4099"/>
    <s v="DLARSON@FREEMANSELECTRIC.COM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72"/>
    <n v="0"/>
    <n v="2.762813"/>
    <m/>
    <n v="12945.96"/>
    <m/>
    <m/>
    <m/>
    <m/>
    <m/>
    <n v="0"/>
    <n v="526.32000000000005"/>
    <n v="42926"/>
    <n v="42926.472461493096"/>
    <x v="1"/>
    <s v="2825F2B6889E4D3CAFF4E07B6C2CBF70"/>
    <n v="179.80499999999998"/>
    <n v="7.3100000000000005"/>
    <n v="183.5885054112554"/>
    <n v="35.763002108901198"/>
    <n v="9.5846103896103898"/>
    <n v="2.1888796977142775"/>
  </r>
  <r>
    <n v="26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1238294291255655"/>
    <b v="0"/>
    <b v="0"/>
    <s v=""/>
    <s v="BHHPPS1534561105"/>
    <n v="1"/>
    <s v="BHHPPS1534561105"/>
    <s v="4988211014"/>
    <s v="RAPID CITY JOURNAL"/>
    <s v="RAPID CITY JOURNAL"/>
    <s v="RAPID CITY JOURNAL"/>
    <s v="507 MAIN ST"/>
    <s v="RAPID CITY"/>
    <s v="SD"/>
    <s v="57701"/>
    <x v="10"/>
    <s v="1936 MARLIN DR"/>
    <s v="RAPID CITY"/>
    <s v="SD"/>
    <s v="57703"/>
    <s v="605-348-7100"/>
    <s v="jwood@dsginc.biz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666"/>
    <n v="0"/>
    <n v="16.140643000000001"/>
    <m/>
    <n v="75631.626000000004"/>
    <m/>
    <m/>
    <m/>
    <m/>
    <m/>
    <n v="0"/>
    <n v="9930.06"/>
    <n v="42935"/>
    <n v="42935.668675462999"/>
    <x v="1"/>
    <s v="D68C24A0E5C142B890A7C6625C57994C"/>
    <n v="113.56100000000001"/>
    <n v="14.909999999999998"/>
    <n v="71.928403166606657"/>
    <n v="30.28616226838243"/>
    <n v="10.421419234256929"/>
    <n v="3.9940053618595535"/>
  </r>
  <r>
    <n v="266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1238294291255659"/>
    <b v="0"/>
    <b v="0"/>
    <s v=""/>
    <s v="BHHPPS1534561128"/>
    <n v="1"/>
    <s v="BHHPPS1534561128"/>
    <s v="5196390216"/>
    <s v="RAPID CITY JOURNAL"/>
    <s v="RAPID CITY JOURNAL"/>
    <s v="RAPID CITY JOURNAL"/>
    <s v="412 2ND ST"/>
    <s v="RAPID CITY"/>
    <s v="SD"/>
    <s v="57701"/>
    <x v="10"/>
    <s v="1936 MARLIN DR"/>
    <s v="RAPID CITY"/>
    <s v="SD"/>
    <s v="57703"/>
    <s v="605-348-7100"/>
    <s v="jwood@dsginc.biz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834"/>
    <n v="0"/>
    <n v="20.212157000000001"/>
    <m/>
    <n v="94709.873999999996"/>
    <m/>
    <m/>
    <m/>
    <m/>
    <m/>
    <n v="0"/>
    <n v="12434.94"/>
    <n v="42935"/>
    <n v="42935.671897141197"/>
    <x v="1"/>
    <s v="E75B3B6437834CC9B65168CC92E62622"/>
    <n v="113.56099999999999"/>
    <n v="14.91"/>
    <n v="71.928403166606657"/>
    <n v="30.28616226838243"/>
    <n v="10.421419234256929"/>
    <n v="3.9940053618595535"/>
  </r>
  <r>
    <n v="26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673"/>
    <n v="-4.8057188404622845E-3"/>
    <b v="0"/>
    <b v="0"/>
    <s v=""/>
    <s v="BHHPPS1534561626"/>
    <n v="1"/>
    <s v="BHHPPS1534561626"/>
    <s v="2138660329"/>
    <s v="CORNERSTONE"/>
    <s v="CORNERSTONE"/>
    <s v="CORNERSTONE"/>
    <s v="30 MAIN ST"/>
    <s v="RAPID CITY"/>
    <s v="SD"/>
    <s v="57701"/>
    <x v="10"/>
    <s v="1936 MARLIN DR"/>
    <s v="RAPID CITY"/>
    <s v="SD"/>
    <s v="57703"/>
    <s v="605-348-7100"/>
    <s v="jwood@dsginc.biz"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10"/>
    <n v="0"/>
    <n v="2.4699710000000001"/>
    <m/>
    <n v="11573.79"/>
    <m/>
    <m/>
    <m/>
    <m/>
    <m/>
    <n v="0"/>
    <n v="1000"/>
    <n v="42935"/>
    <n v="42935.777491319401"/>
    <x v="1"/>
    <s v="D2BC46507B36446A879890ECF510B16E"/>
    <n v="1157.3790000000001"/>
    <n v="100"/>
    <n v="1175.7261559139786"/>
    <n v="162.55796725694501"/>
    <n v="100.15639784946237"/>
    <n v="32.544111433560438"/>
  </r>
  <r>
    <n v="268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561626"/>
    <n v="0"/>
    <s v="BHHPPS1534561626"/>
    <s v="2138660329"/>
    <s v="CORNERSTONE"/>
    <s v="CORNERSTONE"/>
    <s v="CORNERSTONE"/>
    <s v="30 MAIN ST"/>
    <s v="RAPID CITY"/>
    <s v="SD"/>
    <s v="57701"/>
    <x v="10"/>
    <s v="1936 MARLIN DR"/>
    <s v="RAPID CITY"/>
    <s v="SD"/>
    <s v="57703"/>
    <s v="605-348-7100"/>
    <s v="jwood@dsginc.biz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2"/>
    <n v="0"/>
    <n v="0.26335599999999998"/>
    <m/>
    <n v="1234.0319999999999"/>
    <m/>
    <m/>
    <m/>
    <m/>
    <m/>
    <n v="0"/>
    <n v="150"/>
    <n v="42935"/>
    <n v="42935.777491319401"/>
    <x v="1"/>
    <s v="CFC320DF44644A6EBFEDA2D2C1C567A9"/>
    <n v="617.01599999999996"/>
    <n v="75"/>
    <n v="540.38278358208959"/>
    <n v="100.67961898397597"/>
    <n v="63.736940298507463"/>
    <n v="15.137978729011348"/>
  </r>
  <r>
    <n v="26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-0.90069292190364869"/>
    <b v="0"/>
    <b v="0"/>
    <s v=""/>
    <s v="BHHPPS1534574686"/>
    <n v="1"/>
    <s v="BHHPPS1534574686"/>
    <s v="9798957253"/>
    <s v="PERFECT HANGING GALLERY"/>
    <s v="PERFECT HANGING GALLERY"/>
    <s v="PERFECT HANGING GALLERY"/>
    <s v="621 MAIN ST"/>
    <s v="RAPID CITY"/>
    <s v="SD"/>
    <s v="57701"/>
    <x v="14"/>
    <s v="PO BOX 4035"/>
    <s v="RAPID CITY"/>
    <s v="SD"/>
    <s v="57709"/>
    <s v="605-381-9452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18"/>
    <n v="0"/>
    <n v="0.43623400000000001"/>
    <m/>
    <n v="2044.098"/>
    <m/>
    <m/>
    <m/>
    <m/>
    <m/>
    <n v="0"/>
    <n v="53.64"/>
    <n v="42940"/>
    <n v="42940.5389762384"/>
    <x v="1"/>
    <s v="7A17C16D2D764F809479F20EF00F75B9"/>
    <n v="113.56099999999999"/>
    <n v="2.98"/>
    <n v="124.22266552020636"/>
    <n v="22.950483592270654"/>
    <n v="4.8732072914875317"/>
    <n v="2.1019453416888925"/>
  </r>
  <r>
    <n v="270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12"/>
    <n v="0.31722647363261447"/>
    <b v="0"/>
    <b v="0"/>
    <s v=""/>
    <s v="BHHPPS1534574686"/>
    <n v="0"/>
    <s v="BHHPPS1534574686"/>
    <s v="9798957253"/>
    <s v="PERFECT HANGING GALLERY"/>
    <s v="PERFECT HANGING GALLERY"/>
    <s v="PERFECT HANGING GALLERY"/>
    <s v="621 MAIN ST"/>
    <s v="RAPID CITY"/>
    <s v="SD"/>
    <s v="57701"/>
    <x v="14"/>
    <s v="PO BOX 4035"/>
    <s v="RAPID CITY"/>
    <s v="SD"/>
    <s v="57709"/>
    <s v="605-381-9452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32"/>
    <n v="0"/>
    <n v="0.77552600000000005"/>
    <m/>
    <n v="3633.9520000000002"/>
    <m/>
    <m/>
    <m/>
    <m/>
    <m/>
    <n v="0"/>
    <n v="177.28"/>
    <n v="42940"/>
    <n v="42940.5389762384"/>
    <x v="1"/>
    <s v="766434B09F5E400C8C1BB809800AD41C"/>
    <n v="113.56100000000001"/>
    <n v="5.54"/>
    <n v="124.22266552020636"/>
    <n v="22.950483592270654"/>
    <n v="4.8732072914875317"/>
    <n v="2.1019453416888925"/>
  </r>
  <r>
    <n v="271"/>
    <s v="Residential - BHPSD - Residential Energy Efficiency Rebate"/>
    <b v="0"/>
    <s v="Residential - BHPSD - Residential Energy Efficiency Rebate__"/>
    <n v="0"/>
    <x v="0"/>
    <x v="0"/>
    <x v="0"/>
    <x v="0"/>
    <s v=""/>
    <s v=""/>
    <b v="0"/>
    <b v="0"/>
    <s v="Residential - BHPSD - Residential Energy Efficiency Rebate"/>
    <n v="55"/>
    <n v="1"/>
    <s v=""/>
    <s v=""/>
    <s v=""/>
    <s v=""/>
    <s v=""/>
    <s v=""/>
    <s v=""/>
    <s v=""/>
    <s v=""/>
    <x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1"/>
    <n v="0"/>
    <n v="42.0242"/>
    <m/>
    <n v="111458.90283000001"/>
    <m/>
    <m/>
    <m/>
    <m/>
    <m/>
    <n v="0"/>
    <n v="13808.75"/>
    <s v=""/>
    <m/>
    <x v="0"/>
    <s v=""/>
    <n v="1569.843701830986"/>
    <n v="194.4894366197183"/>
    <e v="#N/A"/>
    <e v="#N/A"/>
    <e v="#N/A"/>
    <e v="#N/A"/>
  </r>
  <r>
    <n v="272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40717293650502445"/>
    <n v="0.44367825470805689"/>
    <b v="0"/>
    <b v="0"/>
    <s v=""/>
    <s v="BHHEPS1532882230"/>
    <n v="1"/>
    <s v="BHHEPS1532882230"/>
    <s v="3501750401"/>
    <s v="JACK"/>
    <s v="NAUGLE"/>
    <m/>
    <s v="4103 MINNEKAHTA DR"/>
    <s v="RAPID CITY"/>
    <s v="SD"/>
    <s v="57702"/>
    <x v="37"/>
    <s v="1856 LOMBARDY DR"/>
    <s v="RAPID CITY"/>
    <s v="SD"/>
    <s v="57709"/>
    <s v="605-348-5212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ANZ140241A"/>
    <m/>
    <n v="1"/>
    <n v="0"/>
    <n v="0.49299999999999999"/>
    <m/>
    <n v="478.80500000000001"/>
    <m/>
    <m/>
    <m/>
    <m/>
    <m/>
    <n v="0"/>
    <n v="225"/>
    <n v="42615"/>
    <n v="42615.6955989583"/>
    <x v="1"/>
    <s v="A11CC10C148248269F45121260167778"/>
    <n v="478.80500000000001"/>
    <n v="225"/>
    <n v="901.38850000000002"/>
    <n v="1037.8477106736327"/>
    <n v="201.5625"/>
    <n v="52.825442201178021"/>
  </r>
  <r>
    <n v="273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50381717338915977"/>
    <n v="-0.97609216035772517"/>
    <b v="0"/>
    <b v="0"/>
    <s v=""/>
    <s v="BHHEPS1532882260"/>
    <n v="1"/>
    <s v="BHHEPS1532882260"/>
    <s v="0001026146"/>
    <s v="LES A"/>
    <s v="KEITH"/>
    <m/>
    <s v="2326 WILSON AVE"/>
    <s v="HOT SPRINGS"/>
    <s v="SD"/>
    <s v="57747"/>
    <x v="38"/>
    <s v="1346 GALVESTON AVE"/>
    <s v="HOT SPRINGS"/>
    <s v="SD"/>
    <s v="57747"/>
    <s v="605-745-4789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14HPX-024-230-19"/>
    <m/>
    <n v="1"/>
    <n v="0"/>
    <n v="0.39500000000000002"/>
    <m/>
    <n v="378.50299999999999"/>
    <m/>
    <m/>
    <m/>
    <m/>
    <m/>
    <n v="0"/>
    <n v="150"/>
    <n v="42615"/>
    <n v="42615.709618865701"/>
    <x v="1"/>
    <s v="A5431E92E34F45ADAC74CCC0BC89BB35"/>
    <n v="378.50299999999999"/>
    <n v="150"/>
    <n v="901.38850000000002"/>
    <n v="1037.8477106736327"/>
    <n v="201.5625"/>
    <n v="52.825442201178021"/>
  </r>
  <r>
    <n v="274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0.45001196978249142"/>
    <n v="-0.92571866782486023"/>
    <b v="0"/>
    <b v="0"/>
    <s v=""/>
    <s v="BHHEPS1532906113"/>
    <n v="1"/>
    <s v="BHHEPS1532906113"/>
    <s v="4112289528"/>
    <s v="ELIZABETH L"/>
    <s v="MEYER"/>
    <m/>
    <s v="12634 SANDSTONE RD"/>
    <s v="HOT SPRINGS"/>
    <s v="SD"/>
    <s v="57747"/>
    <x v="38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18000"/>
    <m/>
    <m/>
    <m/>
    <m/>
    <m/>
    <m/>
    <m/>
    <m/>
    <n v="1"/>
    <n v="0"/>
    <n v="0.71599999999999997"/>
    <m/>
    <n v="1987.4390000000001"/>
    <m/>
    <m/>
    <m/>
    <m/>
    <m/>
    <n v="0"/>
    <n v="75"/>
    <n v="42626"/>
    <n v="42626.780199618101"/>
    <x v="1"/>
    <s v="B40425FFBAE741E2A358720529D9E46A"/>
    <n v="1987.4390000000001"/>
    <n v="75"/>
    <n v="2495.8377857142855"/>
    <n v="1129.7450286933804"/>
    <n v="107.14285714285714"/>
    <n v="34.722057856284209"/>
  </r>
  <r>
    <n v="275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45121016150768639"/>
    <n v="-0.40824829046386363"/>
    <b v="0"/>
    <b v="0"/>
    <s v=""/>
    <s v="BHHEPS1532927754"/>
    <n v="1"/>
    <s v="BHHEPS1532927754"/>
    <s v="0770295976"/>
    <s v="TRAVIS J"/>
    <s v="FOSTER"/>
    <m/>
    <s v="7308 WONDERLAND CT"/>
    <s v="BLACK HAWK"/>
    <s v="SD"/>
    <s v="57718"/>
    <x v="39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GEH50DFEJSR"/>
    <m/>
    <n v="1"/>
    <n v="0"/>
    <n v="0.13600000000000001"/>
    <m/>
    <n v="2877"/>
    <m/>
    <m/>
    <m/>
    <m/>
    <m/>
    <n v="0"/>
    <n v="250"/>
    <n v="42634"/>
    <n v="42634.7605497685"/>
    <x v="1"/>
    <s v="ADC9E49CA6604FAD9617B155639FA6F3"/>
    <n v="2877"/>
    <n v="250"/>
    <n v="3035.2857142857142"/>
    <n v="350.80263652931455"/>
    <n v="261.42857142857144"/>
    <n v="27.994168488950606"/>
  </r>
  <r>
    <n v="276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1.1884691629751747E-2"/>
    <n v="-1.6859773678906163"/>
    <b v="0"/>
    <b v="0"/>
    <s v=""/>
    <s v="BHHEPS1532927760"/>
    <n v="1"/>
    <s v="BHHEPS1532927760"/>
    <s v="2306840144"/>
    <s v="JOAN M"/>
    <s v="WILSON"/>
    <m/>
    <s v="13138 CANYON VIEW RD"/>
    <s v="PIEDMONT"/>
    <s v="SD"/>
    <s v="57769"/>
    <x v="40"/>
    <s v="4310 PENDLETON DR"/>
    <s v="RAPID CITY"/>
    <s v="SD"/>
    <s v="57709"/>
    <s v="605-341-2412"/>
    <s v="dan.larson@tessiersinc.com"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SL18XP1-024-230"/>
    <m/>
    <n v="1"/>
    <n v="0"/>
    <n v="0.60399999999999998"/>
    <m/>
    <n v="913.72299999999996"/>
    <m/>
    <m/>
    <m/>
    <m/>
    <m/>
    <n v="0"/>
    <n v="112.5"/>
    <n v="42634"/>
    <n v="42634.768014270798"/>
    <x v="1"/>
    <s v="276AF04CAD264E22A4BD04AA6DBA6242"/>
    <n v="913.72299999999996"/>
    <n v="112.5"/>
    <n v="901.38850000000002"/>
    <n v="1037.8477106736327"/>
    <n v="201.5625"/>
    <n v="52.825442201178021"/>
  </r>
  <r>
    <n v="277"/>
    <s v="Residential - BHPSD - Residential Energy Efficiency Rebate"/>
    <b v="1"/>
    <s v="Residential - BHPSD - Residential Energy Efficiency Rebate_Residential Water Heating :- Customer Incentives_Electric Water Heater - EF &lt; 0.95"/>
    <s v="Residential_High Efficiency HVAC_Water Heating_Electric Storage Water Heater EF 0.95"/>
    <x v="1"/>
    <x v="4"/>
    <x v="5"/>
    <x v="16"/>
    <s v=""/>
    <s v=""/>
    <b v="0"/>
    <b v="0"/>
    <s v=""/>
    <s v="BHHEPS1532965100"/>
    <n v="1"/>
    <s v="BHHEPS1532965100"/>
    <s v="5815530032"/>
    <s v="ERIN E"/>
    <s v="LEHMANN"/>
    <m/>
    <s v="4119 HALL ST"/>
    <s v="RAPID CITY"/>
    <s v="SD"/>
    <s v="57702"/>
    <x v="1"/>
    <s v="PO BOX 2026"/>
    <s v="RAPID CITY"/>
    <s v="SD"/>
    <s v="57709"/>
    <s v="605-394-9411"/>
    <m/>
    <s v="Residential Water Heating :- Customer Incentives"/>
    <s v="Electric Water Heater - EF &lt; 0.95"/>
    <m/>
    <m/>
    <m/>
    <m/>
    <m/>
    <m/>
    <m/>
    <m/>
    <m/>
    <s v="85"/>
    <s v=".92"/>
    <m/>
    <m/>
    <s v="MHD85245"/>
    <m/>
    <n v="1"/>
    <n v="0"/>
    <n v="3.005E-2"/>
    <m/>
    <n v="263.23678000000001"/>
    <m/>
    <m/>
    <m/>
    <m/>
    <m/>
    <n v="0"/>
    <n v="106.25"/>
    <n v="42646"/>
    <n v="42643.690867905098"/>
    <x v="1"/>
    <s v="EC06B821932F43CFB8BC2459E95EFB24"/>
    <n v="263.23678000000001"/>
    <n v="106.25"/>
    <n v="263.23678000000001"/>
    <n v="0"/>
    <n v="106.25"/>
    <n v="0"/>
  </r>
  <r>
    <n v="278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015979"/>
    <n v="1"/>
    <s v="BHHEPS1533015979"/>
    <s v="1602551088"/>
    <s v="JOAN H"/>
    <s v="HOULIHAN"/>
    <m/>
    <s v="109 HAYLOFT CT"/>
    <s v="CUSTER"/>
    <s v="SD"/>
    <s v="57730"/>
    <x v="3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"/>
    <s v=".95"/>
    <m/>
    <m/>
    <s v="650EORT 100"/>
    <m/>
    <n v="1"/>
    <n v="0"/>
    <n v="2.0420000000000001E-2"/>
    <m/>
    <n v="178.89402999999999"/>
    <m/>
    <m/>
    <m/>
    <m/>
    <m/>
    <n v="0"/>
    <n v="87.5"/>
    <n v="42649"/>
    <n v="42649.535627002297"/>
    <x v="1"/>
    <s v="B3B62AED2674485A8AF1B9FF7823074B"/>
    <n v="178.89402999999999"/>
    <n v="87.5"/>
    <n v="164.03409531250006"/>
    <n v="36.173336303462285"/>
    <n v="83.125"/>
    <n v="11.986360561328565"/>
  </r>
  <r>
    <n v="279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017948"/>
    <n v="1"/>
    <s v="BHHEPS1533017948"/>
    <s v="5981851164"/>
    <s v="CURTIS"/>
    <s v="ANDERSON"/>
    <m/>
    <s v="5265 PINEDALE CIR"/>
    <s v="RAPID CITY"/>
    <s v="SD"/>
    <s v="57702"/>
    <x v="3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"/>
    <s v=".95"/>
    <m/>
    <m/>
    <s v="ENT 50 100"/>
    <m/>
    <n v="1"/>
    <n v="0"/>
    <n v="2.0420000000000001E-2"/>
    <m/>
    <n v="178.89402999999999"/>
    <m/>
    <m/>
    <m/>
    <m/>
    <m/>
    <n v="0"/>
    <n v="87.5"/>
    <n v="42650"/>
    <n v="42650.430064583299"/>
    <x v="1"/>
    <s v="0247768AF3744E828843C68580D6F077"/>
    <n v="178.89402999999999"/>
    <n v="87.5"/>
    <n v="164.03409531250006"/>
    <n v="36.173336303462285"/>
    <n v="83.125"/>
    <n v="11.986360561328565"/>
  </r>
  <r>
    <n v="280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45976197864817503"/>
    <n v="-0.40824829046386363"/>
    <b v="0"/>
    <b v="0"/>
    <s v=""/>
    <s v="BHHEPS1533017969"/>
    <n v="1"/>
    <s v="BHHEPS1533017969"/>
    <s v="2574716712"/>
    <s v="LARRY V"/>
    <s v="WALKER"/>
    <m/>
    <s v="2714 HOEFER AVE"/>
    <s v="RAPID CITY"/>
    <s v="SD"/>
    <s v="57701"/>
    <x v="41"/>
    <s v="1865 SAMCO RD"/>
    <s v="RAPID CITY"/>
    <s v="SD"/>
    <s v="57702"/>
    <s v="605-394-9636"/>
    <s v="BKALTVEDT@MWMECH.COM"/>
    <s v="Residential Heat Pumps :- Residential Heat Pumps - HP Water Heater :- Customer Incentives"/>
    <s v="Heat Pump Water Heater"/>
    <m/>
    <m/>
    <m/>
    <m/>
    <m/>
    <m/>
    <m/>
    <m/>
    <m/>
    <m/>
    <m/>
    <m/>
    <m/>
    <s v="HPTU 50 120"/>
    <m/>
    <n v="1"/>
    <n v="0"/>
    <n v="0.13600000000000001"/>
    <m/>
    <n v="2874"/>
    <m/>
    <m/>
    <m/>
    <m/>
    <m/>
    <n v="0"/>
    <n v="250"/>
    <n v="42650"/>
    <n v="42650.439497685198"/>
    <x v="1"/>
    <s v="222CC87FC243413FB150F241BAA394C4"/>
    <n v="2874"/>
    <n v="250"/>
    <n v="3035.2857142857142"/>
    <n v="350.80263652931455"/>
    <n v="261.42857142857144"/>
    <n v="27.994168488950606"/>
  </r>
  <r>
    <n v="281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2.9542375753100494"/>
    <n v="2.6742983737162631"/>
    <b v="1"/>
    <b v="1"/>
    <s v=""/>
    <s v="BHHEPS1533022276"/>
    <n v="1"/>
    <s v="BHHEPS1533022276"/>
    <s v="0770295976"/>
    <s v="TRAVIS J"/>
    <s v="FOSTER"/>
    <m/>
    <s v="7308 WONDERLAND CT"/>
    <s v="BLACK HAWK"/>
    <s v="SD"/>
    <s v="57718"/>
    <x v="42"/>
    <s v="12176 SIOUXLAND RD"/>
    <s v="SUMMERSET"/>
    <s v="SD"/>
    <s v="57718"/>
    <s v="605-716-1366"/>
    <s v="jdinfo@midconetwork.com"/>
    <s v="Residential Heat Pumps :- Residential Mini-Split :- Customer Incentives"/>
    <s v="Ductless Mini-Split HP SEER &gt;= 19"/>
    <m/>
    <m/>
    <m/>
    <m/>
    <m/>
    <m/>
    <s v="54000"/>
    <m/>
    <m/>
    <m/>
    <m/>
    <m/>
    <m/>
    <s v="MXZ-8C48NAHZ"/>
    <m/>
    <n v="1"/>
    <n v="0"/>
    <n v="1.8089999999999999"/>
    <m/>
    <n v="5833.3729999999996"/>
    <m/>
    <m/>
    <m/>
    <m/>
    <m/>
    <n v="0"/>
    <n v="200"/>
    <n v="42653"/>
    <n v="42653.725953159701"/>
    <x v="1"/>
    <s v="AC4FF1191F624352BB31F0C4EFE00C92"/>
    <n v="5833.3729999999996"/>
    <n v="200"/>
    <n v="2495.8377857142855"/>
    <n v="1129.7450286933804"/>
    <n v="107.14285714285714"/>
    <n v="34.722057856284209"/>
  </r>
  <r>
    <n v="282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-1.0949945926326472"/>
    <b v="0"/>
    <b v="0"/>
    <s v=""/>
    <s v="BHHEPS1533031692"/>
    <n v="1"/>
    <s v="BHHEPS1533031692"/>
    <s v="3412682792"/>
    <s v="SAMANTHA"/>
    <s v="GREEN"/>
    <m/>
    <s v="14760 E HILLS VIEW DR"/>
    <s v="PIEDMONT"/>
    <s v="SD"/>
    <s v="57769"/>
    <x v="39"/>
    <s v="2550 HAINES AVE"/>
    <s v="RAPID CITY"/>
    <s v="SD"/>
    <s v="57701"/>
    <s v="605-341-4815"/>
    <m/>
    <s v="Residential Water Heating :- Customer Incentives"/>
    <s v="Electric Water Heater - EF &gt;= 0.95"/>
    <m/>
    <m/>
    <m/>
    <m/>
    <m/>
    <m/>
    <s v="60000"/>
    <m/>
    <m/>
    <s v="40"/>
    <s v=".95"/>
    <m/>
    <m/>
    <s v="E40 1 RH MH"/>
    <m/>
    <n v="1"/>
    <n v="0"/>
    <n v="1.435E-2"/>
    <m/>
    <n v="125.72344"/>
    <m/>
    <m/>
    <m/>
    <m/>
    <m/>
    <n v="0"/>
    <n v="70"/>
    <n v="42656"/>
    <n v="42656.619047337997"/>
    <x v="1"/>
    <s v="E6A2003CCFFB4C5CBA4723943581CE42"/>
    <n v="125.72344"/>
    <n v="70"/>
    <n v="164.03409531250006"/>
    <n v="36.173336303462285"/>
    <n v="83.125"/>
    <n v="11.986360561328565"/>
  </r>
  <r>
    <n v="283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049757"/>
    <n v="1"/>
    <s v="BHHEPS1533049757"/>
    <s v="0303749475"/>
    <s v="OLD NORTH LLC"/>
    <s v="OLD NORTH LLC"/>
    <s v="OLD NORTH LLC"/>
    <s v="919 MAIN ST"/>
    <s v="RAPID CITY"/>
    <s v="SD"/>
    <s v="57701"/>
    <x v="3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"/>
    <s v=".95"/>
    <m/>
    <m/>
    <s v="PRO E50T2RH95"/>
    <m/>
    <n v="15"/>
    <n v="0"/>
    <n v="0.30630000000000002"/>
    <m/>
    <n v="2683.4104499999999"/>
    <m/>
    <m/>
    <m/>
    <m/>
    <m/>
    <n v="0"/>
    <n v="1312.5"/>
    <n v="42664"/>
    <n v="42664.519468055601"/>
    <x v="1"/>
    <s v="9F2396C620E443738408CCFEA6094859"/>
    <n v="178.89402999999999"/>
    <n v="87.5"/>
    <n v="164.03409531250006"/>
    <n v="36.173336303462285"/>
    <n v="83.125"/>
    <n v="11.986360561328565"/>
  </r>
  <r>
    <n v="284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053182"/>
    <n v="1"/>
    <s v="BHHEPS1533053182"/>
    <s v="1735721659"/>
    <s v="VICKIE"/>
    <s v="HAUGE"/>
    <m/>
    <s v="505 H ST"/>
    <s v="EDGEMONT"/>
    <s v="SD"/>
    <s v="57735"/>
    <x v="3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"/>
    <s v=".95"/>
    <m/>
    <m/>
    <s v="E50H6-45110"/>
    <m/>
    <n v="1"/>
    <n v="0"/>
    <n v="2.0420000000000001E-2"/>
    <m/>
    <n v="178.89402999999999"/>
    <m/>
    <m/>
    <m/>
    <m/>
    <m/>
    <n v="0"/>
    <n v="87.5"/>
    <n v="42667"/>
    <n v="42667.617835995399"/>
    <x v="1"/>
    <s v="E4B1F38985B84EDFB02D262F57779B1C"/>
    <n v="178.89402999999999"/>
    <n v="87.5"/>
    <n v="164.03409531250006"/>
    <n v="36.173336303462285"/>
    <n v="83.125"/>
    <n v="11.986360561328565"/>
  </r>
  <r>
    <n v="285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0.3649981975442157"/>
    <b v="0"/>
    <b v="0"/>
    <s v=""/>
    <s v="BHHEPS1533061346"/>
    <n v="1"/>
    <s v="BHHEPS1533061346"/>
    <s v="0758710187"/>
    <s v="RICHARD G"/>
    <s v="ELMORE"/>
    <m/>
    <s v="210 S FISK AVE"/>
    <s v="NEWELL"/>
    <s v="SD"/>
    <s v="57760"/>
    <x v="39"/>
    <s v="2550 HAINES AVE"/>
    <s v="RAPID CITY"/>
    <s v="SD"/>
    <s v="57701"/>
    <s v="605-341-4815"/>
    <m/>
    <s v="Residential Water Heating :- Customer Incentives"/>
    <s v="Electric Water Heater - EF &gt;= 0.95"/>
    <m/>
    <m/>
    <m/>
    <m/>
    <m/>
    <m/>
    <s v="60000"/>
    <m/>
    <m/>
    <s v="40"/>
    <s v=".95"/>
    <m/>
    <m/>
    <s v="6EM40-D"/>
    <m/>
    <n v="1"/>
    <n v="0"/>
    <n v="1.435E-2"/>
    <m/>
    <n v="125.72344"/>
    <m/>
    <m/>
    <m/>
    <m/>
    <m/>
    <n v="0"/>
    <n v="87.5"/>
    <n v="42669"/>
    <n v="42669.763163229203"/>
    <x v="1"/>
    <s v="AC0A0B32BE93496FAA74641D8F9746C1"/>
    <n v="125.72344"/>
    <n v="87.5"/>
    <n v="164.03409531250006"/>
    <n v="36.173336303462285"/>
    <n v="83.125"/>
    <n v="11.986360561328565"/>
  </r>
  <r>
    <n v="286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0.23705359360315245"/>
    <n v="0.67445327343346206"/>
    <b v="0"/>
    <b v="0"/>
    <s v=""/>
    <s v="BHHEPS1533071423"/>
    <n v="1"/>
    <s v="BHHEPS1533071423"/>
    <s v="2433454577"/>
    <s v="TRACY L"/>
    <s v="WIEBE"/>
    <m/>
    <s v="24174 S ROCKERVILLE RD"/>
    <s v="KEYSTONE"/>
    <s v="SD"/>
    <s v="57751"/>
    <x v="3"/>
    <s v="PO BOX 1400"/>
    <s v="RAPID CITY"/>
    <s v="SD"/>
    <s v="57709"/>
    <s v="605-721-2687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2.5099999999999998"/>
    <m/>
    <n v="4385.0349999999999"/>
    <m/>
    <m/>
    <m/>
    <m/>
    <m/>
    <n v="0"/>
    <n v="800"/>
    <n v="42675"/>
    <n v="42674.537366550903"/>
    <x v="1"/>
    <s v="D392B3D83B4D4FF8970E48363A682E1A"/>
    <n v="4385.0349999999999"/>
    <n v="800"/>
    <n v="4727.4153333333334"/>
    <n v="1444.3161486364422"/>
    <n v="677.77777777777783"/>
    <n v="181.21673811444546"/>
  </r>
  <r>
    <n v="287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2.4872614612517356"/>
    <n v="-2.55498738280951"/>
    <b v="1"/>
    <b v="1"/>
    <s v=""/>
    <s v="BHHEPS1533130223"/>
    <n v="1"/>
    <s v="BHHEPS1533130223"/>
    <s v="4130513188"/>
    <s v="ALONZO B"/>
    <s v="SEABOLDT"/>
    <m/>
    <s v="27461 PASS RD"/>
    <s v="HOT SPRINGS"/>
    <s v="SD"/>
    <s v="57747"/>
    <x v="43"/>
    <s v="207 S CHICAGO"/>
    <s v="HOT SPRINGS"/>
    <s v="SD"/>
    <s v="57747"/>
    <s v="605-745-5173"/>
    <s v="ACE1@GWTC.NET"/>
    <s v="Residential Water Heating :- Customer Incentives"/>
    <s v="Electric Water Heater - EF &gt;= 0.95"/>
    <m/>
    <m/>
    <m/>
    <m/>
    <m/>
    <m/>
    <s v="60000"/>
    <m/>
    <m/>
    <s v="30"/>
    <s v=".95"/>
    <m/>
    <m/>
    <s v="630 EORT 100"/>
    <m/>
    <n v="1"/>
    <n v="0"/>
    <n v="8.4499999999999992E-3"/>
    <m/>
    <n v="74.061549999999997"/>
    <m/>
    <m/>
    <m/>
    <m/>
    <m/>
    <n v="0"/>
    <n v="52.5"/>
    <n v="42685"/>
    <n v="42685.529464502302"/>
    <x v="1"/>
    <s v="625F833B7FC34474A69F9EA328AFBA97"/>
    <n v="74.061549999999997"/>
    <n v="52.5"/>
    <n v="164.03409531250006"/>
    <n v="36.173336303462285"/>
    <n v="83.125"/>
    <n v="11.986360561328565"/>
  </r>
  <r>
    <n v="288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0.56730746268964827"/>
    <n v="-0.92571866782486023"/>
    <b v="0"/>
    <b v="0"/>
    <s v=""/>
    <s v="BHHEPS1533137769"/>
    <n v="1"/>
    <s v="BHHEPS1533137769"/>
    <s v="5306240745"/>
    <s v="MICHELE A"/>
    <s v="RAPOSA"/>
    <m/>
    <s v="209 2ND ST"/>
    <s v="NISLAND"/>
    <s v="SD"/>
    <s v="57762"/>
    <x v="3"/>
    <s v="PO BOX 1400"/>
    <s v="RAPID CITY"/>
    <s v="SD"/>
    <s v="57709"/>
    <s v="605-721-2687"/>
    <m/>
    <s v="Residential Heat Pumps :- Residential Mini-Split :- Customer Incentives"/>
    <s v="Ductless Mini-Split HP SEER &gt;= 19"/>
    <m/>
    <m/>
    <m/>
    <m/>
    <m/>
    <m/>
    <s v="17900"/>
    <m/>
    <m/>
    <m/>
    <m/>
    <m/>
    <m/>
    <s v="ASU18RLF    AOU18RLXFWH"/>
    <m/>
    <n v="2"/>
    <n v="0"/>
    <n v="1.41"/>
    <m/>
    <n v="3709.85"/>
    <m/>
    <m/>
    <m/>
    <m/>
    <m/>
    <n v="0"/>
    <n v="150"/>
    <n v="42774"/>
    <n v="42689.713485300897"/>
    <x v="1"/>
    <s v="305057C3D9C243FAAF4CF945F2450B42"/>
    <n v="1854.925"/>
    <n v="75"/>
    <n v="2495.8377857142855"/>
    <n v="1129.7450286933804"/>
    <n v="107.14285714285714"/>
    <n v="34.722057856284209"/>
  </r>
  <r>
    <n v="289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-1.0949945926326472"/>
    <b v="0"/>
    <b v="0"/>
    <s v=""/>
    <s v="BHHEPS1533137788"/>
    <n v="1"/>
    <s v="BHHEPS1533137788"/>
    <s v="5959427933"/>
    <s v="TIM L"/>
    <s v="BESHARA"/>
    <m/>
    <s v="2608 HIDDEN TIMBERS"/>
    <s v="RAPID CITY"/>
    <s v="SD"/>
    <s v="57702"/>
    <x v="39"/>
    <s v="2550 HAINES AVE"/>
    <s v="RAPID CITY"/>
    <s v="SD"/>
    <s v="57701"/>
    <s v="605-341-4815"/>
    <m/>
    <s v="Residential Water Heating :- Customer Incentives"/>
    <s v="Electric Water Heater - EF &gt;= 0.95"/>
    <m/>
    <m/>
    <m/>
    <m/>
    <m/>
    <m/>
    <s v="60000"/>
    <m/>
    <m/>
    <s v="40"/>
    <s v=".95"/>
    <m/>
    <m/>
    <s v="E40R6-45-110"/>
    <m/>
    <n v="1"/>
    <n v="0"/>
    <n v="1.435E-2"/>
    <m/>
    <n v="125.72344"/>
    <m/>
    <m/>
    <m/>
    <m/>
    <m/>
    <n v="0"/>
    <n v="70"/>
    <n v="42774"/>
    <n v="42689.723153090301"/>
    <x v="1"/>
    <s v="68D65D168CAB49AAA1ABD43CF54E2485"/>
    <n v="125.72344"/>
    <n v="70"/>
    <n v="164.03409531250006"/>
    <n v="36.173336303462285"/>
    <n v="83.125"/>
    <n v="11.986360561328565"/>
  </r>
  <r>
    <n v="290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5.6572183310301203E-3"/>
    <n v="-0.2057152595166355"/>
    <b v="0"/>
    <b v="0"/>
    <s v=""/>
    <s v="BHHEPS1533142784"/>
    <n v="1"/>
    <s v="BHHEPS1533142784"/>
    <s v="5822419630"/>
    <s v="OLIVIA"/>
    <s v="MEARS"/>
    <m/>
    <s v="2329 ELY AVE"/>
    <s v="HOT SPRINGS"/>
    <s v="SD"/>
    <s v="57747"/>
    <x v="38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26400"/>
    <m/>
    <m/>
    <m/>
    <m/>
    <m/>
    <m/>
    <s v="MR24DY3JM"/>
    <m/>
    <n v="1"/>
    <n v="0"/>
    <n v="1.05"/>
    <m/>
    <n v="2502.2289999999998"/>
    <m/>
    <m/>
    <m/>
    <m/>
    <m/>
    <n v="0"/>
    <n v="100"/>
    <n v="42691"/>
    <n v="42691.451664733802"/>
    <x v="1"/>
    <s v="8048BB36872F4CEC880AC215BA5E5B1D"/>
    <n v="2502.2289999999998"/>
    <n v="100"/>
    <n v="2495.8377857142855"/>
    <n v="1129.7450286933804"/>
    <n v="107.14285714285714"/>
    <n v="34.722057856284209"/>
  </r>
  <r>
    <n v="291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5.6572183310301203E-3"/>
    <n v="-0.2057152595166355"/>
    <b v="0"/>
    <b v="0"/>
    <s v=""/>
    <s v="BHHEPS1533150367"/>
    <n v="1"/>
    <s v="BHHEPS1533150367"/>
    <s v="3033726167"/>
    <s v="JIM"/>
    <s v="MILLER"/>
    <m/>
    <s v="28469 OLD HIGHWAY 18"/>
    <s v="EDGEMONT"/>
    <s v="SD"/>
    <s v="57735"/>
    <x v="38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26400"/>
    <m/>
    <m/>
    <m/>
    <m/>
    <m/>
    <m/>
    <s v="MR24DY3JM"/>
    <m/>
    <n v="1"/>
    <n v="0"/>
    <n v="1.05"/>
    <m/>
    <n v="2502.2289999999998"/>
    <m/>
    <m/>
    <m/>
    <m/>
    <m/>
    <n v="0"/>
    <n v="100"/>
    <n v="42695"/>
    <n v="42695.759669131898"/>
    <x v="1"/>
    <s v="5118ABE6B6C946E18969BFEE9720C0DA"/>
    <n v="2502.2289999999998"/>
    <n v="100"/>
    <n v="2495.8377857142855"/>
    <n v="1129.7450286933804"/>
    <n v="107.14285714285714"/>
    <n v="34.722057856284209"/>
  </r>
  <r>
    <n v="292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0.64160306421937419"/>
    <n v="0.67445327343346206"/>
    <b v="0"/>
    <b v="0"/>
    <s v=""/>
    <s v="BHHEPS1533167861"/>
    <n v="1"/>
    <s v="BHHEPS1533167861"/>
    <s v="0561 5238 59"/>
    <s v="Danny"/>
    <s v="Rexroad"/>
    <s v="N/A"/>
    <s v="9501 S High Meadows Dr&lt;br&gt;Black Hawk"/>
    <s v="BLACK HAWK"/>
    <s v="SD"/>
    <s v="57718"/>
    <x v="3"/>
    <s v="PO BOX 1400"/>
    <s v="RAPID CITY"/>
    <s v="SD"/>
    <s v="57709"/>
    <s v="605-721-2687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2.8969999999999998"/>
    <m/>
    <n v="5654.0929999999998"/>
    <m/>
    <m/>
    <m/>
    <m/>
    <m/>
    <n v="0"/>
    <n v="800"/>
    <n v="42697"/>
    <n v="42697.923040891197"/>
    <x v="1"/>
    <s v="48D44AE322BE4D35BA9B079830EC22F1"/>
    <n v="5654.0929999999998"/>
    <n v="800"/>
    <n v="4727.4153333333334"/>
    <n v="1444.3161486364422"/>
    <n v="677.77777777777783"/>
    <n v="181.21673811444546"/>
  </r>
  <r>
    <n v="293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0.85008454237238162"/>
    <n v="-0.2057152595166355"/>
    <b v="0"/>
    <b v="0"/>
    <s v=""/>
    <s v="BHHEPS1533172301"/>
    <n v="1"/>
    <s v="BHHEPS1533172301"/>
    <s v="5122490478"/>
    <s v="WILLIAM O"/>
    <s v="LUKENS"/>
    <m/>
    <s v="312 MEADOWLARK DR"/>
    <s v="HOT SPRINGS"/>
    <s v="SD"/>
    <s v="57747"/>
    <x v="38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16200"/>
    <m/>
    <m/>
    <m/>
    <m/>
    <m/>
    <m/>
    <s v="MR24DY3JM"/>
    <m/>
    <n v="1"/>
    <n v="0"/>
    <n v="0.64400000000000002"/>
    <m/>
    <n v="1535.4590000000001"/>
    <m/>
    <m/>
    <m/>
    <m/>
    <m/>
    <n v="0"/>
    <n v="100"/>
    <n v="42702"/>
    <n v="42702.4599105671"/>
    <x v="1"/>
    <s v="90B0314E0C1547C485393CFFDB532B5D"/>
    <n v="1535.4590000000001"/>
    <n v="100"/>
    <n v="2495.8377857142855"/>
    <n v="1129.7450286933804"/>
    <n v="107.14285714285714"/>
    <n v="34.722057856284209"/>
  </r>
  <r>
    <n v="294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1.0084914607709574"/>
    <n v="1.2342915570998139"/>
    <b v="0"/>
    <b v="0"/>
    <s v=""/>
    <s v="BHHEPS1533191057"/>
    <n v="1"/>
    <s v="BHHEPS1533191057"/>
    <s v="5985853371"/>
    <s v="JOSHUA W"/>
    <s v="SCHUH"/>
    <m/>
    <s v="12810 PINE HAVEN RD"/>
    <s v="HOT SPRINGS"/>
    <s v="SD"/>
    <s v="57747"/>
    <x v="38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36000"/>
    <m/>
    <m/>
    <m/>
    <m/>
    <m/>
    <m/>
    <s v="MR36TQY3JMA"/>
    <m/>
    <n v="1"/>
    <n v="0"/>
    <n v="1.3720000000000001"/>
    <m/>
    <n v="3635.1759999999999"/>
    <m/>
    <m/>
    <m/>
    <m/>
    <m/>
    <n v="0"/>
    <n v="150"/>
    <n v="42703"/>
    <n v="42703.5340418634"/>
    <x v="1"/>
    <s v="96835D797EF441F0A72771835192922C"/>
    <n v="3635.1759999999999"/>
    <n v="150"/>
    <n v="2495.8377857142855"/>
    <n v="1129.7450286933804"/>
    <n v="107.14285714285714"/>
    <n v="34.722057856284209"/>
  </r>
  <r>
    <n v="295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4.710373839596451E-2"/>
    <n v="-0.2057152595166355"/>
    <b v="0"/>
    <b v="0"/>
    <s v=""/>
    <s v="BHHEPS1533191057"/>
    <n v="0"/>
    <s v="BHHEPS1533191057"/>
    <s v="5985853371"/>
    <s v="JOSHUA W"/>
    <s v="SCHUH"/>
    <m/>
    <s v="12810 PINE HAVEN RD"/>
    <s v="HOT SPRINGS"/>
    <s v="SD"/>
    <s v="57747"/>
    <x v="38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24000"/>
    <m/>
    <m/>
    <m/>
    <m/>
    <m/>
    <m/>
    <s v="MR24DY3JMA"/>
    <m/>
    <n v="1"/>
    <n v="0"/>
    <n v="0.96399999999999997"/>
    <m/>
    <n v="2549.0529999999999"/>
    <m/>
    <m/>
    <m/>
    <m/>
    <m/>
    <n v="0"/>
    <n v="100"/>
    <n v="42703"/>
    <n v="42703.5340418634"/>
    <x v="1"/>
    <s v="4317175D2DB74A0E8305234FEAFB5A5C"/>
    <n v="2549.0529999999999"/>
    <n v="100"/>
    <n v="2495.8377857142855"/>
    <n v="1129.7450286933804"/>
    <n v="107.14285714285714"/>
    <n v="34.722057856284209"/>
  </r>
  <r>
    <n v="296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460591"/>
    <n v="1"/>
    <s v="BHHEPS1533460591"/>
    <s v="4551423387"/>
    <s v="PETER J"/>
    <s v="STACH"/>
    <m/>
    <s v="120 MATKINS PL"/>
    <s v="HILL CITY"/>
    <s v="SD"/>
    <s v="57745"/>
    <x v="25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50"/>
    <s v=".95"/>
    <m/>
    <m/>
    <s v="9E50-DEL"/>
    <m/>
    <n v="1"/>
    <n v="0"/>
    <n v="2.0420000000000001E-2"/>
    <m/>
    <n v="178.89402999999999"/>
    <m/>
    <m/>
    <m/>
    <m/>
    <m/>
    <n v="0"/>
    <n v="87.5"/>
    <n v="42709"/>
    <n v="42709.774846330998"/>
    <x v="1"/>
    <s v="F9E58CCA402A49DFBE522467EBF017CC"/>
    <n v="178.89402999999999"/>
    <n v="87.5"/>
    <n v="164.03409531250006"/>
    <n v="36.173336303462285"/>
    <n v="83.125"/>
    <n v="11.986360561328565"/>
  </r>
  <r>
    <n v="297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2.4450052434044678"/>
    <n v="2.4494897427831774"/>
    <b v="1"/>
    <b v="1"/>
    <s v=""/>
    <s v="BHHEPS1533794133"/>
    <n v="1"/>
    <s v="BHHEPS1533794133"/>
    <s v="2535079025"/>
    <s v="MARK D"/>
    <s v="ROBINSON"/>
    <m/>
    <s v="375 PINE MOUNTAIN AVE"/>
    <s v="HILL CITY"/>
    <s v="SD"/>
    <s v="57745"/>
    <x v="3"/>
    <s v="PO BOX 1400"/>
    <s v="RAPID CITY"/>
    <s v="SD"/>
    <s v="57709"/>
    <s v="605-721-2687"/>
    <m/>
    <s v="Residential Heat Pumps :- Residential Heat Pumps - HP Water Heater :- Customer Incentives"/>
    <s v="Heat Pump Water Heater"/>
    <m/>
    <m/>
    <m/>
    <m/>
    <m/>
    <m/>
    <m/>
    <m/>
    <m/>
    <m/>
    <m/>
    <m/>
    <m/>
    <s v="HPTU-66 120"/>
    <m/>
    <n v="1"/>
    <n v="0"/>
    <n v="0.184"/>
    <m/>
    <n v="3893"/>
    <m/>
    <m/>
    <m/>
    <m/>
    <m/>
    <n v="0"/>
    <n v="330"/>
    <n v="42738"/>
    <n v="42719.785696759303"/>
    <x v="1"/>
    <s v="DE63FA603E324208B8AF447295AA4FD6"/>
    <n v="3893"/>
    <n v="330"/>
    <n v="3035.2857142857142"/>
    <n v="350.80263652931455"/>
    <n v="261.42857142857144"/>
    <n v="27.994168488950606"/>
  </r>
  <r>
    <n v="298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-1.0949945926326472"/>
    <b v="0"/>
    <b v="0"/>
    <s v=""/>
    <s v="BHHEPS1533805188"/>
    <n v="1"/>
    <s v="BHHEPS1533805188"/>
    <s v="4384377754"/>
    <s v="ARLENE A"/>
    <s v="PAYNE"/>
    <m/>
    <s v="559 STEALTH LN"/>
    <s v="BOX ELDER"/>
    <s v="SD"/>
    <s v="57719"/>
    <x v="25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40"/>
    <s v=".95"/>
    <m/>
    <m/>
    <s v="6EM40D"/>
    <m/>
    <n v="1"/>
    <n v="0"/>
    <n v="1.435E-2"/>
    <m/>
    <n v="125.72344"/>
    <m/>
    <m/>
    <m/>
    <m/>
    <m/>
    <n v="0"/>
    <n v="70"/>
    <n v="42740"/>
    <n v="42724.562293634299"/>
    <x v="1"/>
    <s v="8B073540895B4D2A81A9186B17214A76"/>
    <n v="125.72344"/>
    <n v="70"/>
    <n v="164.03409531250006"/>
    <n v="36.173336303462285"/>
    <n v="83.125"/>
    <n v="11.986360561328565"/>
  </r>
  <r>
    <n v="299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45121016150768639"/>
    <n v="-0.40824829046386363"/>
    <b v="0"/>
    <b v="0"/>
    <s v=""/>
    <s v="BHHEPS1533818587"/>
    <n v="1"/>
    <s v="BHHEPS1533818587"/>
    <s v="9733730916"/>
    <s v="GERALD"/>
    <s v="LANNOYE"/>
    <s v="LANNOYE, GERALD"/>
    <s v="25030 LECHNER LN"/>
    <s v="CUSTER"/>
    <s v="SD"/>
    <s v="57730"/>
    <x v="39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GEH50DFEJSRB"/>
    <m/>
    <n v="1"/>
    <n v="0"/>
    <n v="0.13600000000000001"/>
    <m/>
    <n v="2877"/>
    <m/>
    <m/>
    <m/>
    <m/>
    <m/>
    <n v="0"/>
    <n v="250"/>
    <n v="42730"/>
    <n v="42730.011136539397"/>
    <x v="1"/>
    <s v="DE7F77E26D214CD6B90048BA7807789A"/>
    <n v="2877"/>
    <n v="250"/>
    <n v="3035.2857142857142"/>
    <n v="350.80263652931455"/>
    <n v="261.42857142857144"/>
    <n v="27.994168488950606"/>
  </r>
  <r>
    <n v="300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2.4872614612517356"/>
    <n v="-2.55498738280951"/>
    <b v="1"/>
    <b v="1"/>
    <s v=""/>
    <s v="BHHEPS1533829901"/>
    <n v="1"/>
    <s v="BHHEPS1533829901"/>
    <s v="4836377851"/>
    <s v="Ron"/>
    <s v="Czmowski"/>
    <m/>
    <s v="7365 Rena Ln"/>
    <s v="BLACK HAWK"/>
    <s v="SD"/>
    <s v="57718"/>
    <x v="39"/>
    <s v="2550 HAINES AVE"/>
    <s v="RAPID CITY"/>
    <s v="SD"/>
    <s v="57701"/>
    <s v="605-341-4815"/>
    <m/>
    <s v="Residential Water Heating :- Customer Incentives"/>
    <s v="Electric Water Heater - EF &gt;= 0.95"/>
    <m/>
    <m/>
    <m/>
    <m/>
    <m/>
    <m/>
    <s v="60000"/>
    <m/>
    <m/>
    <s v="30"/>
    <s v=".95"/>
    <m/>
    <m/>
    <s v="NE3F30LBD 110"/>
    <m/>
    <n v="1"/>
    <n v="0"/>
    <n v="8.4499999999999992E-3"/>
    <m/>
    <n v="74.061549999999997"/>
    <m/>
    <m/>
    <m/>
    <m/>
    <m/>
    <n v="0"/>
    <n v="52.5"/>
    <n v="42719"/>
    <n v="42735.381275428197"/>
    <x v="1"/>
    <s v="45CBBFDBBE634327957DBCB47AF4ECF0"/>
    <n v="74.061549999999997"/>
    <n v="52.5"/>
    <n v="164.03409531250006"/>
    <n v="36.173336303462285"/>
    <n v="83.125"/>
    <n v="11.986360561328565"/>
  </r>
  <r>
    <n v="301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45121016150768639"/>
    <n v="-0.40824829046386363"/>
    <b v="0"/>
    <b v="0"/>
    <s v=""/>
    <s v="BHHEPS1533863016"/>
    <n v="1"/>
    <s v="BHHEPS1533863016"/>
    <s v="0629965957"/>
    <s v="Alexandra"/>
    <s v="Lux"/>
    <s v="Alexandra Lux"/>
    <s v="16 Pleasant Street"/>
    <s v="DEADWOOD"/>
    <s v="SD"/>
    <s v="57732"/>
    <x v="39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GEH50DFEJSRB"/>
    <m/>
    <n v="1"/>
    <n v="0"/>
    <n v="0.13600000000000001"/>
    <m/>
    <n v="2877"/>
    <m/>
    <m/>
    <m/>
    <m/>
    <m/>
    <n v="0"/>
    <n v="250"/>
    <n v="42800"/>
    <n v="42741.564457141198"/>
    <x v="1"/>
    <s v="08D5FD076A0849F0B816AD196CA1C0E4"/>
    <n v="2877"/>
    <n v="250"/>
    <n v="3035.2857142857142"/>
    <n v="350.80263652931455"/>
    <n v="261.42857142857144"/>
    <n v="27.994168488950606"/>
  </r>
  <r>
    <n v="302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882545"/>
    <n v="1"/>
    <s v="BHHEPS1533882545"/>
    <s v="1105201165"/>
    <s v="Tyler"/>
    <s v="Brown"/>
    <m/>
    <s v="2021 Forest St."/>
    <s v="RAPID CITY"/>
    <s v="SD"/>
    <s v="57702"/>
    <x v="44"/>
    <s v="901 E DICKSON LANE"/>
    <s v="STURGIS"/>
    <s v="SD"/>
    <s v="57785"/>
    <s v="605-347-0110"/>
    <s v="battles@freemanselectric.com"/>
    <s v="Residential Water Heating :- Customer Incentives"/>
    <s v="Electric Water Heater - EF &gt;= 0.95"/>
    <m/>
    <m/>
    <m/>
    <m/>
    <m/>
    <m/>
    <s v="60000"/>
    <m/>
    <m/>
    <s v="50"/>
    <s v="0.95"/>
    <m/>
    <m/>
    <s v="12EM50-DEC"/>
    <m/>
    <n v="1"/>
    <n v="0"/>
    <n v="2.0420000000000001E-2"/>
    <m/>
    <n v="178.89402999999999"/>
    <m/>
    <m/>
    <m/>
    <m/>
    <m/>
    <n v="0"/>
    <n v="87.5"/>
    <n v="42796"/>
    <n v="42743.581777858803"/>
    <x v="1"/>
    <s v="F8F9B7C54F5F45AA8CA810CA08E867C5"/>
    <n v="178.89402999999999"/>
    <n v="87.5"/>
    <n v="164.03409531250006"/>
    <n v="36.173336303462285"/>
    <n v="83.125"/>
    <n v="11.986360561328565"/>
  </r>
  <r>
    <n v="303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893359"/>
    <n v="1"/>
    <s v="BHHEPS1533893359"/>
    <s v="4888758534"/>
    <s v="JAMES M"/>
    <s v="LASSLE"/>
    <s v="JAMES M LASSLE"/>
    <s v="1401 WHITETAIL DR"/>
    <s v="STURGIS"/>
    <s v="SD"/>
    <s v="57785"/>
    <x v="25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50"/>
    <s v="0.95"/>
    <m/>
    <m/>
    <s v="6E50-D"/>
    <m/>
    <n v="1"/>
    <n v="0"/>
    <n v="2.0420000000000001E-2"/>
    <m/>
    <n v="178.89402999999999"/>
    <m/>
    <m/>
    <m/>
    <m/>
    <m/>
    <n v="0"/>
    <n v="87.5"/>
    <n v="42748"/>
    <n v="42748.453289467601"/>
    <x v="1"/>
    <s v="376E19B0705642968E2B5EF1BF22B38A"/>
    <n v="178.89402999999999"/>
    <n v="87.5"/>
    <n v="164.03409531250006"/>
    <n v="36.173336303462285"/>
    <n v="83.125"/>
    <n v="11.986360561328565"/>
  </r>
  <r>
    <n v="304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923298"/>
    <n v="1"/>
    <s v="BHHEPS1533923298"/>
    <s v="4272210921"/>
    <s v="Doris"/>
    <s v="Truth"/>
    <s v="Doris Truth"/>
    <s v="PO Box 758&lt;br&gt;1737 Canton Ave"/>
    <s v="HOT SPRINGS"/>
    <s v="SD"/>
    <s v="57747"/>
    <x v="25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50"/>
    <s v=".95"/>
    <m/>
    <m/>
    <s v="12E50-DEC"/>
    <m/>
    <n v="1"/>
    <n v="0"/>
    <n v="2.0420000000000001E-2"/>
    <m/>
    <n v="178.89402999999999"/>
    <m/>
    <m/>
    <m/>
    <m/>
    <m/>
    <n v="0"/>
    <n v="87.5"/>
    <n v="42749"/>
    <n v="42758.8470783218"/>
    <x v="1"/>
    <s v="4CD3E0C3BE2C41E08761CE9AD831BA1C"/>
    <n v="178.89402999999999"/>
    <n v="87.5"/>
    <n v="164.03409531250006"/>
    <n v="36.173336303462285"/>
    <n v="83.125"/>
    <n v="11.986360561328565"/>
  </r>
  <r>
    <n v="305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978894"/>
    <n v="1"/>
    <s v="BHHEPS1533978894"/>
    <s v="3697345269"/>
    <s v="JOHN"/>
    <s v="HOWELL"/>
    <m/>
    <s v="25116 GRANITE HEIGHTS DR"/>
    <s v="CUSTER"/>
    <s v="SD"/>
    <s v="57730"/>
    <x v="3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."/>
    <s v=".95"/>
    <m/>
    <m/>
    <s v="650EORS 110"/>
    <m/>
    <n v="1"/>
    <n v="0"/>
    <n v="2.0420000000000001E-2"/>
    <m/>
    <n v="178.89402999999999"/>
    <m/>
    <m/>
    <m/>
    <m/>
    <m/>
    <n v="0"/>
    <n v="87.5"/>
    <n v="42774"/>
    <n v="42774.537028819403"/>
    <x v="1"/>
    <s v="A2DCBE4178E842078CC0E072B5BF39A1"/>
    <n v="178.89402999999999"/>
    <n v="87.5"/>
    <n v="164.03409531250006"/>
    <n v="36.173336303462285"/>
    <n v="83.125"/>
    <n v="11.986360561328565"/>
  </r>
  <r>
    <n v="306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978905"/>
    <n v="1"/>
    <s v="BHHEPS1533978905"/>
    <s v="2651621360"/>
    <s v="ELIZABETH"/>
    <s v="SCHUMACHER"/>
    <m/>
    <s v="114 DORAN RD"/>
    <s v="HOT SPRINGS"/>
    <s v="SD"/>
    <s v="57747"/>
    <x v="43"/>
    <s v="207 S CHICAGO"/>
    <s v="HOT SPRINGS"/>
    <s v="SD"/>
    <s v="57747"/>
    <s v="605-745-5173"/>
    <s v="ACE1@GWTC.NET"/>
    <s v="Residential Water Heating :- Customer Incentives"/>
    <s v="Electric Water Heater - EF &gt;= 0.95"/>
    <m/>
    <m/>
    <m/>
    <m/>
    <m/>
    <m/>
    <s v="60000"/>
    <m/>
    <m/>
    <s v="50"/>
    <s v=".95"/>
    <m/>
    <m/>
    <s v="650 EORS 110"/>
    <m/>
    <n v="1"/>
    <n v="0"/>
    <n v="2.0420000000000001E-2"/>
    <m/>
    <n v="178.89402999999999"/>
    <m/>
    <m/>
    <m/>
    <m/>
    <m/>
    <n v="0"/>
    <n v="87.5"/>
    <n v="42774"/>
    <n v="42774.542676192097"/>
    <x v="1"/>
    <s v="44593D1B06FA4D4C9326AFEB15FD4D50"/>
    <n v="178.89402999999999"/>
    <n v="87.5"/>
    <n v="164.03409531250006"/>
    <n v="36.173336303462285"/>
    <n v="83.125"/>
    <n v="11.986360561328565"/>
  </r>
  <r>
    <n v="307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0.9564988189981819"/>
    <n v="-0.92571866782486023"/>
    <b v="0"/>
    <b v="0"/>
    <s v=""/>
    <s v="BHHEPS1533978917"/>
    <n v="1"/>
    <s v="BHHEPS1533978917"/>
    <s v="8558139863"/>
    <s v="THOMAS"/>
    <s v="IVERSON"/>
    <m/>
    <s v="510 S 15TH ST"/>
    <s v="HOT SPRINGS"/>
    <s v="SD"/>
    <s v="57747"/>
    <x v="38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11200"/>
    <m/>
    <m/>
    <m/>
    <m/>
    <m/>
    <m/>
    <s v="AOU15RLS3"/>
    <m/>
    <n v="1"/>
    <n v="0"/>
    <n v="0.46700000000000003"/>
    <m/>
    <n v="1415.2380000000001"/>
    <m/>
    <m/>
    <m/>
    <m/>
    <m/>
    <n v="0"/>
    <n v="75"/>
    <n v="42774"/>
    <n v="42774.545717905101"/>
    <x v="1"/>
    <s v="6F8754E78D90496F9F8D5A8BFBBDD629"/>
    <n v="1415.2380000000001"/>
    <n v="75"/>
    <n v="2495.8377857142855"/>
    <n v="1129.7450286933804"/>
    <n v="107.14285714285714"/>
    <n v="34.722057856284209"/>
  </r>
  <r>
    <n v="308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48406379359252888"/>
    <n v="-0.26620695282483414"/>
    <b v="0"/>
    <b v="0"/>
    <s v=""/>
    <s v="BHHEPS1533979000"/>
    <n v="1"/>
    <s v="BHHEPS1533979000"/>
    <s v="2659553869"/>
    <s v="STEVE A"/>
    <s v="PALECK"/>
    <m/>
    <s v="3215 HALL ST"/>
    <s v="RAPID CITY"/>
    <s v="SD"/>
    <s v="57702"/>
    <x v="45"/>
    <s v="PO BOX 381"/>
    <s v="BLACK HAWK"/>
    <s v="SD"/>
    <s v="57718"/>
    <s v="605-718-5403"/>
    <s v="craig.waddington@onehourair.com"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ANZ140301A"/>
    <m/>
    <n v="1"/>
    <n v="0"/>
    <n v="0.41099999999999998"/>
    <m/>
    <n v="399.00400000000002"/>
    <m/>
    <m/>
    <m/>
    <m/>
    <m/>
    <n v="0"/>
    <n v="187.5"/>
    <n v="42774"/>
    <n v="42774.586342326402"/>
    <x v="1"/>
    <s v="8E53205B959145C89DD86C0CCB406C63"/>
    <n v="399.00400000000002"/>
    <n v="187.5"/>
    <n v="901.38850000000002"/>
    <n v="1037.8477106736327"/>
    <n v="201.5625"/>
    <n v="52.825442201178021"/>
  </r>
  <r>
    <n v="309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1.7027730867570068"/>
    <n v="-0.42919753763947632"/>
    <b v="0"/>
    <b v="0"/>
    <s v=""/>
    <s v="BHHEPS1533979017"/>
    <n v="1"/>
    <s v="BHHEPS1533979017"/>
    <s v="5309757011"/>
    <s v="CHAD A"/>
    <s v="MILLER"/>
    <m/>
    <s v="4240 PENROSE PL"/>
    <s v="RAPID CITY"/>
    <s v="SD"/>
    <s v="57702"/>
    <x v="46"/>
    <s v="570 S HIGHWAY 79"/>
    <s v="RAPID CITY"/>
    <s v="SD"/>
    <s v="57702"/>
    <m/>
    <s v="dlarson@precisionmech.biz"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3.4609999999999999"/>
    <m/>
    <n v="7186.7579999999998"/>
    <m/>
    <m/>
    <m/>
    <m/>
    <m/>
    <n v="0"/>
    <n v="600"/>
    <n v="42774"/>
    <n v="42774.600277164398"/>
    <x v="1"/>
    <s v="08DD487748994345914A238FD825BF7E"/>
    <n v="7186.7579999999998"/>
    <n v="600"/>
    <n v="4727.4153333333334"/>
    <n v="1444.3161486364422"/>
    <n v="677.77777777777783"/>
    <n v="181.21673811444546"/>
  </r>
  <r>
    <n v="310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4033066"/>
    <n v="1"/>
    <s v="BHHEPS1534033066"/>
    <s v="3970222054"/>
    <s v="SUSAN"/>
    <s v="FORD"/>
    <m/>
    <s v="8607 BLUCKSBERG CT"/>
    <s v="STURGIS"/>
    <s v="SD"/>
    <s v="57785"/>
    <x v="25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50"/>
    <s v=".95"/>
    <m/>
    <m/>
    <s v="9E50-DEL"/>
    <m/>
    <n v="1"/>
    <n v="0"/>
    <n v="2.0420000000000001E-2"/>
    <m/>
    <n v="178.89402999999999"/>
    <m/>
    <m/>
    <m/>
    <m/>
    <m/>
    <n v="0"/>
    <n v="87.5"/>
    <n v="42796"/>
    <n v="42794.597953969896"/>
    <x v="1"/>
    <s v="23E71EF31FC74408A82A38E61DBC3CBB"/>
    <n v="178.89402999999999"/>
    <n v="87.5"/>
    <n v="164.03409531250006"/>
    <n v="36.173336303462285"/>
    <n v="83.125"/>
    <n v="11.986360561328565"/>
  </r>
  <r>
    <n v="311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1.1565810354220105"/>
    <n v="0.67445327343346206"/>
    <b v="0"/>
    <b v="0"/>
    <s v=""/>
    <s v="BHHEPS1534033125"/>
    <n v="1"/>
    <s v="BHHEPS1534033125"/>
    <s v="2873873336"/>
    <s v="LARRY"/>
    <s v="MOWRY"/>
    <m/>
    <s v="338 S 4TH ST"/>
    <s v="HOT SPRINGS"/>
    <s v="SD"/>
    <s v="57747"/>
    <x v="38"/>
    <s v="1346 GALVESTON AVE"/>
    <s v="HOT SPRINGS"/>
    <s v="SD"/>
    <s v="57747"/>
    <s v="605-745-4789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3.093"/>
    <m/>
    <n v="6397.884"/>
    <m/>
    <m/>
    <m/>
    <m/>
    <m/>
    <n v="0"/>
    <n v="800"/>
    <n v="42796"/>
    <n v="42794.609445983799"/>
    <x v="1"/>
    <s v="2EE754A19AF24281A8C197635044B703"/>
    <n v="6397.884"/>
    <n v="800"/>
    <n v="4727.4153333333334"/>
    <n v="1444.3161486364422"/>
    <n v="677.77777777777783"/>
    <n v="181.21673811444546"/>
  </r>
  <r>
    <n v="312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-1.0949945926326472"/>
    <b v="0"/>
    <b v="0"/>
    <s v=""/>
    <s v="BHHEPS1534036960"/>
    <n v="1"/>
    <s v="BHHEPS1534036960"/>
    <s v="3222856765"/>
    <s v="HOWARD"/>
    <s v="PEARSON"/>
    <m/>
    <s v="6006 OAK CT                                       APT 14 5"/>
    <s v="BLACK HAWK"/>
    <s v="SD"/>
    <s v="57718"/>
    <x v="25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40"/>
    <s v=".95"/>
    <m/>
    <m/>
    <s v="6EM40-D"/>
    <m/>
    <n v="1"/>
    <n v="0"/>
    <n v="1.435E-2"/>
    <m/>
    <n v="125.72344"/>
    <m/>
    <m/>
    <m/>
    <m/>
    <m/>
    <n v="0"/>
    <n v="70"/>
    <n v="42795"/>
    <n v="42795.7318815162"/>
    <x v="1"/>
    <s v="3CACACDCEC4F4172B526658851B8C1E2"/>
    <n v="125.72344"/>
    <n v="70"/>
    <n v="164.03409531250006"/>
    <n v="36.173336303462285"/>
    <n v="83.125"/>
    <n v="11.986360561328565"/>
  </r>
  <r>
    <n v="313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1.176928150348622"/>
    <n v="-1.5328483487124147"/>
    <b v="0"/>
    <b v="0"/>
    <s v=""/>
    <s v="BHHEPS1534115262"/>
    <n v="1"/>
    <s v="BHHEPS1534115262"/>
    <s v="2416401538"/>
    <s v="FRANK A"/>
    <s v="SCHMID"/>
    <m/>
    <s v="8405 BLACKBIRD CT"/>
    <s v="RAPID CITY"/>
    <s v="SD"/>
    <s v="57702"/>
    <x v="47"/>
    <s v="3030 W ST LOUIS ST"/>
    <s v="BELLE FOURCHE"/>
    <s v="SD"/>
    <s v="57717"/>
    <s v="605-723-9600"/>
    <s v="DRSERVICE@RUSHMORE.COM"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1.589"/>
    <m/>
    <n v="3027.5590000000002"/>
    <m/>
    <m/>
    <m/>
    <m/>
    <m/>
    <n v="0"/>
    <n v="400"/>
    <n v="42822"/>
    <n v="42822.727818055602"/>
    <x v="1"/>
    <s v="C5D2596CBC4146D49E21F3FA05FBF858"/>
    <n v="3027.5590000000002"/>
    <n v="400"/>
    <n v="4727.4153333333334"/>
    <n v="1444.3161486364422"/>
    <n v="677.77777777777783"/>
    <n v="181.21673811444546"/>
  </r>
  <r>
    <n v="314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1.0145181050629404"/>
    <n v="-0.2057152595166355"/>
    <b v="0"/>
    <b v="0"/>
    <s v=""/>
    <s v="BHHEPS1534131452"/>
    <n v="1"/>
    <s v="BHHEPS1534131452"/>
    <s v="6157666834"/>
    <s v="KENDALL J"/>
    <s v="ALDINGER"/>
    <m/>
    <s v="2507 N 2ND ST"/>
    <s v="SPEARFISH"/>
    <s v="SD"/>
    <s v="57783"/>
    <x v="48"/>
    <s v="PO BOX 97"/>
    <s v="SPEARFISH"/>
    <s v="SD"/>
    <s v="57783"/>
    <s v="605-642-5756"/>
    <m/>
    <s v="Residential Heat Pumps :- Residential Mini-Split :- Customer Incentives"/>
    <s v="Ductless Mini-Split HP SEER &gt;= 19"/>
    <m/>
    <m/>
    <m/>
    <m/>
    <m/>
    <m/>
    <s v="13500"/>
    <m/>
    <m/>
    <m/>
    <m/>
    <m/>
    <m/>
    <s v="MXZ-2C20NA2"/>
    <m/>
    <n v="1"/>
    <n v="0"/>
    <n v="0.497"/>
    <m/>
    <n v="1349.691"/>
    <m/>
    <m/>
    <m/>
    <m/>
    <m/>
    <n v="0"/>
    <n v="100"/>
    <n v="42823"/>
    <n v="42823.683478090301"/>
    <x v="1"/>
    <s v="0EB80E37C9C54501A70DAC7A7A4542D3"/>
    <n v="1349.691"/>
    <n v="100"/>
    <n v="2495.8377857142855"/>
    <n v="1129.7450286933804"/>
    <n v="107.14285714285714"/>
    <n v="34.722057856284209"/>
  </r>
  <r>
    <n v="315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32863411582734914"/>
    <n v="-0.40824829046386363"/>
    <b v="0"/>
    <b v="0"/>
    <s v=""/>
    <s v="BHHEPS1534134046"/>
    <n v="1"/>
    <s v="BHHEPS1534134046"/>
    <s v="0561 5238 59"/>
    <s v="Danny"/>
    <s v="Rexroad"/>
    <s v="Danny Rexroad"/>
    <s v="9501 S High Meadows Dr&lt;br&gt;Black Hawk"/>
    <s v="BLACK HAWK"/>
    <s v="SD"/>
    <s v="57718"/>
    <x v="39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GEH50DFEJSRA"/>
    <m/>
    <n v="1"/>
    <n v="0"/>
    <n v="0.13800000000000001"/>
    <m/>
    <n v="2920"/>
    <m/>
    <m/>
    <m/>
    <m/>
    <m/>
    <n v="0"/>
    <n v="250"/>
    <n v="42829"/>
    <n v="42824.630196411999"/>
    <x v="1"/>
    <s v="1838DF6ED36B445CA63ACFF542F7A74A"/>
    <n v="2920"/>
    <n v="250"/>
    <n v="3035.2857142857142"/>
    <n v="350.80263652931455"/>
    <n v="261.42857142857144"/>
    <n v="27.994168488950606"/>
  </r>
  <r>
    <n v="316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38912982689711717"/>
    <n v="0.44367825470805689"/>
    <b v="0"/>
    <b v="0"/>
    <s v=""/>
    <s v="BHHEPS1534196283"/>
    <n v="1"/>
    <s v="BHHEPS1534196283"/>
    <s v="2332424785"/>
    <s v="PATRICK"/>
    <s v="DESMET"/>
    <m/>
    <s v="12558 CLAYTON DR"/>
    <s v="HOT SPRINGS"/>
    <s v="SD"/>
    <s v="57747"/>
    <x v="38"/>
    <s v="1346 GALVESTON AVE"/>
    <s v="HOT SPRINGS"/>
    <s v="SD"/>
    <s v="57747"/>
    <s v="605-745-4789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XP17-036-230-08"/>
    <m/>
    <n v="1"/>
    <n v="0"/>
    <n v="0.49299999999999999"/>
    <m/>
    <n v="497.53100000000001"/>
    <m/>
    <m/>
    <m/>
    <m/>
    <m/>
    <n v="0"/>
    <n v="225"/>
    <n v="42832"/>
    <n v="42832.536610266201"/>
    <x v="1"/>
    <s v="F43D35AADF9E4E3A895F08AFFF481F4F"/>
    <n v="497.53100000000001"/>
    <n v="225"/>
    <n v="901.38850000000002"/>
    <n v="1037.8477106736327"/>
    <n v="201.5625"/>
    <n v="52.825442201178021"/>
  </r>
  <r>
    <n v="317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0.60143503494953277"/>
    <n v="0.12262786789699287"/>
    <b v="0"/>
    <b v="0"/>
    <s v=""/>
    <s v="BHHEPS1534196337"/>
    <n v="1"/>
    <s v="BHHEPS1534196337"/>
    <s v="2825382743"/>
    <s v="KENNETH M"/>
    <s v="TONSAGER"/>
    <m/>
    <s v="1502 GERMOND ST"/>
    <s v="HOT SPRINGS"/>
    <s v="SD"/>
    <s v="57747"/>
    <x v="38"/>
    <s v="1346 GALVESTON AVE"/>
    <s v="HOT SPRINGS"/>
    <s v="SD"/>
    <s v="57747"/>
    <s v="605-745-4789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2.3130000000000002"/>
    <m/>
    <n v="3858.7530000000002"/>
    <m/>
    <m/>
    <m/>
    <m/>
    <m/>
    <n v="0"/>
    <n v="700"/>
    <n v="42832"/>
    <n v="42832.552044525502"/>
    <x v="1"/>
    <s v="96CA041D693C4FC79C11982483B8D7E5"/>
    <n v="3858.7530000000002"/>
    <n v="700"/>
    <n v="4727.4153333333334"/>
    <n v="1444.3161486364422"/>
    <n v="677.77777777777783"/>
    <n v="181.21673811444546"/>
  </r>
  <r>
    <n v="318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40717293650502445"/>
    <n v="0.44367825470805689"/>
    <b v="0"/>
    <b v="0"/>
    <s v=""/>
    <s v="BHHEPS1534340648"/>
    <n v="1"/>
    <s v="BHHEPS1534340648"/>
    <s v="2638723210"/>
    <s v="Dustin"/>
    <s v="KLeinsasser"/>
    <s v="Dustin KLeinsasser"/>
    <s v="12807 Pine Haven Rd"/>
    <s v="HOT SPRINGS"/>
    <s v="SD"/>
    <s v="57747"/>
    <x v="49"/>
    <s v="PO BOX 782"/>
    <s v="BLACK HAWK"/>
    <s v="SD"/>
    <s v="57718"/>
    <s v="605-721-1211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25HCB536A"/>
    <m/>
    <n v="1"/>
    <n v="0"/>
    <n v="0.49299999999999999"/>
    <m/>
    <n v="478.80500000000001"/>
    <m/>
    <m/>
    <m/>
    <m/>
    <m/>
    <n v="0"/>
    <n v="225"/>
    <n v="42872"/>
    <n v="42872.457182754602"/>
    <x v="1"/>
    <s v="75EF2F08C32949C19BA7FFD3F5FB0387"/>
    <n v="478.80500000000001"/>
    <n v="225"/>
    <n v="901.38850000000002"/>
    <n v="1037.8477106736327"/>
    <n v="201.5625"/>
    <n v="52.825442201178021"/>
  </r>
  <r>
    <n v="319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3.4911606852858393E-2"/>
    <n v="1.2342915570998139"/>
    <b v="0"/>
    <b v="0"/>
    <s v=""/>
    <s v="BHHEPS1534351146"/>
    <n v="1"/>
    <s v="BHHEPS1534351146"/>
    <s v="3704355296"/>
    <s v="GRAYLE"/>
    <s v="GOODRICH"/>
    <m/>
    <s v="9407 WALDAN LN"/>
    <s v="BLACK HAWK"/>
    <s v="SD"/>
    <s v="57718"/>
    <x v="49"/>
    <s v="PO BOX 782"/>
    <s v="BLACK HAWK"/>
    <s v="SD"/>
    <s v="57718"/>
    <s v="605-721-1211"/>
    <m/>
    <s v="Residential Heat Pumps :- Residential Mini-Split :- Customer Incentives"/>
    <s v="Ductless Mini-Split HP SEER &gt;= 19"/>
    <m/>
    <m/>
    <m/>
    <m/>
    <m/>
    <m/>
    <s v="24600"/>
    <m/>
    <m/>
    <m/>
    <m/>
    <m/>
    <m/>
    <s v="MPB036S4M-1P"/>
    <m/>
    <n v="1"/>
    <n v="0"/>
    <n v="0.76"/>
    <m/>
    <n v="2535.279"/>
    <m/>
    <m/>
    <m/>
    <m/>
    <m/>
    <n v="0"/>
    <n v="150"/>
    <n v="42877"/>
    <n v="42877.453338425898"/>
    <x v="1"/>
    <s v="3D0322F074224140A98E8E1ADCBB1E1F"/>
    <n v="2535.279"/>
    <n v="150"/>
    <n v="2495.8377857142855"/>
    <n v="1129.7450286933804"/>
    <n v="107.14285714285714"/>
    <n v="34.722057856284209"/>
  </r>
  <r>
    <n v="320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43565881135540202"/>
    <n v="-0.26620695282483414"/>
    <b v="0"/>
    <b v="0"/>
    <s v=""/>
    <s v="BHHEPS1534351604"/>
    <n v="1"/>
    <s v="BHHEPS1534351604"/>
    <s v="2246921381"/>
    <s v="ADAM"/>
    <s v="ZVORAK"/>
    <m/>
    <s v="712 CEDAR LN"/>
    <s v="SPEARFISH"/>
    <s v="SD"/>
    <s v="57783"/>
    <x v="50"/>
    <s v="530 W JACKSON"/>
    <s v="SPEARFISH"/>
    <s v="SD"/>
    <s v="57783"/>
    <s v="605-642-2983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4A6H4030G100AA"/>
    <m/>
    <n v="1"/>
    <n v="0"/>
    <n v="0.42899999999999999"/>
    <m/>
    <n v="449.24099999999999"/>
    <m/>
    <m/>
    <m/>
    <m/>
    <m/>
    <n v="0"/>
    <n v="187.5"/>
    <n v="42877"/>
    <n v="42877.6103021991"/>
    <x v="1"/>
    <s v="F90975A0EA6B420F8EE7B17708CD4E35"/>
    <n v="449.24099999999999"/>
    <n v="187.5"/>
    <n v="901.38850000000002"/>
    <n v="1037.8477106736327"/>
    <n v="201.5625"/>
    <n v="52.825442201178021"/>
  </r>
  <r>
    <n v="321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1.3647727578164102"/>
    <n v="-0.98102294317594552"/>
    <b v="0"/>
    <b v="0"/>
    <s v=""/>
    <s v="BHHEPS1534455537"/>
    <n v="1"/>
    <s v="BHHEPS1534455537"/>
    <s v="3775431190"/>
    <s v="DOROTHY R"/>
    <s v="KAISER"/>
    <m/>
    <s v="341 S 15TH ST"/>
    <s v="HOT SPRINGS"/>
    <s v="SD"/>
    <s v="57747"/>
    <x v="38"/>
    <s v="1346 GALVESTON AVE"/>
    <s v="HOT SPRINGS"/>
    <s v="SD"/>
    <s v="57747"/>
    <s v="605-745-4789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1.6830000000000001"/>
    <m/>
    <n v="2756.252"/>
    <m/>
    <m/>
    <m/>
    <m/>
    <m/>
    <n v="0"/>
    <n v="500"/>
    <n v="42919"/>
    <n v="42907.686208645799"/>
    <x v="1"/>
    <s v="3A097423695149F8962E20A4ACEF73E7"/>
    <n v="2756.252"/>
    <n v="500"/>
    <n v="4727.4153333333334"/>
    <n v="1444.3161486364422"/>
    <n v="677.77777777777783"/>
    <n v="181.21673811444546"/>
  </r>
  <r>
    <n v="322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0.52196236078810887"/>
    <n v="1.7781040845064005"/>
    <b v="0"/>
    <b v="0"/>
    <s v=""/>
    <s v="BHHEPS1534471374"/>
    <n v="1"/>
    <s v="BHHEPS1534471374"/>
    <s v="1793877417"/>
    <s v="KENNETH"/>
    <s v="BATKA"/>
    <m/>
    <s v="1505 BUENA VISTA RD"/>
    <s v="SPEARFISH"/>
    <s v="SD"/>
    <s v="57783"/>
    <x v="46"/>
    <s v="570 S HIGHWAY 79"/>
    <s v="RAPID CITY"/>
    <s v="SD"/>
    <s v="57702"/>
    <m/>
    <s v="dlarson@precisionmech.biz"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3.1379999999999999"/>
    <m/>
    <n v="5481.2939999999999"/>
    <m/>
    <m/>
    <m/>
    <m/>
    <m/>
    <n v="0"/>
    <n v="1000"/>
    <n v="42919"/>
    <n v="42912.532128240702"/>
    <x v="1"/>
    <s v="31E05ECEF1694E7FBDDC1CEDDC870B99"/>
    <n v="5481.2939999999999"/>
    <n v="1000"/>
    <n v="4727.4153333333334"/>
    <n v="1444.3161486364422"/>
    <n v="677.77777777777783"/>
    <n v="181.21673811444546"/>
  </r>
  <r>
    <n v="323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2.6151307866145048"/>
    <n v="1.8634486697738391"/>
    <b v="1"/>
    <b v="0"/>
    <s v=""/>
    <s v="BHHEPS1534497326"/>
    <n v="1"/>
    <s v="BHHEPS1534497326"/>
    <s v="2261077384"/>
    <s v="JOHN C"/>
    <s v="RICHARDSON"/>
    <m/>
    <s v="5108 RIDGEVIEW RD"/>
    <s v="RAPID CITY"/>
    <s v="SD"/>
    <s v="57701"/>
    <x v="51"/>
    <s v="2435 CARTER DR"/>
    <s v="RAPID CITY"/>
    <s v="SD"/>
    <s v="57702"/>
    <s v="605-341-4200"/>
    <s v="vikingmechanical@msn.com"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288bnv0480001"/>
    <m/>
    <n v="1"/>
    <n v="0"/>
    <n v="1.625"/>
    <m/>
    <n v="3615.4960000000001"/>
    <m/>
    <m/>
    <m/>
    <m/>
    <m/>
    <n v="0"/>
    <n v="300"/>
    <n v="42921"/>
    <n v="42921.5528611111"/>
    <x v="1"/>
    <s v="BCDAB18D78A7452DB5B638A2856D4F97"/>
    <n v="3615.4960000000001"/>
    <n v="300"/>
    <n v="901.38850000000002"/>
    <n v="1037.8477106736327"/>
    <n v="201.5625"/>
    <n v="52.825442201178021"/>
  </r>
  <r>
    <n v="324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0.64273001046878331"/>
    <n v="-0.98102294317594552"/>
    <b v="0"/>
    <b v="0"/>
    <s v=""/>
    <s v="BHHEPS1534575636"/>
    <n v="1"/>
    <s v="BHHEPS1534575636"/>
    <s v="4278018709"/>
    <s v="PATTY"/>
    <s v="BOOZE"/>
    <m/>
    <s v="7022 E HIGH MEADOWS RD"/>
    <s v="SUMMERSET"/>
    <s v="SD"/>
    <s v="57718"/>
    <x v="52"/>
    <s v="3303 CRAIG ST"/>
    <s v="RAPID CITY"/>
    <s v="SD"/>
    <s v="57701"/>
    <s v="605-342-5107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2.016"/>
    <m/>
    <n v="3799.11"/>
    <m/>
    <m/>
    <m/>
    <m/>
    <m/>
    <n v="0"/>
    <n v="500"/>
    <n v="42940"/>
    <n v="42940.8008198264"/>
    <x v="1"/>
    <s v="C2B112EB80B649DF9F5A2DB4662D7E0E"/>
    <n v="3799.11"/>
    <n v="500"/>
    <n v="4727.4153333333334"/>
    <n v="1444.3161486364422"/>
    <n v="677.77777777777783"/>
    <n v="181.21673811444546"/>
  </r>
  <r>
    <n v="325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30297866440588322"/>
    <n v="-0.40824829046386363"/>
    <b v="0"/>
    <b v="0"/>
    <s v=""/>
    <s v="BHHEPS1534598450"/>
    <n v="1"/>
    <s v="BHHEPS1534598450"/>
    <s v="0578459107"/>
    <s v="BRIAN V"/>
    <s v="KAYSER"/>
    <m/>
    <s v="6600 MEADOW ROSE LN"/>
    <s v="BLACK HAWK"/>
    <s v="SD"/>
    <s v="57718"/>
    <x v="53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HP10-50H45DV 120"/>
    <m/>
    <n v="1"/>
    <n v="0"/>
    <n v="0.13900000000000001"/>
    <m/>
    <n v="2929"/>
    <m/>
    <m/>
    <m/>
    <m/>
    <m/>
    <n v="0"/>
    <n v="250"/>
    <n v="42949"/>
    <n v="42947.585833333302"/>
    <x v="1"/>
    <s v="2832373D409C48448EDAB2B5BE9E0887"/>
    <n v="2929"/>
    <n v="250"/>
    <n v="3035.2857142857142"/>
    <n v="350.80263652931455"/>
    <n v="261.42857142857144"/>
    <n v="27.994168488950606"/>
  </r>
  <r>
    <n v="326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0.28532651713327561"/>
    <n v="-0.2057152595166355"/>
    <b v="0"/>
    <b v="0"/>
    <s v=""/>
    <s v="BHHEPS1534681507"/>
    <n v="1"/>
    <s v="BHHEPS1534681507"/>
    <s v="1491875812"/>
    <s v="BRIAN C"/>
    <s v="PETERSON"/>
    <m/>
    <s v="7512 RED RIDGE DR"/>
    <s v="BLACK HAWK"/>
    <s v="SD"/>
    <s v="57718"/>
    <x v="52"/>
    <s v="3303 CRAIG ST"/>
    <s v="RAPID CITY"/>
    <s v="SD"/>
    <s v="57701"/>
    <s v="605-342-5107"/>
    <m/>
    <s v="Residential Heat Pumps :- Residential Mini-Split :- Customer Incentives"/>
    <s v="Ductless Mini-Split HP SEER &gt;= 19"/>
    <m/>
    <m/>
    <m/>
    <m/>
    <m/>
    <m/>
    <s v="25000"/>
    <m/>
    <m/>
    <m/>
    <m/>
    <m/>
    <m/>
    <s v="MPB024S4S-1P"/>
    <m/>
    <n v="1"/>
    <n v="0"/>
    <n v="1.024"/>
    <m/>
    <n v="2818.1840000000002"/>
    <m/>
    <m/>
    <m/>
    <m/>
    <m/>
    <n v="0"/>
    <n v="100"/>
    <n v="42956"/>
    <n v="42956.693181597198"/>
    <x v="1"/>
    <s v="87AAE910308847DFA1DE183EF74B11BD"/>
    <n v="2818.1840000000002"/>
    <n v="100"/>
    <n v="2495.8377857142855"/>
    <n v="1129.7450286933804"/>
    <n v="107.14285714285714"/>
    <n v="34.722057856284209"/>
  </r>
  <r>
    <n v="327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6.4343026470128739E-2"/>
    <n v="-0.2057152595166355"/>
    <b v="0"/>
    <b v="0"/>
    <s v=""/>
    <s v="BHHEPS1534689142"/>
    <n v="1"/>
    <s v="BHHEPS1534689142"/>
    <s v="1806847280"/>
    <s v="PAUL J"/>
    <s v="BARBER"/>
    <m/>
    <s v="3209 BROADMOOR DR"/>
    <s v="RAPID CITY"/>
    <s v="SD"/>
    <s v="57702"/>
    <x v="3"/>
    <s v="PO BOX 1400"/>
    <s v="RAPID CITY"/>
    <s v="SD"/>
    <s v="57709"/>
    <s v="605-721-2687"/>
    <m/>
    <s v="Residential Heat Pumps :- Residential Mini-Split :- Customer Incentives"/>
    <s v="Ductless Mini-Split HP SEER &gt;= 19"/>
    <m/>
    <m/>
    <m/>
    <m/>
    <m/>
    <m/>
    <s v="25000"/>
    <m/>
    <m/>
    <m/>
    <m/>
    <m/>
    <m/>
    <s v="AOU24RLXFZH"/>
    <m/>
    <n v="1"/>
    <n v="0"/>
    <n v="0.98399999999999999"/>
    <m/>
    <n v="2568.529"/>
    <m/>
    <m/>
    <m/>
    <m/>
    <m/>
    <n v="0"/>
    <n v="100"/>
    <n v="42958"/>
    <n v="42958.703575115702"/>
    <x v="1"/>
    <s v="6DCAC80DEF66400381F1B8C343A4BDAC"/>
    <n v="2568.529"/>
    <n v="100"/>
    <n v="2495.8377857142855"/>
    <n v="1129.7450286933804"/>
    <n v="107.14285714285714"/>
    <n v="34.722057856284209"/>
  </r>
  <r>
    <n v="328"/>
    <s v="Residential - BHPSD - Residential Lighting &amp; Appliances"/>
    <b v="0"/>
    <s v="Residential - BHPSD - Residential Lighting &amp; Appliances__"/>
    <n v="0"/>
    <x v="0"/>
    <x v="0"/>
    <x v="0"/>
    <x v="0"/>
    <s v=""/>
    <s v=""/>
    <b v="0"/>
    <b v="0"/>
    <s v="Residential - BHPSD - Residential Lighting &amp; Appliances"/>
    <n v="128"/>
    <n v="1"/>
    <s v=""/>
    <s v=""/>
    <s v=""/>
    <s v=""/>
    <s v=""/>
    <s v=""/>
    <s v=""/>
    <s v=""/>
    <s v=""/>
    <x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38"/>
    <n v="0"/>
    <n v="5.9438000000000004"/>
    <m/>
    <n v="50491.896000000001"/>
    <m/>
    <m/>
    <m/>
    <m/>
    <m/>
    <n v="0"/>
    <n v="8130.0972000000002"/>
    <s v=""/>
    <m/>
    <x v="0"/>
    <s v=""/>
    <n v="32.829581274382313"/>
    <n v="5.2861490247074121"/>
    <e v="#N/A"/>
    <e v="#N/A"/>
    <e v="#N/A"/>
    <e v="#N/A"/>
  </r>
  <r>
    <n v="32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392"/>
    <n v="1"/>
    <s v="BHHEPS1532959392"/>
    <s v="6763060226"/>
    <s v="STEPHEN D"/>
    <s v="DEMPSEY"/>
    <m/>
    <s v="121 OLD GLORY PL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5600000000000002E-2"/>
    <m/>
    <n v="387.20400000000001"/>
    <m/>
    <m/>
    <m/>
    <m/>
    <m/>
    <n v="0"/>
    <n v="54"/>
    <n v="42641"/>
    <n v="42641.6487158565"/>
    <x v="1"/>
    <s v="6FC4453CA02D4CFE87671FF3D7CBEA73"/>
    <n v="32.267000000000003"/>
    <n v="4.5"/>
    <n v="31.912660854402784"/>
    <n v="4.6294175975068628"/>
    <n v="3.9162224934612029"/>
    <n v="1.1499528005502413"/>
  </r>
  <r>
    <n v="33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395"/>
    <n v="1"/>
    <s v="BHHEPS1532959395"/>
    <s v="2151562178"/>
    <s v="TANNER G"/>
    <s v="BLAND"/>
    <m/>
    <s v="12415 MINERS LN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641"/>
    <n v="42641.649760185202"/>
    <x v="1"/>
    <s v="AF0165DD52164D2FB1D138E747799FF8"/>
    <n v="32.267000000000003"/>
    <n v="4.5"/>
    <n v="31.912660854402784"/>
    <n v="4.6294175975068628"/>
    <n v="3.9162224934612029"/>
    <n v="1.1499528005502413"/>
  </r>
  <r>
    <n v="33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398"/>
    <n v="1"/>
    <s v="BHHEPS1532959398"/>
    <s v="5724731883"/>
    <s v="GORDON D"/>
    <s v="RICHMOND"/>
    <m/>
    <s v="228 E PHILADELPHIA ST                             APT C3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0.02"/>
    <m/>
    <n v="168.9"/>
    <m/>
    <m/>
    <m/>
    <m/>
    <m/>
    <n v="0"/>
    <n v="28"/>
    <n v="42641"/>
    <n v="42641.651869294001"/>
    <x v="1"/>
    <s v="87F775873EDE48F3A5E7AAE73D6FFBF8"/>
    <n v="33.78"/>
    <n v="5.6"/>
    <n v="31.912660854402784"/>
    <n v="4.6294175975068628"/>
    <n v="3.9162224934612029"/>
    <n v="1.1499528005502413"/>
  </r>
  <r>
    <n v="33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398"/>
    <n v="0"/>
    <s v="BHHEPS1532959398"/>
    <s v="5724731883"/>
    <s v="GORDON D"/>
    <s v="RICHMOND"/>
    <m/>
    <s v="228 E PHILADELPHIA ST                             APT C3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641"/>
    <n v="42641.651869294001"/>
    <x v="1"/>
    <s v="8827E1DF40344B9F90B5FEDC3AD79F6A"/>
    <n v="32.267000000000003"/>
    <n v="4.5"/>
    <n v="31.912660854402784"/>
    <n v="4.6294175975068628"/>
    <n v="3.9162224934612029"/>
    <n v="1.1499528005502413"/>
  </r>
  <r>
    <n v="33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1937E-2"/>
    <n v="0.50765345000200468"/>
    <b v="0"/>
    <b v="0"/>
    <s v=""/>
    <s v="BHHEPS1532959419"/>
    <n v="1"/>
    <s v="BHHEPS1532959419"/>
    <s v="1645696726"/>
    <s v="KYLE D"/>
    <s v="WOLF"/>
    <m/>
    <s v="2124 WISCONSIN AVE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9.5000000000000001E-2"/>
    <m/>
    <n v="806.67499999999995"/>
    <m/>
    <m/>
    <m/>
    <m/>
    <m/>
    <n v="0"/>
    <n v="112.5"/>
    <n v="42641"/>
    <n v="42641.659832638899"/>
    <x v="1"/>
    <s v="B9DB74987BAA46F192BAFFAE7438C7E2"/>
    <n v="32.266999999999996"/>
    <n v="4.5"/>
    <n v="31.912660854402784"/>
    <n v="4.6294175975068628"/>
    <n v="3.9162224934612029"/>
    <n v="1.1499528005502413"/>
  </r>
  <r>
    <n v="33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423"/>
    <n v="1"/>
    <s v="BHHEPS1532959423"/>
    <s v="5165458288"/>
    <s v="DONNA"/>
    <s v="DURANT"/>
    <m/>
    <s v="6828 DUNSMORE RD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641"/>
    <n v="42641.660829016197"/>
    <x v="1"/>
    <s v="85990D92E5CA47BC934F3DB8DEBFB848"/>
    <n v="33.78"/>
    <n v="5.6"/>
    <n v="31.912660854402784"/>
    <n v="4.6294175975068628"/>
    <n v="3.9162224934612029"/>
    <n v="1.1499528005502413"/>
  </r>
  <r>
    <n v="33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2959423"/>
    <n v="0"/>
    <s v="BHHEPS1532959423"/>
    <s v="5165458288"/>
    <s v="DONNA"/>
    <s v="DURANT"/>
    <m/>
    <s v="6828 DUNSMORE RD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0800000000000001E-2"/>
    <m/>
    <n v="92.768000000000001"/>
    <m/>
    <m/>
    <m/>
    <m/>
    <m/>
    <n v="0"/>
    <n v="16"/>
    <n v="42641"/>
    <n v="42641.660829016197"/>
    <x v="1"/>
    <s v="A25277F11E2546519E8E85091434EC79"/>
    <n v="23.192"/>
    <n v="4"/>
    <n v="31.912660854402784"/>
    <n v="4.6294175975068628"/>
    <n v="3.9162224934612029"/>
    <n v="1.1499528005502413"/>
  </r>
  <r>
    <n v="33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423"/>
    <n v="0"/>
    <s v="BHHEPS1532959423"/>
    <s v="5165458288"/>
    <s v="DONNA"/>
    <s v="DURANT"/>
    <m/>
    <s v="6828 DUNSMORE RD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641"/>
    <n v="42641.660829016197"/>
    <x v="1"/>
    <s v="818E079FA766430DAB40BE0820FE04F6"/>
    <n v="32.267000000000003"/>
    <n v="4.5"/>
    <n v="31.912660854402784"/>
    <n v="4.6294175975068628"/>
    <n v="3.9162224934612029"/>
    <n v="1.1499528005502413"/>
  </r>
  <r>
    <n v="33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427"/>
    <n v="1"/>
    <s v="BHHEPS1532959427"/>
    <s v="0519998588"/>
    <s v="MATTHEW D"/>
    <s v="ODDEN"/>
    <m/>
    <s v="6319 SEMINOLE LN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641"/>
    <n v="42641.662202118103"/>
    <x v="1"/>
    <s v="849961BAA3A941AEA0A038F0FB699833"/>
    <n v="33.78"/>
    <n v="5.6"/>
    <n v="31.912660854402784"/>
    <n v="4.6294175975068628"/>
    <n v="3.9162224934612029"/>
    <n v="1.1499528005502413"/>
  </r>
  <r>
    <n v="33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435"/>
    <n v="1"/>
    <s v="BHHEPS1532959435"/>
    <s v="0102317983"/>
    <s v="RETA F"/>
    <s v="MCGOVERN"/>
    <m/>
    <s v="821 FLORMANN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641"/>
    <n v="42641.666079594899"/>
    <x v="1"/>
    <s v="DEAAC3783AAE4BA59FD0401347438E9A"/>
    <n v="33.78"/>
    <n v="5.6"/>
    <n v="31.912660854402784"/>
    <n v="4.6294175975068628"/>
    <n v="3.9162224934612029"/>
    <n v="1.1499528005502413"/>
  </r>
  <r>
    <n v="33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435"/>
    <n v="0"/>
    <s v="BHHEPS1532959435"/>
    <s v="0102317983"/>
    <s v="RETA F"/>
    <s v="MCGOVERN"/>
    <m/>
    <s v="821 FLORMANN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641"/>
    <n v="42641.666079594899"/>
    <x v="1"/>
    <s v="ADC6CCFF2FA7416C96FDC402B8FAE0F4"/>
    <n v="32.267000000000003"/>
    <n v="4.5"/>
    <n v="31.912660854402784"/>
    <n v="4.6294175975068628"/>
    <n v="3.9162224934612029"/>
    <n v="1.1499528005502413"/>
  </r>
  <r>
    <n v="34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440"/>
    <n v="1"/>
    <s v="BHHEPS1532959440"/>
    <s v="1546455262"/>
    <s v="SHAWN M"/>
    <s v="MECHLING"/>
    <m/>
    <s v="1609 PINE ST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641"/>
    <n v="42641.667324305599"/>
    <x v="1"/>
    <s v="AC4628925F01434DBADBABEAD2C0D2B7"/>
    <n v="32.267000000000003"/>
    <n v="4.5"/>
    <n v="31.912660854402784"/>
    <n v="4.6294175975068628"/>
    <n v="3.9162224934612029"/>
    <n v="1.1499528005502413"/>
  </r>
  <r>
    <n v="34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440"/>
    <n v="0"/>
    <s v="BHHEPS1532959440"/>
    <s v="1546455262"/>
    <s v="SHAWN M"/>
    <s v="MECHLING"/>
    <m/>
    <s v="1609 PINE ST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641"/>
    <n v="42641.667324305599"/>
    <x v="1"/>
    <s v="335A515305F14D049C17347545340157"/>
    <n v="33.78"/>
    <n v="5.6"/>
    <n v="31.912660854402784"/>
    <n v="4.6294175975068628"/>
    <n v="3.9162224934612029"/>
    <n v="1.1499528005502413"/>
  </r>
  <r>
    <n v="34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8"/>
    <n v="7.2852995791401517E-2"/>
    <b v="0"/>
    <b v="0"/>
    <s v=""/>
    <s v="BHHEPS1532959455"/>
    <n v="1"/>
    <s v="BHHEPS1532959455"/>
    <s v="4557532254"/>
    <s v="KEITH"/>
    <s v="GADE"/>
    <m/>
    <s v="2114 HARNEY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8.0999999999999996E-3"/>
    <m/>
    <n v="69.575999999999993"/>
    <m/>
    <m/>
    <m/>
    <m/>
    <m/>
    <n v="0"/>
    <n v="12"/>
    <n v="42641"/>
    <n v="42641.672716203699"/>
    <x v="1"/>
    <s v="32BDC1A7F7764427825107AF2A763EF9"/>
    <n v="23.191999999999997"/>
    <n v="4"/>
    <n v="31.912660854402784"/>
    <n v="4.6294175975068628"/>
    <n v="3.9162224934612029"/>
    <n v="1.1499528005502413"/>
  </r>
  <r>
    <n v="34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18140"/>
    <n v="1"/>
    <s v="BHHEPS1533018140"/>
    <s v="0186806786"/>
    <s v="DAVID L"/>
    <s v="SEVERSON"/>
    <m/>
    <s v="12043 FOX TAIL LN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650"/>
    <n v="42650.501885451398"/>
    <x v="1"/>
    <s v="6DE8D27B723A4046B2DFBC123B08B263"/>
    <n v="33.78"/>
    <n v="5.6"/>
    <n v="31.912660854402784"/>
    <n v="4.6294175975068628"/>
    <n v="3.9162224934612029"/>
    <n v="1.1499528005502413"/>
  </r>
  <r>
    <n v="34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18140"/>
    <n v="0"/>
    <s v="BHHEPS1533018140"/>
    <s v="0186806786"/>
    <s v="DAVID L"/>
    <s v="SEVERSON"/>
    <m/>
    <s v="12043 FOX TAIL LN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0"/>
    <n v="0"/>
    <n v="7.5999999999999998E-2"/>
    <m/>
    <n v="645.34"/>
    <m/>
    <m/>
    <m/>
    <m/>
    <m/>
    <n v="0"/>
    <n v="90"/>
    <n v="42650"/>
    <n v="42650.501885451398"/>
    <x v="1"/>
    <s v="0F781031B7734B3380F7FC8F9F393063"/>
    <n v="32.267000000000003"/>
    <n v="4.5"/>
    <n v="31.912660854402784"/>
    <n v="4.6294175975068628"/>
    <n v="3.9162224934612029"/>
    <n v="1.1499528005502413"/>
  </r>
  <r>
    <n v="345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5.0515134880505345E-2"/>
    <n v="0.4214787522569125"/>
    <b v="0"/>
    <b v="0"/>
    <s v=""/>
    <s v="BHHEPS1533037916"/>
    <n v="1"/>
    <s v="BHHEPS1533037916"/>
    <s v="0893721824"/>
    <s v="JASON D"/>
    <s v="JONES"/>
    <m/>
    <s v="3110 AMERICAN EAGLE RD"/>
    <s v="SPEARFISH"/>
    <s v="SD"/>
    <s v="57783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RL560WH6830"/>
    <m/>
    <n v="94"/>
    <n v="0"/>
    <n v="0.36659999999999998"/>
    <m/>
    <n v="3127.944"/>
    <m/>
    <m/>
    <m/>
    <m/>
    <m/>
    <n v="0"/>
    <n v="940"/>
    <n v="42660"/>
    <n v="42660.5513741088"/>
    <x v="1"/>
    <s v="5CCE73BE4A4344088382BD6E99EFF2A7"/>
    <n v="33.275999999999996"/>
    <n v="10"/>
    <n v="35.519370843989762"/>
    <n v="44.409875363027503"/>
    <n v="9.3048337595907924"/>
    <n v="1.6493506177636894"/>
  </r>
  <r>
    <n v="34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38070"/>
    <n v="1"/>
    <s v="BHHEPS1533038070"/>
    <s v="1624061431"/>
    <s v="CORREEN G"/>
    <s v="DAMMEN"/>
    <m/>
    <s v="10 SAMPSON ST"/>
    <s v="DEADWOOD"/>
    <s v="SD"/>
    <s v="5773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660"/>
    <n v="42660.5947008449"/>
    <x v="1"/>
    <s v="2BD6D0A8ABF1428EBD2CD2122B1B47EB"/>
    <n v="32.267000000000003"/>
    <n v="4.5"/>
    <n v="31.912660854402784"/>
    <n v="4.6294175975068628"/>
    <n v="3.9162224934612029"/>
    <n v="1.1499528005502413"/>
  </r>
  <r>
    <n v="34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38070"/>
    <n v="0"/>
    <s v="BHHEPS1533038070"/>
    <s v="1624061431"/>
    <s v="CORREEN G"/>
    <s v="DAMMEN"/>
    <m/>
    <s v="10 SAMPSON ST"/>
    <s v="DEADWOOD"/>
    <s v="SD"/>
    <s v="5773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2.7000000000000001E-3"/>
    <m/>
    <n v="23.192"/>
    <m/>
    <m/>
    <m/>
    <m/>
    <m/>
    <n v="0"/>
    <n v="4"/>
    <n v="42660"/>
    <n v="42660.5947008449"/>
    <x v="1"/>
    <s v="46A55D61152C4F0783AA868797DD8A0E"/>
    <n v="23.192"/>
    <n v="4"/>
    <n v="31.912660854402784"/>
    <n v="4.6294175975068628"/>
    <n v="3.9162224934612029"/>
    <n v="1.1499528005502413"/>
  </r>
  <r>
    <n v="34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38078"/>
    <n v="1"/>
    <s v="BHHEPS1533038078"/>
    <s v="5640460322"/>
    <s v="APRIL J"/>
    <s v="SOMMER"/>
    <m/>
    <s v="345 1/2 N 7TH ST"/>
    <s v="SPEARFISH"/>
    <s v="SD"/>
    <s v="57783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660"/>
    <n v="42660.596036307899"/>
    <x v="1"/>
    <s v="ECE06F49FA11411FAFD15408890AB99E"/>
    <n v="32.267000000000003"/>
    <n v="4.5"/>
    <n v="31.912660854402784"/>
    <n v="4.6294175975068628"/>
    <n v="3.9162224934612029"/>
    <n v="1.1499528005502413"/>
  </r>
  <r>
    <n v="34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8"/>
    <n v="7.2852995791401517E-2"/>
    <b v="0"/>
    <b v="0"/>
    <s v=""/>
    <s v="BHHEPS1533038084"/>
    <n v="1"/>
    <s v="BHHEPS1533038084"/>
    <s v="7186305596"/>
    <s v="JEFFREY S"/>
    <s v="JOHNSON"/>
    <m/>
    <s v="12520 JAX C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1.6199999999999999E-2"/>
    <m/>
    <n v="139.15199999999999"/>
    <m/>
    <m/>
    <m/>
    <m/>
    <m/>
    <n v="0"/>
    <n v="24"/>
    <n v="42660"/>
    <n v="42660.596960798597"/>
    <x v="1"/>
    <s v="96272D30C9064A3388E57F8B2B789FC8"/>
    <n v="23.191999999999997"/>
    <n v="4"/>
    <n v="31.912660854402784"/>
    <n v="4.6294175975068628"/>
    <n v="3.9162224934612029"/>
    <n v="1.1499528005502413"/>
  </r>
  <r>
    <n v="35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38084"/>
    <n v="0"/>
    <s v="BHHEPS1533038084"/>
    <s v="7186305596"/>
    <s v="JEFFREY S"/>
    <s v="JOHNSON"/>
    <m/>
    <s v="12520 JAX C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0.1"/>
    <m/>
    <n v="844.5"/>
    <m/>
    <m/>
    <m/>
    <m/>
    <m/>
    <n v="0"/>
    <n v="140"/>
    <n v="42660"/>
    <n v="42660.596960798597"/>
    <x v="1"/>
    <s v="D57E32D2780E410DA533D11A12357B43"/>
    <n v="33.78"/>
    <n v="5.6"/>
    <n v="31.912660854402784"/>
    <n v="4.6294175975068628"/>
    <n v="3.9162224934612029"/>
    <n v="1.1499528005502413"/>
  </r>
  <r>
    <n v="35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38084"/>
    <n v="0"/>
    <s v="BHHEPS1533038084"/>
    <s v="7186305596"/>
    <s v="JEFFREY S"/>
    <s v="JOHNSON"/>
    <m/>
    <s v="12520 JAX C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5600000000000002E-2"/>
    <m/>
    <n v="387.20400000000001"/>
    <m/>
    <m/>
    <m/>
    <m/>
    <m/>
    <n v="0"/>
    <n v="54"/>
    <n v="42660"/>
    <n v="42660.596960798597"/>
    <x v="1"/>
    <s v="42D5B50047FC42CE9BE781C77D080A8E"/>
    <n v="32.267000000000003"/>
    <n v="4.5"/>
    <n v="31.912660854402784"/>
    <n v="4.6294175975068628"/>
    <n v="3.9162224934612029"/>
    <n v="1.1499528005502413"/>
  </r>
  <r>
    <n v="35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2"/>
    <b v="0"/>
    <b v="0"/>
    <s v=""/>
    <s v="BHHEPS1533038092"/>
    <n v="1"/>
    <s v="BHHEPS1533038092"/>
    <s v="1329399206"/>
    <s v="DALE D"/>
    <s v="HOUSEHOLDER"/>
    <m/>
    <s v="537 PINE MOUNTAIN AVE"/>
    <s v="HILL CITY"/>
    <s v="SD"/>
    <s v="5774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4E-2"/>
    <m/>
    <n v="202.68"/>
    <m/>
    <m/>
    <m/>
    <m/>
    <m/>
    <n v="0"/>
    <n v="33.6"/>
    <n v="42660"/>
    <n v="42660.598553044001"/>
    <x v="1"/>
    <s v="B8F5443805AA4131A556E5C418DF74DA"/>
    <n v="33.78"/>
    <n v="5.6000000000000005"/>
    <n v="31.912660854402784"/>
    <n v="4.6294175975068628"/>
    <n v="3.9162224934612029"/>
    <n v="1.1499528005502413"/>
  </r>
  <r>
    <n v="35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2"/>
    <b v="0"/>
    <b v="0"/>
    <s v=""/>
    <s v="BHHEPS1533038097"/>
    <n v="1"/>
    <s v="BHHEPS1533038097"/>
    <s v="3526142241"/>
    <s v="KRISTINE K"/>
    <s v="SACHARA"/>
    <m/>
    <s v="3040 GOLDEN EAGLE PL"/>
    <s v="SPEARFISH"/>
    <s v="SD"/>
    <s v="57783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4E-2"/>
    <m/>
    <n v="202.68"/>
    <m/>
    <m/>
    <m/>
    <m/>
    <m/>
    <n v="0"/>
    <n v="33.6"/>
    <n v="42660"/>
    <n v="42660.599751817099"/>
    <x v="1"/>
    <s v="177ECD39E29846989D97CABC133712EB"/>
    <n v="33.78"/>
    <n v="5.6000000000000005"/>
    <n v="31.912660854402784"/>
    <n v="4.6294175975068628"/>
    <n v="3.9162224934612029"/>
    <n v="1.1499528005502413"/>
  </r>
  <r>
    <n v="35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38097"/>
    <n v="0"/>
    <s v="BHHEPS1533038097"/>
    <s v="3526142241"/>
    <s v="KRISTINE K"/>
    <s v="SACHARA"/>
    <m/>
    <s v="3040 GOLDEN EAGLE PL"/>
    <s v="SPEARFISH"/>
    <s v="SD"/>
    <s v="57783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660"/>
    <n v="42660.599751817099"/>
    <x v="1"/>
    <s v="1E0878904B5F4039B687607ABF133D40"/>
    <n v="32.267000000000003"/>
    <n v="4.5"/>
    <n v="31.912660854402784"/>
    <n v="4.6294175975068628"/>
    <n v="3.9162224934612029"/>
    <n v="1.1499528005502413"/>
  </r>
  <r>
    <n v="35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49954"/>
    <n v="1"/>
    <s v="BHHEPS1533049954"/>
    <s v="5606083316"/>
    <s v="JEREMY G"/>
    <s v="GARDINER"/>
    <m/>
    <s v="525 38TH S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664"/>
    <n v="42664.595228472201"/>
    <x v="1"/>
    <s v="038003CB91D1490A8E2E22AA87A2B427"/>
    <n v="32.267000000000003"/>
    <n v="4.5"/>
    <n v="31.912660854402784"/>
    <n v="4.6294175975068628"/>
    <n v="3.9162224934612029"/>
    <n v="1.1499528005502413"/>
  </r>
  <r>
    <n v="35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49958"/>
    <n v="1"/>
    <s v="BHHEPS1533049958"/>
    <s v="5960388348"/>
    <s v="DOROTHY J"/>
    <s v="HOXENG"/>
    <m/>
    <s v="103 CORRAL DR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0800000000000001E-2"/>
    <m/>
    <n v="92.768000000000001"/>
    <m/>
    <m/>
    <m/>
    <m/>
    <m/>
    <n v="0"/>
    <n v="16"/>
    <n v="42664"/>
    <n v="42664.596134108797"/>
    <x v="1"/>
    <s v="43CD637520474F0D8D995D1993A94494"/>
    <n v="23.192"/>
    <n v="4"/>
    <n v="31.912660854402784"/>
    <n v="4.6294175975068628"/>
    <n v="3.9162224934612029"/>
    <n v="1.1499528005502413"/>
  </r>
  <r>
    <n v="35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49967"/>
    <n v="1"/>
    <s v="BHHEPS1533049967"/>
    <s v="3708552655"/>
    <s v="GARY N"/>
    <s v="JOHNSON"/>
    <m/>
    <s v="6343 TIMBERLINE RD W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664"/>
    <n v="42664.598347569401"/>
    <x v="1"/>
    <s v="4A6EA165E8674EB2A695D1E5208385EE"/>
    <n v="32.267000000000003"/>
    <n v="4.5"/>
    <n v="31.912660854402784"/>
    <n v="4.6294175975068628"/>
    <n v="3.9162224934612029"/>
    <n v="1.1499528005502413"/>
  </r>
  <r>
    <n v="35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49967"/>
    <n v="0"/>
    <s v="BHHEPS1533049967"/>
    <s v="3708552655"/>
    <s v="GARY N"/>
    <s v="JOHNSON"/>
    <m/>
    <s v="6343 TIMBERLINE RD W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664"/>
    <n v="42664.598347569401"/>
    <x v="1"/>
    <s v="63FA5113050440FA8A4AAC54FE5F42FD"/>
    <n v="33.78"/>
    <n v="5.6"/>
    <n v="31.912660854402784"/>
    <n v="4.6294175975068628"/>
    <n v="3.9162224934612029"/>
    <n v="1.1499528005502413"/>
  </r>
  <r>
    <n v="35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49974"/>
    <n v="1"/>
    <s v="BHHEPS1533049974"/>
    <s v="6704224759"/>
    <s v="DEAN D"/>
    <s v="SIGMAN"/>
    <m/>
    <s v="2322 PALISADES LOOP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664"/>
    <n v="42664.600054826398"/>
    <x v="1"/>
    <s v="FD857CB25D37448690FB0257AAEC4961"/>
    <n v="33.78"/>
    <n v="5.6"/>
    <n v="31.912660854402784"/>
    <n v="4.6294175975068628"/>
    <n v="3.9162224934612029"/>
    <n v="1.1499528005502413"/>
  </r>
  <r>
    <n v="36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49977"/>
    <n v="1"/>
    <s v="BHHEPS1533049977"/>
    <s v="3341566170"/>
    <s v="DEBRA D"/>
    <s v="BISGAARD"/>
    <m/>
    <s v="8537 STABLES DR"/>
    <s v="PIEDMONT"/>
    <s v="SD"/>
    <s v="57769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2.7E-2"/>
    <m/>
    <n v="231.92"/>
    <m/>
    <m/>
    <m/>
    <m/>
    <m/>
    <n v="0"/>
    <n v="40"/>
    <n v="42664"/>
    <n v="42664.601184953703"/>
    <x v="1"/>
    <s v="640CB9260AB24BCFB31069853312CEC9"/>
    <n v="23.192"/>
    <n v="4"/>
    <n v="31.912660854402784"/>
    <n v="4.6294175975068628"/>
    <n v="3.9162224934612029"/>
    <n v="1.1499528005502413"/>
  </r>
  <r>
    <n v="36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49977"/>
    <n v="0"/>
    <s v="BHHEPS1533049977"/>
    <s v="3341566170"/>
    <s v="DEBRA D"/>
    <s v="BISGAARD"/>
    <m/>
    <s v="8537 STABLES DR"/>
    <s v="PIEDMONT"/>
    <s v="SD"/>
    <s v="57769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664"/>
    <n v="42664.601184953703"/>
    <x v="1"/>
    <s v="636BC7BEA3664804833A764760505725"/>
    <n v="32.267000000000003"/>
    <n v="4.5"/>
    <n v="31.912660854402784"/>
    <n v="4.6294175975068628"/>
    <n v="3.9162224934612029"/>
    <n v="1.1499528005502413"/>
  </r>
  <r>
    <n v="36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49980"/>
    <n v="1"/>
    <s v="BHHEPS1533049980"/>
    <s v="2607823769"/>
    <s v="DOUGLAS E"/>
    <s v="NELSON"/>
    <m/>
    <s v="11085 MT SHADOW RD"/>
    <s v="PIEDMONT"/>
    <s v="SD"/>
    <s v="57769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664"/>
    <n v="42664.602399652802"/>
    <x v="1"/>
    <s v="F3A170EF956C4FADB6DB9A7FFE7CBFA0"/>
    <n v="32.267000000000003"/>
    <n v="4.5"/>
    <n v="31.912660854402784"/>
    <n v="4.6294175975068628"/>
    <n v="3.9162224934612029"/>
    <n v="1.1499528005502413"/>
  </r>
  <r>
    <n v="36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55976"/>
    <n v="1"/>
    <s v="BHHEPS1533055976"/>
    <s v="1153651154"/>
    <s v="JAMES A"/>
    <s v="PHOENIX"/>
    <m/>
    <s v="1332 PANORAMA CIR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0.1"/>
    <m/>
    <n v="844.5"/>
    <m/>
    <m/>
    <m/>
    <m/>
    <m/>
    <n v="0"/>
    <n v="140"/>
    <n v="42668"/>
    <n v="42668.751194791701"/>
    <x v="1"/>
    <s v="379BEFDCA0924E03BBF26DEC65FD7CDC"/>
    <n v="33.78"/>
    <n v="5.6"/>
    <n v="31.912660854402784"/>
    <n v="4.6294175975068628"/>
    <n v="3.9162224934612029"/>
    <n v="1.1499528005502413"/>
  </r>
  <r>
    <n v="36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56126"/>
    <n v="1"/>
    <s v="BHHEPS1533056126"/>
    <s v="3356626658"/>
    <s v="PENNY L"/>
    <s v="LORE"/>
    <m/>
    <s v="5909 OAK CT"/>
    <s v="BLACK HAWK"/>
    <s v="SD"/>
    <s v="57718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2.7000000000000001E-3"/>
    <m/>
    <n v="23.192"/>
    <m/>
    <m/>
    <m/>
    <m/>
    <m/>
    <n v="0"/>
    <n v="4"/>
    <n v="42668"/>
    <n v="42668.7539924421"/>
    <x v="1"/>
    <s v="355CA1E1ABC34560BAB2291AE00C2DAD"/>
    <n v="23.192"/>
    <n v="4"/>
    <n v="31.912660854402784"/>
    <n v="4.6294175975068628"/>
    <n v="3.9162224934612029"/>
    <n v="1.1499528005502413"/>
  </r>
  <r>
    <n v="36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2"/>
    <b v="0"/>
    <b v="0"/>
    <s v=""/>
    <s v="BHHEPS1533056126"/>
    <n v="0"/>
    <s v="BHHEPS1533056126"/>
    <s v="3356626658"/>
    <s v="PENNY L"/>
    <s v="LORE"/>
    <m/>
    <s v="5909 OAK CT"/>
    <s v="BLACK HAWK"/>
    <s v="SD"/>
    <s v="57718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2E-2"/>
    <m/>
    <n v="101.34"/>
    <m/>
    <m/>
    <m/>
    <m/>
    <m/>
    <n v="0"/>
    <n v="16.8"/>
    <n v="42668"/>
    <n v="42668.7539924421"/>
    <x v="1"/>
    <s v="B2712C73A65B4A18BF434629668EAF95"/>
    <n v="33.78"/>
    <n v="5.6000000000000005"/>
    <n v="31.912660854402784"/>
    <n v="4.6294175975068628"/>
    <n v="3.9162224934612029"/>
    <n v="1.1499528005502413"/>
  </r>
  <r>
    <n v="36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56126"/>
    <n v="0"/>
    <s v="BHHEPS1533056126"/>
    <s v="3356626658"/>
    <s v="PENNY L"/>
    <s v="LORE"/>
    <m/>
    <s v="5909 OAK CT"/>
    <s v="BLACK HAWK"/>
    <s v="SD"/>
    <s v="57718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668"/>
    <n v="42668.7539924421"/>
    <x v="1"/>
    <s v="DA0EA7056ACC447FBE8A8E2407C0A489"/>
    <n v="32.267000000000003"/>
    <n v="4.5"/>
    <n v="31.912660854402784"/>
    <n v="4.6294175975068628"/>
    <n v="3.9162224934612029"/>
    <n v="1.1499528005502413"/>
  </r>
  <r>
    <n v="36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56127"/>
    <n v="1"/>
    <s v="BHHEPS1533056127"/>
    <s v="4768028179"/>
    <s v="DOROTHY C"/>
    <s v="GIBSON"/>
    <m/>
    <s v="622 E IOWA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14E-2"/>
    <m/>
    <n v="96.801000000000002"/>
    <m/>
    <m/>
    <m/>
    <m/>
    <m/>
    <n v="0"/>
    <n v="13.5"/>
    <n v="42668"/>
    <n v="42668.755524537002"/>
    <x v="1"/>
    <s v="CC6F8317646841C1BE59E02CCC6AE7A1"/>
    <n v="32.267000000000003"/>
    <n v="4.5"/>
    <n v="31.912660854402784"/>
    <n v="4.6294175975068628"/>
    <n v="3.9162224934612029"/>
    <n v="1.1499528005502413"/>
  </r>
  <r>
    <n v="36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56127"/>
    <n v="0"/>
    <s v="BHHEPS1533056127"/>
    <s v="4768028179"/>
    <s v="DOROTHY C"/>
    <s v="GIBSON"/>
    <m/>
    <s v="622 E IOWA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2.7000000000000001E-3"/>
    <m/>
    <n v="23.192"/>
    <m/>
    <m/>
    <m/>
    <m/>
    <m/>
    <n v="0"/>
    <n v="4"/>
    <n v="42668"/>
    <n v="42668.755524537002"/>
    <x v="1"/>
    <s v="F5260BF3916440BA9E73C7DB49436E1C"/>
    <n v="23.192"/>
    <n v="4"/>
    <n v="31.912660854402784"/>
    <n v="4.6294175975068628"/>
    <n v="3.9162224934612029"/>
    <n v="1.1499528005502413"/>
  </r>
  <r>
    <n v="36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63421"/>
    <n v="1"/>
    <s v="BHHEPS1533063421"/>
    <s v="1020448988"/>
    <s v="NORMAN D"/>
    <s v="BSHARAH"/>
    <m/>
    <s v="2211 SHERIDAN LAKE RD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670"/>
    <n v="42670.476777199103"/>
    <x v="1"/>
    <s v="857B06854E4445F196ADAA0AFA8C9579"/>
    <n v="32.267000000000003"/>
    <n v="4.5"/>
    <n v="31.912660854402784"/>
    <n v="4.6294175975068628"/>
    <n v="3.9162224934612029"/>
    <n v="1.1499528005502413"/>
  </r>
  <r>
    <n v="370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9.5932961062454206E-2"/>
    <n v="0.4214787522569125"/>
    <b v="0"/>
    <b v="0"/>
    <s v=""/>
    <s v="BHHEPS1533071245"/>
    <n v="1"/>
    <s v="BHHEPS1533071245"/>
    <s v="9592390375"/>
    <s v="RICHARD"/>
    <s v="BELL"/>
    <m/>
    <s v="1206 CLARK ST"/>
    <s v="RAPID CITY"/>
    <s v="SD"/>
    <s v="57701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1110QXYZCC"/>
    <m/>
    <n v="34"/>
    <n v="0"/>
    <n v="0.1258"/>
    <m/>
    <n v="1062.806"/>
    <m/>
    <m/>
    <m/>
    <m/>
    <m/>
    <n v="0"/>
    <n v="340"/>
    <n v="42675"/>
    <n v="42674.476904745403"/>
    <x v="1"/>
    <s v="C540C3CA90044C01906693909F865EA6"/>
    <n v="31.259"/>
    <n v="10"/>
    <n v="35.519370843989762"/>
    <n v="44.409875363027503"/>
    <n v="9.3048337595907924"/>
    <n v="1.6493506177636894"/>
  </r>
  <r>
    <n v="37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471"/>
    <n v="1"/>
    <s v="BHHEPS1533177471"/>
    <s v="3695010358"/>
    <s v="DAVID P"/>
    <s v="CALHOON"/>
    <m/>
    <s v="9012 S RIDGE TRL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02"/>
    <n v="42702.541790162002"/>
    <x v="1"/>
    <s v="CB8B5A9D41F54D318910A7E89C95093E"/>
    <n v="32.267000000000003"/>
    <n v="4.5"/>
    <n v="31.912660854402784"/>
    <n v="4.6294175975068628"/>
    <n v="3.9162224934612029"/>
    <n v="1.1499528005502413"/>
  </r>
  <r>
    <n v="37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479"/>
    <n v="1"/>
    <s v="BHHEPS1533177479"/>
    <s v="6043661473"/>
    <s v="PAUL E"/>
    <s v="MCNEIL"/>
    <m/>
    <s v="206 PINE ST"/>
    <s v="BUFFALO GAP"/>
    <s v="SD"/>
    <s v="5772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702"/>
    <n v="42702.543826539397"/>
    <x v="1"/>
    <s v="0DF8372A6CD74D2B9E5B9A5C1E167BD6"/>
    <n v="32.267000000000003"/>
    <n v="4.5"/>
    <n v="31.912660854402784"/>
    <n v="4.6294175975068628"/>
    <n v="3.9162224934612029"/>
    <n v="1.1499528005502413"/>
  </r>
  <r>
    <n v="37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481"/>
    <n v="1"/>
    <s v="BHHEPS1533177481"/>
    <s v="1772335547"/>
    <s v="KAREN M"/>
    <s v="HANSON"/>
    <m/>
    <s v="4106 W SAINT LOUIS S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02"/>
    <n v="42702.544894409701"/>
    <x v="1"/>
    <s v="60F61D02E93D483E93D53466DB65BC5C"/>
    <n v="32.267000000000003"/>
    <n v="4.5"/>
    <n v="31.912660854402784"/>
    <n v="4.6294175975068628"/>
    <n v="3.9162224934612029"/>
    <n v="1.1499528005502413"/>
  </r>
  <r>
    <n v="37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485"/>
    <n v="1"/>
    <s v="BHHEPS1533177485"/>
    <s v="6908494798"/>
    <s v="MERLIN"/>
    <s v="CROWN"/>
    <m/>
    <s v="3600 SHERIDAN LAKE RD                             APT 225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02"/>
    <n v="42702.546729976901"/>
    <x v="1"/>
    <s v="2983915427244725912BD5215FB885F4"/>
    <n v="32.267000000000003"/>
    <n v="4.5"/>
    <n v="31.912660854402784"/>
    <n v="4.6294175975068628"/>
    <n v="3.9162224934612029"/>
    <n v="1.1499528005502413"/>
  </r>
  <r>
    <n v="37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01"/>
    <n v="1"/>
    <s v="BHHEPS1533177801"/>
    <s v="5201968902"/>
    <s v="LEONA J"/>
    <s v="SCHMITZ"/>
    <m/>
    <s v="3600 SHERIDAN LAKE RD                             APT 222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702"/>
    <n v="42702.648290011603"/>
    <x v="1"/>
    <s v="684FE11B812E4E85BEF3C6FC8CE6BB74"/>
    <n v="32.267000000000003"/>
    <n v="4.5"/>
    <n v="31.912660854402784"/>
    <n v="4.6294175975068628"/>
    <n v="3.9162224934612029"/>
    <n v="1.1499528005502413"/>
  </r>
  <r>
    <n v="37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05"/>
    <n v="1"/>
    <s v="BHHEPS1533177805"/>
    <s v="5287462404"/>
    <s v="THOMAS"/>
    <s v="SECREST"/>
    <m/>
    <s v="101 TIMBERLINE RD"/>
    <s v="SPEARFISH"/>
    <s v="SD"/>
    <s v="57783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02"/>
    <n v="42702.6492155093"/>
    <x v="1"/>
    <s v="645F567EDFB643CFABBE41EFA2947292"/>
    <n v="32.267000000000003"/>
    <n v="4.5"/>
    <n v="31.912660854402784"/>
    <n v="4.6294175975068628"/>
    <n v="3.9162224934612029"/>
    <n v="1.1499528005502413"/>
  </r>
  <r>
    <n v="37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11"/>
    <n v="1"/>
    <s v="BHHEPS1533177811"/>
    <s v="6589094663"/>
    <s v="SHIRLEY J"/>
    <s v="SNYDER"/>
    <m/>
    <s v="5804 CREEK DR"/>
    <s v="BLACK HAWK"/>
    <s v="SD"/>
    <s v="57718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02"/>
    <n v="42702.651114814798"/>
    <x v="1"/>
    <s v="F3969B57ED144145AFCE3010190A1C6D"/>
    <n v="32.267000000000003"/>
    <n v="4.5"/>
    <n v="31.912660854402784"/>
    <n v="4.6294175975068628"/>
    <n v="3.9162224934612029"/>
    <n v="1.1499528005502413"/>
  </r>
  <r>
    <n v="37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8"/>
    <n v="7.2852995791401517E-2"/>
    <b v="0"/>
    <b v="0"/>
    <s v=""/>
    <s v="BHHEPS1533177814"/>
    <n v="1"/>
    <s v="BHHEPS1533177814"/>
    <s v="9321158711"/>
    <s v="GEORGE M"/>
    <s v="ALLEN"/>
    <m/>
    <s v="319 PINE MOUNTAIN AVE"/>
    <s v="HILL CITY"/>
    <s v="SD"/>
    <s v="5774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6.7500000000000004E-2"/>
    <m/>
    <n v="579.79999999999995"/>
    <m/>
    <m/>
    <m/>
    <m/>
    <m/>
    <n v="0"/>
    <n v="100"/>
    <n v="42702"/>
    <n v="42702.651940543998"/>
    <x v="1"/>
    <s v="DC196DBAECCB4954AE2B0A7C3E3742A8"/>
    <n v="23.191999999999997"/>
    <n v="4"/>
    <n v="31.912660854402784"/>
    <n v="4.6294175975068628"/>
    <n v="3.9162224934612029"/>
    <n v="1.1499528005502413"/>
  </r>
  <r>
    <n v="37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177814"/>
    <n v="0"/>
    <s v="BHHEPS1533177814"/>
    <s v="9321158711"/>
    <s v="GEORGE M"/>
    <s v="ALLEN"/>
    <m/>
    <s v="319 PINE MOUNTAIN AVE"/>
    <s v="HILL CITY"/>
    <s v="SD"/>
    <s v="5774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0.1"/>
    <m/>
    <n v="844.5"/>
    <m/>
    <m/>
    <m/>
    <m/>
    <m/>
    <n v="0"/>
    <n v="140"/>
    <n v="42702"/>
    <n v="42702.651940543998"/>
    <x v="1"/>
    <s v="55D3732FFA5E4434942FB71383B1DA22"/>
    <n v="33.78"/>
    <n v="5.6"/>
    <n v="31.912660854402784"/>
    <n v="4.6294175975068628"/>
    <n v="3.9162224934612029"/>
    <n v="1.1499528005502413"/>
  </r>
  <r>
    <n v="38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1937E-2"/>
    <n v="0.50765345000200468"/>
    <b v="0"/>
    <b v="0"/>
    <s v=""/>
    <s v="BHHEPS1533177814"/>
    <n v="0"/>
    <s v="BHHEPS1533177814"/>
    <s v="9321158711"/>
    <s v="GEORGE M"/>
    <s v="ALLEN"/>
    <m/>
    <s v="319 PINE MOUNTAIN AVE"/>
    <s v="HILL CITY"/>
    <s v="SD"/>
    <s v="5774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9.5000000000000001E-2"/>
    <m/>
    <n v="806.67499999999995"/>
    <m/>
    <m/>
    <m/>
    <m/>
    <m/>
    <n v="0"/>
    <n v="112.5"/>
    <n v="42702"/>
    <n v="42702.651940543998"/>
    <x v="1"/>
    <s v="12C190264308492AA4342DD06B534A6E"/>
    <n v="32.266999999999996"/>
    <n v="4.5"/>
    <n v="31.912660854402784"/>
    <n v="4.6294175975068628"/>
    <n v="3.9162224934612029"/>
    <n v="1.1499528005502413"/>
  </r>
  <r>
    <n v="38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20"/>
    <n v="1"/>
    <s v="BHHEPS1533177820"/>
    <s v="5076384876"/>
    <s v="KENNETH L"/>
    <s v="MEIROSE"/>
    <m/>
    <s v="1211 PINE VIEW DR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02"/>
    <n v="42702.653372141198"/>
    <x v="1"/>
    <s v="43B4C5FED77A48A6936D8D2C8C2BD8F2"/>
    <n v="32.267000000000003"/>
    <n v="4.5"/>
    <n v="31.912660854402784"/>
    <n v="4.6294175975068628"/>
    <n v="3.9162224934612029"/>
    <n v="1.1499528005502413"/>
  </r>
  <r>
    <n v="38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8"/>
    <n v="7.2852995791401517E-2"/>
    <b v="0"/>
    <b v="0"/>
    <s v=""/>
    <s v="BHHEPS1533177826"/>
    <n v="1"/>
    <s v="BHHEPS1533177826"/>
    <s v="2730015257"/>
    <s v="JULIA A"/>
    <s v="MILLER"/>
    <m/>
    <s v="1711 JUNCTION AVE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1.6199999999999999E-2"/>
    <m/>
    <n v="139.15199999999999"/>
    <m/>
    <m/>
    <m/>
    <m/>
    <m/>
    <n v="0"/>
    <n v="24"/>
    <n v="42702"/>
    <n v="42702.655526620401"/>
    <x v="1"/>
    <s v="9215BD31D98943A8BDD8FBA045F42FF4"/>
    <n v="23.191999999999997"/>
    <n v="4"/>
    <n v="31.912660854402784"/>
    <n v="4.6294175975068628"/>
    <n v="3.9162224934612029"/>
    <n v="1.1499528005502413"/>
  </r>
  <r>
    <n v="38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26"/>
    <n v="0"/>
    <s v="BHHEPS1533177826"/>
    <s v="2730015257"/>
    <s v="JULIA A"/>
    <s v="MILLER"/>
    <m/>
    <s v="1711 JUNCTION AVE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02"/>
    <n v="42702.655526620401"/>
    <x v="1"/>
    <s v="B58F6CEE49C0483DAD8E930C38628A80"/>
    <n v="32.267000000000003"/>
    <n v="4.5"/>
    <n v="31.912660854402784"/>
    <n v="4.6294175975068628"/>
    <n v="3.9162224934612029"/>
    <n v="1.1499528005502413"/>
  </r>
  <r>
    <n v="38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189831"/>
    <n v="1"/>
    <s v="BHHEPS1533189831"/>
    <s v="2477779331"/>
    <s v="DWIGHT R"/>
    <s v="OVIATT"/>
    <m/>
    <s v="931 PELL ST"/>
    <s v="WHITEWOOD"/>
    <s v="SD"/>
    <s v="57793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703"/>
    <n v="42703.531657754596"/>
    <x v="1"/>
    <s v="2E40ACE45A10499492A11C3E16EBE3A2"/>
    <n v="23.192"/>
    <n v="4"/>
    <n v="31.912660854402784"/>
    <n v="4.6294175975068628"/>
    <n v="3.9162224934612029"/>
    <n v="1.1499528005502413"/>
  </r>
  <r>
    <n v="38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89831"/>
    <n v="0"/>
    <s v="BHHEPS1533189831"/>
    <s v="2477779331"/>
    <s v="DWIGHT R"/>
    <s v="OVIATT"/>
    <m/>
    <s v="931 PELL ST"/>
    <s v="WHITEWOOD"/>
    <s v="SD"/>
    <s v="57793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03"/>
    <n v="42703.531657754596"/>
    <x v="1"/>
    <s v="289A092278684C9BB1E089972FA762ED"/>
    <n v="32.267000000000003"/>
    <n v="4.5"/>
    <n v="31.912660854402784"/>
    <n v="4.6294175975068628"/>
    <n v="3.9162224934612029"/>
    <n v="1.1499528005502413"/>
  </r>
  <r>
    <n v="38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793629"/>
    <n v="1"/>
    <s v="BHHEPS1533793629"/>
    <s v="9811162255"/>
    <s v="CHRIS"/>
    <s v="HANSON"/>
    <m/>
    <s v="13644 SUNSHINE VALLEY RD"/>
    <s v="PIEDMONT"/>
    <s v="SD"/>
    <s v="57769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719"/>
    <n v="42719.626048530103"/>
    <x v="1"/>
    <s v="7674F43B1B6841BFB5A7DF835ACEED4C"/>
    <n v="32.267000000000003"/>
    <n v="4.5"/>
    <n v="31.912660854402784"/>
    <n v="4.6294175975068628"/>
    <n v="3.9162224934612029"/>
    <n v="1.1499528005502413"/>
  </r>
  <r>
    <n v="38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2"/>
    <b v="0"/>
    <b v="0"/>
    <s v=""/>
    <s v="BHHEPS1533793737"/>
    <n v="1"/>
    <s v="BHHEPS1533793737"/>
    <s v="3556914605"/>
    <s v="SENTHILKUMAR"/>
    <s v="VELUSWAMY"/>
    <m/>
    <s v="1538 N KEPP C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1"/>
    <n v="0"/>
    <n v="4.3999999999999997E-2"/>
    <m/>
    <n v="371.58"/>
    <m/>
    <m/>
    <m/>
    <m/>
    <m/>
    <n v="0"/>
    <n v="61.6"/>
    <n v="42719"/>
    <n v="42719.6268824074"/>
    <x v="1"/>
    <s v="325AD7E9E38E4351835E0F0221A54ED7"/>
    <n v="33.78"/>
    <n v="5.6000000000000005"/>
    <n v="31.912660854402784"/>
    <n v="4.6294175975068628"/>
    <n v="3.9162224934612029"/>
    <n v="1.1499528005502413"/>
  </r>
  <r>
    <n v="38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793737"/>
    <n v="0"/>
    <s v="BHHEPS1533793737"/>
    <s v="3556914605"/>
    <s v="SENTHILKUMAR"/>
    <s v="VELUSWAMY"/>
    <m/>
    <s v="1538 N KEPP C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4"/>
    <n v="0"/>
    <n v="5.3199999999999997E-2"/>
    <m/>
    <n v="451.738"/>
    <m/>
    <m/>
    <m/>
    <m/>
    <m/>
    <n v="0"/>
    <n v="63"/>
    <n v="42719"/>
    <n v="42719.6268824074"/>
    <x v="1"/>
    <s v="88A5A1DCAC8F4BF79B9D2118A7E0FA5F"/>
    <n v="32.267000000000003"/>
    <n v="4.5"/>
    <n v="31.912660854402784"/>
    <n v="4.6294175975068628"/>
    <n v="3.9162224934612029"/>
    <n v="1.1499528005502413"/>
  </r>
  <r>
    <n v="38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793737"/>
    <n v="0"/>
    <s v="BHHEPS1533793737"/>
    <s v="3556914605"/>
    <s v="SENTHILKUMAR"/>
    <s v="VELUSWAMY"/>
    <m/>
    <s v="1538 N KEPP C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4"/>
    <n v="0"/>
    <n v="3.78E-2"/>
    <m/>
    <n v="324.68799999999999"/>
    <m/>
    <m/>
    <m/>
    <m/>
    <m/>
    <n v="0"/>
    <n v="56"/>
    <n v="42719"/>
    <n v="42719.6268824074"/>
    <x v="1"/>
    <s v="743D2E66A63C49BEAC429166A6445911"/>
    <n v="23.192"/>
    <n v="4"/>
    <n v="31.912660854402784"/>
    <n v="4.6294175975068628"/>
    <n v="3.9162224934612029"/>
    <n v="1.1499528005502413"/>
  </r>
  <r>
    <n v="39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793749"/>
    <n v="1"/>
    <s v="BHHEPS1533793749"/>
    <s v="2246183095"/>
    <s v="LANA K"/>
    <s v="HUSSEY"/>
    <m/>
    <s v="2720 WESTGATE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719"/>
    <n v="42719.627865937502"/>
    <x v="1"/>
    <s v="E81D5AC396874F29B7DE85C014AFB10C"/>
    <n v="33.78"/>
    <n v="5.6"/>
    <n v="31.912660854402784"/>
    <n v="4.6294175975068628"/>
    <n v="3.9162224934612029"/>
    <n v="1.1499528005502413"/>
  </r>
  <r>
    <n v="39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793759"/>
    <n v="1"/>
    <s v="BHHEPS1533793759"/>
    <s v="4999524514"/>
    <s v="HOWARD"/>
    <s v="SHAFF"/>
    <m/>
    <s v="1105 WEST BLVD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19"/>
    <n v="42719.629433564798"/>
    <x v="1"/>
    <s v="3005CAF42FC849E9894003FCFE1524A6"/>
    <n v="32.267000000000003"/>
    <n v="4.5"/>
    <n v="31.912660854402784"/>
    <n v="4.6294175975068628"/>
    <n v="3.9162224934612029"/>
    <n v="1.1499528005502413"/>
  </r>
  <r>
    <n v="39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793764"/>
    <n v="1"/>
    <s v="BHHEPS1533793764"/>
    <s v="5076384876"/>
    <s v="KENNETH L"/>
    <s v="MEIROSE"/>
    <m/>
    <s v="1211 PINE VIEW DR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19"/>
    <n v="42719.630420370398"/>
    <x v="1"/>
    <s v="D9D04DB40AFF4593A567FEA8EDE80FB6"/>
    <n v="32.267000000000003"/>
    <n v="4.5"/>
    <n v="31.912660854402784"/>
    <n v="4.6294175975068628"/>
    <n v="3.9162224934612029"/>
    <n v="1.1499528005502413"/>
  </r>
  <r>
    <n v="39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812940"/>
    <n v="1"/>
    <s v="BHHEPS1533812940"/>
    <s v="4855974185"/>
    <s v="DERIK"/>
    <s v="MORAN"/>
    <m/>
    <s v="3110 LAZELLE ST                                   LOT 206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26"/>
    <n v="42726.7844392361"/>
    <x v="1"/>
    <s v="B9DFA0F8BC14484EBC59AA4B0D27FA4D"/>
    <n v="32.267000000000003"/>
    <n v="4.5"/>
    <n v="31.912660854402784"/>
    <n v="4.6294175975068628"/>
    <n v="3.9162224934612029"/>
    <n v="1.1499528005502413"/>
  </r>
  <r>
    <n v="394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5.0515134880505186E-2"/>
    <n v="0.4214787522569125"/>
    <b v="0"/>
    <b v="0"/>
    <s v=""/>
    <s v="BHHEPS1533979100"/>
    <n v="1"/>
    <s v="BHHEPS1533979100"/>
    <s v="0757690714"/>
    <s v="JOHN D"/>
    <s v="BUXTON"/>
    <m/>
    <s v="2631 TUMBLEWEED TRL"/>
    <s v="SPEARFISH"/>
    <s v="SD"/>
    <s v="57783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LT560WH6930"/>
    <m/>
    <n v="70"/>
    <n v="0"/>
    <n v="0.27300000000000002"/>
    <m/>
    <n v="2329.3200000000002"/>
    <m/>
    <m/>
    <m/>
    <m/>
    <m/>
    <n v="0"/>
    <n v="700"/>
    <n v="42774"/>
    <n v="42774.626848495398"/>
    <x v="1"/>
    <s v="D93ACC2B3198482295F3986401669722"/>
    <n v="33.276000000000003"/>
    <n v="10"/>
    <n v="35.519370843989762"/>
    <n v="44.409875363027503"/>
    <n v="9.3048337595907924"/>
    <n v="1.6493506177636894"/>
  </r>
  <r>
    <n v="395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0.33548009388051053"/>
    <n v="0.4214787522569125"/>
    <b v="0"/>
    <b v="0"/>
    <s v=""/>
    <s v="BHHEPS1533979114"/>
    <n v="1"/>
    <s v="BHHEPS1533979114"/>
    <s v="7666844298"/>
    <s v="STACI"/>
    <s v="MILLER"/>
    <m/>
    <s v="2224 CEDAR DR"/>
    <s v="RAPID CITY"/>
    <s v="SD"/>
    <s v="57702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LED14FMM-165L8"/>
    <m/>
    <n v="2"/>
    <n v="0"/>
    <n v="1.18E-2"/>
    <m/>
    <n v="100.836"/>
    <m/>
    <m/>
    <m/>
    <m/>
    <m/>
    <n v="0"/>
    <n v="20"/>
    <n v="42774"/>
    <n v="42774.631579479203"/>
    <x v="1"/>
    <s v="DE7F0AE12804447AB2DA0B35CC97F1DD"/>
    <n v="50.417999999999999"/>
    <n v="10"/>
    <n v="35.519370843989762"/>
    <n v="44.409875363027503"/>
    <n v="9.3048337595907924"/>
    <n v="1.6493506177636894"/>
  </r>
  <r>
    <n v="396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0.11748803871568768"/>
    <n v="0.4214787522569125"/>
    <b v="0"/>
    <b v="0"/>
    <s v=""/>
    <s v="BHHEPS1533979114"/>
    <n v="0"/>
    <s v="BHHEPS1533979114"/>
    <s v="7666844298"/>
    <s v="STACI"/>
    <s v="MILLER"/>
    <m/>
    <s v="2224 CEDAR DR"/>
    <s v="RAPID CITY"/>
    <s v="SD"/>
    <s v="57702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EV608941"/>
    <m/>
    <n v="8"/>
    <n v="0"/>
    <n v="3.8399999999999997E-2"/>
    <m/>
    <n v="325.89600000000002"/>
    <m/>
    <m/>
    <m/>
    <m/>
    <m/>
    <n v="0"/>
    <n v="80"/>
    <n v="42774"/>
    <n v="42774.631579479203"/>
    <x v="1"/>
    <s v="531C271707A54502BF179E6C155F6DC6"/>
    <n v="40.737000000000002"/>
    <n v="10"/>
    <n v="35.519370843989762"/>
    <n v="44.409875363027503"/>
    <n v="9.3048337595907924"/>
    <n v="1.6493506177636894"/>
  </r>
  <r>
    <n v="39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983085"/>
    <n v="1"/>
    <s v="BHHEPS1533983085"/>
    <s v="6704224759"/>
    <s v="DEAN D"/>
    <s v="SIGMAN"/>
    <m/>
    <s v="2322 PALISADES LOOP"/>
    <s v="STURGIS"/>
    <s v="SD"/>
    <s v="57785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19"/>
    <n v="42775.696197488403"/>
    <x v="1"/>
    <s v="57360133932A42288740B5A75E975D1C"/>
    <n v="32.267000000000003"/>
    <n v="4.5"/>
    <n v="31.912660854402784"/>
    <n v="4.6294175975068628"/>
    <n v="3.9162224934612029"/>
    <n v="1.1499528005502413"/>
  </r>
  <r>
    <n v="39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983093"/>
    <n v="1"/>
    <s v="BHHEPS1533983093"/>
    <s v="7725172030"/>
    <s v="JENNIFER J"/>
    <s v="BYINGTON"/>
    <m/>
    <s v="4036 W MAIN S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5600000000000002E-2"/>
    <m/>
    <n v="387.20400000000001"/>
    <m/>
    <m/>
    <m/>
    <m/>
    <m/>
    <n v="0"/>
    <n v="54"/>
    <n v="42733"/>
    <n v="42775.705532210603"/>
    <x v="1"/>
    <s v="8ECBBF00571E408DBA85E94DFEFAC477"/>
    <n v="32.267000000000003"/>
    <n v="4.5"/>
    <n v="31.912660854402784"/>
    <n v="4.6294175975068628"/>
    <n v="3.9162224934612029"/>
    <n v="1.1499528005502413"/>
  </r>
  <r>
    <n v="39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983093"/>
    <n v="0"/>
    <s v="BHHEPS1533983093"/>
    <s v="7725172030"/>
    <s v="JENNIFER J"/>
    <s v="BYINGTON"/>
    <m/>
    <s v="4036 W MAIN S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0.04"/>
    <m/>
    <n v="337.8"/>
    <m/>
    <m/>
    <m/>
    <m/>
    <m/>
    <n v="0"/>
    <n v="56"/>
    <n v="42733"/>
    <n v="42775.705532210603"/>
    <x v="1"/>
    <s v="93EE9FBCD1FF4B9CA160A348A780CDB8"/>
    <n v="33.78"/>
    <n v="5.6"/>
    <n v="31.912660854402784"/>
    <n v="4.6294175975068628"/>
    <n v="3.9162224934612029"/>
    <n v="1.1499528005502413"/>
  </r>
  <r>
    <n v="40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1937E-2"/>
    <n v="0.50765345000200468"/>
    <b v="0"/>
    <b v="0"/>
    <s v=""/>
    <s v="BHHEPS1533983107"/>
    <n v="1"/>
    <s v="BHHEPS1533983107"/>
    <s v="3526003445"/>
    <s v="JEF"/>
    <s v="MATTERN"/>
    <m/>
    <s v="612 DEERFIELD CT"/>
    <s v="SPEARFISH"/>
    <s v="SD"/>
    <s v="57783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9.5000000000000001E-2"/>
    <m/>
    <n v="806.67499999999995"/>
    <m/>
    <m/>
    <m/>
    <m/>
    <m/>
    <n v="0"/>
    <n v="112.5"/>
    <n v="42754"/>
    <n v="42775.7118960648"/>
    <x v="1"/>
    <s v="2F7F358F474A44A8B243599AFDB384EF"/>
    <n v="32.266999999999996"/>
    <n v="4.5"/>
    <n v="31.912660854402784"/>
    <n v="4.6294175975068628"/>
    <n v="3.9162224934612029"/>
    <n v="1.1499528005502413"/>
  </r>
  <r>
    <n v="40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983111"/>
    <n v="1"/>
    <s v="BHHEPS1533983111"/>
    <s v="4557532254"/>
    <s v="KEITH"/>
    <s v="GADE"/>
    <m/>
    <s v="2114 HARNEY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747"/>
    <n v="42775.712720682903"/>
    <x v="1"/>
    <s v="A2B100FD476148688F10C5B8E3755890"/>
    <n v="33.78"/>
    <n v="5.6"/>
    <n v="31.912660854402784"/>
    <n v="4.6294175975068628"/>
    <n v="3.9162224934612029"/>
    <n v="1.1499528005502413"/>
  </r>
  <r>
    <n v="40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983115"/>
    <n v="1"/>
    <s v="BHHEPS1533983115"/>
    <s v="7974747601"/>
    <s v="AARON E"/>
    <s v="MORLOCK"/>
    <m/>
    <s v="215 E SUMMIT ST"/>
    <s v="LEAD"/>
    <s v="SD"/>
    <s v="57754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754"/>
    <n v="42775.713909375001"/>
    <x v="1"/>
    <s v="A91C24C719584E57AE9D8FB486AA8D59"/>
    <n v="32.267000000000003"/>
    <n v="4.5"/>
    <n v="31.912660854402784"/>
    <n v="4.6294175975068628"/>
    <n v="3.9162224934612029"/>
    <n v="1.1499528005502413"/>
  </r>
  <r>
    <n v="40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983138"/>
    <n v="1"/>
    <s v="BHHEPS1533983138"/>
    <s v="4557532254"/>
    <s v="KEITH"/>
    <s v="GADE"/>
    <m/>
    <s v="2114 HARNEY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747"/>
    <n v="42775.741581134302"/>
    <x v="1"/>
    <s v="61889BE8E9334C2DBFDCF933EEBD3B44"/>
    <n v="32.267000000000003"/>
    <n v="4.5"/>
    <n v="31.912660854402784"/>
    <n v="4.6294175975068628"/>
    <n v="3.9162224934612029"/>
    <n v="1.1499528005502413"/>
  </r>
  <r>
    <n v="40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020480"/>
    <n v="1"/>
    <s v="BHHEPS1534020480"/>
    <s v="2547917719"/>
    <s v="DAVID P"/>
    <s v="BRUECKNER"/>
    <m/>
    <s v="21250 US HIGHWAY 14A"/>
    <s v="LEAD"/>
    <s v="SD"/>
    <s v="57754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789"/>
    <n v="42789.5412665162"/>
    <x v="1"/>
    <s v="8B935DC7AADC4ABF9BBA9E4E0B10BC7B"/>
    <n v="32.267000000000003"/>
    <n v="4.5"/>
    <n v="31.912660854402784"/>
    <n v="4.6294175975068628"/>
    <n v="3.9162224934612029"/>
    <n v="1.1499528005502413"/>
  </r>
  <r>
    <n v="40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020486"/>
    <n v="1"/>
    <s v="BHHEPS1534020486"/>
    <s v="1049767998"/>
    <s v="KELLI"/>
    <s v="FOLTZ"/>
    <m/>
    <s v="5 GLENDALE LN                                     APT D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9E-2"/>
    <m/>
    <n v="161.33500000000001"/>
    <m/>
    <m/>
    <m/>
    <m/>
    <m/>
    <n v="0"/>
    <n v="22.5"/>
    <n v="42789"/>
    <n v="42789.5425783912"/>
    <x v="1"/>
    <s v="614E74625756454EAB9364FF7F2B27E6"/>
    <n v="32.267000000000003"/>
    <n v="4.5"/>
    <n v="31.912660854402784"/>
    <n v="4.6294175975068628"/>
    <n v="3.9162224934612029"/>
    <n v="1.1499528005502413"/>
  </r>
  <r>
    <n v="40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032921"/>
    <n v="1"/>
    <s v="BHHEPS1534032921"/>
    <s v="3818148881"/>
    <s v="STEVE"/>
    <s v="SCHOCK"/>
    <m/>
    <s v="5653 FINCH C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794"/>
    <n v="42794.536915972203"/>
    <x v="1"/>
    <s v="A6CE9D1C4358455B8F487C1404952BEE"/>
    <n v="33.78"/>
    <n v="5.6"/>
    <n v="31.912660854402784"/>
    <n v="4.6294175975068628"/>
    <n v="3.9162224934612029"/>
    <n v="1.1499528005502413"/>
  </r>
  <r>
    <n v="407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5.0515134880505186E-2"/>
    <n v="0.4214787522569125"/>
    <b v="0"/>
    <b v="0"/>
    <s v=""/>
    <s v="BHHEPS1534066295"/>
    <n v="1"/>
    <s v="BHHEPS1534066295"/>
    <s v="2803796049"/>
    <s v="MICHAEL J"/>
    <s v="BARKL"/>
    <m/>
    <s v="10370 QUAAL RD"/>
    <s v="BLACK HAWK"/>
    <s v="SD"/>
    <s v="57718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LT560WH6930"/>
    <m/>
    <n v="32"/>
    <n v="0"/>
    <n v="0.12479999999999999"/>
    <m/>
    <n v="1064.8320000000001"/>
    <m/>
    <m/>
    <m/>
    <m/>
    <m/>
    <n v="0"/>
    <n v="320"/>
    <n v="42802"/>
    <n v="42802.591133831003"/>
    <x v="1"/>
    <s v="1CB4AA83CC234323AA21AC5C8587ECFF"/>
    <n v="33.276000000000003"/>
    <n v="10"/>
    <n v="35.519370843989762"/>
    <n v="44.409875363027503"/>
    <n v="9.3048337595907924"/>
    <n v="1.6493506177636894"/>
  </r>
  <r>
    <n v="408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2.1017191252169592E-2"/>
    <n v="0.4214787522569125"/>
    <b v="0"/>
    <b v="0"/>
    <s v=""/>
    <s v="BHHEPS1534090855"/>
    <n v="1"/>
    <s v="BHHEPS1534090855"/>
    <s v="2708415614"/>
    <s v="SHAMIE D"/>
    <s v="OVERBY"/>
    <m/>
    <s v="5026 W CHICAGO ST"/>
    <s v="RAPID CITY"/>
    <s v="SD"/>
    <s v="57702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RL560"/>
    <m/>
    <n v="25"/>
    <n v="0"/>
    <n v="0.10249999999999999"/>
    <m/>
    <n v="864.65"/>
    <m/>
    <m/>
    <m/>
    <m/>
    <m/>
    <n v="0"/>
    <n v="250"/>
    <n v="42811"/>
    <n v="42811.7676993403"/>
    <x v="1"/>
    <s v="3FC8B360E0FF41E991E56E8267AFBCD7"/>
    <n v="34.585999999999999"/>
    <n v="10"/>
    <n v="35.519370843989762"/>
    <n v="44.409875363027503"/>
    <n v="9.3048337595907924"/>
    <n v="1.6493506177636894"/>
  </r>
  <r>
    <n v="409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2.7817480546640867E-2"/>
    <n v="0.4214787522569125"/>
    <b v="0"/>
    <b v="0"/>
    <s v=""/>
    <s v="BHHEPS1534090855"/>
    <n v="0"/>
    <s v="BHHEPS1534090855"/>
    <s v="2708415614"/>
    <s v="SHAMIE D"/>
    <s v="OVERBY"/>
    <m/>
    <s v="5026 W CHICAGO ST"/>
    <s v="RAPID CITY"/>
    <s v="SD"/>
    <s v="57702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XEL-014PAL"/>
    <m/>
    <n v="2"/>
    <n v="0"/>
    <n v="8.0000000000000002E-3"/>
    <m/>
    <n v="68.567999999999998"/>
    <m/>
    <m/>
    <m/>
    <m/>
    <m/>
    <n v="0"/>
    <n v="20"/>
    <n v="42811"/>
    <n v="42811.7676993403"/>
    <x v="1"/>
    <s v="FDF7809749564CB483E0A24FD1007DAB"/>
    <n v="34.283999999999999"/>
    <n v="10"/>
    <n v="35.519370843989762"/>
    <n v="44.409875363027503"/>
    <n v="9.3048337595907924"/>
    <n v="1.6493506177636894"/>
  </r>
  <r>
    <n v="41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134294"/>
    <n v="1"/>
    <s v="BHHEPS1534134294"/>
    <s v="4182144992"/>
    <s v="TODD A"/>
    <s v="BOCKORNY"/>
    <m/>
    <s v="515 ALTA VISTA DR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9E-2"/>
    <m/>
    <n v="161.33500000000001"/>
    <m/>
    <m/>
    <m/>
    <m/>
    <m/>
    <n v="0"/>
    <n v="22.5"/>
    <n v="42824"/>
    <n v="42824.713282835597"/>
    <x v="1"/>
    <s v="F110E1C3E25941418586A8DD37478283"/>
    <n v="32.267000000000003"/>
    <n v="4.5"/>
    <n v="31.912660854402784"/>
    <n v="4.6294175975068628"/>
    <n v="3.9162224934612029"/>
    <n v="1.1499528005502413"/>
  </r>
  <r>
    <n v="41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134297"/>
    <n v="1"/>
    <s v="BHHEPS1534134297"/>
    <s v="6298095065"/>
    <s v="CLAYTON R"/>
    <s v="TRULSON"/>
    <m/>
    <s v="6641 CARNOUSTIE C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824"/>
    <n v="42824.714325659697"/>
    <x v="1"/>
    <s v="F4210C7C7B4E4E5A870787B628746DCF"/>
    <n v="33.78"/>
    <n v="5.6"/>
    <n v="31.912660854402784"/>
    <n v="4.6294175975068628"/>
    <n v="3.9162224934612029"/>
    <n v="1.1499528005502413"/>
  </r>
  <r>
    <n v="41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134300"/>
    <n v="1"/>
    <s v="BHHEPS1534134300"/>
    <s v="0930754044"/>
    <s v="JOHN E"/>
    <s v="STAHL"/>
    <m/>
    <s v="25324 SIDNEY PARK RD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824"/>
    <n v="42824.715253738403"/>
    <x v="1"/>
    <s v="B5EC99DA98A6472BA164D84BC8824FCE"/>
    <n v="32.267000000000003"/>
    <n v="4.5"/>
    <n v="31.912660854402784"/>
    <n v="4.6294175975068628"/>
    <n v="3.9162224934612029"/>
    <n v="1.1499528005502413"/>
  </r>
  <r>
    <n v="41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134300"/>
    <n v="0"/>
    <s v="BHHEPS1534134300"/>
    <s v="0930754044"/>
    <s v="JOHN E"/>
    <s v="STAHL"/>
    <m/>
    <s v="25324 SIDNEY PARK RD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824"/>
    <n v="42824.715253738403"/>
    <x v="1"/>
    <s v="C3A2A72597A24AA8B9688E48B674135A"/>
    <n v="23.192"/>
    <n v="4"/>
    <n v="31.912660854402784"/>
    <n v="4.6294175975068628"/>
    <n v="3.9162224934612029"/>
    <n v="1.1499528005502413"/>
  </r>
  <r>
    <n v="41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134301"/>
    <n v="1"/>
    <s v="BHHEPS1534134301"/>
    <s v="0854517046"/>
    <s v="DIXIE J"/>
    <s v="HOLMES"/>
    <m/>
    <s v="6917 COG HILL LN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824"/>
    <n v="42824.716399884303"/>
    <x v="1"/>
    <s v="E96A3B7A28F545729DB68C8E3AFDA31E"/>
    <n v="33.78"/>
    <n v="5.6"/>
    <n v="31.912660854402784"/>
    <n v="4.6294175975068628"/>
    <n v="3.9162224934612029"/>
    <n v="1.1499528005502413"/>
  </r>
  <r>
    <n v="41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134301"/>
    <n v="0"/>
    <s v="BHHEPS1534134301"/>
    <s v="0854517046"/>
    <s v="DIXIE J"/>
    <s v="HOLMES"/>
    <m/>
    <s v="6917 COG HILL LN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824"/>
    <n v="42824.716399884303"/>
    <x v="1"/>
    <s v="D5FE214015CB4989AA5B173B51BB21E2"/>
    <n v="32.267000000000003"/>
    <n v="4.5"/>
    <n v="31.912660854402784"/>
    <n v="4.6294175975068628"/>
    <n v="3.9162224934612029"/>
    <n v="1.1499528005502413"/>
  </r>
  <r>
    <n v="41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242056"/>
    <n v="1"/>
    <s v="BHHEPS1534242056"/>
    <s v="4182144992"/>
    <s v="TODD A"/>
    <s v="BOCKORNY"/>
    <m/>
    <s v="515 ALTA VISTA DR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35E-2"/>
    <m/>
    <n v="115.96"/>
    <m/>
    <m/>
    <m/>
    <m/>
    <m/>
    <n v="0"/>
    <n v="20"/>
    <n v="42846"/>
    <n v="42846.699536539403"/>
    <x v="1"/>
    <s v="9C28233924564EDF8420D14C595C23F3"/>
    <n v="23.192"/>
    <n v="4"/>
    <n v="31.912660854402784"/>
    <n v="4.6294175975068628"/>
    <n v="3.9162224934612029"/>
    <n v="1.1499528005502413"/>
  </r>
  <r>
    <n v="41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242551"/>
    <n v="1"/>
    <s v="BHHEPS1534242551"/>
    <s v="1351661913"/>
    <s v="BRANDON"/>
    <s v="HUBLER"/>
    <m/>
    <s v="247 1/2 N 10TH ST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846"/>
    <n v="42846.700620335701"/>
    <x v="1"/>
    <s v="BEB79FAB5CEB4349A7E0CE400DDE0ED1"/>
    <n v="33.78"/>
    <n v="5.6"/>
    <n v="31.912660854402784"/>
    <n v="4.6294175975068628"/>
    <n v="3.9162224934612029"/>
    <n v="1.1499528005502413"/>
  </r>
  <r>
    <n v="41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242551"/>
    <n v="0"/>
    <s v="BHHEPS1534242551"/>
    <s v="1351661913"/>
    <s v="BRANDON"/>
    <s v="HUBLER"/>
    <m/>
    <s v="247 1/2 N 10TH ST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7"/>
    <n v="0"/>
    <n v="2.6599999999999999E-2"/>
    <m/>
    <n v="225.869"/>
    <m/>
    <m/>
    <m/>
    <m/>
    <m/>
    <n v="0"/>
    <n v="31.5"/>
    <n v="42846"/>
    <n v="42846.700620335701"/>
    <x v="1"/>
    <s v="0E5E9E9F80EA479D9D976D6C3D483EDF"/>
    <n v="32.267000000000003"/>
    <n v="4.5"/>
    <n v="31.912660854402784"/>
    <n v="4.6294175975068628"/>
    <n v="3.9162224934612029"/>
    <n v="1.1499528005502413"/>
  </r>
  <r>
    <n v="41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243084"/>
    <n v="1"/>
    <s v="BHHEPS1534243084"/>
    <s v="6386923355"/>
    <s v="BEVERLY J"/>
    <s v="MCNEESE"/>
    <m/>
    <s v="600 4TH AVE"/>
    <s v="BELLE FOURCHE"/>
    <s v="SD"/>
    <s v="57717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14E-2"/>
    <m/>
    <n v="96.801000000000002"/>
    <m/>
    <m/>
    <m/>
    <m/>
    <m/>
    <n v="0"/>
    <n v="13.5"/>
    <n v="42846"/>
    <n v="42846.7021451736"/>
    <x v="1"/>
    <s v="6A14C1B5388743FCB1ED99444AA39F80"/>
    <n v="32.267000000000003"/>
    <n v="4.5"/>
    <n v="31.912660854402784"/>
    <n v="4.6294175975068628"/>
    <n v="3.9162224934612029"/>
    <n v="1.1499528005502413"/>
  </r>
  <r>
    <n v="42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243693"/>
    <n v="1"/>
    <s v="BHHEPS1534243693"/>
    <s v="3258244820"/>
    <s v="MATT J"/>
    <s v="KOUPAL"/>
    <m/>
    <s v="4606 WENTWORTH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846"/>
    <n v="42846.703093286997"/>
    <x v="1"/>
    <s v="DA1199F63D5F403082E7C042CF85E43F"/>
    <n v="23.192"/>
    <n v="4"/>
    <n v="31.912660854402784"/>
    <n v="4.6294175975068628"/>
    <n v="3.9162224934612029"/>
    <n v="1.1499528005502413"/>
  </r>
  <r>
    <n v="42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243693"/>
    <n v="0"/>
    <s v="BHHEPS1534243693"/>
    <s v="3258244820"/>
    <s v="MATT J"/>
    <s v="KOUPAL"/>
    <m/>
    <s v="4606 WENTWORTH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846"/>
    <n v="42846.703093286997"/>
    <x v="1"/>
    <s v="C454BB8E8605448A959FE7065B245D02"/>
    <n v="33.78"/>
    <n v="5.6"/>
    <n v="31.912660854402784"/>
    <n v="4.6294175975068628"/>
    <n v="3.9162224934612029"/>
    <n v="1.1499528005502413"/>
  </r>
  <r>
    <n v="42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243693"/>
    <n v="0"/>
    <s v="BHHEPS1534243693"/>
    <s v="3258244820"/>
    <s v="MATT J"/>
    <s v="KOUPAL"/>
    <m/>
    <s v="4606 WENTWORTH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846"/>
    <n v="42846.703093286997"/>
    <x v="1"/>
    <s v="F1C877F1C9D44D8988C44D091CCADE41"/>
    <n v="32.267000000000003"/>
    <n v="4.5"/>
    <n v="31.912660854402784"/>
    <n v="4.6294175975068628"/>
    <n v="3.9162224934612029"/>
    <n v="1.1499528005502413"/>
  </r>
  <r>
    <n v="42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357470"/>
    <n v="1"/>
    <s v="BHHEPS1534357470"/>
    <s v="0752005724"/>
    <s v="WILLIAM G"/>
    <s v="SCHLEINING"/>
    <m/>
    <s v="221 S 11TH ST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879"/>
    <n v="42879.446023148201"/>
    <x v="1"/>
    <s v="E190D68BCF294FEA9F7D73554AECB670"/>
    <n v="32.267000000000003"/>
    <n v="4.5"/>
    <n v="31.912660854402784"/>
    <n v="4.6294175975068628"/>
    <n v="3.9162224934612029"/>
    <n v="1.1499528005502413"/>
  </r>
  <r>
    <n v="42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358501"/>
    <n v="1"/>
    <s v="BHHEPS1534358501"/>
    <s v="5079633753"/>
    <s v="DOROTHY E"/>
    <s v="OLDENKAMP"/>
    <m/>
    <s v="23137 PACTOLA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879"/>
    <n v="42879.7603087963"/>
    <x v="1"/>
    <s v="36E6381272E14C3F99C2F5787298B235"/>
    <n v="32.267000000000003"/>
    <n v="4.5"/>
    <n v="31.912660854402784"/>
    <n v="4.6294175975068628"/>
    <n v="3.9162224934612029"/>
    <n v="1.1499528005502413"/>
  </r>
  <r>
    <n v="42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361697"/>
    <n v="1"/>
    <s v="BHHEPS1534361697"/>
    <s v="0752005724"/>
    <s v="WILLIAM G"/>
    <s v="SCHLEINING"/>
    <m/>
    <s v="221 S 11TH ST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880"/>
    <n v="42880.720618090301"/>
    <x v="1"/>
    <s v="C422842BDD2E459CA4A4C800794DF636"/>
    <n v="32.267000000000003"/>
    <n v="4.5"/>
    <n v="31.912660854402784"/>
    <n v="4.6294175975068628"/>
    <n v="3.9162224934612029"/>
    <n v="1.1499528005502413"/>
  </r>
  <r>
    <n v="42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1.4642144492653311"/>
    <b v="0"/>
    <b v="0"/>
    <s v=""/>
    <s v="BHHEPS1534377012"/>
    <n v="1"/>
    <s v="BHHEPS1534377012"/>
    <s v="3047726445"/>
    <s v="DELORES C"/>
    <s v="GOLDADE"/>
    <m/>
    <s v="1128 PARKWOOD RD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11.2"/>
    <n v="42886"/>
    <n v="42886.430599537001"/>
    <x v="1"/>
    <s v="E87B26F392A14D14B287AB8567DD137A"/>
    <n v="32.267000000000003"/>
    <n v="5.6"/>
    <n v="31.912660854402784"/>
    <n v="4.6294175975068628"/>
    <n v="3.9162224934612029"/>
    <n v="1.1499528005502413"/>
  </r>
  <r>
    <n v="42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377012"/>
    <n v="0"/>
    <s v="BHHEPS1534377012"/>
    <s v="3047726445"/>
    <s v="DELORES C"/>
    <s v="GOLDADE"/>
    <m/>
    <s v="1128 PARKWOOD RD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886"/>
    <n v="42886.430599537001"/>
    <x v="1"/>
    <s v="E121556081DD411089F981C643EE8274"/>
    <n v="23.192"/>
    <n v="4"/>
    <n v="31.912660854402784"/>
    <n v="4.6294175975068628"/>
    <n v="3.9162224934612029"/>
    <n v="1.1499528005502413"/>
  </r>
  <r>
    <n v="42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377012"/>
    <n v="0"/>
    <s v="BHHEPS1534377012"/>
    <s v="3047726445"/>
    <s v="DELORES C"/>
    <s v="GOLDADE"/>
    <m/>
    <s v="1128 PARKWOOD RD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886"/>
    <n v="42886.430599537001"/>
    <x v="1"/>
    <s v="0B9BDE44789D4B41806521FB39C12468"/>
    <n v="32.267000000000003"/>
    <n v="4.5"/>
    <n v="31.912660854402784"/>
    <n v="4.6294175975068628"/>
    <n v="3.9162224934612029"/>
    <n v="1.1499528005502413"/>
  </r>
  <r>
    <n v="42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377017"/>
    <n v="1"/>
    <s v="BHHEPS1534377017"/>
    <s v="4635032157"/>
    <s v="NEIL A"/>
    <s v="KLUG"/>
    <m/>
    <s v="824 W MAIN ST"/>
    <s v="LEAD"/>
    <s v="SD"/>
    <s v="57754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886"/>
    <n v="42886.432321527798"/>
    <x v="1"/>
    <s v="A75B513E52EA4EC492C7A77D6919EB04"/>
    <n v="33.78"/>
    <n v="5.6"/>
    <n v="31.912660854402784"/>
    <n v="4.6294175975068628"/>
    <n v="3.9162224934612029"/>
    <n v="1.1499528005502413"/>
  </r>
  <r>
    <n v="43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377984"/>
    <n v="1"/>
    <s v="BHHEPS1534377984"/>
    <s v="3567909410"/>
    <s v="DARREL"/>
    <s v="BURCH"/>
    <m/>
    <s v="1013 KINGSBURY ST"/>
    <s v="BELLE FOURCHE"/>
    <s v="SD"/>
    <s v="57717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886"/>
    <n v="42886.6966791667"/>
    <x v="1"/>
    <s v="989A94F497334F87A59767D12E096E76"/>
    <n v="23.192"/>
    <n v="4"/>
    <n v="31.912660854402784"/>
    <n v="4.6294175975068628"/>
    <n v="3.9162224934612029"/>
    <n v="1.1499528005502413"/>
  </r>
  <r>
    <n v="43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426000"/>
    <n v="1"/>
    <s v="BHHEPS1534426000"/>
    <s v="0752005724"/>
    <s v="WILLIAM G"/>
    <s v="SCHLEINING"/>
    <m/>
    <s v="221 S 11TH ST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898"/>
    <n v="42898.653564039298"/>
    <x v="1"/>
    <s v="786EF8E57D9C4EF0A66313F9FD979752"/>
    <n v="32.267000000000003"/>
    <n v="4.5"/>
    <n v="31.912660854402784"/>
    <n v="4.6294175975068628"/>
    <n v="3.9162224934612029"/>
    <n v="1.1499528005502413"/>
  </r>
  <r>
    <n v="43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426003"/>
    <n v="1"/>
    <s v="BHHEPS1534426003"/>
    <s v="5461790617"/>
    <s v="MARK C"/>
    <s v="FREDERICK"/>
    <m/>
    <s v="3808 MEADOWBROOK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898"/>
    <n v="42898.6552542477"/>
    <x v="1"/>
    <s v="952B9E22B769466B88DCDDE76D459D44"/>
    <n v="33.78"/>
    <n v="5.6"/>
    <n v="31.912660854402784"/>
    <n v="4.6294175975068628"/>
    <n v="3.9162224934612029"/>
    <n v="1.1499528005502413"/>
  </r>
  <r>
    <n v="433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9.706465331805364E-2"/>
    <n v="0.4214787522569125"/>
    <b v="0"/>
    <b v="0"/>
    <s v=""/>
    <s v="BHHEPS1534426046"/>
    <n v="1"/>
    <s v="BHHEPS1534426046"/>
    <s v="4658943298"/>
    <s v="JAMES R"/>
    <s v="BUCHHOLZ"/>
    <m/>
    <s v="546 ENCHANTED PINES DR"/>
    <s v="RAPID CITY"/>
    <s v="SD"/>
    <s v="57701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RL560W9830"/>
    <m/>
    <n v="56"/>
    <n v="0"/>
    <n v="0.26319999999999999"/>
    <m/>
    <n v="2230.48"/>
    <m/>
    <m/>
    <m/>
    <m/>
    <m/>
    <n v="0"/>
    <n v="560"/>
    <n v="42898"/>
    <n v="42898.673445057902"/>
    <x v="1"/>
    <s v="F308234C95024C699E7FC2B0FF12902E"/>
    <n v="39.83"/>
    <n v="10"/>
    <n v="35.519370843989762"/>
    <n v="44.409875363027503"/>
    <n v="9.3048337595907924"/>
    <n v="1.6493506177636894"/>
  </r>
  <r>
    <n v="43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463393"/>
    <n v="1"/>
    <s v="BHHEPS1534463393"/>
    <s v="0773094880"/>
    <s v="CHUCK C"/>
    <s v="SHUE"/>
    <m/>
    <s v="5570 NUGGET GULCH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14E-2"/>
    <m/>
    <n v="96.801000000000002"/>
    <m/>
    <m/>
    <m/>
    <m/>
    <m/>
    <n v="0"/>
    <n v="13.5"/>
    <n v="42909"/>
    <n v="42909.648393206"/>
    <x v="1"/>
    <s v="6D8EAF34A1874B4783332438C77FA1EE"/>
    <n v="32.267000000000003"/>
    <n v="4.5"/>
    <n v="31.912660854402784"/>
    <n v="4.6294175975068628"/>
    <n v="3.9162224934612029"/>
    <n v="1.1499528005502413"/>
  </r>
  <r>
    <n v="43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463393"/>
    <n v="0"/>
    <s v="BHHEPS1534463393"/>
    <s v="0773094880"/>
    <s v="CHUCK C"/>
    <s v="SHUE"/>
    <m/>
    <s v="5570 NUGGET GULCH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7"/>
    <n v="0"/>
    <n v="1.89E-2"/>
    <m/>
    <n v="162.34399999999999"/>
    <m/>
    <m/>
    <m/>
    <m/>
    <m/>
    <n v="0"/>
    <n v="28"/>
    <n v="42909"/>
    <n v="42909.648393206"/>
    <x v="1"/>
    <s v="E37A965629A44877B7CAB1FFF38F1E0B"/>
    <n v="23.192"/>
    <n v="4"/>
    <n v="31.912660854402784"/>
    <n v="4.6294175975068628"/>
    <n v="3.9162224934612029"/>
    <n v="1.1499528005502413"/>
  </r>
  <r>
    <n v="43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497444"/>
    <n v="1"/>
    <s v="BHHEPS1534497444"/>
    <s v="2536781811"/>
    <s v="ERNESTO A"/>
    <s v="PADILLA"/>
    <m/>
    <s v="516 SAINT JAMES ST                                APT 2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914"/>
    <n v="42921.6053982292"/>
    <x v="1"/>
    <s v="D98AA03118374BF1BC97D772CC6354B3"/>
    <n v="32.267000000000003"/>
    <n v="4.5"/>
    <n v="31.912660854402784"/>
    <n v="4.6294175975068628"/>
    <n v="3.9162224934612029"/>
    <n v="1.1499528005502413"/>
  </r>
  <r>
    <n v="43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35419"/>
    <n v="1"/>
    <s v="BHHEPS1534535419"/>
    <s v="5079633753"/>
    <s v="DOROTHY E"/>
    <s v="OLDENKAMP"/>
    <m/>
    <s v="23137 PACTOLA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9E-2"/>
    <m/>
    <n v="161.33500000000001"/>
    <m/>
    <m/>
    <m/>
    <m/>
    <m/>
    <n v="0"/>
    <n v="22.5"/>
    <n v="42927"/>
    <n v="42927.601135879602"/>
    <x v="1"/>
    <s v="9169267A9EFE49AF9911278F528169A7"/>
    <n v="32.267000000000003"/>
    <n v="4.5"/>
    <n v="31.912660854402784"/>
    <n v="4.6294175975068628"/>
    <n v="3.9162224934612029"/>
    <n v="1.1499528005502413"/>
  </r>
  <r>
    <n v="43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42851"/>
    <n v="1"/>
    <s v="BHHEPS1534542851"/>
    <s v="0752005724"/>
    <s v="WILLIAM G"/>
    <s v="SCHLEINING"/>
    <m/>
    <s v="221 S 11TH ST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929"/>
    <n v="42929.759636724499"/>
    <x v="1"/>
    <s v="C5B2D026091742C3943B5866FD9C1C3A"/>
    <n v="32.267000000000003"/>
    <n v="4.5"/>
    <n v="31.912660854402784"/>
    <n v="4.6294175975068628"/>
    <n v="3.9162224934612029"/>
    <n v="1.1499528005502413"/>
  </r>
  <r>
    <n v="43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50896"/>
    <n v="1"/>
    <s v="BHHEPS1534550896"/>
    <s v="5271807013"/>
    <s v="JESSICA C"/>
    <s v="LEGARDA"/>
    <m/>
    <s v="837 ADAMS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14E-2"/>
    <m/>
    <n v="96.801000000000002"/>
    <m/>
    <m/>
    <m/>
    <m/>
    <m/>
    <n v="0"/>
    <n v="13.5"/>
    <n v="42933"/>
    <n v="42933.560542164298"/>
    <x v="1"/>
    <s v="B6F2BDACC2BF4311A202CFBC4975B448"/>
    <n v="32.267000000000003"/>
    <n v="4.5"/>
    <n v="31.912660854402784"/>
    <n v="4.6294175975068628"/>
    <n v="3.9162224934612029"/>
    <n v="1.1499528005502413"/>
  </r>
  <r>
    <n v="44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550896"/>
    <n v="0"/>
    <s v="BHHEPS1534550896"/>
    <s v="5271807013"/>
    <s v="JESSICA C"/>
    <s v="LEGARDA"/>
    <m/>
    <s v="837 ADAMS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933"/>
    <n v="42933.560542164298"/>
    <x v="1"/>
    <s v="0012779FDDFC417C964D9D7E6223ACF4"/>
    <n v="33.78"/>
    <n v="5.6"/>
    <n v="31.912660854402784"/>
    <n v="4.6294175975068628"/>
    <n v="3.9162224934612029"/>
    <n v="1.1499528005502413"/>
  </r>
  <r>
    <n v="44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54634"/>
    <n v="1"/>
    <s v="BHHEPS1534554634"/>
    <s v="3743279711"/>
    <s v="DAVID G"/>
    <s v="PARKER"/>
    <m/>
    <s v="327 SAN MARCO BLVD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0"/>
    <n v="0"/>
    <n v="7.5999999999999998E-2"/>
    <m/>
    <n v="645.34"/>
    <m/>
    <m/>
    <m/>
    <m/>
    <m/>
    <n v="0"/>
    <n v="90"/>
    <n v="42934"/>
    <n v="42934.512228969899"/>
    <x v="1"/>
    <s v="B6384D94A67D4D1DA24985993A84BD28"/>
    <n v="32.267000000000003"/>
    <n v="4.5"/>
    <n v="31.912660854402784"/>
    <n v="4.6294175975068628"/>
    <n v="3.9162224934612029"/>
    <n v="1.1499528005502413"/>
  </r>
  <r>
    <n v="44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554634"/>
    <n v="0"/>
    <s v="BHHEPS1534554634"/>
    <s v="3743279711"/>
    <s v="DAVID G"/>
    <s v="PARKER"/>
    <m/>
    <s v="327 SAN MARCO BLVD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9"/>
    <n v="0"/>
    <n v="2.4299999999999999E-2"/>
    <m/>
    <n v="208.72800000000001"/>
    <m/>
    <m/>
    <m/>
    <m/>
    <m/>
    <n v="0"/>
    <n v="36"/>
    <n v="42934"/>
    <n v="42934.512228969899"/>
    <x v="1"/>
    <s v="B30ECD63635742379654D54738B54543"/>
    <n v="23.192"/>
    <n v="4"/>
    <n v="31.912660854402784"/>
    <n v="4.6294175975068628"/>
    <n v="3.9162224934612029"/>
    <n v="1.1499528005502413"/>
  </r>
  <r>
    <n v="44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7793969391457676"/>
    <b v="0"/>
    <b v="0"/>
    <s v=""/>
    <s v="BHHEPS1534569186"/>
    <n v="1"/>
    <s v="BHHEPS1534569186"/>
    <s v="5773829573"/>
    <s v="SHANNON K"/>
    <s v="HOLSTEIN"/>
    <m/>
    <s v="3013 MOTHERLODE DR"/>
    <s v="RAPID CITY"/>
    <s v="SD"/>
    <s v="57702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8"/>
    <n v="0"/>
    <n v="3.2000000000000001E-2"/>
    <m/>
    <n v="274.27199999999999"/>
    <m/>
    <m/>
    <m/>
    <m/>
    <m/>
    <n v="0"/>
    <n v="14.96"/>
    <n v="42937"/>
    <n v="42937.778202083296"/>
    <x v="1"/>
    <s v="DBC30244870749AFB6EEE741498AF240"/>
    <n v="34.283999999999999"/>
    <n v="1.87"/>
    <n v="31.912660854402784"/>
    <n v="4.6294175975068628"/>
    <n v="3.9162224934612029"/>
    <n v="1.1499528005502413"/>
  </r>
  <r>
    <n v="44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12"/>
    <n v="0.94245390421260777"/>
    <b v="0"/>
    <b v="0"/>
    <s v=""/>
    <s v="BHHEPS1534569194"/>
    <n v="1"/>
    <s v="BHHEPS1534569194"/>
    <s v="3341566170"/>
    <s v="DEBRA D"/>
    <s v="BISGAARD"/>
    <m/>
    <s v="8537 STABLES DR"/>
    <s v="PIEDMONT"/>
    <s v="SD"/>
    <s v="57769"/>
    <x v="53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8"/>
    <m/>
    <n v="4"/>
    <n v="0"/>
    <n v="1.7600000000000001E-2"/>
    <m/>
    <n v="149.23599999999999"/>
    <m/>
    <m/>
    <m/>
    <m/>
    <m/>
    <n v="0"/>
    <n v="20"/>
    <n v="42937"/>
    <n v="42937.805287384297"/>
    <x v="1"/>
    <s v="122DAB358416497E8EBB574E9959A529"/>
    <n v="37.308999999999997"/>
    <n v="5"/>
    <n v="31.912660854402784"/>
    <n v="4.6294175975068628"/>
    <n v="3.9162224934612029"/>
    <n v="1.1499528005502413"/>
  </r>
  <r>
    <n v="44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0.49895744091779276"/>
    <b v="0"/>
    <b v="0"/>
    <s v=""/>
    <s v="BHHEPS1534569194"/>
    <n v="0"/>
    <s v="BHHEPS1534569194"/>
    <s v="3341566170"/>
    <s v="DEBRA D"/>
    <s v="BISGAARD"/>
    <m/>
    <s v="8537 STABLES DR"/>
    <s v="PIEDMONT"/>
    <s v="SD"/>
    <s v="57769"/>
    <x v="53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6"/>
    <m/>
    <n v="4"/>
    <n v="0"/>
    <n v="1.4800000000000001E-2"/>
    <m/>
    <n v="125.036"/>
    <m/>
    <m/>
    <m/>
    <m/>
    <m/>
    <n v="0"/>
    <n v="17.96"/>
    <n v="42937"/>
    <n v="42937.805287384297"/>
    <x v="1"/>
    <s v="5A936476456B42D399E404047E78A182"/>
    <n v="31.259"/>
    <n v="4.49"/>
    <n v="31.912660854402784"/>
    <n v="4.6294175975068628"/>
    <n v="3.9162224934612029"/>
    <n v="1.1499528005502413"/>
  </r>
  <r>
    <n v="44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28"/>
    <n v="0.94245390421260777"/>
    <b v="0"/>
    <b v="0"/>
    <s v=""/>
    <s v="BHHEPS1534569197"/>
    <n v="1"/>
    <s v="BHHEPS1534569197"/>
    <s v="1169205080"/>
    <s v="PATRICK J"/>
    <s v="OCONNOR"/>
    <m/>
    <s v="7280 CASTLEWOOD DR"/>
    <s v="SUMMERSET"/>
    <s v="SD"/>
    <s v="57718"/>
    <x v="53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9"/>
    <m/>
    <n v="3"/>
    <n v="0"/>
    <n v="1.32E-2"/>
    <m/>
    <n v="111.92700000000001"/>
    <m/>
    <m/>
    <m/>
    <m/>
    <m/>
    <n v="0"/>
    <n v="15"/>
    <n v="42937"/>
    <n v="42937.811945798603"/>
    <x v="1"/>
    <s v="7195CB8CC7BF47DFB25A4206B6964659"/>
    <n v="37.309000000000005"/>
    <n v="5"/>
    <n v="31.912660854402784"/>
    <n v="4.6294175975068628"/>
    <n v="3.9162224934612029"/>
    <n v="1.1499528005502413"/>
  </r>
  <r>
    <n v="447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2.7817480546640867E-2"/>
    <n v="-0.79718268840468876"/>
    <b v="0"/>
    <b v="0"/>
    <s v=""/>
    <s v="BHHEPS1534569199"/>
    <n v="1"/>
    <s v="BHHEPS1534569199"/>
    <s v="6791985603"/>
    <s v="KELLY"/>
    <s v="VORACHEK"/>
    <m/>
    <s v="9191 N EMERALD RIDGE RD"/>
    <s v="RAPID CITY"/>
    <s v="SD"/>
    <s v="57702"/>
    <x v="54"/>
    <s v="5660 E WOODMAN ROAD"/>
    <s v="COLORADO SPRINGS"/>
    <s v="CO"/>
    <s v="80920"/>
    <s v="719-495-2400"/>
    <m/>
    <s v="Residential Lighting &amp; Appliances :- ES Star Fixture :- Customer Incentives"/>
    <s v="ENERGY STAR LED Fixture"/>
    <m/>
    <m/>
    <m/>
    <m/>
    <m/>
    <m/>
    <m/>
    <m/>
    <m/>
    <m/>
    <m/>
    <m/>
    <m/>
    <s v="cer4730my27"/>
    <m/>
    <n v="1"/>
    <n v="0"/>
    <n v="4.0000000000000001E-3"/>
    <m/>
    <n v="34.283999999999999"/>
    <m/>
    <m/>
    <m/>
    <m/>
    <m/>
    <n v="0"/>
    <n v="7.99"/>
    <n v="42937"/>
    <n v="42937.816817476902"/>
    <x v="1"/>
    <s v="D09EDCB7E32C4B67AF8E773B418C5851"/>
    <n v="34.283999999999999"/>
    <n v="7.99"/>
    <n v="35.519370843989762"/>
    <n v="44.409875363027503"/>
    <n v="9.3048337595907924"/>
    <n v="1.6493506177636894"/>
  </r>
  <r>
    <n v="448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6.1886479561657562E-2"/>
    <n v="-3.5194662051064753"/>
    <b v="0"/>
    <b v="1"/>
    <s v=""/>
    <s v="BHHEPS1534569199"/>
    <n v="0"/>
    <s v="BHHEPS1534569199"/>
    <s v="6791985603"/>
    <s v="KELLY"/>
    <s v="VORACHEK"/>
    <m/>
    <s v="9191 N EMERALD RIDGE RD"/>
    <s v="RAPID CITY"/>
    <s v="SD"/>
    <s v="57702"/>
    <x v="54"/>
    <s v="5660 E WOODMAN ROAD"/>
    <s v="COLORADO SPRINGS"/>
    <s v="CO"/>
    <s v="80920"/>
    <s v="719-495-2400"/>
    <m/>
    <s v="Residential Lighting &amp; Appliances :- ES Star Fixture :- Customer Incentives"/>
    <s v="ENERGY STAR LED Fixture"/>
    <m/>
    <m/>
    <m/>
    <m/>
    <m/>
    <m/>
    <m/>
    <m/>
    <m/>
    <m/>
    <m/>
    <m/>
    <m/>
    <s v="dl-n18a10fr1-27"/>
    <m/>
    <n v="20"/>
    <n v="0"/>
    <n v="7.8E-2"/>
    <m/>
    <n v="655.42"/>
    <m/>
    <m/>
    <m/>
    <m/>
    <m/>
    <n v="0"/>
    <n v="70"/>
    <n v="42937"/>
    <n v="42937.816817476902"/>
    <x v="1"/>
    <s v="0BEC6ECB91AB41B08547751E969601D1"/>
    <n v="32.771000000000001"/>
    <n v="3.5"/>
    <n v="35.519370843989762"/>
    <n v="44.409875363027503"/>
    <n v="9.3048337595907924"/>
    <n v="1.6493506177636894"/>
  </r>
  <r>
    <n v="44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12"/>
    <n v="0.72505367710730617"/>
    <b v="0"/>
    <b v="0"/>
    <s v=""/>
    <s v="BHHEPS1534575413"/>
    <n v="1"/>
    <s v="BHHEPS1534575413"/>
    <s v="2895217110"/>
    <s v="RICHARD E"/>
    <s v="SCOTT"/>
    <m/>
    <s v="7904 WOODLAND DR"/>
    <s v="BLACK HAWK"/>
    <s v="SD"/>
    <s v="57718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3190"/>
    <m/>
    <n v="8"/>
    <n v="0"/>
    <n v="3.5200000000000002E-2"/>
    <m/>
    <n v="298.47199999999998"/>
    <m/>
    <m/>
    <m/>
    <m/>
    <m/>
    <n v="0"/>
    <n v="38"/>
    <n v="42940"/>
    <n v="42940.726356250001"/>
    <x v="1"/>
    <s v="ACBED4D0855B4F659922C665DE6DF132"/>
    <n v="37.308999999999997"/>
    <n v="4.75"/>
    <n v="31.912660854402784"/>
    <n v="4.6294175975068628"/>
    <n v="3.9162224934612029"/>
    <n v="1.1499528005502413"/>
  </r>
  <r>
    <n v="45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2.1014869904244713"/>
    <n v="-0.37064346750341348"/>
    <b v="1"/>
    <b v="0"/>
    <s v=""/>
    <s v="BHHEPS1534575413"/>
    <n v="0"/>
    <s v="BHHEPS1534575413"/>
    <s v="2895217110"/>
    <s v="RICHARD E"/>
    <s v="SCOTT"/>
    <m/>
    <s v="7904 WOODLAND DR"/>
    <s v="BLACK HAWK"/>
    <s v="SD"/>
    <s v="57718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50W PAR 20 D LED"/>
    <m/>
    <n v="4"/>
    <n v="0"/>
    <n v="1.04E-2"/>
    <m/>
    <n v="88.736000000000004"/>
    <m/>
    <m/>
    <m/>
    <m/>
    <m/>
    <n v="0"/>
    <n v="13.96"/>
    <n v="42940"/>
    <n v="42940.726356250001"/>
    <x v="1"/>
    <s v="0B6B48FE585E437583B876FFA452330D"/>
    <n v="22.184000000000001"/>
    <n v="3.49"/>
    <n v="31.912660854402784"/>
    <n v="4.6294175975068628"/>
    <n v="3.9162224934612029"/>
    <n v="1.1499528005502413"/>
  </r>
  <r>
    <n v="45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7793969391457676"/>
    <b v="0"/>
    <b v="0"/>
    <s v=""/>
    <s v="BHHEPS1534575413"/>
    <n v="0"/>
    <s v="BHHEPS1534575413"/>
    <s v="2895217110"/>
    <s v="RICHARD E"/>
    <s v="SCOTT"/>
    <m/>
    <s v="7904 WOODLAND DR"/>
    <s v="BLACK HAWK"/>
    <s v="SD"/>
    <s v="57718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16"/>
    <n v="0"/>
    <n v="6.4000000000000001E-2"/>
    <m/>
    <n v="548.54399999999998"/>
    <m/>
    <m/>
    <m/>
    <m/>
    <m/>
    <n v="0"/>
    <n v="29.92"/>
    <n v="42940"/>
    <n v="42940.726356250001"/>
    <x v="1"/>
    <s v="989A3CE240004B72A97F97B25D646DC3"/>
    <n v="34.283999999999999"/>
    <n v="1.87"/>
    <n v="31.912660854402784"/>
    <n v="4.6294175975068628"/>
    <n v="3.9162224934612029"/>
    <n v="1.1499528005502413"/>
  </r>
  <r>
    <n v="45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77280"/>
    <n v="1"/>
    <s v="BHHEPS1534577280"/>
    <s v="1594299001"/>
    <s v="SAMUEL J"/>
    <s v="FOX"/>
    <m/>
    <s v="1306 ELM ST"/>
    <s v="WHITEWOOD"/>
    <s v="SD"/>
    <s v="57793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941"/>
    <n v="42941.428206169003"/>
    <x v="1"/>
    <s v="3ABFB6150E3C448DB246E48C3471A4A1"/>
    <n v="32.267000000000003"/>
    <n v="4.5"/>
    <n v="31.912660854402784"/>
    <n v="4.6294175975068628"/>
    <n v="3.9162224934612029"/>
    <n v="1.1499528005502413"/>
  </r>
  <r>
    <n v="45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77329"/>
    <n v="1"/>
    <s v="BHHEPS1534577329"/>
    <s v="9084269538"/>
    <s v="CHANDLER B"/>
    <s v="SUTHERLAND"/>
    <m/>
    <s v="501 CITY SPRINGS RD                               APT 11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941"/>
    <n v="42941.443959837998"/>
    <x v="1"/>
    <s v="A6FF3BB9CEF543A1934AABE6F8BCA4B1"/>
    <n v="32.267000000000003"/>
    <n v="4.5"/>
    <n v="31.912660854402784"/>
    <n v="4.6294175975068628"/>
    <n v="3.9162224934612029"/>
    <n v="1.1499528005502413"/>
  </r>
  <r>
    <n v="45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77571"/>
    <n v="1"/>
    <s v="BHHEPS1534577571"/>
    <s v="5271807013"/>
    <s v="JESSICA C"/>
    <s v="LEGARDA"/>
    <m/>
    <s v="837 ADAMS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9E-2"/>
    <m/>
    <n v="161.33500000000001"/>
    <m/>
    <m/>
    <m/>
    <m/>
    <m/>
    <n v="0"/>
    <n v="22.5"/>
    <n v="42941"/>
    <n v="42941.515431979198"/>
    <x v="1"/>
    <s v="E10FF516339C4E5A9986FC8D6F42DA3A"/>
    <n v="32.267000000000003"/>
    <n v="4.5"/>
    <n v="31.912660854402784"/>
    <n v="4.6294175975068628"/>
    <n v="3.9162224934612029"/>
    <n v="1.1499528005502413"/>
  </r>
  <r>
    <n v="45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0.94245390421260777"/>
    <b v="0"/>
    <b v="0"/>
    <s v=""/>
    <s v="BHHEPS1534580376"/>
    <n v="1"/>
    <s v="BHHEPS1534580376"/>
    <s v="7573021142"/>
    <s v="JULIE"/>
    <s v="WOOD"/>
    <m/>
    <s v="510 COLUMBUS ST"/>
    <s v="RAPID CITY"/>
    <s v="SD"/>
    <s v="57701"/>
    <x v="10"/>
    <s v="1936 MARLIN DR"/>
    <s v="RAPID CITY"/>
    <s v="SD"/>
    <s v="57703"/>
    <s v="605-348-7100"/>
    <s v="jwood@dsginc.biz"/>
    <s v="Residential Lighting &amp; Appliances :- LED :- Customer Incentives"/>
    <s v="LED"/>
    <m/>
    <m/>
    <m/>
    <m/>
    <m/>
    <m/>
    <m/>
    <m/>
    <m/>
    <m/>
    <m/>
    <m/>
    <m/>
    <m/>
    <m/>
    <n v="16"/>
    <n v="0"/>
    <n v="6.4000000000000001E-2"/>
    <m/>
    <n v="548.54399999999998"/>
    <m/>
    <m/>
    <m/>
    <m/>
    <m/>
    <n v="0"/>
    <n v="80"/>
    <n v="42949"/>
    <n v="42942.486203472203"/>
    <x v="1"/>
    <s v="97B9993BA1B9455C91171E85E0AEB60A"/>
    <n v="34.283999999999999"/>
    <n v="5"/>
    <n v="31.912660854402784"/>
    <n v="4.6294175975068628"/>
    <n v="3.9162224934612029"/>
    <n v="1.1499528005502413"/>
  </r>
  <r>
    <n v="45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0.27498736757708087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x v="10"/>
    <s v="1936 MARLIN DR"/>
    <s v="RAPID CITY"/>
    <s v="SD"/>
    <s v="57703"/>
    <s v="605-348-7100"/>
    <s v="jwood@dsginc.biz"/>
    <s v="Residential Lighting &amp; Appliances :- LED :- Customer Incentives"/>
    <s v="LED"/>
    <m/>
    <m/>
    <m/>
    <m/>
    <m/>
    <m/>
    <m/>
    <m/>
    <m/>
    <m/>
    <m/>
    <m/>
    <m/>
    <s v="9A19G4DIM/827"/>
    <m/>
    <n v="6"/>
    <n v="0"/>
    <n v="2.4E-2"/>
    <m/>
    <n v="205.70400000000001"/>
    <m/>
    <m/>
    <m/>
    <m/>
    <m/>
    <n v="0"/>
    <n v="21.6"/>
    <n v="42949"/>
    <n v="42942.486203472203"/>
    <x v="1"/>
    <s v="0107ECE13A50454897B7D9B1B9A5EB39"/>
    <n v="34.283999999999999"/>
    <n v="3.6"/>
    <n v="31.912660854402784"/>
    <n v="4.6294175975068628"/>
    <n v="3.9162224934612029"/>
    <n v="1.1499528005502413"/>
  </r>
  <r>
    <n v="457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6.2995654303036955E-2"/>
    <n v="-0.24545039437381444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x v="10"/>
    <s v="1936 MARLIN DR"/>
    <s v="RAPID CITY"/>
    <s v="SD"/>
    <s v="57703"/>
    <s v="605-348-7100"/>
    <s v="jwood@dsginc.biz"/>
    <s v="Residential Lighting &amp; Appliances :- ES Star Fixture :- Customer Incentives"/>
    <s v="ENERGY STAR LED Fixture"/>
    <m/>
    <m/>
    <m/>
    <m/>
    <m/>
    <m/>
    <m/>
    <m/>
    <m/>
    <m/>
    <m/>
    <m/>
    <m/>
    <s v="FM306930BZ"/>
    <m/>
    <n v="1"/>
    <n v="0"/>
    <n v="4.4999999999999997E-3"/>
    <m/>
    <n v="38.317"/>
    <m/>
    <m/>
    <m/>
    <m/>
    <m/>
    <n v="0"/>
    <n v="8.9"/>
    <n v="42949"/>
    <n v="42942.486203472203"/>
    <x v="1"/>
    <s v="E3E678D61AB34810B28C120A4DE6879B"/>
    <n v="38.317"/>
    <n v="8.9"/>
    <n v="35.519370843989762"/>
    <n v="44.409875363027503"/>
    <n v="9.3048337595907924"/>
    <n v="1.6493506177636894"/>
  </r>
  <r>
    <n v="458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7.4344481469969109E-2"/>
    <n v="-8.7812596079279062E-2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x v="10"/>
    <s v="1936 MARLIN DR"/>
    <s v="RAPID CITY"/>
    <s v="SD"/>
    <s v="57703"/>
    <s v="605-348-7100"/>
    <s v="jwood@dsginc.biz"/>
    <s v="Residential Lighting &amp; Appliances :- ES Star Fixture :- Customer Incentives"/>
    <s v="ENERGY STAR LED Fixture"/>
    <m/>
    <m/>
    <m/>
    <m/>
    <m/>
    <m/>
    <m/>
    <m/>
    <m/>
    <m/>
    <m/>
    <m/>
    <m/>
    <s v="14.5SMDL6DIM/927"/>
    <m/>
    <n v="2"/>
    <n v="0"/>
    <n v="9.1999999999999998E-3"/>
    <m/>
    <n v="77.641999999999996"/>
    <m/>
    <m/>
    <m/>
    <m/>
    <m/>
    <n v="0"/>
    <n v="18.32"/>
    <n v="42949"/>
    <n v="42942.486203472203"/>
    <x v="1"/>
    <s v="D0D6E6C8F08C4CD3ABFB1CBCBACA2CB7"/>
    <n v="38.820999999999998"/>
    <n v="9.16"/>
    <n v="35.519370843989762"/>
    <n v="44.409875363027503"/>
    <n v="9.3048337595907924"/>
    <n v="1.6493506177636894"/>
  </r>
  <r>
    <n v="459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7.4344481469969109E-2"/>
    <n v="0.4214787522569125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x v="10"/>
    <s v="1936 MARLIN DR"/>
    <s v="RAPID CITY"/>
    <s v="SD"/>
    <s v="57703"/>
    <s v="605-348-7100"/>
    <s v="jwood@dsginc.biz"/>
    <s v="Residential Lighting &amp; Appliances :- ES Star Fixture :- Customer Incentives"/>
    <s v="ENERGY STAR LED Fixture"/>
    <m/>
    <m/>
    <m/>
    <m/>
    <m/>
    <m/>
    <m/>
    <m/>
    <m/>
    <m/>
    <m/>
    <m/>
    <m/>
    <s v="14.5SMDL6G4DIM/930"/>
    <m/>
    <n v="1"/>
    <n v="0"/>
    <n v="4.5999999999999999E-3"/>
    <m/>
    <n v="38.820999999999998"/>
    <m/>
    <m/>
    <m/>
    <m/>
    <m/>
    <n v="0"/>
    <n v="10"/>
    <n v="42949"/>
    <n v="42942.486203472203"/>
    <x v="1"/>
    <s v="679DB5DAA96E4FF2AC8EAE4DA1AFF6CC"/>
    <n v="38.820999999999998"/>
    <n v="10"/>
    <n v="35.519370843989762"/>
    <n v="44.409875363027503"/>
    <n v="9.3048337595907924"/>
    <n v="1.6493506177636894"/>
  </r>
  <r>
    <n v="460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9.5932961062454206E-2"/>
    <n v="-0.42734016163674043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x v="10"/>
    <s v="1936 MARLIN DR"/>
    <s v="RAPID CITY"/>
    <s v="SD"/>
    <s v="57703"/>
    <s v="605-348-7100"/>
    <s v="jwood@dsginc.biz"/>
    <s v="Residential Lighting &amp; Appliances :- ES Star Fixture :- Customer Incentives"/>
    <s v="ENERGY STAR LED Fixture"/>
    <m/>
    <m/>
    <m/>
    <m/>
    <m/>
    <m/>
    <m/>
    <m/>
    <m/>
    <m/>
    <m/>
    <m/>
    <m/>
    <s v="12DLSDIM/927"/>
    <m/>
    <n v="1"/>
    <n v="0"/>
    <n v="3.7000000000000002E-3"/>
    <m/>
    <n v="31.259"/>
    <m/>
    <m/>
    <m/>
    <m/>
    <m/>
    <n v="0"/>
    <n v="8.6"/>
    <n v="42949"/>
    <n v="42942.486203472203"/>
    <x v="1"/>
    <s v="175FC5C6E34642079447454967FA684B"/>
    <n v="31.259"/>
    <n v="8.6"/>
    <n v="35.519370843989762"/>
    <n v="44.409875363027503"/>
    <n v="9.3048337595907924"/>
    <n v="1.6493506177636894"/>
  </r>
  <r>
    <n v="46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94095"/>
    <n v="1"/>
    <s v="BHHEPS1534594095"/>
    <s v="9084269538"/>
    <s v="CHANDLER B"/>
    <s v="SUTHERLAND"/>
    <m/>
    <s v="501 CITY SPRINGS RD                               APT 11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8"/>
    <n v="0"/>
    <n v="3.04E-2"/>
    <m/>
    <n v="258.13600000000002"/>
    <m/>
    <m/>
    <m/>
    <m/>
    <m/>
    <n v="0"/>
    <n v="36"/>
    <n v="42944"/>
    <n v="42944.685320451397"/>
    <x v="1"/>
    <s v="D7AD82BB191542D5A1500322B928CFE7"/>
    <n v="32.267000000000003"/>
    <n v="4.5"/>
    <n v="31.912660854402784"/>
    <n v="4.6294175975068628"/>
    <n v="3.9162224934612029"/>
    <n v="1.1499528005502413"/>
  </r>
  <r>
    <n v="46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3.3122772436817591E-2"/>
    <n v="0.82070977703363912"/>
    <b v="0"/>
    <b v="0"/>
    <s v=""/>
    <s v="BHHEPS1534609507"/>
    <n v="1"/>
    <s v="BHHEPS1534609507"/>
    <s v="9471995400"/>
    <s v="MICHAEL D"/>
    <s v="BRAND"/>
    <m/>
    <s v="4515 LAHINCH ST"/>
    <s v="RAPID CITY"/>
    <s v="SD"/>
    <s v="57701"/>
    <x v="55"/>
    <s v="WEBSITE"/>
    <s v="WEBSITE"/>
    <s v="SD"/>
    <s v="57701"/>
    <m/>
    <m/>
    <s v="Residential Lighting &amp; Appliances :- LED :- Customer Incentives"/>
    <s v="LED"/>
    <m/>
    <m/>
    <m/>
    <m/>
    <m/>
    <m/>
    <m/>
    <m/>
    <m/>
    <m/>
    <m/>
    <m/>
    <m/>
    <s v="SA19-11027MDFD-12DE26-1-11"/>
    <m/>
    <n v="1"/>
    <n v="0"/>
    <n v="3.8E-3"/>
    <m/>
    <n v="32.066000000000003"/>
    <m/>
    <m/>
    <m/>
    <m/>
    <m/>
    <n v="0"/>
    <n v="4.8600000000000003"/>
    <n v="42949"/>
    <n v="42949.573773958298"/>
    <x v="1"/>
    <s v="FE1882CDCBD14CB6A196E9BC2D8812BC"/>
    <n v="32.066000000000003"/>
    <n v="4.8600000000000003"/>
    <n v="31.912660854402784"/>
    <n v="4.6294175975068628"/>
    <n v="3.9162224934612029"/>
    <n v="1.1499528005502413"/>
  </r>
  <r>
    <n v="46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25086074460481689"/>
    <n v="6.4156986707189251E-2"/>
    <b v="0"/>
    <b v="0"/>
    <s v=""/>
    <s v="BHHEPS1534609507"/>
    <n v="0"/>
    <s v="BHHEPS1534609507"/>
    <s v="9471995400"/>
    <s v="MICHAEL D"/>
    <s v="BRAND"/>
    <m/>
    <s v="4515 LAHINCH ST"/>
    <s v="RAPID CITY"/>
    <s v="SD"/>
    <s v="57701"/>
    <x v="55"/>
    <s v="WEBSITE"/>
    <s v="WEBSITE"/>
    <s v="SD"/>
    <s v="57701"/>
    <m/>
    <m/>
    <s v="Residential Lighting &amp; Appliances :- LED :- Customer Incentives"/>
    <s v="LED"/>
    <m/>
    <m/>
    <m/>
    <m/>
    <m/>
    <m/>
    <m/>
    <m/>
    <m/>
    <m/>
    <m/>
    <m/>
    <m/>
    <s v="SA1911050MDFD-12DE26-1-11"/>
    <m/>
    <n v="14"/>
    <n v="0"/>
    <n v="5.4600000000000003E-2"/>
    <m/>
    <n v="463.036"/>
    <m/>
    <m/>
    <m/>
    <m/>
    <m/>
    <n v="0"/>
    <n v="55.86"/>
    <n v="42949"/>
    <n v="42949.573773958298"/>
    <x v="1"/>
    <s v="323324079384438BB73B94C6A12629E9"/>
    <n v="33.073999999999998"/>
    <n v="3.9899999999999998"/>
    <n v="31.912660854402784"/>
    <n v="4.6294175975068628"/>
    <n v="3.9162224934612029"/>
    <n v="1.1499528005502413"/>
  </r>
  <r>
    <n v="46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3.3122772436816057E-2"/>
    <n v="3.2849231177049599E-3"/>
    <b v="0"/>
    <b v="0"/>
    <s v=""/>
    <s v="BHHEPS1534609507"/>
    <n v="0"/>
    <s v="BHHEPS1534609507"/>
    <s v="9471995400"/>
    <s v="MICHAEL D"/>
    <s v="BRAND"/>
    <m/>
    <s v="4515 LAHINCH ST"/>
    <s v="RAPID CITY"/>
    <s v="SD"/>
    <s v="57701"/>
    <x v="55"/>
    <s v="WEBSITE"/>
    <s v="WEBSITE"/>
    <s v="SD"/>
    <s v="57701"/>
    <m/>
    <m/>
    <s v="Residential Lighting &amp; Appliances :- LED :- Customer Incentives"/>
    <s v="LED"/>
    <m/>
    <m/>
    <m/>
    <m/>
    <m/>
    <m/>
    <m/>
    <m/>
    <m/>
    <m/>
    <m/>
    <m/>
    <m/>
    <s v="SA1911027MDFD-12DE26-1-11"/>
    <m/>
    <n v="24"/>
    <n v="0"/>
    <n v="9.1200000000000003E-2"/>
    <m/>
    <n v="769.58399999999995"/>
    <m/>
    <m/>
    <m/>
    <m/>
    <m/>
    <n v="0"/>
    <n v="94.08"/>
    <n v="42949"/>
    <n v="42949.573773958298"/>
    <x v="1"/>
    <s v="83418D3431324A2AB47776EE5115EAE7"/>
    <n v="32.065999999999995"/>
    <n v="3.92"/>
    <n v="31.912660854402784"/>
    <n v="4.6294175975068628"/>
    <n v="3.9162224934612029"/>
    <n v="1.1499528005502413"/>
  </r>
  <r>
    <n v="46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7707009300615557"/>
    <b v="0"/>
    <b v="0"/>
    <s v=""/>
    <s v="BHHEPS1534661516"/>
    <n v="1"/>
    <s v="BHHEPS1534661516"/>
    <s v="5511178400"/>
    <s v="ANN J"/>
    <s v="HERRERA"/>
    <m/>
    <s v="3426 GRAY FOX CT"/>
    <s v="RAPID CITY"/>
    <s v="SD"/>
    <s v="57701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OM60 830 LED 4"/>
    <m/>
    <n v="4"/>
    <n v="0"/>
    <n v="1.6E-2"/>
    <m/>
    <n v="135.12"/>
    <m/>
    <m/>
    <m/>
    <m/>
    <m/>
    <n v="0"/>
    <n v="7.52"/>
    <n v="42954"/>
    <n v="42954.5407716435"/>
    <x v="1"/>
    <s v="C5B791C9FA5440CC939084A1A2B67118"/>
    <n v="33.78"/>
    <n v="1.88"/>
    <n v="31.912660854402784"/>
    <n v="4.6294175975068628"/>
    <n v="3.9162224934612029"/>
    <n v="1.1499528005502413"/>
  </r>
  <r>
    <n v="46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7793969391457676"/>
    <b v="0"/>
    <b v="0"/>
    <s v=""/>
    <s v="BHHEPS1534661516"/>
    <n v="0"/>
    <s v="BHHEPS1534661516"/>
    <s v="5511178400"/>
    <s v="ANN J"/>
    <s v="HERRERA"/>
    <m/>
    <s v="3426 GRAY FOX CT"/>
    <s v="RAPID CITY"/>
    <s v="SD"/>
    <s v="57701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8"/>
    <n v="0"/>
    <n v="3.2000000000000001E-2"/>
    <m/>
    <n v="274.27199999999999"/>
    <m/>
    <m/>
    <m/>
    <m/>
    <m/>
    <n v="0"/>
    <n v="14.96"/>
    <n v="42954"/>
    <n v="42954.5407716435"/>
    <x v="1"/>
    <s v="81D1E7B946544043B31DD9CED89369B1"/>
    <n v="34.283999999999999"/>
    <n v="1.87"/>
    <n v="31.912660854402784"/>
    <n v="4.6294175975068628"/>
    <n v="3.9162224934612029"/>
    <n v="1.1499528005502413"/>
  </r>
  <r>
    <n v="46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-0.36194745841920162"/>
    <b v="0"/>
    <b v="0"/>
    <s v=""/>
    <s v="BHHEPS1534661516"/>
    <n v="0"/>
    <s v="BHHEPS1534661516"/>
    <s v="5511178400"/>
    <s v="ANN J"/>
    <s v="HERRERA"/>
    <m/>
    <s v="3426 GRAY FOX CT"/>
    <s v="RAPID CITY"/>
    <s v="SD"/>
    <s v="57701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427"/>
    <m/>
    <n v="8"/>
    <n v="0"/>
    <n v="2.9600000000000001E-2"/>
    <m/>
    <n v="250.072"/>
    <m/>
    <m/>
    <m/>
    <m/>
    <m/>
    <n v="0"/>
    <n v="28"/>
    <n v="42954"/>
    <n v="42954.5407716435"/>
    <x v="1"/>
    <s v="18EDD590E52749A490BA41D3236343FC"/>
    <n v="31.259"/>
    <n v="3.5"/>
    <n v="31.912660854402784"/>
    <n v="4.6294175975068628"/>
    <n v="3.9162224934612029"/>
    <n v="1.1499528005502413"/>
  </r>
  <r>
    <n v="46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-2.2141973933563706"/>
    <b v="0"/>
    <b v="1"/>
    <s v=""/>
    <s v="BHHEPS1534661516"/>
    <n v="0"/>
    <s v="BHHEPS1534661516"/>
    <s v="5511178400"/>
    <s v="ANN J"/>
    <s v="HERRERA"/>
    <m/>
    <s v="3426 GRAY FOX CT"/>
    <s v="RAPID CITY"/>
    <s v="SD"/>
    <s v="57701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OM40 830 LED 4"/>
    <m/>
    <n v="4"/>
    <n v="0"/>
    <n v="1.0800000000000001E-2"/>
    <m/>
    <n v="92.768000000000001"/>
    <m/>
    <m/>
    <m/>
    <m/>
    <m/>
    <n v="0"/>
    <n v="5.48"/>
    <n v="42954"/>
    <n v="42954.5407716435"/>
    <x v="1"/>
    <s v="D3B3EEF132C94AC1AE74F2520532CB70"/>
    <n v="23.192"/>
    <n v="1.37"/>
    <n v="31.912660854402784"/>
    <n v="4.6294175975068628"/>
    <n v="3.9162224934612029"/>
    <n v="1.1499528005502413"/>
  </r>
  <r>
    <n v="46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3834006137286521"/>
    <n v="0.94245390421260777"/>
    <b v="0"/>
    <b v="0"/>
    <s v=""/>
    <s v="BHHEPS1534661516"/>
    <n v="0"/>
    <s v="BHHEPS1534661516"/>
    <s v="5511178400"/>
    <s v="ANN J"/>
    <s v="HERRERA"/>
    <m/>
    <s v="3426 GRAY FOX CT"/>
    <s v="RAPID CITY"/>
    <s v="SD"/>
    <s v="57701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021"/>
    <m/>
    <n v="1"/>
    <n v="0"/>
    <n v="4.4999999999999997E-3"/>
    <m/>
    <n v="38.317"/>
    <m/>
    <m/>
    <m/>
    <m/>
    <m/>
    <n v="0"/>
    <n v="5"/>
    <n v="42954"/>
    <n v="42954.5407716435"/>
    <x v="1"/>
    <s v="8CCEEEE287DA4B08B8F27C9CA135AD2A"/>
    <n v="38.317"/>
    <n v="5"/>
    <n v="31.912660854402784"/>
    <n v="4.6294175975068628"/>
    <n v="3.9162224934612029"/>
    <n v="1.1499528005502413"/>
  </r>
  <r>
    <n v="47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525"/>
    <b v="0"/>
    <b v="0"/>
    <s v=""/>
    <s v="BHHEPS1534675191"/>
    <n v="1"/>
    <s v="BHHEPS1534675191"/>
    <s v="2515833760"/>
    <s v="JIM"/>
    <s v="DITTON"/>
    <m/>
    <s v="12033 SEVERSON LOOP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8000000000000001E-2"/>
    <m/>
    <n v="405.36"/>
    <m/>
    <m/>
    <m/>
    <m/>
    <m/>
    <n v="0"/>
    <n v="35.4"/>
    <n v="42954"/>
    <n v="42954.781707754599"/>
    <x v="1"/>
    <s v="97A5CDA227314FE1AA1FF03975471032"/>
    <n v="33.78"/>
    <n v="2.9499999999999997"/>
    <n v="31.912660854402784"/>
    <n v="4.6294175975068628"/>
    <n v="3.9162224934612029"/>
    <n v="1.1499528005502413"/>
  </r>
  <r>
    <n v="47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12"/>
    <n v="-0.57934768552450311"/>
    <b v="0"/>
    <b v="0"/>
    <s v=""/>
    <s v="BHHEPS1534681436"/>
    <n v="1"/>
    <s v="BHHEPS1534681436"/>
    <s v="5087154507"/>
    <s v="KARL"/>
    <s v="JEGERIS"/>
    <m/>
    <s v="1620 N GRAND VISTA CT"/>
    <s v="RAPID CITY"/>
    <s v="SD"/>
    <s v="57701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3188"/>
    <m/>
    <n v="8"/>
    <n v="0"/>
    <n v="3.5200000000000002E-2"/>
    <m/>
    <n v="298.47199999999998"/>
    <m/>
    <m/>
    <m/>
    <m/>
    <m/>
    <n v="0"/>
    <n v="26"/>
    <n v="42956"/>
    <n v="42956.671230057902"/>
    <x v="1"/>
    <s v="1191B2FA89344B60889EECE1833D70B2"/>
    <n v="37.308999999999997"/>
    <n v="3.25"/>
    <n v="31.912660854402784"/>
    <n v="4.6294175975068628"/>
    <n v="3.9162224934612029"/>
    <n v="1.1499528005502413"/>
  </r>
  <r>
    <n v="47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2141973933563706"/>
    <b v="0"/>
    <b v="1"/>
    <s v=""/>
    <s v="BHHEPS1534681436"/>
    <n v="0"/>
    <s v="BHHEPS1534681436"/>
    <s v="5087154507"/>
    <s v="KARL"/>
    <s v="JEGERIS"/>
    <m/>
    <s v="1620 N GRAND VISTA CT"/>
    <s v="RAPID CITY"/>
    <s v="SD"/>
    <s v="57701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8"/>
    <n v="0"/>
    <n v="3.2000000000000001E-2"/>
    <m/>
    <n v="274.27199999999999"/>
    <m/>
    <m/>
    <m/>
    <m/>
    <m/>
    <n v="0"/>
    <n v="10.96"/>
    <n v="42956"/>
    <n v="42956.671230057902"/>
    <x v="1"/>
    <s v="1FF6030B403E4A87B96C5E9D17EB5B80"/>
    <n v="34.283999999999999"/>
    <n v="1.37"/>
    <n v="31.912660854402784"/>
    <n v="4.6294175975068628"/>
    <n v="3.9162224934612029"/>
    <n v="1.1499528005502413"/>
  </r>
  <r>
    <n v="47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5.0862421999428005"/>
    <n v="0.94245390421260777"/>
    <b v="1"/>
    <b v="0"/>
    <s v=""/>
    <s v="BHHEPS1534681477"/>
    <n v="1"/>
    <s v="BHHEPS1534681477"/>
    <s v="2126322875"/>
    <s v="CURTIS L"/>
    <s v="PUDWILL"/>
    <m/>
    <s v="2661 CAVERN RD"/>
    <s v="RAPID CITY"/>
    <s v="SD"/>
    <s v="57702"/>
    <x v="56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2181"/>
    <m/>
    <n v="1"/>
    <n v="0"/>
    <n v="6.4999999999999997E-3"/>
    <m/>
    <n v="55.459000000000003"/>
    <m/>
    <m/>
    <m/>
    <m/>
    <m/>
    <n v="0"/>
    <n v="5"/>
    <n v="42956"/>
    <n v="42956.683269097201"/>
    <x v="1"/>
    <s v="4F5A62B68C4E4DCE8FD3BE51AB5CE08C"/>
    <n v="55.459000000000003"/>
    <n v="5"/>
    <n v="31.912660854402784"/>
    <n v="4.6294175975068628"/>
    <n v="3.9162224934612029"/>
    <n v="1.1499528005502413"/>
  </r>
  <r>
    <n v="47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4489485939457094"/>
    <b v="0"/>
    <b v="0"/>
    <s v=""/>
    <s v="BHHEPS1534681477"/>
    <n v="0"/>
    <s v="BHHEPS1534681477"/>
    <s v="2126322875"/>
    <s v="CURTIS L"/>
    <s v="PUDWILL"/>
    <m/>
    <s v="2661 CAVERN RD"/>
    <s v="RAPID CITY"/>
    <s v="SD"/>
    <s v="57702"/>
    <x v="56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824"/>
    <m/>
    <n v="4"/>
    <n v="0"/>
    <n v="1.6E-2"/>
    <m/>
    <n v="135.12"/>
    <m/>
    <m/>
    <m/>
    <m/>
    <m/>
    <n v="0"/>
    <n v="9"/>
    <n v="42956"/>
    <n v="42956.683269097201"/>
    <x v="1"/>
    <s v="41FC8770F7A84BE791F1A9884111E412"/>
    <n v="33.78"/>
    <n v="2.25"/>
    <n v="31.912660854402784"/>
    <n v="4.6294175975068628"/>
    <n v="3.9162224934612029"/>
    <n v="1.1499528005502413"/>
  </r>
  <r>
    <n v="47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0.6989656498546698"/>
    <b v="0"/>
    <b v="0"/>
    <s v=""/>
    <s v="BHHEPS1534681526"/>
    <n v="1"/>
    <s v="BHHEPS1534681526"/>
    <s v="3743279711"/>
    <s v="DAVID G"/>
    <s v="PARKER"/>
    <m/>
    <s v="327 SAN MARCO BLVD"/>
    <s v="RAPID CITY"/>
    <s v="SD"/>
    <s v="57702"/>
    <x v="56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373"/>
    <m/>
    <n v="2"/>
    <n v="0"/>
    <n v="7.4000000000000003E-3"/>
    <m/>
    <n v="62.518000000000001"/>
    <m/>
    <m/>
    <m/>
    <m/>
    <m/>
    <n v="0"/>
    <n v="9.44"/>
    <n v="42956"/>
    <n v="42956.699713576403"/>
    <x v="1"/>
    <s v="84DC49FC4606411C9ECEFCA680CF6637"/>
    <n v="31.259"/>
    <n v="4.72"/>
    <n v="31.912660854402784"/>
    <n v="4.6294175975068628"/>
    <n v="3.9162224934612029"/>
    <n v="1.1499528005502413"/>
  </r>
  <r>
    <n v="47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6660110460884709"/>
    <n v="-0.66630777636662386"/>
    <b v="0"/>
    <b v="0"/>
    <s v=""/>
    <s v="BHHEPS1534681526"/>
    <n v="0"/>
    <s v="BHHEPS1534681526"/>
    <s v="3743279711"/>
    <s v="DAVID G"/>
    <s v="PARKER"/>
    <m/>
    <s v="327 SAN MARCO BLVD"/>
    <s v="RAPID CITY"/>
    <s v="SD"/>
    <s v="57702"/>
    <x v="56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813"/>
    <m/>
    <n v="6"/>
    <n v="0"/>
    <n v="1.6799999999999999E-2"/>
    <m/>
    <n v="145.19999999999999"/>
    <m/>
    <m/>
    <m/>
    <m/>
    <m/>
    <n v="0"/>
    <n v="18.899999999999999"/>
    <n v="42956"/>
    <n v="42956.699713576403"/>
    <x v="1"/>
    <s v="B7835AC67A444ACDAC27DE0B70F0BE28"/>
    <n v="24.2"/>
    <n v="3.15"/>
    <n v="31.912660854402784"/>
    <n v="4.6294175975068628"/>
    <n v="3.9162224934612029"/>
    <n v="1.1499528005502413"/>
  </r>
  <r>
    <n v="477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4.3714845586033911E-2"/>
    <n v="8.195118669945109E-2"/>
    <b v="0"/>
    <b v="0"/>
    <s v=""/>
    <s v="BHHEPS1534681779"/>
    <n v="1"/>
    <s v="BHHEPS1534681779"/>
    <s v="6574632249"/>
    <s v="EDWARD G"/>
    <s v="UGLAND"/>
    <m/>
    <s v="334 E CUSTER ST"/>
    <s v="RAPID CITY"/>
    <s v="SD"/>
    <s v="57701"/>
    <x v="53"/>
    <s v="2550 HAINES AVE"/>
    <s v="RAPID CITY"/>
    <s v="SD"/>
    <s v="57701"/>
    <s v="605-341-4815"/>
    <m/>
    <s v="Residential Lighting &amp; Appliances :- ES Star Fixture :- Customer Incentives"/>
    <s v="ENERGY STAR LED Fixture"/>
    <m/>
    <m/>
    <m/>
    <m/>
    <m/>
    <m/>
    <m/>
    <m/>
    <m/>
    <m/>
    <m/>
    <m/>
    <m/>
    <s v="18290-004"/>
    <m/>
    <n v="1"/>
    <n v="0"/>
    <n v="3.8999999999999998E-3"/>
    <m/>
    <n v="33.578000000000003"/>
    <m/>
    <m/>
    <m/>
    <m/>
    <m/>
    <n v="0"/>
    <n v="9.44"/>
    <n v="42956"/>
    <n v="42956.764294247703"/>
    <x v="1"/>
    <s v="51ED1D26A4CE450F94482C39CB07E1A2"/>
    <n v="33.578000000000003"/>
    <n v="9.44"/>
    <n v="35.519370843989762"/>
    <n v="44.409875363027503"/>
    <n v="9.3048337595907924"/>
    <n v="1.6493506177636894"/>
  </r>
  <r>
    <n v="478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4.3770586511900245"/>
    <n v="0.4214787522569125"/>
    <b v="1"/>
    <b v="0"/>
    <s v=""/>
    <s v="BHHEPS1534681779"/>
    <n v="0"/>
    <s v="BHHEPS1534681779"/>
    <s v="6574632249"/>
    <s v="EDWARD G"/>
    <s v="UGLAND"/>
    <m/>
    <s v="334 E CUSTER ST"/>
    <s v="RAPID CITY"/>
    <s v="SD"/>
    <s v="57701"/>
    <x v="53"/>
    <s v="2550 HAINES AVE"/>
    <s v="RAPID CITY"/>
    <s v="SD"/>
    <s v="57701"/>
    <s v="605-341-4815"/>
    <m/>
    <s v="Residential Lighting &amp; Appliances :- ES Star Fixture :- Customer Incentives"/>
    <s v="ENERGY STAR LED Fixture"/>
    <m/>
    <m/>
    <m/>
    <m/>
    <m/>
    <m/>
    <m/>
    <m/>
    <m/>
    <m/>
    <m/>
    <m/>
    <m/>
    <s v="LF1087-NK7"/>
    <m/>
    <n v="1"/>
    <n v="0"/>
    <n v="2.7E-2"/>
    <m/>
    <n v="229.904"/>
    <m/>
    <m/>
    <m/>
    <m/>
    <m/>
    <n v="0"/>
    <n v="10"/>
    <n v="42956"/>
    <n v="42956.764294247703"/>
    <x v="1"/>
    <s v="E0F7CBE5C5C144DDAC3AF3C0EA126FE5"/>
    <n v="229.904"/>
    <n v="10"/>
    <n v="35.519370843989762"/>
    <n v="44.409875363027503"/>
    <n v="9.3048337595907924"/>
    <n v="1.6493506177636894"/>
  </r>
  <r>
    <n v="47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3834006137286521"/>
    <n v="-1.5098206575351936"/>
    <b v="0"/>
    <b v="0"/>
    <s v=""/>
    <s v="BHHEPS1534681779"/>
    <n v="0"/>
    <s v="BHHEPS1534681779"/>
    <s v="6574632249"/>
    <s v="EDWARD G"/>
    <s v="UGLAND"/>
    <m/>
    <s v="334 E CUSTER ST"/>
    <s v="RAPID CITY"/>
    <s v="SD"/>
    <s v="57701"/>
    <x v="53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C5A19A100WESD08"/>
    <m/>
    <n v="2"/>
    <n v="0"/>
    <n v="8.9999999999999993E-3"/>
    <m/>
    <n v="76.634"/>
    <m/>
    <m/>
    <m/>
    <m/>
    <m/>
    <n v="0"/>
    <n v="4.3600000000000003"/>
    <n v="42956"/>
    <n v="42956.764294247703"/>
    <x v="1"/>
    <s v="32CAB71898AF4672884EC197C8B421F8"/>
    <n v="38.317"/>
    <n v="2.1800000000000002"/>
    <n v="31.912660854402784"/>
    <n v="4.6294175975068628"/>
    <n v="3.9162224934612029"/>
    <n v="1.1499528005502413"/>
  </r>
  <r>
    <n v="48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4.4328122735457747"/>
    <n v="0.94245390421260777"/>
    <b v="1"/>
    <b v="0"/>
    <s v=""/>
    <s v="BHHEPS1534681779"/>
    <n v="0"/>
    <s v="BHHEPS1534681779"/>
    <s v="6574632249"/>
    <s v="EDWARD G"/>
    <s v="UGLAND"/>
    <m/>
    <s v="334 E CUSTER ST"/>
    <s v="RAPID CITY"/>
    <s v="SD"/>
    <s v="57701"/>
    <x v="53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A21152215-27"/>
    <m/>
    <n v="1"/>
    <n v="0"/>
    <n v="6.1999999999999998E-3"/>
    <m/>
    <n v="52.433999999999997"/>
    <m/>
    <m/>
    <m/>
    <m/>
    <m/>
    <n v="0"/>
    <n v="5"/>
    <n v="42956"/>
    <n v="42956.764294247703"/>
    <x v="1"/>
    <s v="96190ACD7EA941D5B74704C2AFC24092"/>
    <n v="52.433999999999997"/>
    <n v="5"/>
    <n v="31.912660854402784"/>
    <n v="4.6294175975068628"/>
    <n v="3.9162224934612029"/>
    <n v="1.1499528005502413"/>
  </r>
  <r>
    <n v="48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62110170124762665"/>
    <n v="-2.7533499565775186"/>
    <b v="0"/>
    <b v="1"/>
    <s v=""/>
    <s v="BHHEPS1534681779"/>
    <n v="0"/>
    <s v="BHHEPS1534681779"/>
    <s v="6574632249"/>
    <s v="EDWARD G"/>
    <s v="UGLAND"/>
    <m/>
    <s v="334 E CUSTER ST"/>
    <s v="RAPID CITY"/>
    <s v="SD"/>
    <s v="57701"/>
    <x v="53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C5A19A60WESD06/C5A19A60WESD05"/>
    <m/>
    <n v="8"/>
    <n v="0"/>
    <n v="3.2800000000000003E-2"/>
    <m/>
    <n v="278.30399999999997"/>
    <m/>
    <m/>
    <m/>
    <m/>
    <m/>
    <n v="0"/>
    <n v="6"/>
    <n v="42956"/>
    <n v="42956.764294247703"/>
    <x v="1"/>
    <s v="D66B50C98C584D4481CCF40439A8727E"/>
    <n v="34.787999999999997"/>
    <n v="0.75"/>
    <n v="31.912660854402784"/>
    <n v="4.6294175975068628"/>
    <n v="3.9162224934612029"/>
    <n v="1.1499528005502413"/>
  </r>
  <r>
    <n v="48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6660110460884709"/>
    <n v="-0.36194745841920162"/>
    <b v="0"/>
    <b v="0"/>
    <s v=""/>
    <s v="BHHEPS1534685538"/>
    <n v="1"/>
    <s v="BHHEPS1534685538"/>
    <s v="4865420270"/>
    <s v="GEOFFREY J"/>
    <s v="SLINGSBY"/>
    <m/>
    <s v="5445 CARRIAGE HILLS DR"/>
    <s v="RAPID CITY"/>
    <s v="SD"/>
    <s v="57702"/>
    <x v="56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813"/>
    <m/>
    <n v="4"/>
    <n v="0"/>
    <n v="1.12E-2"/>
    <m/>
    <n v="96.8"/>
    <m/>
    <m/>
    <m/>
    <m/>
    <m/>
    <n v="0"/>
    <n v="14"/>
    <n v="42957"/>
    <n v="42957.798842129603"/>
    <x v="1"/>
    <s v="344D1C21E0DF414C8EBBB0AAF6069550"/>
    <n v="24.2"/>
    <n v="3.5"/>
    <n v="31.912660854402784"/>
    <n v="4.6294175975068628"/>
    <n v="3.9162224934612029"/>
    <n v="1.1499528005502413"/>
  </r>
  <r>
    <n v="48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525"/>
    <b v="0"/>
    <b v="0"/>
    <s v=""/>
    <s v="BHHEPS1534694569"/>
    <n v="1"/>
    <s v="BHHEPS1534694569"/>
    <s v="5271807013"/>
    <s v="JESSICA C"/>
    <s v="LEGARDA"/>
    <m/>
    <s v="837 ADAMS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4E-2"/>
    <m/>
    <n v="202.68"/>
    <m/>
    <m/>
    <m/>
    <m/>
    <m/>
    <n v="0"/>
    <n v="17.7"/>
    <n v="42961"/>
    <n v="42961.635425844899"/>
    <x v="1"/>
    <s v="E1D2D9BEA4E74E6186B5B5F90589A613"/>
    <n v="33.78"/>
    <n v="2.9499999999999997"/>
    <n v="31.912660854402784"/>
    <n v="4.6294175975068628"/>
    <n v="3.9162224934612029"/>
    <n v="1.1499528005502413"/>
  </r>
  <r>
    <n v="48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694573"/>
    <n v="1"/>
    <s v="BHHEPS1534694573"/>
    <s v="0011953278"/>
    <s v="KATHLEEN P"/>
    <s v="BURR"/>
    <m/>
    <s v="2554 SMITH AVE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0.04"/>
    <m/>
    <n v="337.8"/>
    <m/>
    <m/>
    <m/>
    <m/>
    <m/>
    <n v="0"/>
    <n v="29.5"/>
    <n v="42961"/>
    <n v="42961.6363909375"/>
    <x v="1"/>
    <s v="68DA1BFE445D4B1A9A0C30C9290F4C12"/>
    <n v="33.78"/>
    <n v="2.95"/>
    <n v="31.912660854402784"/>
    <n v="4.6294175975068628"/>
    <n v="3.9162224934612029"/>
    <n v="1.1499528005502413"/>
  </r>
  <r>
    <n v="48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18540974701860313"/>
    <n v="7.2852995791401517E-2"/>
    <b v="0"/>
    <b v="0"/>
    <s v=""/>
    <s v="BHHEPS1534694573"/>
    <n v="0"/>
    <s v="BHHEPS1534694573"/>
    <s v="0011953278"/>
    <s v="KATHLEEN P"/>
    <s v="BURR"/>
    <m/>
    <s v="2554 SMITH AVE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8"/>
    <n v="0"/>
    <n v="3.1199999999999999E-2"/>
    <m/>
    <n v="262.16800000000001"/>
    <m/>
    <m/>
    <m/>
    <m/>
    <m/>
    <n v="0"/>
    <n v="32"/>
    <n v="42961"/>
    <n v="42961.6363909375"/>
    <x v="1"/>
    <s v="623D1C5E26FA48E1858EB69F7AAB93C5"/>
    <n v="32.771000000000001"/>
    <n v="4"/>
    <n v="31.912660854402784"/>
    <n v="4.6294175975068628"/>
    <n v="3.9162224934612029"/>
    <n v="1.1499528005502413"/>
  </r>
  <r>
    <n v="48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0.58369569006660904"/>
    <b v="0"/>
    <b v="0"/>
    <s v=""/>
    <s v="BHHEPS1534699427"/>
    <n v="1"/>
    <s v="BHHEPS1534699427"/>
    <s v="1423783196"/>
    <s v="DEAN"/>
    <s v="FLAGE"/>
    <m/>
    <s v="330 TOPAZ LN"/>
    <s v="RAPID CITY"/>
    <s v="SD"/>
    <s v="57701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679"/>
    <m/>
    <n v="8"/>
    <n v="0"/>
    <n v="3.2000000000000001E-2"/>
    <m/>
    <n v="274.27199999999999"/>
    <m/>
    <m/>
    <m/>
    <m/>
    <m/>
    <n v="0"/>
    <n v="25.96"/>
    <n v="42962"/>
    <n v="42962.620611458296"/>
    <x v="1"/>
    <s v="8FF6EA32CC26439BB1BDC865FCA6A80F"/>
    <n v="34.283999999999999"/>
    <n v="3.2450000000000001"/>
    <n v="31.912660854402784"/>
    <n v="4.6294175975068628"/>
    <n v="3.9162224934612029"/>
    <n v="1.1499528005502413"/>
  </r>
  <r>
    <n v="48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0.49895744091779276"/>
    <b v="0"/>
    <b v="0"/>
    <s v=""/>
    <s v="BHHEPS1534699488"/>
    <n v="1"/>
    <s v="BHHEPS1534699488"/>
    <s v="3465242781"/>
    <s v="LYLE L"/>
    <s v="KETTERLING"/>
    <m/>
    <s v="4612 CAMBRIA CIR"/>
    <s v="RAPID CITY"/>
    <s v="SD"/>
    <s v="57701"/>
    <x v="53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96593"/>
    <m/>
    <n v="12"/>
    <n v="0"/>
    <n v="4.4400000000000002E-2"/>
    <m/>
    <n v="375.108"/>
    <m/>
    <m/>
    <m/>
    <m/>
    <m/>
    <n v="0"/>
    <n v="53.88"/>
    <n v="42962"/>
    <n v="42962.632401932897"/>
    <x v="1"/>
    <s v="DD310CBBEA54427B92A870A10688410B"/>
    <n v="31.259"/>
    <n v="4.49"/>
    <n v="31.912660854402784"/>
    <n v="4.6294175975068628"/>
    <n v="3.9162224934612029"/>
    <n v="1.1499528005502413"/>
  </r>
  <r>
    <n v="48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29449474299562761"/>
    <n v="-0.79674791262980471"/>
    <b v="0"/>
    <b v="0"/>
    <s v=""/>
    <s v="BHHEPS1534699522"/>
    <n v="1"/>
    <s v="BHHEPS1534699522"/>
    <s v="9677022229"/>
    <s v="DIANE"/>
    <s v="KNUTSON"/>
    <m/>
    <s v="919 SAINT FRANCIS ST"/>
    <s v="RAPID CITY"/>
    <s v="SD"/>
    <s v="57701"/>
    <x v="10"/>
    <s v="1936 MARLIN DR"/>
    <s v="RAPID CITY"/>
    <s v="SD"/>
    <s v="57703"/>
    <s v="605-348-7100"/>
    <s v="jwood@dsginc.biz"/>
    <s v="Residential Lighting &amp; Appliances :- LED :- Customer Incentives"/>
    <s v="LED"/>
    <m/>
    <m/>
    <m/>
    <m/>
    <m/>
    <m/>
    <m/>
    <m/>
    <m/>
    <m/>
    <m/>
    <m/>
    <m/>
    <s v="68160   LED10DR30V/827W"/>
    <m/>
    <n v="3"/>
    <n v="0"/>
    <n v="1.17E-2"/>
    <m/>
    <n v="99.828000000000003"/>
    <m/>
    <m/>
    <m/>
    <m/>
    <m/>
    <n v="0"/>
    <n v="9"/>
    <n v="42962"/>
    <n v="42962.641889120401"/>
    <x v="1"/>
    <s v="5F29476284754071876094415C38FD75"/>
    <n v="33.276000000000003"/>
    <n v="3"/>
    <n v="31.912660854402784"/>
    <n v="4.6294175975068628"/>
    <n v="3.9162224934612029"/>
    <n v="1.1499528005502413"/>
  </r>
  <r>
    <n v="48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0.2076411365966887"/>
    <b v="0"/>
    <b v="0"/>
    <s v=""/>
    <s v="BHHEPS1534699522"/>
    <n v="0"/>
    <s v="BHHEPS1534699522"/>
    <s v="9677022229"/>
    <s v="DIANE"/>
    <s v="KNUTSON"/>
    <m/>
    <s v="919 SAINT FRANCIS ST"/>
    <s v="RAPID CITY"/>
    <s v="SD"/>
    <s v="57701"/>
    <x v="10"/>
    <s v="1936 MARLIN DR"/>
    <s v="RAPID CITY"/>
    <s v="SD"/>
    <s v="57703"/>
    <s v="605-348-7100"/>
    <s v="jwood@dsginc.biz"/>
    <s v="Residential Lighting &amp; Appliances :- LED :- Customer Incentives"/>
    <s v="LED"/>
    <m/>
    <m/>
    <m/>
    <m/>
    <m/>
    <m/>
    <m/>
    <m/>
    <m/>
    <m/>
    <m/>
    <m/>
    <m/>
    <s v="9A19DIM/827"/>
    <m/>
    <n v="18"/>
    <n v="0"/>
    <n v="7.1999999999999995E-2"/>
    <m/>
    <n v="617.11199999999997"/>
    <m/>
    <m/>
    <m/>
    <m/>
    <m/>
    <n v="0"/>
    <n v="74.790000000000006"/>
    <n v="42962"/>
    <n v="42962.641889120401"/>
    <x v="1"/>
    <s v="07E194CF617A472F9532D1CFFC86B4FE"/>
    <n v="34.283999999999999"/>
    <n v="4.1550000000000002"/>
    <n v="31.912660854402784"/>
    <n v="4.6294175975068628"/>
    <n v="3.9162224934612029"/>
    <n v="1.1499528005502413"/>
  </r>
  <r>
    <n v="49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699730"/>
    <n v="1"/>
    <s v="BHHEPS1534699730"/>
    <s v="0752005724"/>
    <s v="WILLIAM G"/>
    <s v="SCHLEINING"/>
    <m/>
    <s v="221 S 11TH ST"/>
    <s v="CUSTER"/>
    <s v="SD"/>
    <s v="57730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2.95"/>
    <n v="42962"/>
    <n v="42962.690121990701"/>
    <x v="1"/>
    <s v="A387EE9FFA0745FF9299163232F204D2"/>
    <n v="33.78"/>
    <n v="2.95"/>
    <n v="31.912660854402784"/>
    <n v="4.6294175975068628"/>
    <n v="3.9162224934612029"/>
    <n v="1.1499528005502413"/>
  </r>
  <r>
    <n v="49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0184961442772127"/>
    <b v="0"/>
    <b v="0"/>
    <s v=""/>
    <s v="BHHEPS1534761120"/>
    <n v="1"/>
    <s v="BHHEPS1534761120"/>
    <s v="2377300152"/>
    <s v="JANET L"/>
    <s v="OERTLY"/>
    <m/>
    <s v="7347 CASTLEWOOD DR"/>
    <s v="SUMMERSET"/>
    <s v="SD"/>
    <s v="57718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9179"/>
    <m/>
    <n v="6"/>
    <n v="0"/>
    <n v="2.4E-2"/>
    <m/>
    <n v="205.70400000000001"/>
    <m/>
    <m/>
    <m/>
    <m/>
    <m/>
    <n v="0"/>
    <n v="16.47"/>
    <n v="42968"/>
    <n v="42968.679168090297"/>
    <x v="1"/>
    <s v="F5EAFAB0131D4FD1839E44937E7A16B5"/>
    <n v="34.283999999999999"/>
    <n v="2.7449999999999997"/>
    <n v="31.912660854402784"/>
    <n v="4.6294175975068628"/>
    <n v="3.9162224934612029"/>
    <n v="1.1499528005502413"/>
  </r>
  <r>
    <n v="49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3834006137286521"/>
    <n v="0.94245390421260777"/>
    <b v="0"/>
    <b v="0"/>
    <s v=""/>
    <s v="BHHEPS1534761120"/>
    <n v="0"/>
    <s v="BHHEPS1534761120"/>
    <s v="2377300152"/>
    <s v="JANET L"/>
    <s v="OERTLY"/>
    <m/>
    <s v="7347 CASTLEWOOD DR"/>
    <s v="SUMMERSET"/>
    <s v="SD"/>
    <s v="57718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021"/>
    <m/>
    <n v="1"/>
    <n v="0"/>
    <n v="4.4999999999999997E-3"/>
    <m/>
    <n v="38.317"/>
    <m/>
    <m/>
    <m/>
    <m/>
    <m/>
    <n v="0"/>
    <n v="5"/>
    <n v="42968"/>
    <n v="42968.679168090297"/>
    <x v="1"/>
    <s v="8E531ED0D54645328CE1BC981BE7E6B6"/>
    <n v="38.317"/>
    <n v="5"/>
    <n v="31.912660854402784"/>
    <n v="4.6294175975068628"/>
    <n v="3.9162224934612029"/>
    <n v="1.1499528005502413"/>
  </r>
  <r>
    <n v="49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-0.90649154727256076"/>
    <b v="0"/>
    <b v="0"/>
    <s v=""/>
    <s v="BHHEPS1534761145"/>
    <n v="1"/>
    <s v="BHHEPS1534761145"/>
    <s v="6040154741"/>
    <s v="PHILIP E"/>
    <s v="PEARSON"/>
    <m/>
    <s v="625 CITY SPRINGS CT"/>
    <s v="RAPID CITY"/>
    <s v="SD"/>
    <s v="57702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425"/>
    <m/>
    <n v="4"/>
    <n v="0"/>
    <n v="1.4800000000000001E-2"/>
    <m/>
    <n v="125.036"/>
    <m/>
    <m/>
    <m/>
    <m/>
    <m/>
    <n v="0"/>
    <n v="11.495200000000001"/>
    <n v="42968"/>
    <n v="42968.688930289398"/>
    <x v="1"/>
    <s v="8B690AB828AE42C29DAEBF139D7200AB"/>
    <n v="31.259"/>
    <n v="2.8738000000000001"/>
    <n v="31.912660854402784"/>
    <n v="4.6294175975068628"/>
    <n v="3.9162224934612029"/>
    <n v="1.1499528005502413"/>
  </r>
  <r>
    <n v="49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3207235046379684"/>
    <b v="0"/>
    <b v="1"/>
    <s v=""/>
    <s v="BHHEPS1534761145"/>
    <n v="0"/>
    <s v="BHHEPS1534761145"/>
    <s v="6040154741"/>
    <s v="PHILIP E"/>
    <s v="PEARSON"/>
    <m/>
    <s v="625 CITY SPRINGS CT"/>
    <s v="RAPID CITY"/>
    <s v="SD"/>
    <s v="57702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6"/>
    <m/>
    <n v="4"/>
    <n v="0"/>
    <n v="1.6E-2"/>
    <m/>
    <n v="137.136"/>
    <m/>
    <m/>
    <m/>
    <m/>
    <m/>
    <n v="0"/>
    <n v="4.99"/>
    <n v="42968"/>
    <n v="42968.688930289398"/>
    <x v="1"/>
    <s v="909BCB9C5A73400D807ECCA176D5F9C8"/>
    <n v="34.283999999999999"/>
    <n v="1.2475000000000001"/>
    <n v="31.912660854402784"/>
    <n v="4.6294175975068628"/>
    <n v="3.9162224934612029"/>
    <n v="1.1499528005502413"/>
  </r>
  <r>
    <n v="495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1.947553971926167"/>
    <n v="0.4214787522569125"/>
    <b v="0"/>
    <b v="0"/>
    <s v=""/>
    <s v="BHHEPS1534761161"/>
    <n v="1"/>
    <s v="BHHEPS1534761161"/>
    <s v="1475531453"/>
    <s v="DAVID"/>
    <s v="JANOVY"/>
    <m/>
    <s v="13080 PLEASANT VALLEY RD"/>
    <s v="STURGIS"/>
    <s v="SD"/>
    <s v="57785"/>
    <x v="25"/>
    <s v="710 N CREEK DR"/>
    <s v="RAPID CITY"/>
    <s v="SD"/>
    <s v="57703"/>
    <s v="605-399-3922"/>
    <m/>
    <s v="Residential Lighting &amp; Appliances :- ES Star Fixture :- Customer Incentives"/>
    <s v="ENERGY STAR LED Fixture"/>
    <m/>
    <m/>
    <m/>
    <m/>
    <m/>
    <m/>
    <m/>
    <m/>
    <m/>
    <m/>
    <m/>
    <m/>
    <m/>
    <s v="FMLSDL1521840"/>
    <m/>
    <n v="2"/>
    <n v="0"/>
    <n v="2.86E-2"/>
    <m/>
    <n v="244.02"/>
    <m/>
    <m/>
    <m/>
    <m/>
    <m/>
    <n v="0"/>
    <n v="20"/>
    <n v="42968"/>
    <n v="42968.694654085702"/>
    <x v="1"/>
    <s v="ED20219601164E10B61937D7669EF0AB"/>
    <n v="122.01"/>
    <n v="10"/>
    <n v="35.519370843989762"/>
    <n v="44.409875363027503"/>
    <n v="9.3048337595907924"/>
    <n v="1.6493506177636894"/>
  </r>
  <r>
    <n v="496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0.38087540254823932"/>
    <n v="0.4214787522569125"/>
    <b v="0"/>
    <b v="0"/>
    <s v=""/>
    <s v="BHHEPS1534761161"/>
    <n v="0"/>
    <s v="BHHEPS1534761161"/>
    <s v="1475531453"/>
    <s v="DAVID"/>
    <s v="JANOVY"/>
    <m/>
    <s v="13080 PLEASANT VALLEY RD"/>
    <s v="STURGIS"/>
    <s v="SD"/>
    <s v="57785"/>
    <x v="25"/>
    <s v="710 N CREEK DR"/>
    <s v="RAPID CITY"/>
    <s v="SD"/>
    <s v="57703"/>
    <s v="605-399-3922"/>
    <m/>
    <s v="Residential Lighting &amp; Appliances :- ES Star Fixture :- Customer Incentives"/>
    <s v="ENERGY STAR LED Fixture"/>
    <m/>
    <m/>
    <m/>
    <m/>
    <m/>
    <m/>
    <m/>
    <m/>
    <m/>
    <m/>
    <m/>
    <m/>
    <m/>
    <s v="FMLSDL1214840"/>
    <m/>
    <n v="3"/>
    <n v="0"/>
    <n v="1.8599999999999998E-2"/>
    <m/>
    <n v="157.30199999999999"/>
    <m/>
    <m/>
    <m/>
    <m/>
    <m/>
    <n v="0"/>
    <n v="30"/>
    <n v="42968"/>
    <n v="42968.694654085702"/>
    <x v="1"/>
    <s v="4E82E37CE0F54D5DA567FDD78A66BE09"/>
    <n v="52.433999999999997"/>
    <n v="10"/>
    <n v="35.519370843989762"/>
    <n v="44.409875363027503"/>
    <n v="9.3048337595907924"/>
    <n v="1.6493506177636894"/>
  </r>
  <r>
    <n v="49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2120233910853178"/>
    <b v="0"/>
    <b v="1"/>
    <s v=""/>
    <s v="BHHEPS1534761161"/>
    <n v="0"/>
    <s v="BHHEPS1534761161"/>
    <s v="1475531453"/>
    <s v="DAVID"/>
    <s v="JANOVY"/>
    <m/>
    <s v="13080 PLEASANT VALLEY RD"/>
    <s v="STURGIS"/>
    <s v="SD"/>
    <s v="57785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32"/>
    <n v="0"/>
    <n v="0.128"/>
    <m/>
    <n v="1097.088"/>
    <m/>
    <m/>
    <m/>
    <m/>
    <m/>
    <n v="0"/>
    <n v="43.92"/>
    <n v="42968"/>
    <n v="42968.694654085702"/>
    <x v="1"/>
    <s v="53678C0FE16843E0A694F6F517946E83"/>
    <n v="34.283999999999999"/>
    <n v="1.3725000000000001"/>
    <n v="31.912660854402784"/>
    <n v="4.6294175975068628"/>
    <n v="3.9162224934612029"/>
    <n v="1.1499528005502413"/>
  </r>
  <r>
    <n v="49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14"/>
    <n v="-1.4489485939457094"/>
    <b v="0"/>
    <b v="0"/>
    <s v=""/>
    <s v="BHHEPS1534761216"/>
    <n v="1"/>
    <s v="BHHEPS1534761216"/>
    <s v="6098916584"/>
    <s v="ANA"/>
    <s v="ROBBINS"/>
    <m/>
    <s v="457 GEMSTONE DR"/>
    <s v="RAPID CITY"/>
    <s v="SD"/>
    <s v="57701"/>
    <x v="56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820"/>
    <m/>
    <n v="6"/>
    <n v="0"/>
    <n v="1.6799999999999999E-2"/>
    <m/>
    <n v="142.17599999999999"/>
    <m/>
    <m/>
    <m/>
    <m/>
    <m/>
    <n v="0"/>
    <n v="13.5"/>
    <n v="42968"/>
    <n v="42968.714913425902"/>
    <x v="1"/>
    <s v="5B2382A9AD4640D0A0E0ED5124D24D4E"/>
    <n v="23.695999999999998"/>
    <n v="2.25"/>
    <n v="31.912660854402784"/>
    <n v="4.6294175975068628"/>
    <n v="3.9162224934612029"/>
    <n v="1.1499528005502413"/>
  </r>
  <r>
    <n v="499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6.1886479561657562E-2"/>
    <n v="-2.3080803551353908"/>
    <b v="0"/>
    <b v="1"/>
    <s v=""/>
    <s v="BHHEPS1534761229"/>
    <n v="1"/>
    <s v="BHHEPS1534761229"/>
    <s v="4357276105"/>
    <s v="SHERYL"/>
    <s v="WERMAGER"/>
    <m/>
    <s v="247 ENCHANTMENT RD"/>
    <s v="RAPID CITY"/>
    <s v="SD"/>
    <s v="57701"/>
    <x v="53"/>
    <s v="2550 HAINES AVE"/>
    <s v="RAPID CITY"/>
    <s v="SD"/>
    <s v="57701"/>
    <s v="605-341-4815"/>
    <m/>
    <s v="Residential Lighting &amp; Appliances :- ES Star Fixture :- Customer Incentives"/>
    <s v="ENERGY STAR LED Fixture"/>
    <m/>
    <m/>
    <m/>
    <m/>
    <m/>
    <m/>
    <m/>
    <m/>
    <m/>
    <m/>
    <m/>
    <m/>
    <m/>
    <s v="DLS30-06M27D1EWH-6"/>
    <m/>
    <n v="30"/>
    <n v="0"/>
    <n v="0.11700000000000001"/>
    <m/>
    <n v="983.13"/>
    <m/>
    <m/>
    <m/>
    <m/>
    <m/>
    <n v="0"/>
    <n v="164.94"/>
    <n v="42968"/>
    <n v="42968.7197914352"/>
    <x v="1"/>
    <s v="0405906542CB423888ED1CCDA061ECBB"/>
    <n v="32.771000000000001"/>
    <n v="5.4980000000000002"/>
    <n v="35.519370843989762"/>
    <n v="44.409875363027503"/>
    <n v="9.3048337595907924"/>
    <n v="1.6493506177636894"/>
  </r>
  <r>
    <n v="50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0.49895744091779276"/>
    <b v="0"/>
    <b v="0"/>
    <s v=""/>
    <s v="BHHEPS1534761279"/>
    <n v="1"/>
    <s v="BHHEPS1534761279"/>
    <s v="2163480770"/>
    <s v="SEAN"/>
    <s v="BAILEY"/>
    <m/>
    <s v="811 MALLOW ST                                     APT 2"/>
    <s v="RAPID CITY"/>
    <s v="SD"/>
    <s v="57701"/>
    <x v="53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5"/>
    <m/>
    <n v="2"/>
    <n v="0"/>
    <n v="8.0000000000000002E-3"/>
    <m/>
    <n v="68.567999999999998"/>
    <m/>
    <m/>
    <m/>
    <m/>
    <m/>
    <n v="0"/>
    <n v="8.98"/>
    <n v="42968"/>
    <n v="42968.738223611101"/>
    <x v="1"/>
    <s v="92F01EF4AA774496AB33287AC70666C1"/>
    <n v="34.283999999999999"/>
    <n v="4.49"/>
    <n v="31.912660854402784"/>
    <n v="4.6294175975068628"/>
    <n v="3.9162224934612029"/>
    <n v="1.1499528005502413"/>
  </r>
  <r>
    <n v="50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0.93375789512839591"/>
    <b v="0"/>
    <b v="0"/>
    <s v=""/>
    <s v="BHHEPS1534761279"/>
    <n v="0"/>
    <s v="BHHEPS1534761279"/>
    <s v="2163480770"/>
    <s v="SEAN"/>
    <s v="BAILEY"/>
    <m/>
    <s v="811 MALLOW ST                                     APT 2"/>
    <s v="RAPID CITY"/>
    <s v="SD"/>
    <s v="57701"/>
    <x v="53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7"/>
    <m/>
    <n v="3"/>
    <n v="0"/>
    <n v="1.11E-2"/>
    <m/>
    <n v="93.777000000000001"/>
    <m/>
    <m/>
    <m/>
    <m/>
    <m/>
    <n v="0"/>
    <n v="14.97"/>
    <n v="42968"/>
    <n v="42968.738223611101"/>
    <x v="1"/>
    <s v="5E412E4871934023B0D6F3584021F018"/>
    <n v="31.259"/>
    <n v="4.99"/>
    <n v="31.912660854402784"/>
    <n v="4.6294175975068628"/>
    <n v="3.9162224934612029"/>
    <n v="1.1499528005502413"/>
  </r>
  <r>
    <n v="50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9926180043404715"/>
    <n v="-0.58804369460871497"/>
    <b v="0"/>
    <b v="0"/>
    <s v=""/>
    <s v="BHHEPS1534761396"/>
    <n v="1"/>
    <s v="BHHEPS1534761396"/>
    <s v="2331434835"/>
    <s v="MICHAEL R"/>
    <s v="HILTON"/>
    <m/>
    <s v="25133 GRANITE HEIGHTS DR"/>
    <s v="CUSTER"/>
    <s v="SD"/>
    <s v="57730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PLYC2933U"/>
    <m/>
    <n v="4"/>
    <n v="0"/>
    <n v="1.0800000000000001E-2"/>
    <m/>
    <n v="90.751999999999995"/>
    <m/>
    <m/>
    <m/>
    <m/>
    <m/>
    <n v="0"/>
    <n v="12.96"/>
    <n v="42968"/>
    <n v="42968.789404166702"/>
    <x v="1"/>
    <s v="E8BDFEFDDE6144D99A660EF14771E18E"/>
    <n v="22.687999999999999"/>
    <n v="3.24"/>
    <n v="31.912660854402784"/>
    <n v="4.6294175975068628"/>
    <n v="3.9162224934612029"/>
    <n v="1.1499528005502413"/>
  </r>
  <r>
    <n v="50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4922695998126518"/>
    <n v="0.51634945908621654"/>
    <b v="0"/>
    <b v="0"/>
    <s v=""/>
    <s v="BHHEPS1534761419"/>
    <n v="1"/>
    <s v="BHHEPS1534761419"/>
    <s v="4547551498"/>
    <s v="RANDY R"/>
    <s v="TURBAK"/>
    <m/>
    <s v="805 SAINT JAMES ST"/>
    <s v="RAPID CITY"/>
    <s v="SD"/>
    <s v="57701"/>
    <x v="57"/>
    <s v="770 MT VIEW RD"/>
    <s v="RAPID CITY"/>
    <s v="SD"/>
    <s v="57702"/>
    <s v="605-343-5150"/>
    <m/>
    <s v="Residential Lighting &amp; Appliances :- LED :- Customer Incentives"/>
    <s v="LED"/>
    <m/>
    <m/>
    <m/>
    <m/>
    <m/>
    <m/>
    <m/>
    <m/>
    <m/>
    <m/>
    <m/>
    <m/>
    <m/>
    <s v="BPOM100/830/LED"/>
    <m/>
    <n v="1"/>
    <n v="0"/>
    <n v="4.5999999999999999E-3"/>
    <m/>
    <n v="38.820999999999998"/>
    <m/>
    <m/>
    <m/>
    <m/>
    <m/>
    <n v="0"/>
    <n v="4.51"/>
    <n v="42968"/>
    <n v="42968.799432488398"/>
    <x v="1"/>
    <s v="623AF7F17FC44337A31B2E8ED85C37C3"/>
    <n v="38.820999999999998"/>
    <n v="4.51"/>
    <n v="31.912660854402784"/>
    <n v="4.6294175975068628"/>
    <n v="3.9162224934612029"/>
    <n v="1.1499528005502413"/>
  </r>
  <r>
    <n v="50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8228769845668278"/>
    <b v="0"/>
    <b v="0"/>
    <s v=""/>
    <s v="BHHEPS1534761419"/>
    <n v="0"/>
    <s v="BHHEPS1534761419"/>
    <s v="4547551498"/>
    <s v="RANDY R"/>
    <s v="TURBAK"/>
    <m/>
    <s v="805 SAINT JAMES ST"/>
    <s v="RAPID CITY"/>
    <s v="SD"/>
    <s v="57701"/>
    <x v="57"/>
    <s v="770 MT VIEW RD"/>
    <s v="RAPID CITY"/>
    <s v="SD"/>
    <s v="57702"/>
    <s v="605-343-5150"/>
    <m/>
    <s v="Residential Lighting &amp; Appliances :- LED :- Customer Incentives"/>
    <s v="LED"/>
    <m/>
    <m/>
    <m/>
    <m/>
    <m/>
    <m/>
    <m/>
    <m/>
    <m/>
    <m/>
    <m/>
    <m/>
    <m/>
    <s v="OM60/850/LED/4"/>
    <m/>
    <n v="4"/>
    <n v="0"/>
    <n v="1.6E-2"/>
    <m/>
    <n v="135.12"/>
    <m/>
    <m/>
    <m/>
    <m/>
    <m/>
    <n v="0"/>
    <n v="7.28"/>
    <n v="42968"/>
    <n v="42968.799432488398"/>
    <x v="1"/>
    <s v="27030B8DFD164365A65B565EBC005E7A"/>
    <n v="33.78"/>
    <n v="1.82"/>
    <n v="31.912660854402784"/>
    <n v="4.6294175975068628"/>
    <n v="3.9162224934612029"/>
    <n v="1.1499528005502413"/>
  </r>
  <r>
    <n v="50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8228769845668278"/>
    <b v="0"/>
    <b v="0"/>
    <s v=""/>
    <s v="BHHEPS1534761419"/>
    <n v="0"/>
    <s v="BHHEPS1534761419"/>
    <s v="4547551498"/>
    <s v="RANDY R"/>
    <s v="TURBAK"/>
    <m/>
    <s v="805 SAINT JAMES ST"/>
    <s v="RAPID CITY"/>
    <s v="SD"/>
    <s v="57701"/>
    <x v="57"/>
    <s v="770 MT VIEW RD"/>
    <s v="RAPID CITY"/>
    <s v="SD"/>
    <s v="57702"/>
    <s v="605-343-5150"/>
    <m/>
    <s v="Residential Lighting &amp; Appliances :- LED :- Customer Incentives"/>
    <s v="LED"/>
    <m/>
    <m/>
    <m/>
    <m/>
    <m/>
    <m/>
    <m/>
    <m/>
    <m/>
    <m/>
    <m/>
    <m/>
    <m/>
    <s v="OM60/830/LED/4"/>
    <m/>
    <n v="16"/>
    <n v="0"/>
    <n v="6.4000000000000001E-2"/>
    <m/>
    <n v="540.48"/>
    <m/>
    <m/>
    <m/>
    <m/>
    <m/>
    <n v="0"/>
    <n v="29.12"/>
    <n v="42968"/>
    <n v="42968.799432488398"/>
    <x v="1"/>
    <s v="56BF73C3BCCC4F57B5FCCAA061A62459"/>
    <n v="33.78"/>
    <n v="1.82"/>
    <n v="31.912660854402784"/>
    <n v="4.6294175975068628"/>
    <n v="3.9162224934612029"/>
    <n v="1.1499528005502413"/>
  </r>
  <r>
    <n v="50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61440"/>
    <n v="1"/>
    <s v="BHHEPS1534761440"/>
    <s v="2377300152"/>
    <s v="JANET L"/>
    <s v="OERTLY"/>
    <m/>
    <s v="7347 CASTLEWOOD DR"/>
    <s v="SUMMERSET"/>
    <s v="SD"/>
    <s v="57718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0.02"/>
    <m/>
    <n v="168.9"/>
    <m/>
    <m/>
    <m/>
    <m/>
    <m/>
    <n v="0"/>
    <n v="14.75"/>
    <n v="42968"/>
    <n v="42968.812648923602"/>
    <x v="1"/>
    <s v="BD311D7DB5704B0487464C01CC4FEA3A"/>
    <n v="33.78"/>
    <n v="2.95"/>
    <n v="31.912660854402784"/>
    <n v="4.6294175975068628"/>
    <n v="3.9162224934612029"/>
    <n v="1.1499528005502413"/>
  </r>
  <r>
    <n v="50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61442"/>
    <n v="1"/>
    <s v="BHHEPS1534761442"/>
    <s v="0053013471"/>
    <s v="SHEILA"/>
    <s v="SHELDEN"/>
    <m/>
    <s v="4721 E ELMWOOD DR"/>
    <s v="BLACK HAWK"/>
    <s v="SD"/>
    <s v="57718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5.9"/>
    <n v="42968"/>
    <n v="42968.8143569444"/>
    <x v="1"/>
    <s v="9C1562156ECD41AAB05391C3379CED49"/>
    <n v="33.78"/>
    <n v="2.95"/>
    <n v="31.912660854402784"/>
    <n v="4.6294175975068628"/>
    <n v="3.9162224934612029"/>
    <n v="1.1499528005502413"/>
  </r>
  <r>
    <n v="50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14"/>
    <n v="-1.1880683214193473"/>
    <b v="0"/>
    <b v="0"/>
    <s v=""/>
    <s v="BHHEPS1534761442"/>
    <n v="0"/>
    <s v="BHHEPS1534761442"/>
    <s v="0053013471"/>
    <s v="SHEILA"/>
    <s v="SHELDEN"/>
    <m/>
    <s v="4721 E ELMWOOD DR"/>
    <s v="BLACK HAWK"/>
    <s v="SD"/>
    <s v="57718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1.6799999999999999E-2"/>
    <m/>
    <n v="142.17599999999999"/>
    <m/>
    <m/>
    <m/>
    <m/>
    <m/>
    <n v="0"/>
    <n v="15.3"/>
    <n v="42968"/>
    <n v="42968.8143569444"/>
    <x v="1"/>
    <s v="F99F81C356C14D1B8BC34047AEE2DC78"/>
    <n v="23.695999999999998"/>
    <n v="2.5500000000000003"/>
    <n v="31.912660854402784"/>
    <n v="4.6294175975068628"/>
    <n v="3.9162224934612029"/>
    <n v="1.1499528005502413"/>
  </r>
  <r>
    <n v="50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3834006137286521"/>
    <n v="0.94245390421260777"/>
    <b v="0"/>
    <b v="0"/>
    <s v=""/>
    <s v="BHHEPS1534761459"/>
    <n v="1"/>
    <s v="BHHEPS1534761459"/>
    <s v="3951063854"/>
    <s v="GRAYDON L"/>
    <s v="ELVERUD"/>
    <m/>
    <s v="3605 MAPLE AVE"/>
    <s v="RAPID CITY"/>
    <s v="SD"/>
    <s v="57701"/>
    <x v="20"/>
    <s v="1304 OREGON ST"/>
    <s v="RAPID CITY"/>
    <s v="SD"/>
    <s v="57701"/>
    <s v="605-348-2335"/>
    <m/>
    <s v="Residential Lighting &amp; Appliances :- LED :- Customer Incentives"/>
    <s v="LED"/>
    <m/>
    <m/>
    <m/>
    <m/>
    <m/>
    <m/>
    <m/>
    <m/>
    <m/>
    <m/>
    <m/>
    <m/>
    <m/>
    <s v="GELED15LS2827"/>
    <m/>
    <n v="5"/>
    <n v="0"/>
    <n v="2.2499999999999999E-2"/>
    <m/>
    <n v="191.58500000000001"/>
    <m/>
    <m/>
    <m/>
    <m/>
    <m/>
    <n v="0"/>
    <n v="25"/>
    <n v="42968"/>
    <n v="42968.821885451398"/>
    <x v="1"/>
    <s v="DB0DD17004AE4800AC29AE89CC580D2F"/>
    <n v="38.317"/>
    <n v="5"/>
    <n v="31.912660854402784"/>
    <n v="4.6294175975068628"/>
    <n v="3.9162224934612029"/>
    <n v="1.1499528005502413"/>
  </r>
  <r>
    <n v="51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6660110460884709"/>
    <n v="-1.8663570299878887"/>
    <b v="0"/>
    <b v="0"/>
    <s v=""/>
    <s v="BHHEPS1534763692"/>
    <n v="1"/>
    <s v="BHHEPS1534763692"/>
    <s v="5104785648"/>
    <s v="MARTIN A"/>
    <s v="HOUSTON"/>
    <m/>
    <s v="326 N MEIER ST"/>
    <s v="SPEARFISH"/>
    <s v="SD"/>
    <s v="57783"/>
    <x v="58"/>
    <s v="2825 1ST AVE"/>
    <s v="SPEARFISH"/>
    <s v="SD"/>
    <s v="57783"/>
    <m/>
    <m/>
    <s v="Residential Lighting &amp; Appliances :- LED :- Customer Incentives"/>
    <s v="LED"/>
    <m/>
    <m/>
    <m/>
    <m/>
    <m/>
    <m/>
    <m/>
    <m/>
    <m/>
    <m/>
    <m/>
    <m/>
    <m/>
    <s v="CAD2.5W27-3P"/>
    <m/>
    <n v="6"/>
    <n v="0"/>
    <n v="1.6799999999999999E-2"/>
    <m/>
    <n v="145.19999999999999"/>
    <m/>
    <m/>
    <m/>
    <m/>
    <m/>
    <n v="0"/>
    <n v="10.62"/>
    <n v="42969"/>
    <n v="42969.619902048602"/>
    <x v="1"/>
    <s v="6560053784D74F86A744835166B01685"/>
    <n v="24.2"/>
    <n v="1.7699999999999998"/>
    <n v="31.912660854402784"/>
    <n v="4.6294175975068628"/>
    <n v="3.9162224934612029"/>
    <n v="1.1499528005502413"/>
  </r>
  <r>
    <n v="511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5.1646827136104793E-2"/>
    <n v="0.4214787522569125"/>
    <b v="0"/>
    <b v="0"/>
    <s v=""/>
    <s v="BHHEPS1534767763"/>
    <n v="1"/>
    <s v="BHHEPS1534767763"/>
    <s v="0083845781"/>
    <s v="ANDREA J"/>
    <s v="SCHARTZ"/>
    <s v="ANDREA SCHARTZ"/>
    <s v="325 RACINE ST"/>
    <s v="RAPID CITY"/>
    <s v="SD"/>
    <s v="57701"/>
    <x v="3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FM-306-930-WT"/>
    <m/>
    <n v="5"/>
    <n v="0"/>
    <n v="2.1999999999999999E-2"/>
    <m/>
    <n v="189.065"/>
    <m/>
    <m/>
    <m/>
    <m/>
    <m/>
    <n v="0"/>
    <n v="50"/>
    <n v="42970"/>
    <n v="42970.719258680598"/>
    <x v="1"/>
    <s v="F3BE932E051D46D68E44C72A1801FA6B"/>
    <n v="37.813000000000002"/>
    <n v="10"/>
    <n v="35.519370843989762"/>
    <n v="44.409875363027503"/>
    <n v="9.3048337595907924"/>
    <n v="1.6493506177636894"/>
  </r>
  <r>
    <n v="51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69692"/>
    <n v="1"/>
    <s v="BHHEPS1534769692"/>
    <s v="7747576836"/>
    <s v="ROBIN L"/>
    <s v="CLAYMORE"/>
    <m/>
    <s v="5120 STONEY CREEK C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11.8"/>
    <n v="42971"/>
    <n v="42971.450761608801"/>
    <x v="1"/>
    <s v="1C89741D4B1C4B808911CDC9E6FDCF97"/>
    <n v="33.78"/>
    <n v="2.95"/>
    <n v="31.912660854402784"/>
    <n v="4.6294175975068628"/>
    <n v="3.9162224934612029"/>
    <n v="1.1499528005502413"/>
  </r>
  <r>
    <n v="51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1880683214193477"/>
    <b v="0"/>
    <b v="0"/>
    <s v=""/>
    <s v="BHHEPS1534769692"/>
    <n v="0"/>
    <s v="BHHEPS1534769692"/>
    <s v="7747576836"/>
    <s v="ROBIN L"/>
    <s v="CLAYMORE"/>
    <m/>
    <s v="5120 STONEY CREEK C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5999999999999999E-3"/>
    <m/>
    <n v="47.392000000000003"/>
    <m/>
    <m/>
    <m/>
    <m/>
    <m/>
    <n v="0"/>
    <n v="5.0999999999999996"/>
    <n v="42971"/>
    <n v="42971.450761608801"/>
    <x v="1"/>
    <s v="AF21177527BA4380939A8E32D18C9FCE"/>
    <n v="23.696000000000002"/>
    <n v="2.5499999999999998"/>
    <n v="31.912660854402784"/>
    <n v="4.6294175975068628"/>
    <n v="3.9162224934612029"/>
    <n v="1.1499528005502413"/>
  </r>
  <r>
    <n v="51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6211017012476282"/>
    <n v="7.2852995791401517E-2"/>
    <b v="0"/>
    <b v="0"/>
    <s v=""/>
    <s v="BHHEPS1534769692"/>
    <n v="0"/>
    <s v="BHHEPS1534769692"/>
    <s v="7747576836"/>
    <s v="ROBIN L"/>
    <s v="CLAYMORE"/>
    <m/>
    <s v="5120 STONEY CREEK CT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9200000000000001E-2"/>
    <m/>
    <n v="417.45600000000002"/>
    <m/>
    <m/>
    <m/>
    <m/>
    <m/>
    <n v="0"/>
    <n v="48"/>
    <n v="42971"/>
    <n v="42971.450761608801"/>
    <x v="1"/>
    <s v="28845BACA4E04D4491F2346A2D832FC5"/>
    <n v="34.788000000000004"/>
    <n v="4"/>
    <n v="31.912660854402784"/>
    <n v="4.6294175975068628"/>
    <n v="3.9162224934612029"/>
    <n v="1.1499528005502413"/>
  </r>
  <r>
    <n v="51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109845284345826"/>
    <b v="0"/>
    <b v="1"/>
    <s v=""/>
    <s v="BHHEPS1534770032"/>
    <n v="1"/>
    <s v="BHHEPS1534770032"/>
    <s v="5103408968"/>
    <s v="LOREN C"/>
    <s v="SKJERVEM"/>
    <m/>
    <s v="4910 COPPERHILL CT"/>
    <s v="RAPID CITY"/>
    <s v="SD"/>
    <s v="57702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L9BR30D27K"/>
    <m/>
    <n v="6"/>
    <n v="0"/>
    <n v="2.4E-2"/>
    <m/>
    <n v="205.70400000000001"/>
    <m/>
    <m/>
    <m/>
    <m/>
    <m/>
    <n v="0"/>
    <n v="8.94"/>
    <n v="42971"/>
    <n v="42971.557341747699"/>
    <x v="1"/>
    <s v="A7262E23CBF24931B07E2AD80E89A2A5"/>
    <n v="34.283999999999999"/>
    <n v="1.49"/>
    <n v="31.912660854402784"/>
    <n v="4.6294175975068628"/>
    <n v="3.9162224934612029"/>
    <n v="1.1499528005502413"/>
  </r>
  <r>
    <n v="51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675044830135223"/>
    <b v="0"/>
    <b v="0"/>
    <s v=""/>
    <s v="BHHEPS1534770032"/>
    <n v="0"/>
    <s v="BHHEPS1534770032"/>
    <s v="5103408968"/>
    <s v="LOREN C"/>
    <s v="SKJERVEM"/>
    <m/>
    <s v="4910 COPPERHILL CT"/>
    <s v="RAPID CITY"/>
    <s v="SD"/>
    <s v="57702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PLYC11622U"/>
    <m/>
    <n v="2"/>
    <n v="0"/>
    <n v="5.5999999999999999E-3"/>
    <m/>
    <n v="47.392000000000003"/>
    <m/>
    <m/>
    <m/>
    <m/>
    <m/>
    <n v="0"/>
    <n v="3.98"/>
    <n v="42971"/>
    <n v="42971.557341747699"/>
    <x v="1"/>
    <s v="FF5F662D49BE4A04AD05F4090C79279E"/>
    <n v="23.696000000000002"/>
    <n v="1.99"/>
    <n v="31.912660854402784"/>
    <n v="4.6294175975068628"/>
    <n v="3.9162224934612029"/>
    <n v="1.1499528005502413"/>
  </r>
  <r>
    <n v="51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5619967120404661"/>
    <b v="0"/>
    <b v="0"/>
    <s v=""/>
    <s v="BHHEPS1534774480"/>
    <n v="1"/>
    <s v="BHHEPS1534774480"/>
    <s v="2392026174"/>
    <s v="ROGER A"/>
    <s v="THOMAS"/>
    <m/>
    <s v="338 W MCCLELLAN ST"/>
    <s v="LEAD"/>
    <s v="SD"/>
    <s v="57754"/>
    <x v="0"/>
    <s v="310 26TH ST"/>
    <s v="SPEARFISH"/>
    <s v="SD"/>
    <s v="57783"/>
    <m/>
    <m/>
    <s v="Residential Lighting &amp; Appliances :- LED :- Customer Incentives"/>
    <s v="LED"/>
    <m/>
    <m/>
    <m/>
    <m/>
    <m/>
    <m/>
    <m/>
    <m/>
    <m/>
    <m/>
    <m/>
    <m/>
    <m/>
    <s v="017801145519"/>
    <m/>
    <n v="16"/>
    <n v="0"/>
    <n v="6.4000000000000001E-2"/>
    <m/>
    <n v="540.48"/>
    <m/>
    <m/>
    <m/>
    <m/>
    <m/>
    <n v="0"/>
    <n v="33.92"/>
    <n v="42972"/>
    <n v="42972.534156713002"/>
    <x v="1"/>
    <s v="C39D71F8D0C543C7B9F7F760CBAA10A8"/>
    <n v="33.78"/>
    <n v="2.12"/>
    <n v="31.912660854402784"/>
    <n v="4.6294175975068628"/>
    <n v="3.9162224934612029"/>
    <n v="1.1499528005502413"/>
  </r>
  <r>
    <n v="51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5619967120404661"/>
    <b v="0"/>
    <b v="0"/>
    <s v=""/>
    <s v="BHHEPS1534774480"/>
    <n v="0"/>
    <s v="BHHEPS1534774480"/>
    <s v="2392026174"/>
    <s v="ROGER A"/>
    <s v="THOMAS"/>
    <m/>
    <s v="338 W MCCLELLAN ST"/>
    <s v="LEAD"/>
    <s v="SD"/>
    <s v="57754"/>
    <x v="0"/>
    <s v="310 26TH ST"/>
    <s v="SPEARFISH"/>
    <s v="SD"/>
    <s v="57783"/>
    <m/>
    <m/>
    <s v="Residential Lighting &amp; Appliances :- LED :- Customer Incentives"/>
    <s v="LED"/>
    <m/>
    <m/>
    <m/>
    <m/>
    <m/>
    <m/>
    <m/>
    <m/>
    <m/>
    <m/>
    <m/>
    <m/>
    <m/>
    <s v="17801145526"/>
    <m/>
    <n v="4"/>
    <n v="0"/>
    <n v="1.6E-2"/>
    <m/>
    <n v="135.12"/>
    <m/>
    <m/>
    <m/>
    <m/>
    <m/>
    <n v="0"/>
    <n v="8.48"/>
    <n v="42972"/>
    <n v="42972.534156713002"/>
    <x v="1"/>
    <s v="25FCE926C24E4B1988DE697EE92C671B"/>
    <n v="33.78"/>
    <n v="2.12"/>
    <n v="31.912660854402784"/>
    <n v="4.6294175975068628"/>
    <n v="3.9162224934612029"/>
    <n v="1.1499528005502413"/>
  </r>
  <r>
    <n v="51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18540974701860313"/>
    <n v="-0.37064346750341348"/>
    <b v="0"/>
    <b v="0"/>
    <s v=""/>
    <s v="BHHEPS1534774480"/>
    <n v="0"/>
    <s v="BHHEPS1534774480"/>
    <s v="2392026174"/>
    <s v="ROGER A"/>
    <s v="THOMAS"/>
    <m/>
    <s v="338 W MCCLELLAN ST"/>
    <s v="LEAD"/>
    <s v="SD"/>
    <s v="57754"/>
    <x v="0"/>
    <s v="310 26TH ST"/>
    <s v="SPEARFISH"/>
    <s v="SD"/>
    <s v="57783"/>
    <m/>
    <m/>
    <s v="Residential Lighting &amp; Appliances :- LED :- Customer Incentives"/>
    <s v="LED"/>
    <m/>
    <m/>
    <m/>
    <m/>
    <m/>
    <m/>
    <m/>
    <m/>
    <m/>
    <m/>
    <m/>
    <m/>
    <m/>
    <s v="017801435191"/>
    <m/>
    <n v="6"/>
    <n v="0"/>
    <n v="2.3400000000000001E-2"/>
    <m/>
    <n v="196.626"/>
    <m/>
    <m/>
    <m/>
    <m/>
    <m/>
    <n v="0"/>
    <n v="20.94"/>
    <n v="42972"/>
    <n v="42972.534156713002"/>
    <x v="1"/>
    <s v="9DEE64269FA24236A7216242E3E10B21"/>
    <n v="32.771000000000001"/>
    <n v="3.49"/>
    <n v="31.912660854402784"/>
    <n v="4.6294175975068628"/>
    <n v="3.9162224934612029"/>
    <n v="1.1499528005502413"/>
  </r>
  <r>
    <n v="52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-1.4489485939457094"/>
    <b v="0"/>
    <b v="0"/>
    <s v=""/>
    <s v="BHHEPS1534774499"/>
    <n v="1"/>
    <s v="BHHEPS1534774499"/>
    <s v="3609485944"/>
    <s v="BOB C"/>
    <s v="STADLER"/>
    <m/>
    <s v="1916 COWBOY LN"/>
    <s v="SPEARFISH"/>
    <s v="SD"/>
    <s v="57783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9510"/>
    <m/>
    <n v="6"/>
    <n v="0"/>
    <n v="2.2800000000000001E-2"/>
    <m/>
    <n v="193.602"/>
    <m/>
    <m/>
    <m/>
    <m/>
    <m/>
    <n v="0"/>
    <n v="13.5"/>
    <n v="42972"/>
    <n v="42972.541581481499"/>
    <x v="1"/>
    <s v="E1BE8596FA39412C97DE65783C903D5D"/>
    <n v="32.267000000000003"/>
    <n v="2.25"/>
    <n v="31.912660854402784"/>
    <n v="4.6294175975068628"/>
    <n v="3.9162224934612029"/>
    <n v="1.1499528005502413"/>
  </r>
  <r>
    <n v="52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4576446030299217"/>
    <b v="0"/>
    <b v="0"/>
    <s v=""/>
    <s v="BHHEPS1534774499"/>
    <n v="0"/>
    <s v="BHHEPS1534774499"/>
    <s v="3609485944"/>
    <s v="BOB C"/>
    <s v="STADLER"/>
    <m/>
    <s v="1916 COWBOY LN"/>
    <s v="SPEARFISH"/>
    <s v="SD"/>
    <s v="57783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9179"/>
    <m/>
    <n v="10"/>
    <n v="0"/>
    <n v="0.04"/>
    <m/>
    <n v="342.84"/>
    <m/>
    <m/>
    <m/>
    <m/>
    <m/>
    <n v="0"/>
    <n v="22.4"/>
    <n v="42972"/>
    <n v="42972.541581481499"/>
    <x v="1"/>
    <s v="DD9C6F1E24604060BA6B75EF3A3CD00A"/>
    <n v="34.283999999999999"/>
    <n v="2.2399999999999998"/>
    <n v="31.912660854402784"/>
    <n v="4.6294175975068628"/>
    <n v="3.9162224934612029"/>
    <n v="1.1499528005502413"/>
  </r>
  <r>
    <n v="52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-1.118500248745651"/>
    <b v="0"/>
    <b v="0"/>
    <s v=""/>
    <s v="BHHEPS1534774499"/>
    <n v="0"/>
    <s v="BHHEPS1534774499"/>
    <s v="3609485944"/>
    <s v="BOB C"/>
    <s v="STADLER"/>
    <m/>
    <s v="1916 COWBOY LN"/>
    <s v="SPEARFISH"/>
    <s v="SD"/>
    <s v="57783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425"/>
    <m/>
    <n v="4"/>
    <n v="0"/>
    <n v="1.4800000000000001E-2"/>
    <m/>
    <n v="125.036"/>
    <m/>
    <m/>
    <m/>
    <m/>
    <m/>
    <n v="0"/>
    <n v="10.52"/>
    <n v="42972"/>
    <n v="42972.541581481499"/>
    <x v="1"/>
    <s v="48F20BB75FA545C0B0E27D3A4317198D"/>
    <n v="31.259"/>
    <n v="2.63"/>
    <n v="31.912660854402784"/>
    <n v="4.6294175975068628"/>
    <n v="3.9162224934612029"/>
    <n v="1.1499528005502413"/>
  </r>
  <r>
    <n v="52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5363845299264276"/>
    <b v="0"/>
    <b v="1"/>
    <s v=""/>
    <s v="BHHEPS1534774499"/>
    <n v="0"/>
    <s v="BHHEPS1534774499"/>
    <s v="3609485944"/>
    <s v="BOB C"/>
    <s v="STADLER"/>
    <m/>
    <s v="1916 COWBOY LN"/>
    <s v="SPEARFISH"/>
    <s v="SD"/>
    <s v="57783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6"/>
    <m/>
    <n v="16"/>
    <n v="0"/>
    <n v="6.4000000000000001E-2"/>
    <m/>
    <n v="548.54399999999998"/>
    <m/>
    <m/>
    <m/>
    <m/>
    <m/>
    <n v="0"/>
    <n v="15.992000000000001"/>
    <n v="42972"/>
    <n v="42972.541581481499"/>
    <x v="1"/>
    <s v="27FC064FB72A4528BEA5D715A5922F0A"/>
    <n v="34.283999999999999"/>
    <n v="0.99950000000000006"/>
    <n v="31.912660854402784"/>
    <n v="4.6294175975068628"/>
    <n v="3.9162224934612029"/>
    <n v="1.1499528005502413"/>
  </r>
  <r>
    <n v="52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12"/>
    <n v="-0.79674791262980471"/>
    <b v="0"/>
    <b v="0"/>
    <s v=""/>
    <s v="BHHEPS1534774499"/>
    <n v="0"/>
    <s v="BHHEPS1534774499"/>
    <s v="3609485944"/>
    <s v="BOB C"/>
    <s v="STADLER"/>
    <m/>
    <s v="1916 COWBOY LN"/>
    <s v="SPEARFISH"/>
    <s v="SD"/>
    <s v="57783"/>
    <x v="25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3188"/>
    <m/>
    <n v="4"/>
    <n v="0"/>
    <n v="1.7600000000000001E-2"/>
    <m/>
    <n v="149.23599999999999"/>
    <m/>
    <m/>
    <m/>
    <m/>
    <m/>
    <n v="0"/>
    <n v="12"/>
    <n v="42972"/>
    <n v="42972.541581481499"/>
    <x v="1"/>
    <s v="E29FCC3F96A245D3A43BF44190203345"/>
    <n v="37.308999999999997"/>
    <n v="3"/>
    <n v="31.912660854402784"/>
    <n v="4.6294175975068628"/>
    <n v="3.9162224934612029"/>
    <n v="1.1499528005502413"/>
  </r>
  <r>
    <n v="52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3.2328225149396955E-2"/>
    <n v="0.93375789512839591"/>
    <b v="0"/>
    <b v="0"/>
    <s v=""/>
    <s v="BHHEPS1534775161"/>
    <n v="1"/>
    <s v="BHHEPS1534775161"/>
    <s v="6782096619"/>
    <s v="JERROLD L"/>
    <s v="BROWN"/>
    <m/>
    <s v="4712 EDGEWOOD DR"/>
    <s v="RAPID CITY"/>
    <s v="SD"/>
    <s v="57702"/>
    <x v="59"/>
    <s v="333 OMAHA ST"/>
    <s v="RAPID CITY"/>
    <s v="SD"/>
    <s v="57701"/>
    <s v="605-348-3393"/>
    <s v="CURT@BESLIGHTING.COM"/>
    <s v="Residential Lighting &amp; Appliances :- LED :- Customer Incentives"/>
    <s v="LED"/>
    <m/>
    <m/>
    <m/>
    <m/>
    <m/>
    <m/>
    <m/>
    <m/>
    <m/>
    <m/>
    <m/>
    <m/>
    <m/>
    <s v="S9811"/>
    <m/>
    <n v="4"/>
    <n v="0"/>
    <n v="1.4800000000000001E-2"/>
    <m/>
    <n v="127.05200000000001"/>
    <m/>
    <m/>
    <m/>
    <m/>
    <m/>
    <n v="0"/>
    <n v="19.96"/>
    <n v="42972"/>
    <n v="42972.787207673602"/>
    <x v="1"/>
    <s v="988842FF580A4127A9CDAEB9AFA68511"/>
    <n v="31.763000000000002"/>
    <n v="4.99"/>
    <n v="31.912660854402784"/>
    <n v="4.6294175975068628"/>
    <n v="3.9162224934612029"/>
    <n v="1.1499528005502413"/>
  </r>
  <r>
    <n v="52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45760355834553418"/>
    <b v="0"/>
    <b v="0"/>
    <s v=""/>
    <s v="BHHEPS1534775161"/>
    <n v="0"/>
    <s v="BHHEPS1534775161"/>
    <s v="6782096619"/>
    <s v="JERROLD L"/>
    <s v="BROWN"/>
    <m/>
    <s v="4712 EDGEWOOD DR"/>
    <s v="RAPID CITY"/>
    <s v="SD"/>
    <s v="57702"/>
    <x v="59"/>
    <s v="333 OMAHA ST"/>
    <s v="RAPID CITY"/>
    <s v="SD"/>
    <s v="57701"/>
    <s v="605-348-3393"/>
    <s v="CURT@BESLIGHTING.COM"/>
    <s v="Residential Lighting &amp; Appliances :- LED :- Customer Incentives"/>
    <s v="LED"/>
    <m/>
    <m/>
    <m/>
    <m/>
    <m/>
    <m/>
    <m/>
    <m/>
    <m/>
    <m/>
    <m/>
    <m/>
    <m/>
    <s v="S9836"/>
    <m/>
    <n v="4"/>
    <n v="0"/>
    <n v="1.6E-2"/>
    <m/>
    <n v="135.12"/>
    <m/>
    <m/>
    <m/>
    <m/>
    <m/>
    <n v="0"/>
    <n v="13.56"/>
    <n v="42972"/>
    <n v="42972.787207673602"/>
    <x v="1"/>
    <s v="971AAB7523A544CCBA709FD2ECEB1D37"/>
    <n v="33.78"/>
    <n v="3.39"/>
    <n v="31.912660854402784"/>
    <n v="4.6294175975068628"/>
    <n v="3.9162224934612029"/>
    <n v="1.1499528005502413"/>
  </r>
  <r>
    <n v="52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80550"/>
    <n v="1"/>
    <s v="BHHEPS1534780550"/>
    <s v="1363085017"/>
    <s v="KEN A"/>
    <s v="SCHALLENKAMP"/>
    <m/>
    <s v="1918 COUNTRY OAK LN"/>
    <s v="SPEARFISH"/>
    <s v="SD"/>
    <s v="57783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0.04"/>
    <m/>
    <n v="337.8"/>
    <m/>
    <m/>
    <m/>
    <m/>
    <m/>
    <n v="0"/>
    <n v="29.5"/>
    <n v="42975"/>
    <n v="42975.577299305602"/>
    <x v="1"/>
    <s v="5AC22E91796949ADAF80582401B20C6A"/>
    <n v="33.78"/>
    <n v="2.95"/>
    <n v="31.912660854402784"/>
    <n v="4.6294175975068628"/>
    <n v="3.9162224934612029"/>
    <n v="1.1499528005502413"/>
  </r>
  <r>
    <n v="52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7.2852995791401517E-2"/>
    <b v="0"/>
    <b v="0"/>
    <s v=""/>
    <s v="BHHEPS1534780555"/>
    <n v="1"/>
    <s v="BHHEPS1534780555"/>
    <s v="1972954029"/>
    <s v="JAMES"/>
    <s v="KAMMERT"/>
    <m/>
    <s v="4050 CARRIAGE HILLS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16"/>
    <n v="42975"/>
    <n v="42975.578472569403"/>
    <x v="1"/>
    <s v="610BA225AC914A779F9C916B976CE2A0"/>
    <n v="33.78"/>
    <n v="4"/>
    <n v="31.912660854402784"/>
    <n v="4.6294175975068628"/>
    <n v="3.9162224934612029"/>
    <n v="1.1499528005502413"/>
  </r>
  <r>
    <n v="52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1880683214193477"/>
    <b v="0"/>
    <b v="0"/>
    <s v=""/>
    <s v="BHHEPS1534780555"/>
    <n v="0"/>
    <s v="BHHEPS1534780555"/>
    <s v="1972954029"/>
    <s v="JAMES"/>
    <s v="KAMMERT"/>
    <m/>
    <s v="4050 CARRIAGE HILLS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2.8E-3"/>
    <m/>
    <n v="23.696000000000002"/>
    <m/>
    <m/>
    <m/>
    <m/>
    <m/>
    <n v="0"/>
    <n v="2.5499999999999998"/>
    <n v="42975"/>
    <n v="42975.578472569403"/>
    <x v="1"/>
    <s v="E0DF1EEB8E7046589CD2909FFCE52F9F"/>
    <n v="23.696000000000002"/>
    <n v="2.5499999999999998"/>
    <n v="31.912660854402784"/>
    <n v="4.6294175975068628"/>
    <n v="3.9162224934612029"/>
    <n v="1.1499528005502413"/>
  </r>
  <r>
    <n v="53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80555"/>
    <n v="0"/>
    <s v="BHHEPS1534780555"/>
    <s v="1972954029"/>
    <s v="JAMES"/>
    <s v="KAMMERT"/>
    <m/>
    <s v="4050 CARRIAGE HILLS DR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2.95"/>
    <n v="42975"/>
    <n v="42975.578472569403"/>
    <x v="1"/>
    <s v="5C64B51115E44EE3A35B85A4D81F48A9"/>
    <n v="33.78"/>
    <n v="2.95"/>
    <n v="31.912660854402784"/>
    <n v="4.6294175975068628"/>
    <n v="3.9162224934612029"/>
    <n v="1.1499528005502413"/>
  </r>
  <r>
    <n v="53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525"/>
    <b v="0"/>
    <b v="0"/>
    <s v=""/>
    <s v="BHHEPS1534783524"/>
    <n v="1"/>
    <s v="BHHEPS1534783524"/>
    <s v="0047623002"/>
    <s v="DEAN C"/>
    <s v="FOUCAULT"/>
    <m/>
    <s v="7284 SUTTON DR                                    APT 101"/>
    <s v="BLACK HAWK"/>
    <s v="SD"/>
    <s v="57718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2E-2"/>
    <m/>
    <n v="101.34"/>
    <m/>
    <m/>
    <m/>
    <m/>
    <m/>
    <n v="0"/>
    <n v="8.85"/>
    <n v="42976"/>
    <n v="42976.530683252298"/>
    <x v="1"/>
    <s v="6D349DF220A94CD39DFED0A69187D73C"/>
    <n v="33.78"/>
    <n v="2.9499999999999997"/>
    <n v="31.912660854402784"/>
    <n v="4.6294175975068628"/>
    <n v="3.9162224934612029"/>
    <n v="1.1499528005502413"/>
  </r>
  <r>
    <n v="53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14"/>
    <n v="-1.1880683214193473"/>
    <b v="0"/>
    <b v="0"/>
    <s v=""/>
    <s v="BHHEPS1534783524"/>
    <n v="0"/>
    <s v="BHHEPS1534783524"/>
    <s v="0047623002"/>
    <s v="DEAN C"/>
    <s v="FOUCAULT"/>
    <m/>
    <s v="7284 SUTTON DR                                    APT 101"/>
    <s v="BLACK HAWK"/>
    <s v="SD"/>
    <s v="57718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8.3999999999999995E-3"/>
    <m/>
    <n v="71.087999999999994"/>
    <m/>
    <m/>
    <m/>
    <m/>
    <m/>
    <n v="0"/>
    <n v="7.65"/>
    <n v="42976"/>
    <n v="42976.530683252298"/>
    <x v="1"/>
    <s v="AB224141574440ABBCB38A9D37F8C844"/>
    <n v="23.695999999999998"/>
    <n v="2.5500000000000003"/>
    <n v="31.912660854402784"/>
    <n v="4.6294175975068628"/>
    <n v="3.9162224934612029"/>
    <n v="1.1499528005502413"/>
  </r>
  <r>
    <n v="53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83529"/>
    <n v="1"/>
    <s v="BHHEPS1534783529"/>
    <s v="5067203630"/>
    <s v="RENEE M"/>
    <s v="FOLTZ"/>
    <m/>
    <s v="701 E INDIANA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11.8"/>
    <n v="42976"/>
    <n v="42976.532596643498"/>
    <x v="1"/>
    <s v="1C441676F4754B09A0B2933775E15E84"/>
    <n v="33.78"/>
    <n v="2.95"/>
    <n v="31.912660854402784"/>
    <n v="4.6294175975068628"/>
    <n v="3.9162224934612029"/>
    <n v="1.1499528005502413"/>
  </r>
  <r>
    <n v="53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1880683214193477"/>
    <b v="0"/>
    <b v="0"/>
    <s v=""/>
    <s v="BHHEPS1534783529"/>
    <n v="0"/>
    <s v="BHHEPS1534783529"/>
    <s v="5067203630"/>
    <s v="RENEE M"/>
    <s v="FOLTZ"/>
    <m/>
    <s v="701 E INDIANA ST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5999999999999999E-3"/>
    <m/>
    <n v="47.392000000000003"/>
    <m/>
    <m/>
    <m/>
    <m/>
    <m/>
    <n v="0"/>
    <n v="5.0999999999999996"/>
    <n v="42976"/>
    <n v="42976.532596643498"/>
    <x v="1"/>
    <s v="9CA448B51DA04CE69789A71BD103CC10"/>
    <n v="23.696000000000002"/>
    <n v="2.5499999999999998"/>
    <n v="31.912660854402784"/>
    <n v="4.6294175975068628"/>
    <n v="3.9162224934612029"/>
    <n v="1.1499528005502413"/>
  </r>
  <r>
    <n v="53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1880683214193477"/>
    <b v="0"/>
    <b v="0"/>
    <s v=""/>
    <s v="BHHEPS1534804926"/>
    <n v="1"/>
    <s v="BHHEPS1534804926"/>
    <s v="4829018905"/>
    <s v="CHRIS P"/>
    <s v="SCHMID"/>
    <m/>
    <s v="2008 ROOSEVELT AVE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12E-2"/>
    <m/>
    <n v="94.784000000000006"/>
    <m/>
    <m/>
    <m/>
    <m/>
    <m/>
    <n v="0"/>
    <n v="10.199999999999999"/>
    <n v="42977"/>
    <n v="42983.453410104201"/>
    <x v="1"/>
    <s v="366C0B584D8E42BBA25E4F6E7D9899B5"/>
    <n v="23.696000000000002"/>
    <n v="2.5499999999999998"/>
    <n v="31.912660854402784"/>
    <n v="4.6294175975068628"/>
    <n v="3.9162224934612029"/>
    <n v="1.1499528005502413"/>
  </r>
  <r>
    <n v="53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804926"/>
    <n v="0"/>
    <s v="BHHEPS1534804926"/>
    <s v="4829018905"/>
    <s v="CHRIS P"/>
    <s v="SCHMID"/>
    <m/>
    <s v="2008 ROOSEVELT AVE"/>
    <s v="RAPID CITY"/>
    <s v="SD"/>
    <s v="57701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11.8"/>
    <n v="42977"/>
    <n v="42983.453410104201"/>
    <x v="1"/>
    <s v="C964882ED54346E2807BBD6B56BD5E98"/>
    <n v="33.78"/>
    <n v="2.95"/>
    <n v="31.912660854402784"/>
    <n v="4.6294175975068628"/>
    <n v="3.9162224934612029"/>
    <n v="1.1499528005502413"/>
  </r>
  <r>
    <n v="53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804937"/>
    <n v="1"/>
    <s v="BHHEPS1534804937"/>
    <s v="5860645833"/>
    <s v="VALERIE"/>
    <s v="BRANT"/>
    <m/>
    <s v="1702 MOUNTAIN VIEW RD"/>
    <s v="RAPID CITY"/>
    <s v="SD"/>
    <s v="57702"/>
    <x v="3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0.02"/>
    <m/>
    <n v="168.9"/>
    <m/>
    <m/>
    <m/>
    <m/>
    <m/>
    <n v="0"/>
    <n v="14.75"/>
    <n v="42976"/>
    <n v="42983.457309919002"/>
    <x v="1"/>
    <s v="A3C23FBA52C145A9A3E9911B767BBED1"/>
    <n v="33.78"/>
    <n v="2.95"/>
    <n v="31.912660854402784"/>
    <n v="4.6294175975068628"/>
    <n v="3.9162224934612029"/>
    <n v="1.1499528005502413"/>
  </r>
  <r>
    <n v="538"/>
    <s v="Residential - BHPSD - Residential Online Audit"/>
    <b v="0"/>
    <s v="Residential - BHPSD - Residential Online Audit__"/>
    <n v="0"/>
    <x v="0"/>
    <x v="0"/>
    <x v="0"/>
    <x v="0"/>
    <s v=""/>
    <s v=""/>
    <b v="0"/>
    <b v="0"/>
    <s v="Residential - BHPSD - Residential Online Audit"/>
    <n v="12"/>
    <n v="1"/>
    <s v=""/>
    <s v=""/>
    <s v=""/>
    <s v=""/>
    <s v=""/>
    <s v=""/>
    <s v=""/>
    <s v=""/>
    <s v=""/>
    <x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1"/>
    <n v="0"/>
    <n v="10.802"/>
    <m/>
    <n v="102619"/>
    <m/>
    <m/>
    <m/>
    <m/>
    <m/>
    <n v="0"/>
    <n v="0"/>
    <s v=""/>
    <m/>
    <x v="0"/>
    <s v=""/>
    <n v="209"/>
    <n v="0"/>
    <e v="#N/A"/>
    <e v="#N/A"/>
    <e v="#N/A"/>
    <e v="#N/A"/>
  </r>
  <r>
    <n v="539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2965022"/>
    <n v="1"/>
    <s v="BHOAPS1532965022"/>
    <m/>
    <s v="Online"/>
    <s v="Audit"/>
    <s v="Online Audit"/>
    <s v="409 Deadwood Ave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211"/>
    <n v="0"/>
    <n v="4.6420000000000003"/>
    <m/>
    <n v="44099"/>
    <m/>
    <m/>
    <m/>
    <m/>
    <m/>
    <n v="0"/>
    <n v="0"/>
    <n v="42641"/>
    <n v="42643.6538484954"/>
    <x v="1"/>
    <s v="CB55ED7EF53F44F6859DF78E761857E1"/>
    <n v="209"/>
    <n v="0"/>
    <n v="209"/>
    <n v="0"/>
    <n v="0"/>
    <n v="0"/>
  </r>
  <r>
    <n v="540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2965057"/>
    <n v="1"/>
    <s v="BHOAPS1532965057"/>
    <s v="10000000001"/>
    <s v="ONLINE"/>
    <s v="AUDIT"/>
    <m/>
    <s v="409 Deadwood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33"/>
    <n v="0"/>
    <n v="0.72599999999999998"/>
    <m/>
    <n v="6897"/>
    <m/>
    <m/>
    <m/>
    <m/>
    <m/>
    <n v="0"/>
    <n v="0"/>
    <n v="42669"/>
    <n v="42643.665785648103"/>
    <x v="1"/>
    <s v="3C2366F45EB847A0AD2275902E340CAF"/>
    <n v="209"/>
    <n v="0"/>
    <n v="209"/>
    <n v="0"/>
    <n v="0"/>
    <n v="0"/>
  </r>
  <r>
    <n v="541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2965060"/>
    <n v="1"/>
    <s v="BHOAPS1532965060"/>
    <s v="10000000001"/>
    <s v="ONLINE"/>
    <s v="AUDIT"/>
    <m/>
    <s v="409 Deadwood ave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41"/>
    <n v="0"/>
    <n v="0.90200000000000002"/>
    <m/>
    <n v="8569"/>
    <m/>
    <m/>
    <m/>
    <m/>
    <m/>
    <n v="0"/>
    <n v="0"/>
    <n v="42702"/>
    <n v="42643.667205937498"/>
    <x v="1"/>
    <s v="0753AD2DC787429BB456FD6F6CE719D9"/>
    <n v="209"/>
    <n v="0"/>
    <n v="209"/>
    <n v="0"/>
    <n v="0"/>
    <n v="0"/>
  </r>
  <r>
    <n v="542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177893"/>
    <n v="1"/>
    <s v="BHOAPS1533177893"/>
    <s v="10000000001"/>
    <s v="ONLINE"/>
    <s v="AUDIT"/>
    <m/>
    <s v="409 DEADWOOD AVE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17"/>
    <n v="0"/>
    <n v="0.374"/>
    <m/>
    <n v="3553"/>
    <m/>
    <m/>
    <m/>
    <m/>
    <m/>
    <n v="0"/>
    <n v="0"/>
    <n v="42731"/>
    <n v="42702.682953240699"/>
    <x v="1"/>
    <s v="4557C21B5D3746FDBA2647D91111E351"/>
    <n v="209"/>
    <n v="0"/>
    <n v="209"/>
    <n v="0"/>
    <n v="0"/>
    <n v="0"/>
  </r>
  <r>
    <n v="543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177897"/>
    <n v="1"/>
    <s v="BHOAPS1533177897"/>
    <s v="10000000001"/>
    <s v="ONLINE"/>
    <s v="AUDIT"/>
    <m/>
    <s v="409 Deadwood Ave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35"/>
    <n v="0"/>
    <n v="0.77"/>
    <m/>
    <n v="7315"/>
    <m/>
    <m/>
    <m/>
    <m/>
    <m/>
    <n v="0"/>
    <n v="0"/>
    <n v="42759"/>
    <n v="42702.7160105324"/>
    <x v="1"/>
    <s v="ED5B66A97F204C04A525E4010264FA17"/>
    <n v="209"/>
    <n v="0"/>
    <n v="209"/>
    <n v="0"/>
    <n v="0"/>
    <n v="0"/>
  </r>
  <r>
    <n v="544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177998"/>
    <n v="1"/>
    <s v="BHOAPS1533177998"/>
    <s v="10000000001"/>
    <s v="ONLINE"/>
    <s v="AUDIT"/>
    <m/>
    <s v="409 Deadwood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29"/>
    <n v="0"/>
    <n v="0.63800000000000001"/>
    <m/>
    <n v="6061"/>
    <m/>
    <m/>
    <m/>
    <m/>
    <m/>
    <n v="0"/>
    <n v="0"/>
    <n v="42787"/>
    <n v="42702.716987419"/>
    <x v="1"/>
    <s v="74140D8207AB4480A6B5786DA00A9A67"/>
    <n v="209"/>
    <n v="0"/>
    <n v="209"/>
    <n v="0"/>
    <n v="0"/>
    <n v="0"/>
  </r>
  <r>
    <n v="545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2989"/>
    <n v="1"/>
    <s v="BHOAPS1533982989"/>
    <s v="10000000001"/>
    <s v="ONLINE"/>
    <s v="AUDIT"/>
    <m/>
    <s v="409 Deadwood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27"/>
    <n v="0"/>
    <n v="0.59399999999999997"/>
    <m/>
    <n v="5643"/>
    <m/>
    <m/>
    <m/>
    <m/>
    <m/>
    <n v="0"/>
    <n v="0"/>
    <n v="42800"/>
    <n v="42775.661667673601"/>
    <x v="1"/>
    <s v="B950F09DC48A4537AFB521D7833E05E4"/>
    <n v="209"/>
    <n v="0"/>
    <n v="209"/>
    <n v="0"/>
    <n v="0"/>
    <n v="0"/>
  </r>
  <r>
    <n v="546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2999"/>
    <n v="1"/>
    <s v="BHOAPS1533982999"/>
    <s v="10000000001"/>
    <s v="ONLINE"/>
    <s v="AUDIT"/>
    <m/>
    <s v="409 Deadwood Ave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13"/>
    <n v="0"/>
    <n v="0.28599999999999998"/>
    <m/>
    <n v="2717"/>
    <m/>
    <m/>
    <m/>
    <m/>
    <m/>
    <n v="0"/>
    <n v="0"/>
    <n v="42844"/>
    <n v="42775.666023495403"/>
    <x v="1"/>
    <s v="639FD09EFA474B5CBBEB1766A62E7051"/>
    <n v="209"/>
    <n v="0"/>
    <n v="209"/>
    <n v="0"/>
    <n v="0"/>
    <n v="0"/>
  </r>
  <r>
    <n v="547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3002"/>
    <n v="1"/>
    <s v="BHOAPS1533983002"/>
    <s v="10000000001"/>
    <s v="ONLINE"/>
    <s v="AUDIT"/>
    <m/>
    <s v="409 Deadwood Ave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23"/>
    <n v="0"/>
    <n v="0.50600000000000001"/>
    <m/>
    <n v="4807"/>
    <m/>
    <m/>
    <m/>
    <m/>
    <m/>
    <n v="0"/>
    <n v="0"/>
    <n v="42880"/>
    <n v="42775.666610567103"/>
    <x v="1"/>
    <s v="AF67B1785E9841488E3FA217D50D535B"/>
    <n v="209"/>
    <n v="0"/>
    <n v="209"/>
    <n v="0"/>
    <n v="0"/>
    <n v="0"/>
  </r>
  <r>
    <n v="548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3004"/>
    <n v="1"/>
    <s v="BHOAPS1533983004"/>
    <s v="10000000001"/>
    <s v="ONLINE"/>
    <s v="AUDIT"/>
    <m/>
    <s v="409 Deadwood Ave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16"/>
    <n v="0"/>
    <n v="0.35199999999999998"/>
    <m/>
    <n v="3344"/>
    <m/>
    <m/>
    <m/>
    <m/>
    <m/>
    <n v="0"/>
    <n v="0"/>
    <n v="42901"/>
    <n v="42775.667385648201"/>
    <x v="1"/>
    <s v="1CA439966772429197EA975CF6CADB5B"/>
    <n v="209"/>
    <n v="0"/>
    <n v="209"/>
    <n v="0"/>
    <n v="0"/>
    <n v="0"/>
  </r>
  <r>
    <n v="549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3009"/>
    <n v="1"/>
    <s v="BHOAPS1533983009"/>
    <s v="10000000001"/>
    <s v="ONLINE"/>
    <s v="AUDIT"/>
    <m/>
    <s v="409 Deadwood&lt;br&gt;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26"/>
    <n v="0"/>
    <n v="0.57199999999999995"/>
    <m/>
    <n v="5434"/>
    <m/>
    <m/>
    <m/>
    <m/>
    <m/>
    <n v="0"/>
    <n v="0"/>
    <n v="42936"/>
    <n v="42775.668760729197"/>
    <x v="1"/>
    <s v="9F7D0E919752466AA8E2B4BDB5507652"/>
    <n v="209"/>
    <n v="0"/>
    <n v="209"/>
    <n v="0"/>
    <n v="0"/>
    <n v="0"/>
  </r>
  <r>
    <n v="550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3011"/>
    <n v="1"/>
    <s v="BHOAPS1533983011"/>
    <s v="10000000001"/>
    <s v="ONLINE"/>
    <s v="AUDIT"/>
    <m/>
    <s v="409 Deadwwod"/>
    <s v="RAPID CITY"/>
    <s v="SD"/>
    <s v="57702"/>
    <x v="58"/>
    <m/>
    <m/>
    <m/>
    <m/>
    <m/>
    <m/>
    <s v="Residential Energy Evaluation"/>
    <s v="Online Evaluation"/>
    <m/>
    <m/>
    <m/>
    <m/>
    <m/>
    <m/>
    <m/>
    <m/>
    <m/>
    <m/>
    <m/>
    <m/>
    <m/>
    <m/>
    <m/>
    <n v="20"/>
    <n v="0"/>
    <n v="0.44"/>
    <m/>
    <n v="4180"/>
    <m/>
    <m/>
    <m/>
    <m/>
    <m/>
    <n v="0"/>
    <n v="0"/>
    <n v="42775"/>
    <n v="42775.6694263889"/>
    <x v="1"/>
    <s v="462B495520A24E0C81AB4807336148CD"/>
    <n v="209"/>
    <n v="0"/>
    <n v="209"/>
    <n v="0"/>
    <n v="0"/>
    <n v="0"/>
  </r>
  <r>
    <n v="551"/>
    <s v="Special - BHPSD - School Based Energy Education"/>
    <b v="0"/>
    <s v="Special - BHPSD - School Based Energy Education__"/>
    <n v="0"/>
    <x v="0"/>
    <x v="0"/>
    <x v="0"/>
    <x v="0"/>
    <s v=""/>
    <s v=""/>
    <b v="0"/>
    <b v="0"/>
    <s v="Special - BHPSD - School Based Energy Education"/>
    <n v="20"/>
    <n v="1"/>
    <s v=""/>
    <s v=""/>
    <s v=""/>
    <s v=""/>
    <s v=""/>
    <s v=""/>
    <s v=""/>
    <s v=""/>
    <s v=""/>
    <x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2"/>
    <n v="0"/>
    <n v="48.08"/>
    <m/>
    <n v="477194"/>
    <m/>
    <m/>
    <m/>
    <m/>
    <m/>
    <n v="0"/>
    <n v="0"/>
    <s v=""/>
    <m/>
    <x v="0"/>
    <s v=""/>
    <n v="397"/>
    <n v="0"/>
    <e v="#N/A"/>
    <e v="#N/A"/>
    <e v="#N/A"/>
    <e v="#N/A"/>
  </r>
  <r>
    <n v="552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02"/>
    <n v="1"/>
    <s v="BHBLPS1534071902"/>
    <s v="6783202118"/>
    <s v="RCAS BUSINESS OFFICE"/>
    <s v="RCAS BUSINESS OFFICE"/>
    <s v="RCAS BUSINESS OFFICE"/>
    <s v="207 FLORMANN ST"/>
    <s v="RAPID CITY"/>
    <s v="SD"/>
    <s v="57701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83"/>
    <n v="0"/>
    <n v="3.32"/>
    <m/>
    <n v="32951"/>
    <m/>
    <m/>
    <m/>
    <m/>
    <m/>
    <n v="0"/>
    <n v="0"/>
    <n v="42804"/>
    <n v="42804.622698263898"/>
    <x v="1"/>
    <s v="855F6C48DD7C492AB91CA6726247185F"/>
    <n v="397"/>
    <n v="0"/>
    <n v="397"/>
    <n v="0"/>
    <n v="0"/>
    <n v="0"/>
  </r>
  <r>
    <n v="553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07"/>
    <n v="1"/>
    <s v="BHBLPS1534071907"/>
    <s v="0934689050"/>
    <s v="NEWELL IDP SCHOOL"/>
    <s v="NEWELL IDP SCHOOL"/>
    <s v="NEWELL IDP SCHOOL"/>
    <s v="501 DARTMOUTH AVE"/>
    <s v="NEWELL"/>
    <s v="SD"/>
    <s v="57760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5"/>
    <n v="0"/>
    <n v="1"/>
    <m/>
    <n v="9925"/>
    <m/>
    <m/>
    <m/>
    <m/>
    <m/>
    <n v="0"/>
    <n v="0"/>
    <n v="42804"/>
    <n v="42804.6244997338"/>
    <x v="1"/>
    <s v="979D31CF56EE43039ACAD4CE5CCCF18E"/>
    <n v="397"/>
    <n v="0"/>
    <n v="397"/>
    <n v="0"/>
    <n v="0"/>
    <n v="0"/>
  </r>
  <r>
    <n v="554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15"/>
    <n v="1"/>
    <s v="BHBLPS1534071915"/>
    <s v="4765894355"/>
    <s v="TERRA SANCTA"/>
    <s v="TERRA SANCTA"/>
    <s v="TERRA SANCTA"/>
    <s v="2101 CITY SPRINGS RD"/>
    <s v="RAPID CITY"/>
    <s v="SD"/>
    <s v="57702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0"/>
    <n v="0"/>
    <n v="0.8"/>
    <m/>
    <n v="7940"/>
    <m/>
    <m/>
    <m/>
    <m/>
    <m/>
    <n v="0"/>
    <n v="0"/>
    <n v="42804"/>
    <n v="42804.627474189801"/>
    <x v="1"/>
    <s v="50DBEAC187FD4459BFF87E008550F053"/>
    <n v="397"/>
    <n v="0"/>
    <n v="397"/>
    <n v="0"/>
    <n v="0"/>
    <n v="0"/>
  </r>
  <r>
    <n v="555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21"/>
    <n v="1"/>
    <s v="BHBLPS1534071921"/>
    <s v="5883243902"/>
    <s v="EDGEMONT SCHOOLS"/>
    <s v="EDGEMONT SCHOOLS"/>
    <s v="EDGEMONT SCHOOLS"/>
    <s v="715 MOGUL WAY                                      MAIN BLDG"/>
    <s v="EDGEMONT"/>
    <s v="SD"/>
    <s v="57735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16"/>
    <n v="0"/>
    <n v="0.64"/>
    <m/>
    <n v="6352"/>
    <m/>
    <m/>
    <m/>
    <m/>
    <m/>
    <n v="0"/>
    <n v="0"/>
    <n v="42804"/>
    <n v="42804.631206168997"/>
    <x v="1"/>
    <s v="83F47294E01A4CF68569646F23E83E13"/>
    <n v="397"/>
    <n v="0"/>
    <n v="397"/>
    <n v="0"/>
    <n v="0"/>
    <n v="0"/>
  </r>
  <r>
    <n v="556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22"/>
    <n v="1"/>
    <s v="BHBLPS1534071922"/>
    <s v="2606450720"/>
    <s v="RCAS BUSINESS OFFICE"/>
    <s v="RCAS BUSINESS OFFICE"/>
    <s v="RCAS BUSINESS OFFICE"/>
    <s v="3125 W FLORMANN ST"/>
    <s v="RAPID CITY"/>
    <s v="SD"/>
    <s v="57702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78"/>
    <n v="0"/>
    <n v="3.12"/>
    <m/>
    <n v="30966"/>
    <m/>
    <m/>
    <m/>
    <m/>
    <m/>
    <n v="0"/>
    <n v="0"/>
    <n v="42804"/>
    <n v="42804.633571874998"/>
    <x v="1"/>
    <s v="A82485CCFC7C40F39C80EF19F31628CA"/>
    <n v="397"/>
    <n v="0"/>
    <n v="397"/>
    <n v="0"/>
    <n v="0"/>
    <n v="0"/>
  </r>
  <r>
    <n v="557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29"/>
    <n v="1"/>
    <s v="BHBLPS1534071929"/>
    <s v="5955835343"/>
    <s v="PIEDMONT VALLEY"/>
    <s v="MEADE BOARD OF EDUCATION"/>
    <s v="MEADE BOARD OF ED"/>
    <s v="16159 2ND ST"/>
    <s v="PIEDMONT"/>
    <s v="SD"/>
    <s v="57769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84"/>
    <n v="0"/>
    <n v="3.36"/>
    <m/>
    <n v="33348"/>
    <m/>
    <m/>
    <m/>
    <m/>
    <m/>
    <n v="0"/>
    <n v="0"/>
    <n v="42804"/>
    <n v="42804.6360208681"/>
    <x v="1"/>
    <s v="FEF2E9DF56DC42EE9A84633C63284831"/>
    <n v="397"/>
    <n v="0"/>
    <n v="397"/>
    <n v="0"/>
    <n v="0"/>
    <n v="0"/>
  </r>
  <r>
    <n v="558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34"/>
    <n v="1"/>
    <s v="BHBLPS1534071934"/>
    <s v="3374349830"/>
    <s v="CHRISTIAN SCHOOL"/>
    <s v="ZION LUTHERAN CHURCH"/>
    <s v="ZION LUTHERAN CHURCH"/>
    <s v="4550 S HIGHWAY 16"/>
    <s v="RAPID CITY"/>
    <s v="SD"/>
    <s v="57701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0"/>
    <n v="0"/>
    <n v="0.8"/>
    <m/>
    <n v="7940"/>
    <m/>
    <m/>
    <m/>
    <m/>
    <m/>
    <n v="0"/>
    <n v="0"/>
    <n v="42804"/>
    <n v="42804.639085185197"/>
    <x v="1"/>
    <s v="83DA03ED5D4F47EB8E161F33DA7DC603"/>
    <n v="397"/>
    <n v="0"/>
    <n v="397"/>
    <n v="0"/>
    <n v="0"/>
    <n v="0"/>
  </r>
  <r>
    <n v="559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38"/>
    <n v="1"/>
    <s v="BHBLPS1534071938"/>
    <s v="5045772714"/>
    <s v="STURGIS ELEMENTARY"/>
    <s v="MEADE BOARD OF ED"/>
    <s v="MEADE BOARD OF ED"/>
    <s v="1121 BALLPARK RD"/>
    <s v="STURGIS"/>
    <s v="SD"/>
    <s v="57785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102"/>
    <n v="0"/>
    <n v="4.08"/>
    <m/>
    <n v="40494"/>
    <m/>
    <m/>
    <m/>
    <m/>
    <m/>
    <n v="0"/>
    <n v="0"/>
    <n v="42804"/>
    <n v="42804.6410861111"/>
    <x v="1"/>
    <s v="CDB026AD22134582B8C025E5D9FDAE44"/>
    <n v="397"/>
    <n v="0"/>
    <n v="397"/>
    <n v="0"/>
    <n v="0"/>
    <n v="0"/>
  </r>
  <r>
    <n v="560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51"/>
    <n v="1"/>
    <s v="BHBLPS1534071951"/>
    <s v="5119773180"/>
    <s v="HILL CITY SCHOOL"/>
    <s v="HILL CITY SCHOOL"/>
    <s v="HILL CITY SCHOOL"/>
    <s v="302 MAIN ST"/>
    <s v="HILL CITY"/>
    <s v="SD"/>
    <s v="57745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43"/>
    <n v="0"/>
    <n v="1.72"/>
    <m/>
    <n v="17071"/>
    <m/>
    <m/>
    <m/>
    <m/>
    <m/>
    <n v="0"/>
    <n v="0"/>
    <n v="42804"/>
    <n v="42804.645049537001"/>
    <x v="1"/>
    <s v="06A5A6718C284B9CA71067EDF99A6A12"/>
    <n v="397"/>
    <n v="0"/>
    <n v="397"/>
    <n v="0"/>
    <n v="0"/>
    <n v="0"/>
  </r>
  <r>
    <n v="561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62"/>
    <n v="1"/>
    <s v="BHBLPS1534071962"/>
    <s v="2853481500"/>
    <s v="DOUGLAS SCHOOL"/>
    <s v="DOUGLAS SCHOOL"/>
    <s v="DOUGLAS SCHOOL"/>
    <s v="561 BRIGGS ST                                      SCHOOL"/>
    <s v="BOX ELDER"/>
    <s v="SD"/>
    <s v="57719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37"/>
    <n v="0"/>
    <n v="9.48"/>
    <m/>
    <n v="94089"/>
    <m/>
    <m/>
    <m/>
    <m/>
    <m/>
    <n v="0"/>
    <n v="0"/>
    <n v="42804"/>
    <n v="42804.649298067103"/>
    <x v="1"/>
    <s v="52F5A9A00E45436EB842AF776EF56CA7"/>
    <n v="397"/>
    <n v="0"/>
    <n v="397"/>
    <n v="0"/>
    <n v="0"/>
    <n v="0"/>
  </r>
  <r>
    <n v="562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70"/>
    <n v="1"/>
    <s v="BHBLPS1534071970"/>
    <s v="6013746720"/>
    <s v="HOT SPRINGS"/>
    <s v="SCHOOL DISTRICT"/>
    <s v="HOT SPRINGS SCHOOL DIST"/>
    <s v="278 N 19TH ST"/>
    <s v="HOT SPRINGS"/>
    <s v="SD"/>
    <s v="57747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68"/>
    <n v="0"/>
    <n v="2.72"/>
    <m/>
    <n v="26996"/>
    <m/>
    <m/>
    <m/>
    <m/>
    <m/>
    <n v="0"/>
    <n v="0"/>
    <n v="42804"/>
    <n v="42804.652416203702"/>
    <x v="1"/>
    <s v="4D2AC27929A24C7D9227C3A3D714DA30"/>
    <n v="397"/>
    <n v="0"/>
    <n v="397"/>
    <n v="0"/>
    <n v="0"/>
    <n v="0"/>
  </r>
  <r>
    <n v="563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76"/>
    <n v="1"/>
    <s v="BHBLPS1534071976"/>
    <s v="4765894355"/>
    <s v="ST ELIZABETH SEATON"/>
    <s v="TERRA SANCTA"/>
    <s v="TERRA SANCTA"/>
    <s v="2101 CITY SPRINGS RD"/>
    <s v="RAPID CITY"/>
    <s v="SD"/>
    <s v="57702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1"/>
    <n v="0"/>
    <n v="0.84"/>
    <m/>
    <n v="8337"/>
    <m/>
    <m/>
    <m/>
    <m/>
    <m/>
    <n v="0"/>
    <n v="0"/>
    <n v="42804"/>
    <n v="42804.6542392708"/>
    <x v="1"/>
    <s v="0FBD3C3F0F1046C68005B248756916D6"/>
    <n v="397"/>
    <n v="0"/>
    <n v="397"/>
    <n v="0"/>
    <n v="0"/>
    <n v="0"/>
  </r>
  <r>
    <n v="564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86"/>
    <n v="1"/>
    <s v="BHBLPS1534071986"/>
    <s v="4665440133"/>
    <s v="ST PAULS EV LUTH CH"/>
    <s v="ST PAULS EV LUTH CH"/>
    <s v="ST PAULS EV LUTH CH"/>
    <s v="835 E FAIRMONT BLVD"/>
    <s v="RAPID CITY"/>
    <s v="SD"/>
    <s v="57701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11"/>
    <n v="0"/>
    <n v="0.44"/>
    <m/>
    <n v="4367"/>
    <m/>
    <m/>
    <m/>
    <m/>
    <m/>
    <n v="0"/>
    <n v="0"/>
    <n v="42804"/>
    <n v="42804.657562268498"/>
    <x v="1"/>
    <s v="35BB302AA5234B63A0A47939E504D608"/>
    <n v="397"/>
    <n v="0"/>
    <n v="397"/>
    <n v="0"/>
    <n v="0"/>
    <n v="0"/>
  </r>
  <r>
    <n v="565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89"/>
    <n v="1"/>
    <s v="BHBLPS1534071989"/>
    <s v="3514001916"/>
    <s v="SDA CHURCH SCHOOL"/>
    <s v="SDA CHURCH SCHOOL"/>
    <s v="SDA CHURCH SCHOOL"/>
    <s v="305 N 39TH ST"/>
    <s v="RAPID CITY"/>
    <s v="SD"/>
    <s v="57702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"/>
    <n v="0"/>
    <n v="0.08"/>
    <m/>
    <n v="794"/>
    <m/>
    <m/>
    <m/>
    <m/>
    <m/>
    <n v="0"/>
    <n v="0"/>
    <n v="42804"/>
    <n v="42804.659286342598"/>
    <x v="1"/>
    <s v="34AC32F37CAA41F8844D4BA6DB7CBCC2"/>
    <n v="397"/>
    <n v="0"/>
    <n v="397"/>
    <n v="0"/>
    <n v="0"/>
    <n v="0"/>
  </r>
  <r>
    <n v="566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94"/>
    <n v="1"/>
    <s v="BHBLPS1534071994"/>
    <s v="1949946745"/>
    <s v="BLACK HAWK ELEMENTARY"/>
    <s v="RCAS BUSINESS OFFICE"/>
    <s v="RCAS BUSINESS OFFICE"/>
    <s v="7108 SEEAIRE ST"/>
    <s v="BLACK HAWK"/>
    <s v="SD"/>
    <s v="57718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70"/>
    <n v="0"/>
    <n v="2.8"/>
    <m/>
    <n v="27790"/>
    <m/>
    <m/>
    <m/>
    <m/>
    <m/>
    <n v="0"/>
    <n v="0"/>
    <n v="42804"/>
    <n v="42804.660429629599"/>
    <x v="1"/>
    <s v="2270C548F7214A199B0A9AD0782DCA3A"/>
    <n v="397"/>
    <n v="0"/>
    <n v="397"/>
    <n v="0"/>
    <n v="0"/>
    <n v="0"/>
  </r>
  <r>
    <n v="567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98"/>
    <n v="1"/>
    <s v="BHBLPS1534071998"/>
    <s v="1198002784"/>
    <s v="KNOLLWOOD"/>
    <s v="RCAS BUSINESS OFFICE"/>
    <s v="RCAS BUSINESS OFFICE"/>
    <s v="1701 DOWNING ST"/>
    <s v="RAPID CITY"/>
    <s v="SD"/>
    <s v="57701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69"/>
    <n v="0"/>
    <n v="2.76"/>
    <m/>
    <n v="27393"/>
    <m/>
    <m/>
    <m/>
    <m/>
    <m/>
    <n v="0"/>
    <n v="0"/>
    <n v="42804"/>
    <n v="42804.661982175901"/>
    <x v="1"/>
    <s v="E66DA412350F42288C90483E26DBC92E"/>
    <n v="397"/>
    <n v="0"/>
    <n v="397"/>
    <n v="0"/>
    <n v="0"/>
    <n v="0"/>
  </r>
  <r>
    <n v="568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2007"/>
    <n v="1"/>
    <s v="BHBLPS1534072007"/>
    <s v="3681599520"/>
    <s v="ROBBINSDALE"/>
    <s v="RCAS BUSINESS OFFICE"/>
    <s v="RCAS BUSINESS OFFICE"/>
    <s v="424 E INDIANA ST"/>
    <s v="RAPID CITY"/>
    <s v="SD"/>
    <s v="57701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57"/>
    <n v="0"/>
    <n v="2.2799999999999998"/>
    <m/>
    <n v="22629"/>
    <m/>
    <m/>
    <m/>
    <m/>
    <m/>
    <n v="0"/>
    <n v="0"/>
    <n v="42804"/>
    <n v="42804.664031250002"/>
    <x v="1"/>
    <s v="B770C5DB781A4E63BD66015807DFA581"/>
    <n v="397"/>
    <n v="0"/>
    <n v="397"/>
    <n v="0"/>
    <n v="0"/>
    <n v="0"/>
  </r>
  <r>
    <n v="569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2010"/>
    <n v="1"/>
    <s v="BHBLPS1534072010"/>
    <s v="5045772714"/>
    <s v="STURGIS ELEMETARY"/>
    <s v="MEADE BOARD OF ED"/>
    <s v="MEADE BOARD OF ED"/>
    <s v="1121 BALLPARK RD"/>
    <s v="STURGIS"/>
    <s v="SD"/>
    <s v="57785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59"/>
    <n v="0"/>
    <n v="2.36"/>
    <m/>
    <n v="23423"/>
    <m/>
    <m/>
    <m/>
    <m/>
    <m/>
    <n v="0"/>
    <n v="0"/>
    <n v="42804"/>
    <n v="42804.665459606498"/>
    <x v="1"/>
    <s v="72183F6F635249A4AA40039F0415283E"/>
    <n v="397"/>
    <n v="0"/>
    <n v="397"/>
    <n v="0"/>
    <n v="0"/>
    <n v="0"/>
  </r>
  <r>
    <n v="570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205586"/>
    <n v="1"/>
    <s v="BHBLPS1534205586"/>
    <s v="5275041365"/>
    <s v="CUSTER SCHOOL ADMIN"/>
    <s v="CUSTER SCHOOL ADMIN"/>
    <s v="CUSTER SCHOOL ADMIN"/>
    <s v="1415 WILDCAT LN                                    G SVC MTR"/>
    <s v="CUSTER"/>
    <s v="SD"/>
    <s v="57730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58"/>
    <n v="0"/>
    <n v="2.3199999999999998"/>
    <m/>
    <n v="23026"/>
    <m/>
    <m/>
    <m/>
    <m/>
    <m/>
    <n v="0"/>
    <n v="0"/>
    <n v="42837"/>
    <n v="42837.682094363401"/>
    <x v="1"/>
    <s v="BDF37082F2894B9F8DBC46CC287FA9F5"/>
    <n v="397"/>
    <n v="0"/>
    <n v="397"/>
    <n v="0"/>
    <n v="0"/>
    <n v="0"/>
  </r>
  <r>
    <n v="571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315754"/>
    <n v="1"/>
    <s v="BHBLPS1534315754"/>
    <s v="1230125967"/>
    <s v="PINEDALE ELEMENTARY"/>
    <s v="RCAS BUSINESS OFFICE"/>
    <s v="PINEDALE ELEMENTARY"/>
    <s v="4901 W CHICAGO ST"/>
    <s v="RAPID CITY"/>
    <s v="SD"/>
    <s v="57702"/>
    <x v="3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79"/>
    <n v="0"/>
    <n v="3.16"/>
    <m/>
    <n v="31363"/>
    <m/>
    <m/>
    <m/>
    <m/>
    <m/>
    <n v="0"/>
    <n v="0"/>
    <n v="42863"/>
    <n v="42863.725444479198"/>
    <x v="1"/>
    <s v="760DC70E5ADA4E3D9A71F1C931E5C1A6"/>
    <n v="397"/>
    <n v="0"/>
    <n v="397"/>
    <n v="0"/>
    <n v="0"/>
    <n v="0"/>
  </r>
  <r>
    <n v="572"/>
    <s v="Special - BHPSD - Weatherization Team"/>
    <b v="0"/>
    <s v="Special - BHPSD - Weatherization Team__"/>
    <n v="0"/>
    <x v="0"/>
    <x v="0"/>
    <x v="0"/>
    <x v="0"/>
    <s v=""/>
    <s v=""/>
    <b v="0"/>
    <b v="0"/>
    <s v="Special - BHPSD - Weatherization Team"/>
    <n v="6"/>
    <n v="1"/>
    <s v=""/>
    <s v=""/>
    <s v=""/>
    <s v=""/>
    <s v=""/>
    <s v=""/>
    <s v=""/>
    <s v=""/>
    <s v=""/>
    <x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0"/>
    <n v="1.194"/>
    <m/>
    <n v="7692"/>
    <m/>
    <m/>
    <m/>
    <m/>
    <m/>
    <n v="0"/>
    <n v="0"/>
    <s v=""/>
    <m/>
    <x v="0"/>
    <s v=""/>
    <n v="641"/>
    <n v="0"/>
    <e v="#N/A"/>
    <e v="#N/A"/>
    <e v="#N/A"/>
    <e v="#N/A"/>
  </r>
  <r>
    <n v="573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2316"/>
    <n v="1"/>
    <s v="BHHTPS1533172316"/>
    <s v="1657559093"/>
    <s v="MELANIE S"/>
    <s v="MORGAN"/>
    <m/>
    <s v="349 E SAINT ANNE ST"/>
    <s v="RAPID CITY"/>
    <s v="SD"/>
    <s v="57701"/>
    <x v="3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468356747697"/>
    <x v="1"/>
    <s v="40146A945E844FECB5466CC0AA0D40FB"/>
    <n v="417"/>
    <n v="0"/>
    <n v="417"/>
    <n v="0"/>
    <n v="0"/>
    <n v="0"/>
  </r>
  <r>
    <n v="574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2316"/>
    <n v="0"/>
    <s v="BHHTPS1533172316"/>
    <s v="1657559093"/>
    <s v="MELANIE S"/>
    <s v="MORGAN"/>
    <m/>
    <s v="349 E SAINT ANNE ST"/>
    <s v="RAPID CITY"/>
    <s v="SD"/>
    <s v="57701"/>
    <x v="3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468356747697"/>
    <x v="1"/>
    <s v="618AAC03CF02420BA07D218C60545B63"/>
    <n v="865"/>
    <n v="0"/>
    <n v="865"/>
    <n v="0"/>
    <n v="0"/>
    <n v="0"/>
  </r>
  <r>
    <n v="575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2321"/>
    <n v="1"/>
    <s v="BHHTPS1533172321"/>
    <s v="1411605512"/>
    <s v="RALPH"/>
    <s v="SCHWAB"/>
    <m/>
    <s v="134 MONTANA ST"/>
    <s v="RAPID CITY"/>
    <s v="SD"/>
    <s v="57701"/>
    <x v="3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469788888899"/>
    <x v="1"/>
    <s v="81F6CBB9C68045AC98DAFF2054CA645A"/>
    <n v="417"/>
    <n v="0"/>
    <n v="417"/>
    <n v="0"/>
    <n v="0"/>
    <n v="0"/>
  </r>
  <r>
    <n v="576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2321"/>
    <n v="0"/>
    <s v="BHHTPS1533172321"/>
    <s v="1411605512"/>
    <s v="RALPH"/>
    <s v="SCHWAB"/>
    <m/>
    <s v="134 MONTANA ST"/>
    <s v="RAPID CITY"/>
    <s v="SD"/>
    <s v="57701"/>
    <x v="3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469788888899"/>
    <x v="1"/>
    <s v="E603B2108DC14D319C03D903FF5729A3"/>
    <n v="865"/>
    <n v="0"/>
    <n v="865"/>
    <n v="0"/>
    <n v="0"/>
    <n v="0"/>
  </r>
  <r>
    <n v="577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8044"/>
    <n v="1"/>
    <s v="BHHTPS1533178044"/>
    <s v="2945592301"/>
    <s v="DEBRA L"/>
    <s v="DAUER"/>
    <m/>
    <s v="2345 S BALDWIN ST"/>
    <s v="STURGIS"/>
    <s v="SD"/>
    <s v="57785"/>
    <x v="3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733003819398"/>
    <x v="1"/>
    <s v="CE9019E206EF4A1998F4C1D0D6922252"/>
    <n v="417"/>
    <n v="0"/>
    <n v="417"/>
    <n v="0"/>
    <n v="0"/>
    <n v="0"/>
  </r>
  <r>
    <n v="578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8044"/>
    <n v="0"/>
    <s v="BHHTPS1533178044"/>
    <s v="2945592301"/>
    <s v="DEBRA L"/>
    <s v="DAUER"/>
    <m/>
    <s v="2345 S BALDWIN ST"/>
    <s v="STURGIS"/>
    <s v="SD"/>
    <s v="57785"/>
    <x v="3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733003819398"/>
    <x v="1"/>
    <s v="D341AF298BAB431786CDAA465AF65FA0"/>
    <n v="865"/>
    <n v="0"/>
    <n v="865"/>
    <n v="0"/>
    <n v="0"/>
    <n v="0"/>
  </r>
  <r>
    <n v="579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8049"/>
    <n v="1"/>
    <s v="BHHTPS1533178049"/>
    <s v="5840208221"/>
    <s v="GARY L"/>
    <s v="WILKINSON"/>
    <m/>
    <s v="3908 MARATHON CT"/>
    <s v="RAPID CITY"/>
    <s v="SD"/>
    <s v="57701"/>
    <x v="3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734074571803"/>
    <x v="1"/>
    <s v="003A994CE5674E6492E818582F799A95"/>
    <n v="417"/>
    <n v="0"/>
    <n v="417"/>
    <n v="0"/>
    <n v="0"/>
    <n v="0"/>
  </r>
  <r>
    <n v="580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8049"/>
    <n v="0"/>
    <s v="BHHTPS1533178049"/>
    <s v="5840208221"/>
    <s v="GARY L"/>
    <s v="WILKINSON"/>
    <m/>
    <s v="3908 MARATHON CT"/>
    <s v="RAPID CITY"/>
    <s v="SD"/>
    <s v="57701"/>
    <x v="3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734074571803"/>
    <x v="1"/>
    <s v="579C02136C404D199087E3F30FE171DB"/>
    <n v="865"/>
    <n v="0"/>
    <n v="865"/>
    <n v="0"/>
    <n v="0"/>
    <n v="0"/>
  </r>
  <r>
    <n v="581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8147"/>
    <n v="1"/>
    <s v="BHHTPS1533178147"/>
    <s v="2489584873"/>
    <s v="MARIETTA"/>
    <s v="CADY"/>
    <m/>
    <s v="1533 SPRUCE ST"/>
    <s v="STURGIS"/>
    <s v="SD"/>
    <s v="57785"/>
    <x v="3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778251620402"/>
    <x v="1"/>
    <s v="CE865DAD13E943218616DCCD0EC5F6D5"/>
    <n v="417"/>
    <n v="0"/>
    <n v="417"/>
    <n v="0"/>
    <n v="0"/>
    <n v="0"/>
  </r>
  <r>
    <n v="582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8147"/>
    <n v="0"/>
    <s v="BHHTPS1533178147"/>
    <s v="2489584873"/>
    <s v="MARIETTA"/>
    <s v="CADY"/>
    <m/>
    <s v="1533 SPRUCE ST"/>
    <s v="STURGIS"/>
    <s v="SD"/>
    <s v="57785"/>
    <x v="3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778251620402"/>
    <x v="1"/>
    <s v="568AA905C0C14E4B918D865CEC4EFC68"/>
    <n v="865"/>
    <n v="0"/>
    <n v="865"/>
    <n v="0"/>
    <n v="0"/>
    <n v="0"/>
  </r>
  <r>
    <n v="583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8148"/>
    <n v="1"/>
    <s v="BHHTPS1533178148"/>
    <s v="2120657575"/>
    <s v="ESTHER"/>
    <s v="MULDOON"/>
    <m/>
    <s v="2124 4TH AVE"/>
    <s v="RAPID CITY"/>
    <s v="SD"/>
    <s v="57702"/>
    <x v="3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779735763899"/>
    <x v="1"/>
    <s v="F9141D68DF4442768520506718A7AB72"/>
    <n v="865"/>
    <n v="0"/>
    <n v="865"/>
    <n v="0"/>
    <n v="0"/>
    <n v="0"/>
  </r>
  <r>
    <n v="584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8148"/>
    <n v="0"/>
    <s v="BHHTPS1533178148"/>
    <s v="2120657575"/>
    <s v="ESTHER"/>
    <s v="MULDOON"/>
    <m/>
    <s v="2124 4TH AVE"/>
    <s v="RAPID CITY"/>
    <s v="SD"/>
    <s v="57702"/>
    <x v="3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779735763899"/>
    <x v="1"/>
    <s v="AEB60D5CAC844FE6811C8D0ED1B3DEAC"/>
    <n v="417"/>
    <n v="0"/>
    <n v="417"/>
    <n v="0"/>
    <n v="0"/>
    <n v="0"/>
  </r>
  <r>
    <n v="585"/>
    <s v="Residential - BHPSD - Whole House Efficiency"/>
    <b v="0"/>
    <s v="Residential - BHPSD - Whole House Efficiency__"/>
    <n v="0"/>
    <x v="0"/>
    <x v="0"/>
    <x v="0"/>
    <x v="0"/>
    <s v=""/>
    <s v=""/>
    <b v="0"/>
    <b v="0"/>
    <s v="Residential - BHPSD - Whole House Efficiency"/>
    <n v="40"/>
    <n v="0"/>
    <s v=""/>
    <s v=""/>
    <s v=""/>
    <s v=""/>
    <s v=""/>
    <s v=""/>
    <s v=""/>
    <s v=""/>
    <s v=""/>
    <x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8"/>
    <n v="0"/>
    <n v="9.4179999999999993"/>
    <m/>
    <n v="36257"/>
    <m/>
    <m/>
    <m/>
    <m/>
    <m/>
    <n v="0"/>
    <n v="0"/>
    <s v=""/>
    <m/>
    <x v="0"/>
    <s v=""/>
    <n v="464.83333333333331"/>
    <n v="0"/>
    <e v="#N/A"/>
    <e v="#N/A"/>
    <e v="#N/A"/>
    <e v="#N/A"/>
  </r>
  <r>
    <n v="586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54"/>
    <n v="1"/>
    <s v="BHHAPS1532958654"/>
    <s v="3031965092"/>
    <s v="REID E"/>
    <s v="MCCOY"/>
    <m/>
    <s v="4320 CIRCLE DR"/>
    <s v="RAPID CITY"/>
    <s v="SD"/>
    <s v="57702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599619791697"/>
    <x v="1"/>
    <s v="6201AAAEBA7A42A6844D845944CC6018"/>
    <n v="417"/>
    <n v="0"/>
    <n v="417"/>
    <n v="0"/>
    <n v="0"/>
    <n v="0"/>
  </r>
  <r>
    <n v="587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54"/>
    <n v="0"/>
    <s v="BHHAPS1532958654"/>
    <s v="3031965092"/>
    <s v="REID E"/>
    <s v="MCCOY"/>
    <m/>
    <s v="4320 CIRCLE DR"/>
    <s v="RAPID CITY"/>
    <s v="SD"/>
    <s v="57702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599619791697"/>
    <x v="1"/>
    <s v="45509FDD77464583A0214155D418DB1F"/>
    <n v="508"/>
    <n v="0"/>
    <n v="508"/>
    <n v="0"/>
    <n v="0"/>
    <n v="0"/>
  </r>
  <r>
    <n v="58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61"/>
    <n v="1"/>
    <s v="BHHAPS1532958661"/>
    <s v="0135168736"/>
    <s v="LISA"/>
    <s v="SHOEMAKER"/>
    <m/>
    <s v="2809 IVY AVE"/>
    <s v="RAPID CITY"/>
    <s v="SD"/>
    <s v="57701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1229895801"/>
    <x v="1"/>
    <s v="F011A0B80E12442B998632C9756C53DB"/>
    <n v="417"/>
    <n v="0"/>
    <n v="417"/>
    <n v="0"/>
    <n v="0"/>
    <n v="0"/>
  </r>
  <r>
    <n v="58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61"/>
    <n v="0"/>
    <s v="BHHAPS1532958661"/>
    <s v="0135168736"/>
    <s v="LISA"/>
    <s v="SHOEMAKER"/>
    <m/>
    <s v="2809 IVY AVE"/>
    <s v="RAPID CITY"/>
    <s v="SD"/>
    <s v="57701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1229895801"/>
    <x v="1"/>
    <s v="6BC26F9E536C46768B34622B6CE7902C"/>
    <n v="508"/>
    <n v="0"/>
    <n v="508"/>
    <n v="0"/>
    <n v="0"/>
    <n v="0"/>
  </r>
  <r>
    <n v="590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65"/>
    <n v="1"/>
    <s v="BHHAPS1532958665"/>
    <s v="2686429643"/>
    <s v="KATHLEEN A"/>
    <s v="PARROW"/>
    <m/>
    <s v="822 PINEDALE DR"/>
    <s v="SPEARFISH"/>
    <s v="SD"/>
    <s v="57783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2389583299"/>
    <x v="1"/>
    <s v="06123CB25A2244BCA933B147085DEF2A"/>
    <n v="417"/>
    <n v="0"/>
    <n v="417"/>
    <n v="0"/>
    <n v="0"/>
    <n v="0"/>
  </r>
  <r>
    <n v="591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65"/>
    <n v="0"/>
    <s v="BHHAPS1532958665"/>
    <s v="2686429643"/>
    <s v="KATHLEEN A"/>
    <s v="PARROW"/>
    <m/>
    <s v="822 PINEDALE DR"/>
    <s v="SPEARFISH"/>
    <s v="SD"/>
    <s v="57783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2389583299"/>
    <x v="1"/>
    <s v="91B9513BBBED4ECE8C59F9C614E0B9D8"/>
    <n v="508"/>
    <n v="0"/>
    <n v="508"/>
    <n v="0"/>
    <n v="0"/>
    <n v="0"/>
  </r>
  <r>
    <n v="592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68"/>
    <n v="1"/>
    <s v="BHHAPS1532958668"/>
    <s v="1190911554"/>
    <s v="CLYDE D"/>
    <s v="SCHWARTING"/>
    <m/>
    <s v="1117 CUSTER ST"/>
    <s v="WHITEWOOD"/>
    <s v="SD"/>
    <s v="57793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3726238398"/>
    <x v="1"/>
    <s v="57B5877D659F4AB1AD0B522F7F098E9A"/>
    <n v="508"/>
    <n v="0"/>
    <n v="508"/>
    <n v="0"/>
    <n v="0"/>
    <n v="0"/>
  </r>
  <r>
    <n v="593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68"/>
    <n v="0"/>
    <s v="BHHAPS1532958668"/>
    <s v="1190911554"/>
    <s v="CLYDE D"/>
    <s v="SCHWARTING"/>
    <m/>
    <s v="1117 CUSTER ST"/>
    <s v="WHITEWOOD"/>
    <s v="SD"/>
    <s v="57793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3726238398"/>
    <x v="1"/>
    <s v="70B4C14C05E64A209795EAAA04336D6E"/>
    <n v="417"/>
    <n v="0"/>
    <n v="417"/>
    <n v="0"/>
    <n v="0"/>
    <n v="0"/>
  </r>
  <r>
    <n v="594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74"/>
    <n v="1"/>
    <s v="BHHAPS1532958674"/>
    <s v="2379083918"/>
    <s v="LYLE"/>
    <s v="BERRY"/>
    <m/>
    <s v="1120 N AMES ST"/>
    <s v="SPEARFISH"/>
    <s v="SD"/>
    <s v="57783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4733368098"/>
    <x v="1"/>
    <s v="31919501EC3C4FC8BAA14A595BC19DA6"/>
    <n v="508"/>
    <n v="0"/>
    <n v="508"/>
    <n v="0"/>
    <n v="0"/>
    <n v="0"/>
  </r>
  <r>
    <n v="595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74"/>
    <n v="0"/>
    <s v="BHHAPS1532958674"/>
    <s v="2379083918"/>
    <s v="LYLE"/>
    <s v="BERRY"/>
    <m/>
    <s v="1120 N AMES ST"/>
    <s v="SPEARFISH"/>
    <s v="SD"/>
    <s v="57783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4733368098"/>
    <x v="1"/>
    <s v="E55BBF70FD5842FFB613D606D87D7C51"/>
    <n v="417"/>
    <n v="0"/>
    <n v="417"/>
    <n v="0"/>
    <n v="0"/>
    <n v="0"/>
  </r>
  <r>
    <n v="596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83"/>
    <n v="1"/>
    <s v="BHHAPS1532958683"/>
    <s v="1607412849"/>
    <s v="REX T"/>
    <s v="HARRIS"/>
    <m/>
    <s v="3341 BROADMOOR DR"/>
    <s v="RAPID CITY"/>
    <s v="SD"/>
    <s v="57702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6220451402"/>
    <x v="1"/>
    <s v="0EC680616F58461A97771D8FC428FD39"/>
    <n v="508"/>
    <n v="0"/>
    <n v="508"/>
    <n v="0"/>
    <n v="0"/>
    <n v="0"/>
  </r>
  <r>
    <n v="597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83"/>
    <n v="0"/>
    <s v="BHHAPS1532958683"/>
    <s v="1607412849"/>
    <s v="REX T"/>
    <s v="HARRIS"/>
    <m/>
    <s v="3341 BROADMOOR DR"/>
    <s v="RAPID CITY"/>
    <s v="SD"/>
    <s v="57702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6220451402"/>
    <x v="1"/>
    <s v="133FC19FC6834ACB8119D509123D692B"/>
    <n v="417"/>
    <n v="0"/>
    <n v="417"/>
    <n v="0"/>
    <n v="0"/>
    <n v="0"/>
  </r>
  <r>
    <n v="59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87"/>
    <n v="1"/>
    <s v="BHHAPS1532958687"/>
    <s v="6546788684"/>
    <s v="TIM"/>
    <s v="CUMMINGS"/>
    <m/>
    <s v="1415 MINUTEMAN DR"/>
    <s v="RAPID CITY"/>
    <s v="SD"/>
    <s v="57701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7361574097"/>
    <x v="1"/>
    <s v="4471E52D230C4DB981E2D44C9F432EC4"/>
    <n v="417"/>
    <n v="0"/>
    <n v="417"/>
    <n v="0"/>
    <n v="0"/>
    <n v="0"/>
  </r>
  <r>
    <n v="59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87"/>
    <n v="0"/>
    <s v="BHHAPS1532958687"/>
    <s v="6546788684"/>
    <s v="TIM"/>
    <s v="CUMMINGS"/>
    <m/>
    <s v="1415 MINUTEMAN DR"/>
    <s v="RAPID CITY"/>
    <s v="SD"/>
    <s v="57701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7361574097"/>
    <x v="1"/>
    <s v="5BD152305FED4949833F9623976FC609"/>
    <n v="508"/>
    <n v="0"/>
    <n v="508"/>
    <n v="0"/>
    <n v="0"/>
    <n v="0"/>
  </r>
  <r>
    <n v="600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71403"/>
    <n v="1"/>
    <s v="BHHAPS1532971403"/>
    <s v="6455598798"/>
    <s v="JOHN"/>
    <s v="EDWARDS"/>
    <m/>
    <s v="4707 POWDERHORN CIR"/>
    <s v="RAPID CITY"/>
    <s v="SD"/>
    <s v="57702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2"/>
    <n v="42646.699253275503"/>
    <x v="1"/>
    <s v="8FFA683BA5E04ED9B7830282D2C6C0F7"/>
    <n v="508"/>
    <n v="0"/>
    <n v="508"/>
    <n v="0"/>
    <n v="0"/>
    <n v="0"/>
  </r>
  <r>
    <n v="601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71403"/>
    <n v="0"/>
    <s v="BHHAPS1532971403"/>
    <s v="6455598798"/>
    <s v="JOHN"/>
    <s v="EDWARDS"/>
    <m/>
    <s v="4707 POWDERHORN CIR"/>
    <s v="RAPID CITY"/>
    <s v="SD"/>
    <s v="57702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2"/>
    <n v="42646.699253275503"/>
    <x v="1"/>
    <s v="8F7483CBE81F446D893F29DD5E8A0D4E"/>
    <n v="417"/>
    <n v="0"/>
    <n v="417"/>
    <n v="0"/>
    <n v="0"/>
    <n v="0"/>
  </r>
  <r>
    <n v="602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71507"/>
    <n v="1"/>
    <s v="BHHAPS1532971507"/>
    <s v="6204711030"/>
    <s v="JASON C"/>
    <s v="RATH"/>
    <m/>
    <s v="1440 DAVENPORT ST"/>
    <s v="STURGIS"/>
    <s v="SD"/>
    <s v="57785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6"/>
    <n v="42646.766559259297"/>
    <x v="1"/>
    <s v="11BF70AAB87448B08169B3ACC256F2B1"/>
    <n v="508"/>
    <n v="0"/>
    <n v="508"/>
    <n v="0"/>
    <n v="0"/>
    <n v="0"/>
  </r>
  <r>
    <n v="603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71507"/>
    <n v="0"/>
    <s v="BHHAPS1532971507"/>
    <s v="6204711030"/>
    <s v="JASON C"/>
    <s v="RATH"/>
    <m/>
    <s v="1440 DAVENPORT ST"/>
    <s v="STURGIS"/>
    <s v="SD"/>
    <s v="57785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6"/>
    <n v="42646.766559259297"/>
    <x v="1"/>
    <s v="B2F08F0A25E9423DAC3906C2847D7B66"/>
    <n v="417"/>
    <n v="0"/>
    <n v="417"/>
    <n v="0"/>
    <n v="0"/>
    <n v="0"/>
  </r>
  <r>
    <n v="604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031705"/>
    <n v="1"/>
    <s v="BHHAPS1533031705"/>
    <s v="0663782970"/>
    <s v="J S"/>
    <s v="PETERS"/>
    <m/>
    <s v="398 UPPER VALLEY RD"/>
    <s v="SPEARFISH"/>
    <s v="SD"/>
    <s v="57783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56"/>
    <n v="42656.622656979198"/>
    <x v="1"/>
    <s v="5AA349771920429AB657455957B2D6CF"/>
    <n v="417"/>
    <n v="0"/>
    <n v="417"/>
    <n v="0"/>
    <n v="0"/>
    <n v="0"/>
  </r>
  <r>
    <n v="605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031705"/>
    <n v="0"/>
    <s v="BHHAPS1533031705"/>
    <s v="0663782970"/>
    <s v="J S"/>
    <s v="PETERS"/>
    <m/>
    <s v="398 UPPER VALLEY RD"/>
    <s v="SPEARFISH"/>
    <s v="SD"/>
    <s v="57783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56"/>
    <n v="42656.622656979198"/>
    <x v="1"/>
    <s v="736F6FE6589347C7B8E832F8F42C5D14"/>
    <n v="508"/>
    <n v="0"/>
    <n v="508"/>
    <n v="0"/>
    <n v="0"/>
    <n v="0"/>
  </r>
  <r>
    <n v="606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072056"/>
    <n v="1"/>
    <s v="BHHAPS1533072056"/>
    <s v="4797470572"/>
    <s v="TIFANIE C"/>
    <s v="HAMMOND"/>
    <m/>
    <s v="1009 PARK HILL DR"/>
    <s v="RAPID CITY"/>
    <s v="SD"/>
    <s v="57701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74"/>
    <n v="42674.783725775502"/>
    <x v="1"/>
    <s v="0AC1A2E2563A4D84944AF04A1448A7A4"/>
    <n v="417"/>
    <n v="0"/>
    <n v="417"/>
    <n v="0"/>
    <n v="0"/>
    <n v="0"/>
  </r>
  <r>
    <n v="607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072056"/>
    <n v="0"/>
    <s v="BHHAPS1533072056"/>
    <s v="4797470572"/>
    <s v="TIFANIE C"/>
    <s v="HAMMOND"/>
    <m/>
    <s v="1009 PARK HILL DR"/>
    <s v="RAPID CITY"/>
    <s v="SD"/>
    <s v="57701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74"/>
    <n v="42674.783725775502"/>
    <x v="1"/>
    <s v="F1F460345B6C48A4A2C4E6C35504C0AA"/>
    <n v="508"/>
    <n v="0"/>
    <n v="508"/>
    <n v="0"/>
    <n v="0"/>
    <n v="0"/>
  </r>
  <r>
    <n v="608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072057"/>
    <n v="1"/>
    <s v="BHHAPS1533072057"/>
    <s v="3523630411"/>
    <s v="TANYA L"/>
    <s v="ABY"/>
    <m/>
    <s v="221 E SAINT CHARLES ST"/>
    <s v="RAPID CITY"/>
    <s v="SD"/>
    <s v="57701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74"/>
    <n v="42674.784882256899"/>
    <x v="1"/>
    <s v="48A121C2494C4ADDA42410859FB5BCBF"/>
    <n v="508"/>
    <n v="0"/>
    <n v="508"/>
    <n v="0"/>
    <n v="0"/>
    <n v="0"/>
  </r>
  <r>
    <n v="609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072057"/>
    <n v="0"/>
    <s v="BHHAPS1533072057"/>
    <s v="3523630411"/>
    <s v="TANYA L"/>
    <s v="ABY"/>
    <m/>
    <s v="221 E SAINT CHARLES ST"/>
    <s v="RAPID CITY"/>
    <s v="SD"/>
    <s v="57701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74"/>
    <n v="42674.784882256899"/>
    <x v="1"/>
    <s v="B8CF4760B7E04806BFEF7B34B9139C8E"/>
    <n v="417"/>
    <n v="0"/>
    <n v="417"/>
    <n v="0"/>
    <n v="0"/>
    <n v="0"/>
  </r>
  <r>
    <n v="610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072061"/>
    <n v="1"/>
    <s v="BHHAPS1533072061"/>
    <s v="0761934741"/>
    <s v="JAIME L"/>
    <s v="RITCHIE"/>
    <m/>
    <s v="5296 RED CLIFF LN"/>
    <s v="BLACK HAWK"/>
    <s v="SD"/>
    <s v="57718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74"/>
    <n v="42674.787687615702"/>
    <x v="1"/>
    <s v="A9EEAFCE4FD74A2BB8024B84ED8EA50D"/>
    <n v="417"/>
    <n v="0"/>
    <n v="417"/>
    <n v="0"/>
    <n v="0"/>
    <n v="0"/>
  </r>
  <r>
    <n v="611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072061"/>
    <n v="0"/>
    <s v="BHHAPS1533072061"/>
    <s v="0761934741"/>
    <s v="JAIME L"/>
    <s v="RITCHIE"/>
    <m/>
    <s v="5296 RED CLIFF LN"/>
    <s v="BLACK HAWK"/>
    <s v="SD"/>
    <s v="57718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74"/>
    <n v="42674.787687615702"/>
    <x v="1"/>
    <s v="005C4A725DD2455F8DDC496E5634CADF"/>
    <n v="508"/>
    <n v="0"/>
    <n v="508"/>
    <n v="0"/>
    <n v="0"/>
    <n v="0"/>
  </r>
  <r>
    <n v="612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794127"/>
    <n v="1"/>
    <s v="BHHAPS1533794127"/>
    <s v="4612953918"/>
    <s v="PATRICK"/>
    <s v="MATTESON"/>
    <m/>
    <s v="921 N AMES ST"/>
    <s v="SPEARFISH"/>
    <s v="SD"/>
    <s v="57783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19"/>
    <n v="42719.764051967599"/>
    <x v="1"/>
    <s v="708C9DC394A04742ACA5BE723524458C"/>
    <n v="508"/>
    <n v="0"/>
    <n v="508"/>
    <n v="0"/>
    <n v="0"/>
    <n v="0"/>
  </r>
  <r>
    <n v="613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794127"/>
    <n v="0"/>
    <s v="BHHAPS1533794127"/>
    <s v="4612953918"/>
    <s v="PATRICK"/>
    <s v="MATTESON"/>
    <m/>
    <s v="921 N AMES ST"/>
    <s v="SPEARFISH"/>
    <s v="SD"/>
    <s v="57783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19"/>
    <n v="42719.764051967599"/>
    <x v="1"/>
    <s v="6C2A518A1374430CB73E12B44F76CFB7"/>
    <n v="417"/>
    <n v="0"/>
    <n v="417"/>
    <n v="0"/>
    <n v="0"/>
    <n v="0"/>
  </r>
  <r>
    <n v="614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988211"/>
    <n v="1"/>
    <s v="BHHAPS1533988211"/>
    <s v="0770295976"/>
    <s v="TRAVIS J"/>
    <s v="FOSTER"/>
    <m/>
    <s v="7308 WONDERLAND CT"/>
    <s v="BLACK HAWK"/>
    <s v="SD"/>
    <s v="57718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79"/>
    <n v="42779.607879826399"/>
    <x v="1"/>
    <s v="DFB7AC951C0049C3B86B4D920FCE8557"/>
    <n v="417"/>
    <n v="0"/>
    <n v="417"/>
    <n v="0"/>
    <n v="0"/>
    <n v="0"/>
  </r>
  <r>
    <n v="615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988211"/>
    <n v="0"/>
    <s v="BHHAPS1533988211"/>
    <s v="0770295976"/>
    <s v="TRAVIS J"/>
    <s v="FOSTER"/>
    <m/>
    <s v="7308 WONDERLAND CT"/>
    <s v="BLACK HAWK"/>
    <s v="SD"/>
    <s v="57718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79"/>
    <n v="42779.607879826399"/>
    <x v="1"/>
    <s v="4DE20A851E0B47D48DDAE39CFD733B6A"/>
    <n v="508"/>
    <n v="0"/>
    <n v="508"/>
    <n v="0"/>
    <n v="0"/>
    <n v="0"/>
  </r>
  <r>
    <n v="616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988437"/>
    <n v="1"/>
    <s v="BHHAPS1533988437"/>
    <s v="0790112642"/>
    <s v="MARGARET E"/>
    <s v="SULENTIC"/>
    <m/>
    <s v="23 VAN BUREN ST"/>
    <s v="DEADWOOD"/>
    <s v="SD"/>
    <s v="57732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79"/>
    <n v="42779.6297190162"/>
    <x v="1"/>
    <s v="1649F85B22E8459286621AF66BBFE586"/>
    <n v="508"/>
    <n v="0"/>
    <n v="508"/>
    <n v="0"/>
    <n v="0"/>
    <n v="0"/>
  </r>
  <r>
    <n v="617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988437"/>
    <n v="0"/>
    <s v="BHHAPS1533988437"/>
    <s v="0790112642"/>
    <s v="MARGARET E"/>
    <s v="SULENTIC"/>
    <m/>
    <s v="23 VAN BUREN ST"/>
    <s v="DEADWOOD"/>
    <s v="SD"/>
    <s v="57732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79"/>
    <n v="42779.6297190162"/>
    <x v="1"/>
    <s v="40579B98965D4DFCA4A15485B5D190FF"/>
    <n v="417"/>
    <n v="0"/>
    <n v="417"/>
    <n v="0"/>
    <n v="0"/>
    <n v="0"/>
  </r>
  <r>
    <n v="61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988443"/>
    <n v="1"/>
    <s v="BHHAPS1533988443"/>
    <s v="7232013499"/>
    <s v="TAMMY K"/>
    <s v="STYMIEST"/>
    <m/>
    <s v="4 SPOKE LN"/>
    <s v="BOX ELDER"/>
    <s v="SD"/>
    <s v="57719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79"/>
    <n v="42779.6326913542"/>
    <x v="1"/>
    <s v="5CBBBD8ECC064B2B8DCC2ED4F5DAF6A5"/>
    <n v="417"/>
    <n v="0"/>
    <n v="417"/>
    <n v="0"/>
    <n v="0"/>
    <n v="0"/>
  </r>
  <r>
    <n v="61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988443"/>
    <n v="0"/>
    <s v="BHHAPS1533988443"/>
    <s v="7232013499"/>
    <s v="TAMMY K"/>
    <s v="STYMIEST"/>
    <m/>
    <s v="4 SPOKE LN"/>
    <s v="BOX ELDER"/>
    <s v="SD"/>
    <s v="57719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79"/>
    <n v="42779.6326913542"/>
    <x v="1"/>
    <s v="60055A3A17E84EC1B986ED603C76A1A8"/>
    <n v="508"/>
    <n v="0"/>
    <n v="508"/>
    <n v="0"/>
    <n v="0"/>
    <n v="0"/>
  </r>
  <r>
    <n v="620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988454"/>
    <n v="1"/>
    <s v="BHHAPS1533988454"/>
    <s v="0886054971"/>
    <s v="JASON A"/>
    <s v="GRIMES"/>
    <m/>
    <s v="1221 N AMES ST"/>
    <s v="SPEARFISH"/>
    <s v="SD"/>
    <s v="57783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79"/>
    <n v="42779.634779664397"/>
    <x v="1"/>
    <s v="800959F0561D48FAA67DF5017FC3C030"/>
    <n v="508"/>
    <n v="0"/>
    <n v="508"/>
    <n v="0"/>
    <n v="0"/>
    <n v="0"/>
  </r>
  <r>
    <n v="621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988454"/>
    <n v="0"/>
    <s v="BHHAPS1533988454"/>
    <s v="0886054971"/>
    <s v="JASON A"/>
    <s v="GRIMES"/>
    <m/>
    <s v="1221 N AMES ST"/>
    <s v="SPEARFISH"/>
    <s v="SD"/>
    <s v="57783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79"/>
    <n v="42779.634779664397"/>
    <x v="1"/>
    <s v="6AA56F6494484D1BBEE19ACA6A2856A5"/>
    <n v="417"/>
    <n v="0"/>
    <n v="417"/>
    <n v="0"/>
    <n v="0"/>
    <n v="0"/>
  </r>
  <r>
    <n v="622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32961"/>
    <n v="1"/>
    <s v="BHHAPS1534032961"/>
    <s v="6194654443"/>
    <s v="JEROME"/>
    <s v="BUTTON"/>
    <m/>
    <s v="3849 S LORETTA DR"/>
    <s v="RAPID CITY"/>
    <s v="SD"/>
    <s v="57702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94"/>
    <n v="42794.5689748843"/>
    <x v="1"/>
    <s v="833CD71263F64958B2007270CF0B78A5"/>
    <n v="417"/>
    <n v="0"/>
    <n v="417"/>
    <n v="0"/>
    <n v="0"/>
    <n v="0"/>
  </r>
  <r>
    <n v="62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32961"/>
    <n v="0"/>
    <s v="BHHAPS1534032961"/>
    <s v="6194654443"/>
    <s v="JEROME"/>
    <s v="BUTTON"/>
    <m/>
    <s v="3849 S LORETTA DR"/>
    <s v="RAPID CITY"/>
    <s v="SD"/>
    <s v="57702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94"/>
    <n v="42794.5689748843"/>
    <x v="1"/>
    <s v="17CABBC7D1A943A0BB556A1CEA6734D2"/>
    <n v="508"/>
    <n v="0"/>
    <n v="508"/>
    <n v="0"/>
    <n v="0"/>
    <n v="0"/>
  </r>
  <r>
    <n v="624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33037"/>
    <n v="1"/>
    <s v="BHHAPS1534033037"/>
    <s v="5170797141"/>
    <s v="PATRICK B"/>
    <s v="HALEY"/>
    <m/>
    <s v="110 MINOR LAKE CIRCLE"/>
    <s v="HILL CITY"/>
    <s v="SD"/>
    <s v="57745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94"/>
    <n v="42794.578149340297"/>
    <x v="1"/>
    <s v="652B25D9BEF84FC7B105A31DA1FCE5C2"/>
    <n v="417"/>
    <n v="0"/>
    <n v="417"/>
    <n v="0"/>
    <n v="0"/>
    <n v="0"/>
  </r>
  <r>
    <n v="625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33037"/>
    <n v="0"/>
    <s v="BHHAPS1534033037"/>
    <s v="5170797141"/>
    <s v="PATRICK B"/>
    <s v="HALEY"/>
    <m/>
    <s v="110 MINOR LAKE CIRCLE"/>
    <s v="HILL CITY"/>
    <s v="SD"/>
    <s v="57745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94"/>
    <n v="42794.578149340297"/>
    <x v="1"/>
    <s v="10C05FE8B0E34654BCEFFA80BB9133FA"/>
    <n v="508"/>
    <n v="0"/>
    <n v="508"/>
    <n v="0"/>
    <n v="0"/>
    <n v="0"/>
  </r>
  <r>
    <n v="626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66523"/>
    <n v="1"/>
    <s v="BHHAPS1534066523"/>
    <s v="2802407731"/>
    <s v="MELANIE"/>
    <s v="LARRANAGA"/>
    <m/>
    <s v="1741 ALBANY AVE"/>
    <s v="HOT SPRINGS"/>
    <s v="SD"/>
    <s v="57747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02"/>
    <n v="42802.646110185196"/>
    <x v="1"/>
    <s v="680B61836F3E40D79A9E40A760F2C241"/>
    <n v="417"/>
    <n v="0"/>
    <n v="417"/>
    <n v="0"/>
    <n v="0"/>
    <n v="0"/>
  </r>
  <r>
    <n v="627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66523"/>
    <n v="0"/>
    <s v="BHHAPS1534066523"/>
    <s v="2802407731"/>
    <s v="MELANIE"/>
    <s v="LARRANAGA"/>
    <m/>
    <s v="1741 ALBANY AVE"/>
    <s v="HOT SPRINGS"/>
    <s v="SD"/>
    <s v="57747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02"/>
    <n v="42802.646110185196"/>
    <x v="1"/>
    <s v="F8FE1E6B9F5945439F9CF3E567C87458"/>
    <n v="508"/>
    <n v="0"/>
    <n v="508"/>
    <n v="0"/>
    <n v="0"/>
    <n v="0"/>
  </r>
  <r>
    <n v="628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71757"/>
    <n v="1"/>
    <s v="BHHAPS1534071757"/>
    <s v="1204361757"/>
    <s v="BRIDGET"/>
    <s v="MCGIBBON"/>
    <m/>
    <s v="12795 TAYLOR RANCH RD"/>
    <s v="RAPID CITY"/>
    <s v="SD"/>
    <s v="57702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04"/>
    <n v="42804.560725578704"/>
    <x v="1"/>
    <s v="1820C79BC5E24CD3A24BFDD1608865F9"/>
    <n v="508"/>
    <n v="0"/>
    <n v="508"/>
    <n v="0"/>
    <n v="0"/>
    <n v="0"/>
  </r>
  <r>
    <n v="629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71757"/>
    <n v="0"/>
    <s v="BHHAPS1534071757"/>
    <s v="1204361757"/>
    <s v="BRIDGET"/>
    <s v="MCGIBBON"/>
    <m/>
    <s v="12795 TAYLOR RANCH RD"/>
    <s v="RAPID CITY"/>
    <s v="SD"/>
    <s v="57702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04"/>
    <n v="42804.560725578704"/>
    <x v="1"/>
    <s v="FF8425050D9E4DC3ACD2350206B4224D"/>
    <n v="417"/>
    <n v="0"/>
    <n v="417"/>
    <n v="0"/>
    <n v="0"/>
    <n v="0"/>
  </r>
  <r>
    <n v="630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71767"/>
    <n v="1"/>
    <s v="BHHAPS1534071767"/>
    <s v="3715846437"/>
    <s v="MILLARD E"/>
    <s v="MCGUIRE"/>
    <m/>
    <s v="821 HARNEY ST"/>
    <s v="CUSTER"/>
    <s v="SD"/>
    <s v="57730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04"/>
    <n v="42804.564351041699"/>
    <x v="1"/>
    <s v="A243F2156B97447F84A2F2D964E485AA"/>
    <n v="508"/>
    <n v="0"/>
    <n v="508"/>
    <n v="0"/>
    <n v="0"/>
    <n v="0"/>
  </r>
  <r>
    <n v="631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71767"/>
    <n v="0"/>
    <s v="BHHAPS1534071767"/>
    <s v="3715846437"/>
    <s v="MILLARD E"/>
    <s v="MCGUIRE"/>
    <m/>
    <s v="821 HARNEY ST"/>
    <s v="CUSTER"/>
    <s v="SD"/>
    <s v="57730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04"/>
    <n v="42804.564351041699"/>
    <x v="1"/>
    <s v="F98F4407516A42BCB8C07526134BCC7A"/>
    <n v="417"/>
    <n v="0"/>
    <n v="417"/>
    <n v="0"/>
    <n v="0"/>
    <n v="0"/>
  </r>
  <r>
    <n v="632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71775"/>
    <n v="1"/>
    <s v="BHHAPS1534071775"/>
    <s v="3167878916"/>
    <s v="CORWYN"/>
    <s v="WERNER"/>
    <m/>
    <s v="4526 LOOKOUT MTN"/>
    <s v="RAPID CITY"/>
    <s v="SD"/>
    <s v="57702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04"/>
    <n v="42804.574054942103"/>
    <x v="1"/>
    <s v="C8EB4FD2A54B45CCA38BDD2741CE1B8B"/>
    <n v="417"/>
    <n v="0"/>
    <n v="417"/>
    <n v="0"/>
    <n v="0"/>
    <n v="0"/>
  </r>
  <r>
    <n v="63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71775"/>
    <n v="0"/>
    <s v="BHHAPS1534071775"/>
    <s v="3167878916"/>
    <s v="CORWYN"/>
    <s v="WERNER"/>
    <m/>
    <s v="4526 LOOKOUT MTN"/>
    <s v="RAPID CITY"/>
    <s v="SD"/>
    <s v="57702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04"/>
    <n v="42804.574054942103"/>
    <x v="1"/>
    <s v="91C3AFCD2CB647D1B7FD043E75081C81"/>
    <n v="508"/>
    <n v="0"/>
    <n v="508"/>
    <n v="0"/>
    <n v="0"/>
    <n v="0"/>
  </r>
  <r>
    <n v="634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98235"/>
    <n v="1"/>
    <s v="BHHAPS1534098235"/>
    <s v="0482316651"/>
    <s v="JOHN L"/>
    <s v="CHAMBERS"/>
    <m/>
    <s v="6201 W ELMWOOD DR"/>
    <s v="BLACK HAWK"/>
    <s v="SD"/>
    <s v="57718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15"/>
    <n v="42815.742467557902"/>
    <x v="1"/>
    <s v="52E4D3C3533849D2B0CA913BC6557988"/>
    <n v="508"/>
    <n v="0"/>
    <n v="508"/>
    <n v="0"/>
    <n v="0"/>
    <n v="0"/>
  </r>
  <r>
    <n v="635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98235"/>
    <n v="0"/>
    <s v="BHHAPS1534098235"/>
    <s v="0482316651"/>
    <s v="JOHN L"/>
    <s v="CHAMBERS"/>
    <m/>
    <s v="6201 W ELMWOOD DR"/>
    <s v="BLACK HAWK"/>
    <s v="SD"/>
    <s v="57718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15"/>
    <n v="42815.742467557902"/>
    <x v="1"/>
    <s v="48B12A6637114D38AA52EF01B0860C6C"/>
    <n v="417"/>
    <n v="0"/>
    <n v="417"/>
    <n v="0"/>
    <n v="0"/>
    <n v="0"/>
  </r>
  <r>
    <n v="636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98450"/>
    <n v="1"/>
    <s v="BHHAPS1534098450"/>
    <s v="9242367261"/>
    <s v="SCOTT"/>
    <s v="LEE"/>
    <m/>
    <s v="5548 SIERRA CT"/>
    <s v="RAPID CITY"/>
    <s v="SD"/>
    <s v="57702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15"/>
    <n v="42815.771673495401"/>
    <x v="1"/>
    <s v="49D3E23D0DB54992829DBE2BCEAE68C6"/>
    <n v="508"/>
    <n v="0"/>
    <n v="508"/>
    <n v="0"/>
    <n v="0"/>
    <n v="0"/>
  </r>
  <r>
    <n v="637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98450"/>
    <n v="0"/>
    <s v="BHHAPS1534098450"/>
    <s v="9242367261"/>
    <s v="SCOTT"/>
    <s v="LEE"/>
    <m/>
    <s v="5548 SIERRA CT"/>
    <s v="RAPID CITY"/>
    <s v="SD"/>
    <s v="57702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15"/>
    <n v="42815.771673495401"/>
    <x v="1"/>
    <s v="6416C43CFA154D17B07F033EC863EEFB"/>
    <n v="417"/>
    <n v="0"/>
    <n v="417"/>
    <n v="0"/>
    <n v="0"/>
    <n v="0"/>
  </r>
  <r>
    <n v="63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112094"/>
    <n v="1"/>
    <s v="BHHAPS1534112094"/>
    <s v="4554032089"/>
    <s v="JACK"/>
    <s v="LA ROCCA"/>
    <m/>
    <s v="1124 WOODRIDGE DR"/>
    <s v="RAPID CITY"/>
    <s v="SD"/>
    <s v="57701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21"/>
    <n v="42821.687218553197"/>
    <x v="1"/>
    <s v="4B9232B0029648D9B622EA5EF9BFFAF4"/>
    <n v="417"/>
    <n v="0"/>
    <n v="417"/>
    <n v="0"/>
    <n v="0"/>
    <n v="0"/>
  </r>
  <r>
    <n v="63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112094"/>
    <n v="0"/>
    <s v="BHHAPS1534112094"/>
    <s v="4554032089"/>
    <s v="JACK"/>
    <s v="LA ROCCA"/>
    <m/>
    <s v="1124 WOODRIDGE DR"/>
    <s v="RAPID CITY"/>
    <s v="SD"/>
    <s v="57701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21"/>
    <n v="42821.687218553197"/>
    <x v="1"/>
    <s v="10839C54EA0D482D8BE1AD0270173614"/>
    <n v="508"/>
    <n v="0"/>
    <n v="508"/>
    <n v="0"/>
    <n v="0"/>
    <n v="0"/>
  </r>
  <r>
    <n v="640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196262"/>
    <n v="1"/>
    <s v="BHHAPS1534196262"/>
    <s v="6163350116"/>
    <s v="TODD J"/>
    <s v="HYRONIMUS"/>
    <m/>
    <s v="4402 RIDGEWOOD ST"/>
    <s v="RAPID CITY"/>
    <s v="SD"/>
    <s v="57702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32"/>
    <n v="42832.5187526968"/>
    <x v="1"/>
    <s v="BEB4EFE817324055B0DA927C0B92D1D6"/>
    <n v="417"/>
    <n v="0"/>
    <n v="417"/>
    <n v="0"/>
    <n v="0"/>
    <n v="0"/>
  </r>
  <r>
    <n v="641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196262"/>
    <n v="0"/>
    <s v="BHHAPS1534196262"/>
    <s v="6163350116"/>
    <s v="TODD J"/>
    <s v="HYRONIMUS"/>
    <m/>
    <s v="4402 RIDGEWOOD ST"/>
    <s v="RAPID CITY"/>
    <s v="SD"/>
    <s v="57702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32"/>
    <n v="42832.5187526968"/>
    <x v="1"/>
    <s v="AA50B64F4745427D8C15A0AAFD02D006"/>
    <n v="508"/>
    <n v="0"/>
    <n v="508"/>
    <n v="0"/>
    <n v="0"/>
    <n v="0"/>
  </r>
  <r>
    <n v="642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223371"/>
    <n v="1"/>
    <s v="BHHAPS1534223371"/>
    <s v="6386883495"/>
    <s v="KATHLEEN"/>
    <s v="HRUBY"/>
    <m/>
    <s v="20745 DYNASTY RD"/>
    <s v="LEAD"/>
    <s v="SD"/>
    <s v="57754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44"/>
    <n v="42844.467479710598"/>
    <x v="1"/>
    <s v="C4243799699349E1B9AFCC0B11FC928C"/>
    <n v="417"/>
    <n v="0"/>
    <n v="417"/>
    <n v="0"/>
    <n v="0"/>
    <n v="0"/>
  </r>
  <r>
    <n v="64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223371"/>
    <n v="0"/>
    <s v="BHHAPS1534223371"/>
    <s v="6386883495"/>
    <s v="KATHLEEN"/>
    <s v="HRUBY"/>
    <m/>
    <s v="20745 DYNASTY RD"/>
    <s v="LEAD"/>
    <s v="SD"/>
    <s v="57754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44"/>
    <n v="42844.467479710598"/>
    <x v="1"/>
    <s v="340645980D86467AABB509FE8944D70F"/>
    <n v="508"/>
    <n v="0"/>
    <n v="508"/>
    <n v="0"/>
    <n v="0"/>
    <n v="0"/>
  </r>
  <r>
    <n v="644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223387"/>
    <n v="1"/>
    <s v="BHHAPS1534223387"/>
    <s v="7652363484"/>
    <s v="JANE E"/>
    <s v="LOCKWOOD"/>
    <m/>
    <s v="3734 MAITLAND RD"/>
    <s v="SPEARFISH"/>
    <s v="SD"/>
    <s v="57783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44"/>
    <n v="42844.473528159702"/>
    <x v="1"/>
    <s v="6BB94B55493E465BA3B3F04029B366BD"/>
    <n v="508"/>
    <n v="0"/>
    <n v="508"/>
    <n v="0"/>
    <n v="0"/>
    <n v="0"/>
  </r>
  <r>
    <n v="645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223387"/>
    <n v="0"/>
    <s v="BHHAPS1534223387"/>
    <s v="7652363484"/>
    <s v="JANE E"/>
    <s v="LOCKWOOD"/>
    <m/>
    <s v="3734 MAITLAND RD"/>
    <s v="SPEARFISH"/>
    <s v="SD"/>
    <s v="57783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44"/>
    <n v="42844.473528159702"/>
    <x v="1"/>
    <s v="1CE7A8BB2C814EDDBB829DBC57BAAB79"/>
    <n v="417"/>
    <n v="0"/>
    <n v="417"/>
    <n v="0"/>
    <n v="0"/>
    <n v="0"/>
  </r>
  <r>
    <n v="646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223402"/>
    <n v="1"/>
    <s v="BHHAPS1534223402"/>
    <s v="7133765514"/>
    <s v="DALE"/>
    <s v="CHRISTENSEN"/>
    <m/>
    <s v="25341 MCCURRAN RANCH RD"/>
    <s v="CUSTER"/>
    <s v="SD"/>
    <s v="57730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44"/>
    <n v="42844.535247453699"/>
    <x v="1"/>
    <s v="2F222582568D4012BAA8C3F80C655FF1"/>
    <n v="508"/>
    <n v="0"/>
    <n v="508"/>
    <n v="0"/>
    <n v="0"/>
    <n v="0"/>
  </r>
  <r>
    <n v="647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223402"/>
    <n v="0"/>
    <s v="BHHAPS1534223402"/>
    <s v="7133765514"/>
    <s v="DALE"/>
    <s v="CHRISTENSEN"/>
    <m/>
    <s v="25341 MCCURRAN RANCH RD"/>
    <s v="CUSTER"/>
    <s v="SD"/>
    <s v="57730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44"/>
    <n v="42844.535247453699"/>
    <x v="1"/>
    <s v="BF45952B1394478E94EFE322CEC9C7F4"/>
    <n v="417"/>
    <n v="0"/>
    <n v="417"/>
    <n v="0"/>
    <n v="0"/>
    <n v="0"/>
  </r>
  <r>
    <n v="648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374980"/>
    <n v="1"/>
    <s v="BHHAPS1534374980"/>
    <s v="0117100059"/>
    <s v="CAROLYN"/>
    <s v="WALDO"/>
    <m/>
    <s v="11387 BIG HORN LOOP"/>
    <s v="PIEDMONT"/>
    <s v="SD"/>
    <s v="57769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85"/>
    <n v="42885.786298032399"/>
    <x v="1"/>
    <s v="322E3677CD234BBD976FE8FAB98EBF6D"/>
    <n v="508"/>
    <n v="0"/>
    <n v="508"/>
    <n v="0"/>
    <n v="0"/>
    <n v="0"/>
  </r>
  <r>
    <n v="649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374980"/>
    <n v="0"/>
    <s v="BHHAPS1534374980"/>
    <s v="0117100059"/>
    <s v="CAROLYN"/>
    <s v="WALDO"/>
    <m/>
    <s v="11387 BIG HORN LOOP"/>
    <s v="PIEDMONT"/>
    <s v="SD"/>
    <s v="57769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85"/>
    <n v="42885.786298032399"/>
    <x v="1"/>
    <s v="1B2FC37B705C475C953F97F996277C1D"/>
    <n v="417"/>
    <n v="0"/>
    <n v="417"/>
    <n v="0"/>
    <n v="0"/>
    <n v="0"/>
  </r>
  <r>
    <n v="650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377969"/>
    <n v="1"/>
    <s v="BHHAPS1534377969"/>
    <s v="9366709507"/>
    <s v="JEAN"/>
    <s v="ALLEN"/>
    <m/>
    <s v="13145 DEER MEADOW RD"/>
    <s v="PIEDMONT"/>
    <s v="SD"/>
    <s v="57769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86"/>
    <n v="42886.694545486098"/>
    <x v="1"/>
    <s v="D7273AFD42AF44B88170FB14D938B6C7"/>
    <n v="508"/>
    <n v="0"/>
    <n v="508"/>
    <n v="0"/>
    <n v="0"/>
    <n v="0"/>
  </r>
  <r>
    <n v="651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377969"/>
    <n v="0"/>
    <s v="BHHAPS1534377969"/>
    <s v="9366709507"/>
    <s v="JEAN"/>
    <s v="ALLEN"/>
    <m/>
    <s v="13145 DEER MEADOW RD"/>
    <s v="PIEDMONT"/>
    <s v="SD"/>
    <s v="57769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86"/>
    <n v="42886.694545486098"/>
    <x v="1"/>
    <s v="77D204E5EB374ED58985D0D791EDB868"/>
    <n v="417"/>
    <n v="0"/>
    <n v="417"/>
    <n v="0"/>
    <n v="0"/>
    <n v="0"/>
  </r>
  <r>
    <n v="652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535410"/>
    <n v="1"/>
    <s v="BHHAPS1534535410"/>
    <s v="3083415336"/>
    <s v="GERALD L"/>
    <s v="WHEELER"/>
    <m/>
    <s v="12246 EAGLE RIDGE DR"/>
    <s v="CUSTER"/>
    <s v="SD"/>
    <s v="57730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27"/>
    <n v="42927.597792789398"/>
    <x v="1"/>
    <s v="7C109410C0D841CBAB325E7FB6D2AB38"/>
    <n v="508"/>
    <n v="0"/>
    <n v="508"/>
    <n v="0"/>
    <n v="0"/>
    <n v="0"/>
  </r>
  <r>
    <n v="65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535410"/>
    <n v="0"/>
    <s v="BHHAPS1534535410"/>
    <s v="3083415336"/>
    <s v="GERALD L"/>
    <s v="WHEELER"/>
    <m/>
    <s v="12246 EAGLE RIDGE DR"/>
    <s v="CUSTER"/>
    <s v="SD"/>
    <s v="57730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27"/>
    <n v="42927.597792789398"/>
    <x v="1"/>
    <s v="B2B89237400241919CF206F2461B7F18"/>
    <n v="508"/>
    <n v="0"/>
    <n v="508"/>
    <n v="0"/>
    <n v="0"/>
    <n v="0"/>
  </r>
  <r>
    <n v="654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674823"/>
    <n v="1"/>
    <s v="BHHAPS1534674823"/>
    <s v="2437789709"/>
    <s v="CHRISTY"/>
    <s v="FINKBEINER"/>
    <m/>
    <s v="4213 PARTRIDGE PL"/>
    <s v="SPEARFISH"/>
    <s v="SD"/>
    <s v="57783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54"/>
    <n v="42954.676392442103"/>
    <x v="1"/>
    <s v="532EFA12848B468EB7677124EBD24209"/>
    <n v="508"/>
    <n v="0"/>
    <n v="508"/>
    <n v="0"/>
    <n v="0"/>
    <n v="0"/>
  </r>
  <r>
    <n v="655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674834"/>
    <n v="1"/>
    <s v="BHHAPS1534674834"/>
    <s v="5301295834"/>
    <s v="SYLVIA"/>
    <s v="CONRAD"/>
    <m/>
    <s v="3600 SHERIDAN LAKE RD                             APT 201"/>
    <s v="RAPID CITY"/>
    <s v="SD"/>
    <s v="57702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54"/>
    <n v="42954.6789623843"/>
    <x v="1"/>
    <s v="0EC20D2C72A64636956BAF63EBAD8FD0"/>
    <n v="508"/>
    <n v="0"/>
    <n v="508"/>
    <n v="0"/>
    <n v="0"/>
    <n v="0"/>
  </r>
  <r>
    <n v="656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694821"/>
    <n v="1"/>
    <s v="BHHAPS1534694821"/>
    <s v="6748065107"/>
    <s v="JOHN C"/>
    <s v="RAYMER"/>
    <m/>
    <s v="13060 EAGLE CT"/>
    <s v="HOT SPRINGS"/>
    <s v="SD"/>
    <s v="57747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961"/>
    <n v="42961.698382951399"/>
    <x v="1"/>
    <s v="FC3FC121F280499CAEEAD8B2EB533C93"/>
    <n v="417"/>
    <n v="0"/>
    <n v="417"/>
    <n v="0"/>
    <n v="0"/>
    <n v="0"/>
  </r>
  <r>
    <n v="657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694821"/>
    <n v="0"/>
    <s v="BHHAPS1534694821"/>
    <s v="6748065107"/>
    <s v="JOHN C"/>
    <s v="RAYMER"/>
    <m/>
    <s v="13060 EAGLE CT"/>
    <s v="HOT SPRINGS"/>
    <s v="SD"/>
    <s v="57747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61"/>
    <n v="42961.698382951399"/>
    <x v="1"/>
    <s v="BBF4F50F9E3A44D194D5AB16E7362A58"/>
    <n v="508"/>
    <n v="0"/>
    <n v="508"/>
    <n v="0"/>
    <n v="0"/>
    <n v="0"/>
  </r>
  <r>
    <n v="65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761478"/>
    <n v="1"/>
    <s v="BHHAPS1534761478"/>
    <s v="2697985323"/>
    <s v="RUSSELL"/>
    <s v="FRANKENFELD"/>
    <m/>
    <s v="12746 HAPPY TRAILS RD"/>
    <s v="HILL CITY"/>
    <s v="SD"/>
    <s v="57745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968"/>
    <n v="42968.833325891203"/>
    <x v="1"/>
    <s v="957DD4B9420D424A9EF8B762CC6FA8B4"/>
    <n v="417"/>
    <n v="0"/>
    <n v="417"/>
    <n v="0"/>
    <n v="0"/>
    <n v="0"/>
  </r>
  <r>
    <n v="65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761478"/>
    <n v="0"/>
    <s v="BHHAPS1534761478"/>
    <s v="2697985323"/>
    <s v="RUSSELL"/>
    <s v="FRANKENFELD"/>
    <m/>
    <s v="12746 HAPPY TRAILS RD"/>
    <s v="HILL CITY"/>
    <s v="SD"/>
    <s v="57745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68"/>
    <n v="42968.833325891203"/>
    <x v="1"/>
    <s v="262CFD7E5F4842DD93094D7F1F1705FA"/>
    <n v="508"/>
    <n v="0"/>
    <n v="508"/>
    <n v="0"/>
    <n v="0"/>
    <n v="0"/>
  </r>
  <r>
    <n v="660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761480"/>
    <n v="1"/>
    <s v="BHHAPS1534761480"/>
    <s v="2697985323"/>
    <s v="RUSSELL"/>
    <s v="FRANKENFELD"/>
    <m/>
    <s v="12746 HAPPY TRAILS RD"/>
    <s v="HILL CITY"/>
    <s v="SD"/>
    <s v="57745"/>
    <x v="58"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968"/>
    <n v="42968.838196909703"/>
    <x v="1"/>
    <s v="726633E717BD4176927D082FB592D540"/>
    <n v="417"/>
    <n v="0"/>
    <n v="417"/>
    <n v="0"/>
    <n v="0"/>
    <n v="0"/>
  </r>
  <r>
    <n v="661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761480"/>
    <n v="0"/>
    <s v="BHHAPS1534761480"/>
    <s v="2697985323"/>
    <s v="RUSSELL"/>
    <s v="FRANKENFELD"/>
    <m/>
    <s v="12746 HAPPY TRAILS RD"/>
    <s v="HILL CITY"/>
    <s v="SD"/>
    <s v="57745"/>
    <x v="58"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68"/>
    <n v="42968.838196909703"/>
    <x v="1"/>
    <s v="0FA857365741430BBE24EC56EBC51B41"/>
    <n v="508"/>
    <n v="0"/>
    <n v="508"/>
    <n v="0"/>
    <n v="0"/>
    <n v="0"/>
  </r>
  <r>
    <n v="662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761482"/>
    <n v="1"/>
    <s v="BHHAPS1534761482"/>
    <s v="3418864460"/>
    <s v="MELANI"/>
    <s v="CROSSE"/>
    <m/>
    <s v="11469 PIEDMONT MEADOWS RD"/>
    <s v="PIEDMONT"/>
    <s v="SD"/>
    <s v="57769"/>
    <x v="58"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968"/>
    <n v="42968.841239502297"/>
    <x v="1"/>
    <s v="6FFC39D3276F42129D71343B33EA4754"/>
    <n v="417"/>
    <n v="0"/>
    <n v="417"/>
    <n v="0"/>
    <n v="0"/>
    <n v="0"/>
  </r>
  <r>
    <n v="66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761482"/>
    <n v="0"/>
    <s v="BHHAPS1534761482"/>
    <s v="3418864460"/>
    <s v="MELANI"/>
    <s v="CROSSE"/>
    <m/>
    <s v="11469 PIEDMONT MEADOWS RD"/>
    <s v="PIEDMONT"/>
    <s v="SD"/>
    <s v="57769"/>
    <x v="58"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68"/>
    <n v="42968.841239502297"/>
    <x v="1"/>
    <s v="7CB762333F8E4A0E993C3DC248D09BAC"/>
    <n v="508"/>
    <n v="0"/>
    <n v="508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6">
  <r>
    <n v="1"/>
    <s v="Residential/Non-Residential - BHPSD - Appliance Recycling"/>
    <b v="0"/>
    <s v="Residential/Non-Residential - BHPSD - Appliance Recycling__"/>
    <n v="0"/>
    <x v="0"/>
    <x v="0"/>
    <x v="0"/>
    <x v="0"/>
    <s v=""/>
    <s v=""/>
    <b v="0"/>
    <b v="0"/>
    <s v="Residential/Non-Residential - BHPSD - Appliance Recycling"/>
    <n v="40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4"/>
    <n v="0"/>
    <n v="6.3209999999999997"/>
    <m/>
    <n v="55428"/>
    <m/>
    <m/>
    <m/>
    <m/>
    <m/>
    <n v="0"/>
    <n v="2200"/>
    <s v=""/>
    <m/>
    <x v="0"/>
    <s v=""/>
    <n v="1259.7272727272727"/>
    <n v="50"/>
    <e v="#N/A"/>
    <e v="#N/A"/>
    <e v="#N/A"/>
    <e v="#N/A"/>
  </r>
  <r>
    <n v="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2867712"/>
    <n v="1"/>
    <s v="BHHRPS1532867712"/>
    <s v="3006269332"/>
    <s v="PETER JR"/>
    <s v="PATINO"/>
    <m/>
    <s v="110 E WATERTOWN ST                                LOT 33"/>
    <s v="RAPID CITY"/>
    <s v="SD"/>
    <s v="5770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TB14SFB"/>
    <m/>
    <n v="1"/>
    <n v="0"/>
    <n v="0.14699999999999999"/>
    <m/>
    <n v="1289"/>
    <m/>
    <m/>
    <m/>
    <m/>
    <m/>
    <n v="0"/>
    <n v="50"/>
    <n v="42795"/>
    <n v="42611.6753068287"/>
    <x v="1"/>
    <s v="EC5084DE88534BEFBCDE3EE0C04A36C8"/>
    <n v="1289"/>
    <n v="50"/>
    <n v="1289"/>
    <n v="0"/>
    <n v="50"/>
    <n v="0"/>
  </r>
  <r>
    <n v="3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2891921"/>
    <n v="1"/>
    <s v="BHHRPS1532891921"/>
    <s v="2358792868"/>
    <s v="CLARK W"/>
    <s v="VIDAS"/>
    <m/>
    <s v="2904 LANARK RD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RT176GCD2"/>
    <m/>
    <n v="1"/>
    <n v="0"/>
    <n v="0.14699999999999999"/>
    <m/>
    <n v="1289"/>
    <m/>
    <m/>
    <m/>
    <m/>
    <m/>
    <n v="0"/>
    <n v="50"/>
    <n v="42621"/>
    <n v="42621.686162118101"/>
    <x v="1"/>
    <s v="768FAE3739E44DF68807D0C3786868E9"/>
    <n v="1289"/>
    <n v="50"/>
    <n v="1289"/>
    <n v="0"/>
    <n v="50"/>
    <n v="0"/>
  </r>
  <r>
    <n v="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2920753"/>
    <n v="1"/>
    <s v="BHHRPS1532920753"/>
    <s v="4641823075"/>
    <s v="KRAIG D"/>
    <s v="BLOMME"/>
    <m/>
    <s v="723 ALTA VISTA DR"/>
    <s v="RAPID CITY"/>
    <s v="SD"/>
    <s v="5770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TBX18IADBRWWN"/>
    <m/>
    <n v="1"/>
    <n v="0"/>
    <n v="0.14699999999999999"/>
    <m/>
    <n v="1289"/>
    <m/>
    <m/>
    <m/>
    <m/>
    <m/>
    <n v="0"/>
    <n v="50"/>
    <n v="42632"/>
    <n v="42632.497293055603"/>
    <x v="1"/>
    <s v="07004A6CE4354AAFA4D35E75AC620B53"/>
    <n v="1289"/>
    <n v="50"/>
    <n v="1289"/>
    <n v="0"/>
    <n v="50"/>
    <n v="0"/>
  </r>
  <r>
    <n v="5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025584"/>
    <n v="1"/>
    <s v="BHHRPS1533025584"/>
    <s v="2627869439"/>
    <s v="SUZANNE"/>
    <s v="BOYKIN"/>
    <m/>
    <s v="1021 PERKINS ST"/>
    <s v="BELLE FOURCHE"/>
    <s v="SD"/>
    <s v="57717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RSW22EODAM"/>
    <m/>
    <n v="1"/>
    <n v="0"/>
    <n v="0.14699999999999999"/>
    <m/>
    <n v="1289"/>
    <m/>
    <m/>
    <m/>
    <m/>
    <m/>
    <n v="0"/>
    <n v="50"/>
    <n v="42654"/>
    <n v="42654.784208483798"/>
    <x v="1"/>
    <s v="DE6CBE844C3C42BF8897954407B6DE7E"/>
    <n v="1289"/>
    <n v="50"/>
    <n v="1289"/>
    <n v="0"/>
    <n v="50"/>
    <n v="0"/>
  </r>
  <r>
    <n v="6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059349"/>
    <n v="1"/>
    <s v="BHHRPS1533059349"/>
    <s v="2435954790"/>
    <s v="JOE W"/>
    <s v="BAWDON"/>
    <m/>
    <s v="120 S 10TH ST"/>
    <s v="CUSTER"/>
    <s v="SD"/>
    <s v="57730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D2CHQXKB05"/>
    <m/>
    <n v="1"/>
    <n v="0"/>
    <n v="0.14699999999999999"/>
    <m/>
    <n v="1289"/>
    <m/>
    <m/>
    <m/>
    <m/>
    <m/>
    <n v="0"/>
    <n v="50"/>
    <n v="42795"/>
    <n v="42669.514234918999"/>
    <x v="1"/>
    <s v="1F6AECC24E4E454CB4868537A06CED59"/>
    <n v="1289"/>
    <n v="50"/>
    <n v="1289"/>
    <n v="0"/>
    <n v="50"/>
    <n v="0"/>
  </r>
  <r>
    <n v="7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134339"/>
    <n v="1"/>
    <s v="BHHRPS1533134339"/>
    <s v="5603263304"/>
    <s v="JEFFREY T"/>
    <s v="FRANCIS"/>
    <m/>
    <s v="3707 WESTERN AVE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MCD2456GEW"/>
    <m/>
    <n v="1"/>
    <n v="0"/>
    <n v="0.14699999999999999"/>
    <m/>
    <n v="1289"/>
    <m/>
    <m/>
    <m/>
    <m/>
    <m/>
    <n v="0"/>
    <n v="50"/>
    <n v="42738"/>
    <n v="42688.537395601903"/>
    <x v="1"/>
    <s v="892EB6BD9CB34B8181C113EFC1CD38F6"/>
    <n v="1289"/>
    <n v="50"/>
    <n v="1289"/>
    <n v="0"/>
    <n v="50"/>
    <n v="0"/>
  </r>
  <r>
    <n v="8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137360"/>
    <n v="1"/>
    <s v="BHHRPS1533137360"/>
    <s v="2502462759"/>
    <s v="RACHEL C"/>
    <s v="MANNHALTER"/>
    <m/>
    <s v="4814 W MAIN ST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TBF19DBC"/>
    <m/>
    <n v="1"/>
    <n v="0"/>
    <n v="0.14699999999999999"/>
    <m/>
    <n v="1289"/>
    <m/>
    <m/>
    <m/>
    <m/>
    <m/>
    <n v="0"/>
    <n v="50"/>
    <n v="42738"/>
    <n v="42689.509298379598"/>
    <x v="1"/>
    <s v="FF4F507493974159880D06B11E05CD52"/>
    <n v="1289"/>
    <n v="50"/>
    <n v="1289"/>
    <n v="0"/>
    <n v="50"/>
    <n v="0"/>
  </r>
  <r>
    <n v="9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137630"/>
    <n v="1"/>
    <s v="BHHRPS1533137630"/>
    <s v="5370197765"/>
    <s v="JASON"/>
    <s v="NELSON"/>
    <m/>
    <s v="1503 CHERRY AVE"/>
    <s v="RAPID CITY"/>
    <s v="SD"/>
    <s v="5770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10673842301"/>
    <m/>
    <n v="1"/>
    <n v="0"/>
    <n v="0.14699999999999999"/>
    <m/>
    <n v="1289"/>
    <m/>
    <m/>
    <m/>
    <m/>
    <m/>
    <n v="0"/>
    <n v="50"/>
    <n v="42738"/>
    <n v="42689.647468368101"/>
    <x v="1"/>
    <s v="70DB11F185DB4BBB825C2F12114B55B7"/>
    <n v="1289"/>
    <n v="50"/>
    <n v="1289"/>
    <n v="0"/>
    <n v="50"/>
    <n v="0"/>
  </r>
  <r>
    <n v="10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150364"/>
    <n v="1"/>
    <s v="BHHRPS1533150364"/>
    <s v="3951841409"/>
    <s v="ADAM"/>
    <s v="KAEMINGK"/>
    <m/>
    <s v="415 SAN MARCO BLVD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m/>
    <m/>
    <n v="1"/>
    <n v="0"/>
    <n v="0.14699999999999999"/>
    <m/>
    <n v="1289"/>
    <m/>
    <m/>
    <m/>
    <m/>
    <m/>
    <n v="0"/>
    <n v="50"/>
    <n v="42738"/>
    <n v="42695.756104398097"/>
    <x v="1"/>
    <s v="A410227CF76C4E83AFB01ABDAB74148A"/>
    <n v="1289"/>
    <n v="50"/>
    <n v="1289"/>
    <n v="0"/>
    <n v="50"/>
    <n v="0"/>
  </r>
  <r>
    <n v="11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3195952"/>
    <n v="1"/>
    <s v="BHHRPS1533195952"/>
    <s v="2199807068"/>
    <s v="DENISE M"/>
    <s v="SILBERNAGEL"/>
    <m/>
    <s v="4426 DUCKHORN ST"/>
    <s v="RAPID CITY"/>
    <s v="SD"/>
    <s v="57703"/>
    <s v="K and D Appliance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8"/>
    <m/>
    <n v="1"/>
    <n v="0"/>
    <n v="0.126"/>
    <m/>
    <n v="1105"/>
    <m/>
    <m/>
    <m/>
    <m/>
    <m/>
    <n v="0"/>
    <n v="50"/>
    <n v="42738"/>
    <n v="42703.547365509301"/>
    <x v="1"/>
    <s v="C27C46A5FBE84A3A8C45CBEE908B2DE3"/>
    <n v="1105"/>
    <n v="50"/>
    <n v="1105"/>
    <n v="0"/>
    <n v="50"/>
    <n v="0"/>
  </r>
  <r>
    <n v="1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447931"/>
    <n v="1"/>
    <s v="BHHRPS1533447931"/>
    <s v="3157573418"/>
    <s v="ROBERT"/>
    <s v="HERRMANN"/>
    <m/>
    <s v="209 W ELGIN ST"/>
    <s v="SPEARFISH"/>
    <s v="SD"/>
    <s v="57783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RB21SLEBP"/>
    <m/>
    <n v="1"/>
    <n v="0"/>
    <n v="0.14699999999999999"/>
    <m/>
    <n v="1289"/>
    <m/>
    <m/>
    <m/>
    <m/>
    <m/>
    <n v="0"/>
    <n v="50"/>
    <n v="42795"/>
    <n v="42709.651740509304"/>
    <x v="1"/>
    <s v="D3C5375C5BE343C89DC21B04683E728C"/>
    <n v="1289"/>
    <n v="50"/>
    <n v="1289"/>
    <n v="0"/>
    <n v="50"/>
    <n v="0"/>
  </r>
  <r>
    <n v="13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448018"/>
    <n v="1"/>
    <s v="BHHRPS1533448018"/>
    <s v="9910835667"/>
    <s v="KARA L"/>
    <s v="FAITH"/>
    <m/>
    <s v="4315 BROOKSIDE DR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m/>
    <m/>
    <n v="1"/>
    <n v="0"/>
    <n v="0.14699999999999999"/>
    <m/>
    <n v="1289"/>
    <m/>
    <m/>
    <m/>
    <m/>
    <m/>
    <n v="0"/>
    <n v="50"/>
    <n v="42738"/>
    <n v="42709.676248842603"/>
    <x v="1"/>
    <s v="2B5554E7D9EC49F1B5486DBCF65CB598"/>
    <n v="1289"/>
    <n v="50"/>
    <n v="1289"/>
    <n v="0"/>
    <n v="50"/>
    <n v="0"/>
  </r>
  <r>
    <n v="1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628269"/>
    <n v="1"/>
    <s v="BHHRPS1533628269"/>
    <s v="1385518124"/>
    <s v="CLIFFORD"/>
    <s v="MCARTHUR"/>
    <m/>
    <s v="5127 S CANYON RD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RT18NNCD2"/>
    <m/>
    <n v="1"/>
    <n v="0"/>
    <n v="0.14699999999999999"/>
    <m/>
    <n v="1289"/>
    <m/>
    <m/>
    <m/>
    <m/>
    <m/>
    <n v="0"/>
    <n v="50"/>
    <n v="42738"/>
    <n v="42712.749418900501"/>
    <x v="1"/>
    <s v="C4B16297D49845E2A3CFEBCFFB5E9517"/>
    <n v="1289"/>
    <n v="50"/>
    <n v="1289"/>
    <n v="0"/>
    <n v="50"/>
    <n v="0"/>
  </r>
  <r>
    <n v="15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09762"/>
    <n v="1"/>
    <s v="BHHRPS1533809762"/>
    <s v="2421773127"/>
    <s v="WARREN"/>
    <s v="BRAUN"/>
    <m/>
    <s v="4320 TIMBERLANE PL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D22DQXXN00"/>
    <m/>
    <n v="1"/>
    <n v="0"/>
    <n v="0.14699999999999999"/>
    <m/>
    <n v="1289"/>
    <m/>
    <m/>
    <m/>
    <m/>
    <m/>
    <n v="0"/>
    <n v="50"/>
    <n v="42795"/>
    <n v="42725.620602048599"/>
    <x v="1"/>
    <s v="2325EAA221F749D984469341F807018F"/>
    <n v="1289"/>
    <n v="50"/>
    <n v="1289"/>
    <n v="0"/>
    <n v="50"/>
    <n v="0"/>
  </r>
  <r>
    <n v="16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09928"/>
    <n v="1"/>
    <s v="BHHRPS1533809928"/>
    <s v="7825735120"/>
    <s v="ALANNA"/>
    <s v="STEVENS"/>
    <m/>
    <s v="4835 STURGIS RD                                   LOT 105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RS22PRCW1"/>
    <m/>
    <n v="1"/>
    <n v="0"/>
    <n v="0.14699999999999999"/>
    <m/>
    <n v="1289"/>
    <m/>
    <m/>
    <m/>
    <m/>
    <m/>
    <n v="0"/>
    <n v="50"/>
    <n v="42795"/>
    <n v="42725.667703587998"/>
    <x v="1"/>
    <s v="4714D7A7255B41A2BF607F6CCA7A0A0A"/>
    <n v="1289"/>
    <n v="50"/>
    <n v="1289"/>
    <n v="0"/>
    <n v="50"/>
    <n v="0"/>
  </r>
  <r>
    <n v="17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42053"/>
    <n v="1"/>
    <s v="BHHRPS1533842053"/>
    <s v="2413808695"/>
    <s v="MAKAYLA"/>
    <s v="STANDS"/>
    <m/>
    <s v="4835 STURGIS RD                                   LOT 414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T8WTKXKQ02"/>
    <m/>
    <n v="1"/>
    <n v="0"/>
    <n v="0.14699999999999999"/>
    <m/>
    <n v="1289"/>
    <m/>
    <m/>
    <m/>
    <m/>
    <m/>
    <n v="0"/>
    <n v="50"/>
    <n v="42795"/>
    <n v="42739.7710030093"/>
    <x v="1"/>
    <s v="9104CC0A3CE44BABA23F562A13D271D3"/>
    <n v="1289"/>
    <n v="50"/>
    <n v="1289"/>
    <n v="0"/>
    <n v="50"/>
    <n v="0"/>
  </r>
  <r>
    <n v="18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3842568"/>
    <n v="1"/>
    <s v="BHHRPS1533842568"/>
    <s v="3196539329"/>
    <s v="ALLEN"/>
    <s v="ZANDSTRA"/>
    <s v="ZANDSTRA, ALLEN"/>
    <s v="2918 HARVARD AVE"/>
    <s v="RAPID CITY"/>
    <s v="SD"/>
    <s v="57702"/>
    <s v="K and D Appliance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C158-1"/>
    <m/>
    <n v="1"/>
    <n v="0"/>
    <n v="0.126"/>
    <m/>
    <n v="1105"/>
    <m/>
    <m/>
    <m/>
    <m/>
    <m/>
    <n v="0"/>
    <n v="50"/>
    <n v="42795"/>
    <n v="42739.773195370399"/>
    <x v="1"/>
    <s v="59CE1073B0864AF19E3CE2254B79B986"/>
    <n v="1105"/>
    <n v="50"/>
    <n v="1105"/>
    <n v="0"/>
    <n v="50"/>
    <n v="0"/>
  </r>
  <r>
    <n v="19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43079"/>
    <n v="1"/>
    <s v="BHHRPS1533843079"/>
    <s v="0710789819"/>
    <s v="TOM R"/>
    <s v="DUSING"/>
    <s v="DUSING, TOM R"/>
    <s v="12868 1/2 OLD HILL CITY RD"/>
    <s v="KEYSTONE"/>
    <s v="SD"/>
    <s v="5775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PI-13B-60"/>
    <m/>
    <n v="1"/>
    <n v="0"/>
    <n v="0.14699999999999999"/>
    <m/>
    <n v="1289"/>
    <m/>
    <m/>
    <m/>
    <m/>
    <m/>
    <n v="0"/>
    <n v="50"/>
    <n v="42795"/>
    <n v="42739.7751721065"/>
    <x v="1"/>
    <s v="7547484F658345BC8D00F5E07B0690A2"/>
    <n v="1289"/>
    <n v="50"/>
    <n v="1289"/>
    <n v="0"/>
    <n v="50"/>
    <n v="0"/>
  </r>
  <r>
    <n v="20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856743"/>
    <n v="1"/>
    <s v="BHHRPS1533856743"/>
    <s v="0379785919"/>
    <s v="JUDI"/>
    <s v="LEONARD"/>
    <s v="LEONARD, JUDI"/>
    <s v="301 N 40TH ST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GD5RHAXNT01"/>
    <m/>
    <n v="1"/>
    <n v="0"/>
    <n v="0.14699999999999999"/>
    <m/>
    <n v="1289"/>
    <m/>
    <m/>
    <m/>
    <m/>
    <m/>
    <n v="0"/>
    <n v="50"/>
    <n v="42795"/>
    <n v="42740.758115972203"/>
    <x v="1"/>
    <s v="F90EF4C88CEE495E84E0C3054A8B8EF2"/>
    <n v="1289"/>
    <n v="50"/>
    <n v="1289"/>
    <n v="0"/>
    <n v="50"/>
    <n v="0"/>
  </r>
  <r>
    <n v="21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47846"/>
    <n v="1"/>
    <s v="BHHRPS1533947846"/>
    <s v="7676810238"/>
    <s v="MARGARET M"/>
    <s v="DILLOW"/>
    <m/>
    <s v="2011 PRAIRIE AVE"/>
    <s v="RAPID CITY"/>
    <s v="SD"/>
    <s v="5770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WRT11CFDB01"/>
    <m/>
    <n v="1"/>
    <n v="0"/>
    <n v="0.14699999999999999"/>
    <m/>
    <n v="1289"/>
    <m/>
    <m/>
    <m/>
    <m/>
    <m/>
    <n v="0"/>
    <n v="50"/>
    <n v="42795"/>
    <n v="42766.672992592597"/>
    <x v="1"/>
    <s v="A39F745E9DBB4048ACB5B6387C324FAA"/>
    <n v="1289"/>
    <n v="50"/>
    <n v="1289"/>
    <n v="0"/>
    <n v="50"/>
    <n v="0"/>
  </r>
  <r>
    <n v="2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47849"/>
    <n v="1"/>
    <s v="BHHRPS1533947849"/>
    <s v="4334041818"/>
    <s v="LYNNE D"/>
    <s v="GREENWALDT"/>
    <s v="LYNNE GREENWALDT"/>
    <s v="6813 COG HILL LN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T1CHMXKT06"/>
    <m/>
    <n v="1"/>
    <n v="0"/>
    <n v="0.14699999999999999"/>
    <m/>
    <n v="1289"/>
    <m/>
    <m/>
    <m/>
    <m/>
    <m/>
    <n v="0"/>
    <n v="50"/>
    <n v="42795"/>
    <n v="42766.674826041701"/>
    <x v="1"/>
    <s v="3CBDB171545F44B9ADE37B65832FF3C9"/>
    <n v="1289"/>
    <n v="50"/>
    <n v="1289"/>
    <n v="0"/>
    <n v="50"/>
    <n v="0"/>
  </r>
  <r>
    <n v="23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3979276"/>
    <n v="1"/>
    <s v="BHHRPS1533979276"/>
    <s v="2486178114"/>
    <s v="LAYTON"/>
    <s v="WAUER"/>
    <m/>
    <s v="320 E JACKSON ST"/>
    <s v="RAPID CITY"/>
    <s v="SD"/>
    <s v="57701"/>
    <s v="K and D Appliance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GFU17M4GW2"/>
    <m/>
    <n v="1"/>
    <n v="0"/>
    <n v="0.126"/>
    <m/>
    <n v="1105"/>
    <m/>
    <m/>
    <m/>
    <m/>
    <m/>
    <n v="0"/>
    <n v="50"/>
    <n v="42795"/>
    <n v="42774.687440856498"/>
    <x v="1"/>
    <s v="03DAFEEE0D684AA888508DB5E2F8AE15"/>
    <n v="1105"/>
    <n v="50"/>
    <n v="1105"/>
    <n v="0"/>
    <n v="50"/>
    <n v="0"/>
  </r>
  <r>
    <n v="2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81542"/>
    <n v="1"/>
    <s v="BHHRPS1533981542"/>
    <s v="1168565714"/>
    <s v="JEANINE L"/>
    <s v="GREEN"/>
    <m/>
    <s v="5241 WINTERSET DR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D25PDXDW03"/>
    <m/>
    <n v="1"/>
    <n v="0"/>
    <n v="0.14699999999999999"/>
    <m/>
    <n v="1289"/>
    <m/>
    <m/>
    <m/>
    <m/>
    <m/>
    <n v="0"/>
    <n v="50"/>
    <n v="42795"/>
    <n v="42775.516744409702"/>
    <x v="1"/>
    <s v="8D8666492603434EB026F4580B4D5847"/>
    <n v="1289"/>
    <n v="50"/>
    <n v="1289"/>
    <n v="0"/>
    <n v="50"/>
    <n v="0"/>
  </r>
  <r>
    <n v="25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81555"/>
    <n v="1"/>
    <s v="BHHRPS1533981555"/>
    <s v="8091287980"/>
    <s v="JEROME L"/>
    <s v="LUNDY"/>
    <m/>
    <s v="636 FOX RUN DR"/>
    <s v="RAPID CITY"/>
    <s v="SD"/>
    <s v="5770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D25RFVFW01"/>
    <m/>
    <n v="1"/>
    <n v="0"/>
    <n v="0.14699999999999999"/>
    <m/>
    <n v="1289"/>
    <m/>
    <m/>
    <m/>
    <m/>
    <m/>
    <n v="0"/>
    <n v="50"/>
    <n v="42795"/>
    <n v="42775.525195798597"/>
    <x v="1"/>
    <s v="8892CA3384C14764AA2FB1A7035A8EE6"/>
    <n v="1289"/>
    <n v="50"/>
    <n v="1289"/>
    <n v="0"/>
    <n v="50"/>
    <n v="0"/>
  </r>
  <r>
    <n v="26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3995272"/>
    <n v="1"/>
    <s v="BHHRPS1533995272"/>
    <s v="2339548653"/>
    <s v="DORIS J"/>
    <s v="DRESSLER"/>
    <m/>
    <s v="5470 HIDDEN VALLEY LN                             APT B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HMG21330"/>
    <m/>
    <n v="1"/>
    <n v="0"/>
    <n v="0.14699999999999999"/>
    <m/>
    <n v="1289"/>
    <m/>
    <m/>
    <m/>
    <m/>
    <m/>
    <n v="0"/>
    <n v="50"/>
    <n v="42795"/>
    <n v="42782.547896030097"/>
    <x v="1"/>
    <s v="71BB58CA117B4A8D83008FA0E55BFE4B"/>
    <n v="1289"/>
    <n v="50"/>
    <n v="1289"/>
    <n v="0"/>
    <n v="50"/>
    <n v="0"/>
  </r>
  <r>
    <n v="27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18997"/>
    <n v="1"/>
    <s v="BHHRPS1534018997"/>
    <s v="1981839155"/>
    <s v="ROBERT D"/>
    <s v="MEEKER"/>
    <m/>
    <s v="8405 STURGIS RD"/>
    <s v="BLACK HAWK"/>
    <s v="SD"/>
    <s v="57718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CTX20GHB"/>
    <m/>
    <n v="1"/>
    <n v="0"/>
    <n v="0.14699999999999999"/>
    <m/>
    <n v="1289"/>
    <m/>
    <m/>
    <m/>
    <m/>
    <m/>
    <n v="0"/>
    <n v="50"/>
    <n v="42822"/>
    <n v="42788.781059838002"/>
    <x v="1"/>
    <s v="CD55BACCD9EC4C1C939210E22D09AB1A"/>
    <n v="1289"/>
    <n v="50"/>
    <n v="1289"/>
    <n v="0"/>
    <n v="50"/>
    <n v="0"/>
  </r>
  <r>
    <n v="28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30152"/>
    <n v="1"/>
    <s v="BHHRPS1534030152"/>
    <s v="4848256212"/>
    <s v="MRS ROY JR"/>
    <s v="HAYES"/>
    <m/>
    <s v="2009 ASH AVE"/>
    <s v="RAPID CITY"/>
    <s v="SD"/>
    <s v="57703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2538627111"/>
    <m/>
    <n v="1"/>
    <n v="0"/>
    <n v="0.14699999999999999"/>
    <m/>
    <n v="1289"/>
    <m/>
    <m/>
    <m/>
    <m/>
    <m/>
    <n v="0"/>
    <n v="50"/>
    <n v="42822"/>
    <n v="42793.517275034697"/>
    <x v="1"/>
    <s v="74CD26A4653B4813929DF6D6324BC23D"/>
    <n v="1289"/>
    <n v="50"/>
    <n v="1289"/>
    <n v="0"/>
    <n v="50"/>
    <n v="0"/>
  </r>
  <r>
    <n v="29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39733"/>
    <n v="1"/>
    <s v="BHHRPS1534039733"/>
    <s v="9308049070"/>
    <s v="MICHELE R"/>
    <s v="MITCHELL"/>
    <m/>
    <s v="1209 4TH ST"/>
    <s v="RAPID CITY"/>
    <s v="SD"/>
    <s v="5770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25370004800"/>
    <m/>
    <n v="1"/>
    <n v="0"/>
    <n v="0.14699999999999999"/>
    <m/>
    <n v="1289"/>
    <m/>
    <m/>
    <m/>
    <m/>
    <m/>
    <n v="0"/>
    <n v="50"/>
    <n v="42949"/>
    <n v="42796.462048761598"/>
    <x v="1"/>
    <s v="CFB1B412700148D0B47EDE4F10783446"/>
    <n v="1289"/>
    <n v="50"/>
    <n v="1289"/>
    <n v="0"/>
    <n v="50"/>
    <n v="0"/>
  </r>
  <r>
    <n v="30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4069000"/>
    <n v="1"/>
    <s v="BHHRPS1534069000"/>
    <s v="5435654644"/>
    <s v="LES J"/>
    <s v="WERMERS"/>
    <m/>
    <s v="1155 KINGSWOOD DR"/>
    <s v="RAPID CITY"/>
    <s v="SD"/>
    <s v="57702"/>
    <s v="K and D Appliance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NO TAG"/>
    <m/>
    <n v="1"/>
    <n v="0"/>
    <n v="0.126"/>
    <m/>
    <n v="1105"/>
    <m/>
    <m/>
    <m/>
    <m/>
    <m/>
    <n v="0"/>
    <n v="50"/>
    <n v="42803"/>
    <n v="42803.763243518501"/>
    <x v="1"/>
    <s v="5C98877D83A04A5E9E439CD38F0218B8"/>
    <n v="1105"/>
    <n v="50"/>
    <n v="1105"/>
    <n v="0"/>
    <n v="50"/>
    <n v="0"/>
  </r>
  <r>
    <n v="31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69000"/>
    <n v="0"/>
    <s v="BHHRPS1534069000"/>
    <s v="5435654644"/>
    <s v="LES J"/>
    <s v="WERMERS"/>
    <m/>
    <s v="1155 KINGSWOOD DR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HMG453900A"/>
    <m/>
    <n v="1"/>
    <n v="0"/>
    <n v="0.14699999999999999"/>
    <m/>
    <n v="1289"/>
    <m/>
    <m/>
    <m/>
    <m/>
    <m/>
    <n v="0"/>
    <n v="50"/>
    <n v="42803"/>
    <n v="42803.763243518501"/>
    <x v="1"/>
    <s v="40F85973101747BCB5FEBACF70F99EA6"/>
    <n v="1289"/>
    <n v="50"/>
    <n v="1289"/>
    <n v="0"/>
    <n v="50"/>
    <n v="0"/>
  </r>
  <r>
    <n v="3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90856"/>
    <n v="1"/>
    <s v="BHHRPS1534090856"/>
    <s v="6570127952"/>
    <s v="SCOTT M"/>
    <s v="HENRIKSON"/>
    <m/>
    <s v="438 E OAKLAND ST"/>
    <s v="RAPID CITY"/>
    <s v="SD"/>
    <s v="5770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RT18LRHD0"/>
    <m/>
    <n v="1"/>
    <n v="0"/>
    <n v="0.14699999999999999"/>
    <m/>
    <n v="1289"/>
    <m/>
    <m/>
    <m/>
    <m/>
    <m/>
    <n v="0"/>
    <n v="50"/>
    <n v="42811"/>
    <n v="42811.770698923603"/>
    <x v="1"/>
    <s v="0063E5F477484CBBB706A6FA5D7580A0"/>
    <n v="1289"/>
    <n v="50"/>
    <n v="1289"/>
    <n v="0"/>
    <n v="50"/>
    <n v="0"/>
  </r>
  <r>
    <n v="33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90856"/>
    <n v="0"/>
    <s v="BHHRPS1534090856"/>
    <s v="6570127952"/>
    <s v="SCOTT M"/>
    <s v="HENRIKSON"/>
    <m/>
    <s v="438 E OAKLAND ST"/>
    <s v="RAPID CITY"/>
    <s v="SD"/>
    <s v="5770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ET8MTMXLT00"/>
    <m/>
    <n v="1"/>
    <n v="0"/>
    <n v="0.14699999999999999"/>
    <m/>
    <n v="1289"/>
    <m/>
    <m/>
    <m/>
    <m/>
    <m/>
    <n v="0"/>
    <n v="50"/>
    <n v="42811"/>
    <n v="42811.770698923603"/>
    <x v="1"/>
    <s v="1833CFF822B94F62858FE613F246A8C0"/>
    <n v="1289"/>
    <n v="50"/>
    <n v="1289"/>
    <n v="0"/>
    <n v="50"/>
    <n v="0"/>
  </r>
  <r>
    <n v="3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090858"/>
    <n v="1"/>
    <s v="BHHRPS1534090858"/>
    <s v="1961878008"/>
    <s v="JASON"/>
    <s v="ANDERSON"/>
    <m/>
    <s v="1901 38TH ST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1067695280"/>
    <m/>
    <n v="1"/>
    <n v="0"/>
    <n v="0.14699999999999999"/>
    <m/>
    <n v="1289"/>
    <m/>
    <m/>
    <m/>
    <m/>
    <m/>
    <n v="0"/>
    <n v="50"/>
    <n v="42811"/>
    <n v="42811.772073726897"/>
    <x v="1"/>
    <s v="E03E7F0176A245008E47BFB27D6A95AD"/>
    <n v="1289"/>
    <n v="50"/>
    <n v="1289"/>
    <n v="0"/>
    <n v="50"/>
    <n v="0"/>
  </r>
  <r>
    <n v="35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4112476"/>
    <n v="1"/>
    <s v="BHHRPS1534112476"/>
    <s v="6505761376"/>
    <s v="ELIZABETH E"/>
    <s v="SHENK"/>
    <m/>
    <s v="2318 CRUZ DR"/>
    <s v="RAPID CITY"/>
    <s v="SD"/>
    <s v="57702"/>
    <s v="K and D Appliance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106.8281511"/>
    <m/>
    <n v="1"/>
    <n v="0"/>
    <n v="0.126"/>
    <m/>
    <n v="1105"/>
    <m/>
    <m/>
    <m/>
    <m/>
    <m/>
    <n v="0"/>
    <n v="50"/>
    <n v="42949"/>
    <n v="42821.784515891202"/>
    <x v="1"/>
    <s v="B4FF9AE03DBE43EB981637EDD0EBD426"/>
    <n v="1105"/>
    <n v="50"/>
    <n v="1105"/>
    <n v="0"/>
    <n v="50"/>
    <n v="0"/>
  </r>
  <r>
    <n v="36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112476"/>
    <n v="0"/>
    <s v="BHHRPS1534112476"/>
    <s v="6505761376"/>
    <s v="ELIZABETH E"/>
    <s v="SHENK"/>
    <m/>
    <s v="2318 CRUZ DR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FRTR1817LW2"/>
    <m/>
    <n v="1"/>
    <n v="0"/>
    <n v="0.14699999999999999"/>
    <m/>
    <n v="1289"/>
    <m/>
    <m/>
    <m/>
    <m/>
    <m/>
    <n v="0"/>
    <n v="50"/>
    <n v="42949"/>
    <n v="42821.784515891202"/>
    <x v="1"/>
    <s v="49A534F1353C4B10A73B7CEAE1C8C5B4"/>
    <n v="1289"/>
    <n v="50"/>
    <n v="1289"/>
    <n v="0"/>
    <n v="50"/>
    <n v="0"/>
  </r>
  <r>
    <n v="37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196272"/>
    <n v="1"/>
    <s v="BHHRPS1534196272"/>
    <s v="6261283277"/>
    <s v="JENNIFER J"/>
    <s v="ARNOLD"/>
    <m/>
    <s v="236 MARKAY PL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V706S1"/>
    <m/>
    <n v="1"/>
    <n v="0"/>
    <n v="0.14699999999999999"/>
    <m/>
    <n v="1289"/>
    <m/>
    <m/>
    <m/>
    <m/>
    <m/>
    <n v="0"/>
    <n v="50"/>
    <n v="42949"/>
    <n v="42832.525782638899"/>
    <x v="1"/>
    <s v="0CBF1BBA6A594B5AA75030DB332557F6"/>
    <n v="1289"/>
    <n v="50"/>
    <n v="1289"/>
    <n v="0"/>
    <n v="50"/>
    <n v="0"/>
  </r>
  <r>
    <n v="38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4196272"/>
    <n v="0"/>
    <s v="BHHRPS1534196272"/>
    <s v="6261283277"/>
    <s v="JENNIFER J"/>
    <s v="ARNOLD"/>
    <m/>
    <s v="236 MARKAY PL"/>
    <s v="RAPID CITY"/>
    <s v="SD"/>
    <s v="57702"/>
    <s v="K and D Appliance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ET20PKXXN00"/>
    <m/>
    <n v="1"/>
    <n v="0"/>
    <n v="0.126"/>
    <m/>
    <n v="1105"/>
    <m/>
    <m/>
    <m/>
    <m/>
    <m/>
    <n v="0"/>
    <n v="50"/>
    <n v="42949"/>
    <n v="42832.525782638899"/>
    <x v="1"/>
    <s v="2379681814264488926AE22E3AE53272"/>
    <n v="1105"/>
    <n v="50"/>
    <n v="1105"/>
    <n v="0"/>
    <n v="50"/>
    <n v="0"/>
  </r>
  <r>
    <n v="39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204845"/>
    <n v="1"/>
    <s v="BHHRPS1534204845"/>
    <s v="6189420297"/>
    <s v="LEANNA L"/>
    <s v="BAUMAN"/>
    <m/>
    <s v="4902 EVEREST RD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106.8580311"/>
    <m/>
    <n v="1"/>
    <n v="0"/>
    <n v="0.14699999999999999"/>
    <m/>
    <n v="1289"/>
    <m/>
    <m/>
    <m/>
    <m/>
    <m/>
    <n v="0"/>
    <n v="50"/>
    <n v="42949"/>
    <n v="42837.444085879601"/>
    <x v="1"/>
    <s v="13F11130BB5E44A6A1CB4CF0B98E61DD"/>
    <n v="1289"/>
    <n v="50"/>
    <n v="1289"/>
    <n v="0"/>
    <n v="50"/>
    <n v="0"/>
  </r>
  <r>
    <n v="40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315748"/>
    <n v="1"/>
    <s v="BHHRPS1534315748"/>
    <s v="5505308242"/>
    <s v="JULIE L"/>
    <s v="BRINK"/>
    <m/>
    <s v="915 SAINT ANDREW ST"/>
    <s v="RAPID CITY"/>
    <s v="SD"/>
    <s v="57701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CTF16ERS"/>
    <m/>
    <n v="1"/>
    <n v="0"/>
    <n v="0.14699999999999999"/>
    <m/>
    <n v="1289"/>
    <m/>
    <m/>
    <m/>
    <m/>
    <m/>
    <n v="0"/>
    <n v="50"/>
    <n v="42949"/>
    <n v="42863.720060613399"/>
    <x v="1"/>
    <s v="CFA8C648A4B94A61A487683E50FC01BF"/>
    <n v="1289"/>
    <n v="50"/>
    <n v="1289"/>
    <n v="0"/>
    <n v="50"/>
    <n v="0"/>
  </r>
  <r>
    <n v="41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351110"/>
    <n v="1"/>
    <s v="BHHRPS1534351110"/>
    <s v="0969599076"/>
    <s v="GLORIA J"/>
    <s v="RENFRO"/>
    <m/>
    <s v="7255 W HIGHWAY 44"/>
    <s v="RAPID CITY"/>
    <s v="SD"/>
    <s v="57702"/>
    <s v="K and D Appliance"/>
    <s v="PO BOX 2026"/>
    <s v="RAPID CITY"/>
    <s v="SD"/>
    <s v="57709"/>
    <s v="605-394-9411"/>
    <m/>
    <s v="Appliance Recycling :- Customer Incentives"/>
    <s v="Refrigerator Recycling - Residential"/>
    <m/>
    <m/>
    <m/>
    <m/>
    <m/>
    <m/>
    <m/>
    <m/>
    <m/>
    <m/>
    <m/>
    <m/>
    <m/>
    <s v="SCD23VL"/>
    <m/>
    <n v="1"/>
    <n v="0"/>
    <n v="0.14699999999999999"/>
    <m/>
    <n v="1289"/>
    <m/>
    <m/>
    <m/>
    <m/>
    <m/>
    <n v="0"/>
    <n v="50"/>
    <n v="42888"/>
    <n v="42877.436355127298"/>
    <x v="1"/>
    <s v="49974EC3435C4011A534359A8AD89D48"/>
    <n v="1289"/>
    <n v="50"/>
    <n v="1289"/>
    <n v="0"/>
    <n v="50"/>
    <n v="0"/>
  </r>
  <r>
    <n v="42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416117"/>
    <n v="1"/>
    <s v="BHHRPS1534416117"/>
    <s v="4821641008"/>
    <s v="MARK"/>
    <s v="VEDDER"/>
    <m/>
    <s v="804 MARIE CT"/>
    <s v="RAPID CITY"/>
    <s v="SD"/>
    <s v="57701"/>
    <s v="K and D Appliance"/>
    <s v="PO BOX 2026"/>
    <s v="RAPID CITY"/>
    <s v="SD"/>
    <s v="57709"/>
    <s v="605-394-9411"/>
    <s v="kdapp@midconetwork.com"/>
    <s v="Appliance Recycling :- Customer Incentives"/>
    <s v="Refrigerator Recycling - Residential"/>
    <m/>
    <m/>
    <m/>
    <m/>
    <m/>
    <m/>
    <m/>
    <m/>
    <m/>
    <m/>
    <m/>
    <m/>
    <m/>
    <s v="10f-21H-W6"/>
    <m/>
    <n v="1"/>
    <n v="0"/>
    <n v="0.14699999999999999"/>
    <m/>
    <n v="1289"/>
    <m/>
    <m/>
    <m/>
    <m/>
    <m/>
    <n v="0"/>
    <n v="50"/>
    <n v="42956"/>
    <n v="42893.432260960602"/>
    <x v="1"/>
    <s v="9F35ECF3F0C3466DBA322EEC1581CA69"/>
    <n v="1289"/>
    <n v="50"/>
    <n v="1289"/>
    <n v="0"/>
    <n v="50"/>
    <n v="0"/>
  </r>
  <r>
    <n v="43"/>
    <s v="Residential/Non-Residential - BHPSD - Appliance Recycling"/>
    <b v="1"/>
    <s v="Residential/Non-Residential - BHPSD - Appliance Recycling_Appliance Recycling :- Customer Incentives_Freezer Recycling - Residential"/>
    <s v="Residential_Appliance Recycling_Appliance Recycling_Freezer Recycle"/>
    <x v="1"/>
    <x v="1"/>
    <x v="1"/>
    <x v="2"/>
    <s v=""/>
    <s v=""/>
    <b v="0"/>
    <b v="0"/>
    <s v=""/>
    <s v="BHHRPS1534463462"/>
    <n v="1"/>
    <s v="BHHRPS1534463462"/>
    <s v="7847095376"/>
    <s v="ROBERT"/>
    <s v="SHANNON"/>
    <m/>
    <s v="210 3RD AVE"/>
    <s v="EDGEMONT"/>
    <s v="SD"/>
    <s v="57735"/>
    <s v="K and D Appliance"/>
    <s v="PO BOX 2026"/>
    <s v="RAPID CITY"/>
    <s v="SD"/>
    <s v="57709"/>
    <s v="605-394-9411"/>
    <m/>
    <s v="Appliance Recycling :- Customer Incentives"/>
    <s v="Freezer Recycling - Residential"/>
    <m/>
    <m/>
    <m/>
    <m/>
    <m/>
    <m/>
    <m/>
    <m/>
    <m/>
    <m/>
    <m/>
    <m/>
    <m/>
    <s v="MFU17M3GW1"/>
    <m/>
    <n v="1"/>
    <n v="0"/>
    <n v="0.126"/>
    <m/>
    <n v="1105"/>
    <m/>
    <m/>
    <m/>
    <m/>
    <m/>
    <n v="0"/>
    <n v="50"/>
    <n v="42956"/>
    <n v="42909.677866168997"/>
    <x v="1"/>
    <s v="E719DF2ABCDE4C3783A0430FB591DC2B"/>
    <n v="1105"/>
    <n v="50"/>
    <n v="1105"/>
    <n v="0"/>
    <n v="50"/>
    <n v="0"/>
  </r>
  <r>
    <n v="44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533338"/>
    <n v="1"/>
    <s v="BHHRPS1534533338"/>
    <s v="0317128581"/>
    <s v="CYNTHIA S"/>
    <s v="BAILIE"/>
    <m/>
    <s v="4501 S GLENVIEW PL"/>
    <s v="RAPID CITY"/>
    <s v="SD"/>
    <s v="57702"/>
    <s v="K and D Appliance"/>
    <s v="PO BOX 2026"/>
    <s v="RAPID CITY"/>
    <s v="SD"/>
    <s v="57709"/>
    <s v="605-394-9411"/>
    <s v="kdapp@midconetwork.com"/>
    <s v="Appliance Recycling :- Customer Incentives"/>
    <s v="Refrigerator Recycling - Residential"/>
    <m/>
    <m/>
    <m/>
    <m/>
    <m/>
    <m/>
    <m/>
    <m/>
    <m/>
    <m/>
    <m/>
    <m/>
    <m/>
    <s v="TT21AKXKQ06"/>
    <m/>
    <n v="1"/>
    <n v="0"/>
    <n v="0.14699999999999999"/>
    <m/>
    <n v="1289"/>
    <m/>
    <m/>
    <m/>
    <m/>
    <m/>
    <n v="0"/>
    <n v="50"/>
    <n v="42956"/>
    <n v="42926.743472685201"/>
    <x v="1"/>
    <s v="1C495858635245A3818847A846FD5D03"/>
    <n v="1289"/>
    <n v="50"/>
    <n v="1289"/>
    <n v="0"/>
    <n v="50"/>
    <n v="0"/>
  </r>
  <r>
    <n v="45"/>
    <s v="Residential/Non-Residential - BHPSD - Appliance Recycling"/>
    <b v="1"/>
    <s v="Residential/Non-Residential - BHPSD - Appliance Recycling_Appliance Recycling :- Customer Incentives_Refrigerator Recycling - Residential"/>
    <s v="Residential_Appliance Recycling_Appliance Recycling_Refrigerator Recycle"/>
    <x v="1"/>
    <x v="1"/>
    <x v="1"/>
    <x v="1"/>
    <s v=""/>
    <s v=""/>
    <b v="0"/>
    <b v="0"/>
    <s v=""/>
    <s v="BHHRPS1534569025"/>
    <n v="1"/>
    <s v="BHHRPS1534569025"/>
    <s v="4745406152"/>
    <s v="MARCUS R"/>
    <s v="KIMBALL"/>
    <m/>
    <s v="2209 LOCKWOOD DR"/>
    <s v="RAPID CITY"/>
    <s v="SD"/>
    <s v="57702"/>
    <s v="K and D Appliance"/>
    <s v="PO BOX 2026"/>
    <s v="RAPID CITY"/>
    <s v="SD"/>
    <s v="57709"/>
    <s v="605-394-9411"/>
    <s v="kdapp@midconetwork.com"/>
    <s v="Appliance Recycling :- Customer Incentives"/>
    <s v="Refrigerator Recycling - Residential"/>
    <m/>
    <m/>
    <m/>
    <m/>
    <m/>
    <m/>
    <m/>
    <m/>
    <m/>
    <m/>
    <m/>
    <m/>
    <m/>
    <s v="RE4-8112W"/>
    <m/>
    <n v="1"/>
    <n v="0"/>
    <n v="0.14699999999999999"/>
    <m/>
    <n v="1289"/>
    <m/>
    <m/>
    <m/>
    <m/>
    <m/>
    <n v="0"/>
    <n v="50"/>
    <n v="42956"/>
    <n v="42937.741820833297"/>
    <x v="1"/>
    <s v="75457677726D4E77B6060B707B024FB5"/>
    <n v="1289"/>
    <n v="50"/>
    <n v="1289"/>
    <n v="0"/>
    <n v="50"/>
    <n v="0"/>
  </r>
  <r>
    <n v="46"/>
    <s v="Non-Residential - BHPSD - C/I Custom"/>
    <b v="0"/>
    <s v="Non-Residential - BHPSD - C/I Custom__"/>
    <n v="0"/>
    <x v="0"/>
    <x v="0"/>
    <x v="0"/>
    <x v="0"/>
    <s v=""/>
    <s v=""/>
    <b v="0"/>
    <b v="0"/>
    <s v="Non-Residential - BHPSD - C/I Custom"/>
    <n v="48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20"/>
    <n v="0"/>
    <n v="493.85037"/>
    <m/>
    <n v="2011742.5374"/>
    <m/>
    <m/>
    <m/>
    <m/>
    <m/>
    <n v="0"/>
    <n v="212345.44996"/>
    <s v=""/>
    <m/>
    <x v="0"/>
    <s v=""/>
    <n v="1648.9692929508196"/>
    <n v="174.05364750819672"/>
    <e v="#N/A"/>
    <e v="#N/A"/>
    <e v="#N/A"/>
    <e v="#N/A"/>
  </r>
  <r>
    <n v="4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1.6376213499941922E-2"/>
    <n v="6.2660625395625114E-2"/>
    <b v="0"/>
    <b v="0"/>
    <s v=""/>
    <s v="BHSCCR1532886014"/>
    <n v="1"/>
    <s v="BHSCCR1532886014"/>
    <s v="5465789860"/>
    <s v="HS FIRE DEPT"/>
    <s v="HS FIRE DEPT"/>
    <s v="HS FIRE DEPT"/>
    <s v="202 N GARDEN ST"/>
    <s v="HOT SPRINGS"/>
    <s v="SD"/>
    <s v="57747"/>
    <s v="FLINT ELECTRIC INC"/>
    <s v="707 BALTIMORE AVE"/>
    <s v="HOT SPRINGS"/>
    <s v="SD"/>
    <s v="57747"/>
    <s v="605-745-7774"/>
    <s v="FLINTSCO@GWTC.NET"/>
    <s v="C&amp;I Custom Rebate :- Customer Incentives"/>
    <s v="Other Commercial"/>
    <s v="Other"/>
    <s v="Existing"/>
    <s v="Boiler"/>
    <s v="Other"/>
    <m/>
    <m/>
    <m/>
    <m/>
    <m/>
    <m/>
    <m/>
    <m/>
    <m/>
    <m/>
    <m/>
    <n v="1"/>
    <n v="0"/>
    <n v="1.34"/>
    <m/>
    <n v="2680"/>
    <m/>
    <m/>
    <m/>
    <m/>
    <m/>
    <n v="0"/>
    <n v="600"/>
    <n v="42619"/>
    <n v="42619.763930752299"/>
    <x v="1"/>
    <s v="D9ADF6496A5F4680AD3548F503C827A5"/>
    <n v="2680"/>
    <n v="600"/>
    <n v="1648.9692929508194"/>
    <n v="62959.041603410769"/>
    <n v="174.05364750819672"/>
    <n v="6797.6715808767258"/>
  </r>
  <r>
    <n v="4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38388498445217495"/>
    <n v="0.48927729339681358"/>
    <b v="0"/>
    <b v="0"/>
    <s v=""/>
    <s v="BHSCCR1532914472"/>
    <n v="1"/>
    <s v="BHSCCR1532914472"/>
    <s v="1968818030"/>
    <s v="MEADE CO"/>
    <s v="MEADE CO"/>
    <s v="MEADE CO"/>
    <s v="1425 SHERMAN ST"/>
    <s v="STURGIS"/>
    <s v="SD"/>
    <s v="57785"/>
    <s v="BHE"/>
    <s v="PO BOX 1400"/>
    <s v="RAPID CITY"/>
    <s v="SD"/>
    <s v="57709"/>
    <s v="605-721-2687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0"/>
    <m/>
    <n v="25818"/>
    <m/>
    <m/>
    <m/>
    <m/>
    <m/>
    <n v="0"/>
    <n v="3500"/>
    <n v="42629"/>
    <n v="42629.4936606134"/>
    <x v="1"/>
    <s v="0755E8FF7DAE46089CDEEDDE39297552"/>
    <n v="25818"/>
    <n v="3500"/>
    <n v="1648.9692929508194"/>
    <n v="62959.041603410769"/>
    <n v="174.05364750819672"/>
    <n v="6797.6715808767258"/>
  </r>
  <r>
    <n v="4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723370453920654E-2"/>
    <n v="-6.1864782680149536E-3"/>
    <b v="0"/>
    <b v="0"/>
    <s v=""/>
    <s v="BHSCCR1533020321"/>
    <n v="1"/>
    <s v="BHSCCR1533020321"/>
    <s v="3672093512"/>
    <s v="NORTHERN HILLS DENTAL"/>
    <s v="NORTHERN HILLS DENTAL"/>
    <s v="NORTHERN HILLS DENTAL"/>
    <s v="82 DUNMIRE DR"/>
    <s v="LEAD"/>
    <s v="SD"/>
    <s v="57754"/>
    <s v="GENPRO ENERGY SOLUTIONS, LLC"/>
    <s v="PO BOX 30"/>
    <s v="PIEDMONT"/>
    <s v="SD"/>
    <s v="57769"/>
    <s v="605-277-1181"/>
    <s v="todd@genproenergy.com"/>
    <s v="C&amp;I Custom Rebate :- Customer Incentives"/>
    <s v="Other Commercial"/>
    <s v="Office"/>
    <s v="Existing"/>
    <s v="Forced Air Furnace"/>
    <m/>
    <m/>
    <m/>
    <m/>
    <m/>
    <m/>
    <m/>
    <m/>
    <m/>
    <m/>
    <m/>
    <m/>
    <n v="1"/>
    <n v="0"/>
    <n v="0.39"/>
    <m/>
    <n v="722"/>
    <m/>
    <m/>
    <m/>
    <m/>
    <m/>
    <n v="0"/>
    <n v="132"/>
    <n v="42651"/>
    <n v="42651.623066168999"/>
    <x v="1"/>
    <s v="74CEB4FE01294F2DBF1DB5823138D62A"/>
    <n v="722"/>
    <n v="132"/>
    <n v="1648.9692929508194"/>
    <n v="62959.041603410769"/>
    <n v="174.05364750819672"/>
    <n v="6797.6715808767258"/>
  </r>
  <r>
    <n v="5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4.3099612668238088"/>
    <n v="3.6521250044401072"/>
    <b v="1"/>
    <b v="1"/>
    <s v=""/>
    <s v="BHSCCR1533020333"/>
    <n v="1"/>
    <s v="BHSCCR1533020333"/>
    <s v="1378534032"/>
    <s v="MENARDS INC"/>
    <s v="MENARDS INC"/>
    <s v="MENARDS INC"/>
    <s v="710 N CREEK DR"/>
    <s v="RAPID CITY"/>
    <s v="SD"/>
    <s v="57703"/>
    <s v="BHE"/>
    <s v="PO BOX 1400"/>
    <s v="RAPID CITY"/>
    <s v="SD"/>
    <s v="57709"/>
    <s v="605-721-2687"/>
    <m/>
    <s v="C&amp;I Custom Rebate :- Customer Incentives"/>
    <s v="Other Commercial"/>
    <s v="Retail"/>
    <s v="Existing"/>
    <s v="Forced Air Furnace"/>
    <m/>
    <m/>
    <m/>
    <m/>
    <m/>
    <m/>
    <m/>
    <m/>
    <m/>
    <m/>
    <m/>
    <m/>
    <n v="1"/>
    <n v="0"/>
    <n v="75"/>
    <m/>
    <n v="273000"/>
    <m/>
    <m/>
    <m/>
    <m/>
    <m/>
    <n v="0"/>
    <n v="25000"/>
    <n v="42651"/>
    <n v="42651.672404317098"/>
    <x v="1"/>
    <s v="E3E38ACFC97F463EBF679B5AFBAC28AE"/>
    <n v="273000"/>
    <n v="25000"/>
    <n v="1648.9692929508194"/>
    <n v="62959.041603410769"/>
    <n v="174.05364750819672"/>
    <n v="6797.6715808767258"/>
  </r>
  <r>
    <n v="5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7185288489083423E-2"/>
    <n v="-7.5840156287085023E-3"/>
    <b v="0"/>
    <b v="0"/>
    <s v=""/>
    <s v="BHSCCR1533047151"/>
    <n v="1"/>
    <s v="BHSCCR1533047151"/>
    <s v="3070686314"/>
    <s v="WESTMINSTER PRESB CH"/>
    <s v="WESTMINSTER PRESB CH"/>
    <s v="WESTMINSTER PRESB CH"/>
    <s v="1012 SOO SAN DR"/>
    <s v="RAPID CITY"/>
    <s v="SD"/>
    <s v="57702"/>
    <s v="CRESCENT ELECTRIC SUPPLY"/>
    <s v="317 MAPLE AVE"/>
    <s v="RAPID CITY"/>
    <s v="SD"/>
    <s v="57701"/>
    <s v="605-342-7913"/>
    <m/>
    <s v="C&amp;I Custom Rebate :- Customer Incentives"/>
    <s v="Other Commercial"/>
    <s v="Other"/>
    <s v="Existing"/>
    <s v="Boiler"/>
    <m/>
    <m/>
    <m/>
    <m/>
    <m/>
    <m/>
    <m/>
    <m/>
    <m/>
    <m/>
    <m/>
    <m/>
    <n v="15"/>
    <n v="0"/>
    <n v="3.3"/>
    <m/>
    <n v="8505"/>
    <m/>
    <m/>
    <m/>
    <m/>
    <m/>
    <n v="0"/>
    <n v="1837.5"/>
    <n v="42663"/>
    <n v="42663.748231481499"/>
    <x v="1"/>
    <s v="FEC6390ACD3A4FF8AC71F7BC2CBA1032"/>
    <n v="567"/>
    <n v="122.5"/>
    <n v="1648.9692929508194"/>
    <n v="62959.041603410769"/>
    <n v="174.05364750819672"/>
    <n v="6797.6715808767258"/>
  </r>
  <r>
    <n v="5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1.9622762284925936"/>
    <n v="1.6293735613310241"/>
    <b v="0"/>
    <b v="0"/>
    <s v=""/>
    <s v="BHSCCR1533104485"/>
    <n v="1"/>
    <s v="BHSCCR1533104485"/>
    <s v="0302256574"/>
    <s v="CITY OF DEADWOOD"/>
    <s v="CITY OF DEADWOOD"/>
    <s v="CITY OF DEADWOOD"/>
    <s v="630 BROADWAY ST"/>
    <s v="DEADWOOD"/>
    <s v="SD"/>
    <s v="57732"/>
    <s v="EAGLE ENTERPRISES LLC"/>
    <s v="814 7TH AVE"/>
    <s v="BELLE FOURCHE"/>
    <s v="SD"/>
    <s v="57717"/>
    <s v="605-210-1775"/>
    <m/>
    <s v="C&amp;I Custom Rebate :- Customer Incentives"/>
    <s v="Other Commercial"/>
    <s v="Other"/>
    <s v="Existing"/>
    <s v="Electric Heat Other"/>
    <m/>
    <m/>
    <m/>
    <m/>
    <m/>
    <m/>
    <m/>
    <m/>
    <m/>
    <m/>
    <m/>
    <m/>
    <n v="1"/>
    <n v="0"/>
    <n v="10.78"/>
    <m/>
    <n v="125192"/>
    <m/>
    <m/>
    <m/>
    <m/>
    <m/>
    <n v="0"/>
    <n v="11250"/>
    <n v="42739"/>
    <n v="42678.650670289397"/>
    <x v="1"/>
    <s v="D0C223F7DD094657820E7FC6371475D7"/>
    <n v="125192"/>
    <n v="11250"/>
    <n v="1648.9692929508194"/>
    <n v="62959.041603410769"/>
    <n v="174.05364750819672"/>
    <n v="6797.6715808767258"/>
  </r>
  <r>
    <n v="5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8229141735992438E-2"/>
    <n v="-2.0539922508317009E-2"/>
    <b v="0"/>
    <b v="0"/>
    <s v=""/>
    <s v="BHSCCR1533121922"/>
    <n v="1"/>
    <s v="BHSCCR1533121922"/>
    <s v="5955835343"/>
    <s v="PIEDMONT SCHOOL"/>
    <s v="PIEDMONT SCHOOL"/>
    <s v="MEADE BOARD OF ED"/>
    <s v="16159 2ND ST"/>
    <s v="PIEDMONT"/>
    <s v="SD"/>
    <s v="57769"/>
    <s v="WIRE R US INC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25"/>
    <n v="0"/>
    <n v="6.0250000000000004"/>
    <m/>
    <n v="12532"/>
    <m/>
    <m/>
    <m/>
    <m/>
    <m/>
    <n v="0"/>
    <n v="860.75"/>
    <n v="42718"/>
    <n v="42682.559961192099"/>
    <x v="1"/>
    <s v="DF50F1ABD6B14A63A5D17AC0BF1321EB"/>
    <n v="501.28"/>
    <n v="34.43"/>
    <n v="1648.9692929508194"/>
    <n v="62959.041603410769"/>
    <n v="174.05364750819672"/>
    <n v="6797.6715808767258"/>
  </r>
  <r>
    <n v="5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8233589071797892E-2"/>
    <n v="-1.3836156452863849E-2"/>
    <b v="0"/>
    <b v="0"/>
    <s v=""/>
    <s v="BHSCCR1533121922"/>
    <n v="0"/>
    <s v="BHSCCR1533121922"/>
    <s v="5955835343"/>
    <s v="PIEDMONT SCHOOL"/>
    <s v="PIEDMONT SCHOOL"/>
    <s v="MEADE BOARD OF ED"/>
    <s v="16159 2ND ST"/>
    <s v="PIEDMONT"/>
    <s v="SD"/>
    <s v="57769"/>
    <s v="WIRE R US INC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2"/>
    <n v="0"/>
    <n v="2.88"/>
    <m/>
    <n v="6012"/>
    <m/>
    <m/>
    <m/>
    <m/>
    <m/>
    <n v="0"/>
    <n v="960"/>
    <n v="42718"/>
    <n v="42682.559961192099"/>
    <x v="1"/>
    <s v="C2634DB91663481CADA16018445CF8B8"/>
    <n v="501"/>
    <n v="80"/>
    <n v="1648.9692929508194"/>
    <n v="62959.041603410769"/>
    <n v="174.05364750819672"/>
    <n v="6797.6715808767258"/>
  </r>
  <r>
    <n v="5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469236979323208E-2"/>
    <n v="-2.3030481194268773E-2"/>
    <b v="0"/>
    <b v="0"/>
    <s v=""/>
    <s v="BHSCCR1533125881"/>
    <n v="1"/>
    <s v="BHSCCR1533125881"/>
    <s v="4286221951"/>
    <s v="SM RUSHMORE MALL LLC"/>
    <s v="SM RUSHMORE MALL LLC"/>
    <s v="SM RUSHMORE MALL LLC"/>
    <s v="2200 N MAPLE AVE                                   NORTH"/>
    <s v="RAPID CITY"/>
    <s v="SD"/>
    <s v="57701"/>
    <s v="FACILITY SOLUTIONS GROUP INC"/>
    <s v="2525 WALNUT HILL LN STE 300"/>
    <s v="DALLAS"/>
    <s v="TX"/>
    <s v="75229"/>
    <s v="214-217-0190"/>
    <m/>
    <s v="C&amp;I Custom Rebate :- Customer Incentives"/>
    <s v="Other Commercial"/>
    <s v="Retail"/>
    <s v="Existing"/>
    <s v="Forced Air Furnace"/>
    <m/>
    <m/>
    <m/>
    <m/>
    <m/>
    <m/>
    <m/>
    <m/>
    <m/>
    <m/>
    <m/>
    <m/>
    <n v="302"/>
    <n v="0"/>
    <n v="51.34"/>
    <m/>
    <n v="222876"/>
    <m/>
    <m/>
    <m/>
    <m/>
    <m/>
    <n v="0"/>
    <n v="5285"/>
    <n v="42772"/>
    <n v="42683.777487650499"/>
    <x v="1"/>
    <s v="BC849AC06F234340A33128A61D11D07E"/>
    <n v="738"/>
    <n v="17.5"/>
    <n v="1648.9692929508194"/>
    <n v="62959.041603410769"/>
    <n v="174.05364750819672"/>
    <n v="6797.6715808767258"/>
  </r>
  <r>
    <n v="5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5.3839652624644773E-3"/>
    <n v="-3.5385127424903354E-3"/>
    <b v="0"/>
    <b v="0"/>
    <s v=""/>
    <s v="BHSCCR1533130310"/>
    <n v="1"/>
    <s v="BHSCCR1533130310"/>
    <s v="5547216721"/>
    <s v="ROOSEVELT SWIM CENTER"/>
    <s v="CITY OF RC"/>
    <s v="CITY OF RC"/>
    <s v="125 WATERLOO ST                                    RSVLT SWIM CNTR"/>
    <s v="RAPID CITY"/>
    <s v="SD"/>
    <s v="57701"/>
    <s v="CONRADS BIG C ELECTRIC"/>
    <s v="1750 E NORTH ST"/>
    <s v="RAPID CITY"/>
    <s v="SD"/>
    <s v="57701"/>
    <s v="605-348-8744"/>
    <s v="bigc@hills.net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6"/>
    <n v="0"/>
    <n v="5.76"/>
    <m/>
    <n v="20960"/>
    <m/>
    <m/>
    <m/>
    <m/>
    <m/>
    <n v="0"/>
    <n v="2400"/>
    <n v="42685"/>
    <n v="42685.562243055603"/>
    <x v="1"/>
    <s v="447A440BD2CE4104A787344CF785FA11"/>
    <n v="1310"/>
    <n v="150"/>
    <n v="1648.9692929508194"/>
    <n v="62959.041603410769"/>
    <n v="174.05364750819672"/>
    <n v="6797.6715808767258"/>
  </r>
  <r>
    <n v="5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8.9418339068287351E-3"/>
    <n v="-2.0088297277019197E-2"/>
    <b v="0"/>
    <b v="0"/>
    <s v=""/>
    <s v="BHSCCR1533132007"/>
    <n v="1"/>
    <s v="BHSCCR1533132007"/>
    <s v="0752498438"/>
    <s v="HILLSVIEW EVANGELICAL CHU"/>
    <s v="HILLSVIEW EVANGELICAL CHU"/>
    <s v="HILLSVIEW EVANGELICAL CHU"/>
    <s v="13776 STURGIS RD"/>
    <s v="PIEDMONT"/>
    <s v="SD"/>
    <s v="57769"/>
    <s v="DAKOTA SUPPLY GROUP"/>
    <s v="1936 MARLIN DR"/>
    <s v="RAPID CITY"/>
    <s v="SD"/>
    <s v="57703"/>
    <s v="605-348-7100"/>
    <s v="jwood@dsginc.biz"/>
    <s v="C&amp;I Custom Rebate :- Customer Incentives"/>
    <s v="Other Commercial"/>
    <s v="Other"/>
    <s v="New"/>
    <s v="Forced Air Furnace"/>
    <m/>
    <m/>
    <m/>
    <m/>
    <m/>
    <m/>
    <m/>
    <m/>
    <m/>
    <m/>
    <m/>
    <m/>
    <n v="11"/>
    <n v="0"/>
    <n v="0"/>
    <m/>
    <n v="11946"/>
    <m/>
    <m/>
    <m/>
    <m/>
    <m/>
    <n v="0"/>
    <n v="412.5"/>
    <n v="42685"/>
    <n v="42685.718518831003"/>
    <x v="1"/>
    <s v="C738ECFD8A804942AACC49DD066253B4"/>
    <n v="1086"/>
    <n v="37.5"/>
    <n v="1648.9692929508194"/>
    <n v="62959.041603410769"/>
    <n v="174.05364750819672"/>
    <n v="6797.6715808767258"/>
  </r>
  <r>
    <n v="5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4571042594571726E-2"/>
    <n v="-2.2920149297371916E-2"/>
    <b v="0"/>
    <b v="0"/>
    <s v=""/>
    <s v="BHSCCR1533132007"/>
    <n v="0"/>
    <s v="BHSCCR1533132007"/>
    <s v="0752498438"/>
    <s v="HILLSVIEW EVANGELICAL CHU"/>
    <s v="HILLSVIEW EVANGELICAL CHU"/>
    <s v="HILLSVIEW EVANGELICAL CHU"/>
    <s v="13776 STURGIS RD"/>
    <s v="PIEDMONT"/>
    <s v="SD"/>
    <s v="57769"/>
    <s v="DAKOTA SUPPLY GROUP"/>
    <s v="1936 MARLIN DR"/>
    <s v="RAPID CITY"/>
    <s v="SD"/>
    <s v="57703"/>
    <s v="605-348-7100"/>
    <s v="jwood@dsginc.biz"/>
    <s v="C&amp;I Custom Rebate :- Customer Incentives"/>
    <s v="Other Commercial"/>
    <s v="Other"/>
    <s v="New"/>
    <s v="Forced Air Furnace"/>
    <m/>
    <m/>
    <m/>
    <m/>
    <m/>
    <m/>
    <m/>
    <m/>
    <m/>
    <m/>
    <m/>
    <m/>
    <n v="15"/>
    <n v="0"/>
    <n v="0.75"/>
    <m/>
    <n v="1530"/>
    <m/>
    <m/>
    <m/>
    <m/>
    <m/>
    <n v="0"/>
    <n v="273.75"/>
    <n v="42685"/>
    <n v="42685.718518831003"/>
    <x v="1"/>
    <s v="08FD1C9DF41E489D90C1025D07D3E4CC"/>
    <n v="102"/>
    <n v="18.25"/>
    <n v="1648.9692929508194"/>
    <n v="62959.041603410769"/>
    <n v="174.05364750819672"/>
    <n v="6797.6715808767258"/>
  </r>
  <r>
    <n v="5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5428743071338109E-2"/>
    <n v="-2.4339753037444834E-2"/>
    <b v="0"/>
    <b v="0"/>
    <s v=""/>
    <s v="BHSCCR1533132007"/>
    <n v="0"/>
    <s v="BHSCCR1533132007"/>
    <s v="0752498438"/>
    <s v="HILLSVIEW EVANGELICAL CHU"/>
    <s v="HILLSVIEW EVANGELICAL CHU"/>
    <s v="HILLSVIEW EVANGELICAL CHU"/>
    <s v="13776 STURGIS RD"/>
    <s v="PIEDMONT"/>
    <s v="SD"/>
    <s v="57769"/>
    <s v="DAKOTA SUPPLY GROUP"/>
    <s v="1936 MARLIN DR"/>
    <s v="RAPID CITY"/>
    <s v="SD"/>
    <s v="57703"/>
    <s v="605-348-7100"/>
    <s v="jwood@dsginc.biz"/>
    <s v="C&amp;I Custom Rebate :- Customer Incentives"/>
    <s v="Other Commercial"/>
    <s v="Other"/>
    <s v="New"/>
    <s v="Forced Air Furnace"/>
    <m/>
    <m/>
    <m/>
    <m/>
    <m/>
    <m/>
    <m/>
    <m/>
    <m/>
    <m/>
    <m/>
    <m/>
    <n v="44"/>
    <n v="0"/>
    <n v="0.88"/>
    <m/>
    <n v="2112"/>
    <m/>
    <m/>
    <m/>
    <m/>
    <m/>
    <n v="0"/>
    <n v="378.4"/>
    <n v="42685"/>
    <n v="42685.718518831003"/>
    <x v="1"/>
    <s v="E7BDD47DDA81494F886A06F71571142E"/>
    <n v="48"/>
    <n v="8.6"/>
    <n v="1648.9692929508194"/>
    <n v="62959.041603410769"/>
    <n v="174.05364750819672"/>
    <n v="6797.6715808767258"/>
  </r>
  <r>
    <n v="6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52160944434182899"/>
    <n v="0.13542966022095887"/>
    <b v="0"/>
    <b v="0"/>
    <s v=""/>
    <s v="BHSCCR1533283610"/>
    <n v="1"/>
    <s v="BHSCCR1533283610"/>
    <s v="0007613801"/>
    <s v="DENVER MATTRESS"/>
    <s v="DENVER MATTRESS"/>
    <s v="FURNITURE ROW"/>
    <s v="240 KNOLLWOOD DR"/>
    <s v="RAPID CITY"/>
    <s v="SD"/>
    <s v="57701"/>
    <s v="BHE"/>
    <s v="PO BOX 1400"/>
    <s v="RAPID CITY"/>
    <s v="SD"/>
    <s v="57709"/>
    <s v="605-721-2687"/>
    <m/>
    <s v="C&amp;I Custom Rebate :- Customer Incentives"/>
    <s v="Other Commercial"/>
    <s v="Retail"/>
    <s v="Existing"/>
    <s v="Forced Air Furnace"/>
    <m/>
    <m/>
    <m/>
    <m/>
    <m/>
    <m/>
    <m/>
    <m/>
    <m/>
    <m/>
    <m/>
    <m/>
    <n v="1"/>
    <n v="0"/>
    <n v="10.199999999999999"/>
    <m/>
    <n v="34489"/>
    <m/>
    <m/>
    <m/>
    <m/>
    <m/>
    <n v="0"/>
    <n v="1094.6600000000001"/>
    <n v="42705"/>
    <n v="42705.441600231497"/>
    <x v="1"/>
    <s v="507D5733E6A44F03B8A9E1959BEC0ADC"/>
    <n v="34489"/>
    <n v="1094.6600000000001"/>
    <n v="1648.9692929508194"/>
    <n v="62959.041603410769"/>
    <n v="174.05364750819672"/>
    <n v="6797.6715808767258"/>
  </r>
  <r>
    <n v="6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147379087291534E-2"/>
    <n v="-2.3030481194268773E-2"/>
    <b v="0"/>
    <b v="0"/>
    <s v=""/>
    <s v="BHSCCR1533306364"/>
    <n v="1"/>
    <s v="BHSCCR1533306364"/>
    <s v="8708493182"/>
    <s v="SENTINEL FEDERAL"/>
    <s v="SENTINEL FEDERAL"/>
    <s v="SENTINEL FEDERAL"/>
    <s v="18 MOUNT RUSHMORE RD"/>
    <s v="CUSTER"/>
    <s v="SD"/>
    <s v="57730"/>
    <s v="DAKOTA SUPPLY GROUP"/>
    <s v="1936 MARLIN DR"/>
    <s v="RAPID CITY"/>
    <s v="SD"/>
    <s v="57703"/>
    <s v="605-348-7100"/>
    <s v="jwood@dsginc.biz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6"/>
    <n v="0"/>
    <n v="0"/>
    <m/>
    <n v="4752"/>
    <m/>
    <m/>
    <m/>
    <m/>
    <m/>
    <n v="0"/>
    <n v="280"/>
    <n v="42705"/>
    <n v="42705.516738460603"/>
    <x v="1"/>
    <s v="986F1C77D23F4C89990511188A6E847D"/>
    <n v="297"/>
    <n v="17.5"/>
    <n v="1648.9692929508194"/>
    <n v="62959.041603410769"/>
    <n v="174.05364750819672"/>
    <n v="6797.6715808767258"/>
  </r>
  <r>
    <n v="6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8374020532134816"/>
    <n v="0.78173037477142127"/>
    <b v="0"/>
    <b v="0"/>
    <s v=""/>
    <s v="BHSCCR1533306947"/>
    <n v="1"/>
    <s v="BHSCCR1533306947"/>
    <s v="1986115108"/>
    <s v="GODFREY BRAKE SERV"/>
    <s v="GODFREY BRAKE SERV"/>
    <s v="GODFREY BRAKE SERV"/>
    <s v="110 POPLAR AVE"/>
    <s v="RAPID CITY"/>
    <s v="SD"/>
    <s v="57701"/>
    <s v="DAKOTA SUPPLY GROUP"/>
    <s v="1936 MARLIN DR"/>
    <s v="RAPID CITY"/>
    <s v="SD"/>
    <s v="57703"/>
    <s v="605-348-7100"/>
    <s v="jwood@dsginc.biz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17.79"/>
    <m/>
    <n v="54371"/>
    <m/>
    <m/>
    <m/>
    <m/>
    <m/>
    <n v="0"/>
    <n v="5488"/>
    <n v="42705"/>
    <n v="42705.814410266197"/>
    <x v="1"/>
    <s v="117EF2A067CD499F99F5787442AB5BC4"/>
    <n v="54371"/>
    <n v="5488"/>
    <n v="1648.9692929508194"/>
    <n v="62959.041603410769"/>
    <n v="174.05364750819672"/>
    <n v="6797.6715808767258"/>
  </r>
  <r>
    <n v="6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1.3848214408385446"/>
    <n v="1.4454870665029256"/>
    <b v="0"/>
    <b v="0"/>
    <s v=""/>
    <s v="BHSCCR1533448111"/>
    <n v="1"/>
    <s v="BHSCCR1533448111"/>
    <s v="1442388501"/>
    <s v="RUNNINGS"/>
    <s v="RUNNINGS"/>
    <s v="RUNNINGS"/>
    <s v="19010 US HIGHWAY 85"/>
    <s v="BELLE FOURCHE"/>
    <s v="SD"/>
    <s v="57717"/>
    <s v="BHE"/>
    <s v="PO BOX 1400"/>
    <s v="RAPID CITY"/>
    <s v="SD"/>
    <s v="57709"/>
    <s v="605-721-2687"/>
    <m/>
    <s v="C&amp;I Custom Rebate :- Customer Incentives"/>
    <s v="Other Commercial"/>
    <s v="Retail"/>
    <s v="New"/>
    <s v="Forced Air Furnace"/>
    <m/>
    <m/>
    <m/>
    <m/>
    <m/>
    <m/>
    <m/>
    <m/>
    <m/>
    <m/>
    <m/>
    <m/>
    <n v="1"/>
    <n v="0"/>
    <n v="19.399999999999999"/>
    <m/>
    <n v="88836"/>
    <m/>
    <m/>
    <m/>
    <m/>
    <m/>
    <n v="0"/>
    <n v="10000"/>
    <n v="42709"/>
    <n v="42709.703605324103"/>
    <x v="1"/>
    <s v="36B541801CD9400DB2F7D254D6898222"/>
    <n v="88836"/>
    <n v="10000"/>
    <n v="1648.9692929508194"/>
    <n v="62959.041603410769"/>
    <n v="174.05364750819672"/>
    <n v="6797.6715808767258"/>
  </r>
  <r>
    <n v="6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0250773526415126E-2"/>
    <n v="-2.0563459979655002E-2"/>
    <b v="0"/>
    <b v="0"/>
    <s v=""/>
    <s v="BHSCCR1533526133"/>
    <n v="1"/>
    <s v="BHSCCR1533526133"/>
    <s v="0381286969"/>
    <s v="BLESSED SACRAMENT CH"/>
    <s v="BLESSED SACRAMENT CH"/>
    <s v="BLESSED SACRAMENT CH"/>
    <s v="4500 JACKSON BLVD"/>
    <s v="RAPID CITY"/>
    <s v="SD"/>
    <s v="57702"/>
    <s v="DAKOTA SUPPLY GROUP"/>
    <s v="1936 MARLIN DR"/>
    <s v="RAPID CITY"/>
    <s v="SD"/>
    <s v="57703"/>
    <s v="605-348-7100"/>
    <s v="jwood@dsginc.biz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6"/>
    <n v="0"/>
    <n v="3.68"/>
    <m/>
    <n v="5984"/>
    <m/>
    <m/>
    <m/>
    <m/>
    <m/>
    <n v="0"/>
    <n v="548.32000000000005"/>
    <n v="42710"/>
    <n v="42710.779431215298"/>
    <x v="1"/>
    <s v="FD59F5DCED0047CE9F5F5FD3A25AE61D"/>
    <n v="374"/>
    <n v="34.270000000000003"/>
    <n v="1648.9692929508194"/>
    <n v="62959.041603410769"/>
    <n v="174.05364750819672"/>
    <n v="6797.6715808767258"/>
  </r>
  <r>
    <n v="6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0266656868577468E-2"/>
    <n v="-1.671214123197531E-2"/>
    <b v="0"/>
    <b v="0"/>
    <s v=""/>
    <s v="BHSCCR1533705353"/>
    <n v="1"/>
    <s v="BHSCCR1533705353"/>
    <s v="5472403137"/>
    <s v="STADIUM SPORTS GRILL"/>
    <s v="STADIUM SPORTS GRILL"/>
    <s v="STADIUM SPORTS GRILL"/>
    <s v="744 N MAIN ST"/>
    <s v="SPEARFISH"/>
    <s v="SD"/>
    <s v="57783"/>
    <s v="ROYAL ELECTRIC"/>
    <s v="821 N RAINBOW RD"/>
    <s v="SPEARFISH"/>
    <s v="SD"/>
    <s v="57783"/>
    <s v="605-642-6480"/>
    <s v="ROYALELECTRICSD@GMAIL.COM"/>
    <s v="C&amp;I Custom Rebate :- Customer Incentives"/>
    <s v="Other Commercial"/>
    <s v="Restaurant"/>
    <s v="Existing"/>
    <s v="Forced Air Furnace"/>
    <s v="Natural Gas"/>
    <m/>
    <m/>
    <m/>
    <m/>
    <m/>
    <m/>
    <m/>
    <m/>
    <m/>
    <m/>
    <m/>
    <n v="11"/>
    <n v="0"/>
    <n v="0.77"/>
    <m/>
    <n v="4103"/>
    <m/>
    <m/>
    <m/>
    <m/>
    <m/>
    <n v="0"/>
    <n v="664.95"/>
    <n v="42716"/>
    <n v="42716.659610532399"/>
    <x v="1"/>
    <s v="14CBA9ED93DB49B0A4045F5D9D3BD75D"/>
    <n v="373"/>
    <n v="60.45"/>
    <n v="1648.9692929508194"/>
    <n v="62959.041603410769"/>
    <n v="174.05364750819672"/>
    <n v="6797.6715808767258"/>
  </r>
  <r>
    <n v="6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0266656868577468E-2"/>
    <n v="-1.671214123197531E-2"/>
    <b v="0"/>
    <b v="0"/>
    <s v=""/>
    <s v="BHSCCR1533710996"/>
    <n v="1"/>
    <s v="BHSCCR1533710996"/>
    <s v="1066286049"/>
    <s v="STADIUM SPORTS GRILL"/>
    <s v="STADIUM SPORTS GRILL"/>
    <s v="STADIUM SPORTS GRILL"/>
    <s v="818 5TH AVE"/>
    <s v="BELLE FOURCHE"/>
    <s v="SD"/>
    <s v="57717"/>
    <s v="ROYAL ELECTRIC"/>
    <s v="821 N RAINBOW RD"/>
    <s v="SPEARFISH"/>
    <s v="SD"/>
    <s v="57783"/>
    <s v="605-642-6480"/>
    <s v="ROYALELECTRICSD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23"/>
    <n v="0"/>
    <n v="1.61"/>
    <m/>
    <n v="8579"/>
    <m/>
    <m/>
    <m/>
    <m/>
    <m/>
    <n v="0"/>
    <n v="1390.35"/>
    <n v="42716"/>
    <n v="42716.668909259301"/>
    <x v="1"/>
    <s v="D0E4DAB3F40E4E6CB773EB73EDAFB833"/>
    <n v="373"/>
    <n v="60.449999999999996"/>
    <n v="1648.9692929508194"/>
    <n v="62959.041603410769"/>
    <n v="174.05364750819672"/>
    <n v="6797.6715808767258"/>
  </r>
  <r>
    <n v="6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4.9302381802473656E-2"/>
    <n v="0.12030683488629605"/>
    <b v="0"/>
    <b v="0"/>
    <s v=""/>
    <s v="BHSCCR1533836769"/>
    <n v="1"/>
    <s v="BHSCCR1533836769"/>
    <s v="5864774245"/>
    <s v="TOWN OF ST ONGE"/>
    <s v="TOWN OF ST ONGE"/>
    <s v="TOWN OF ST ONGE"/>
    <s v="234 1ST ST"/>
    <s v="ST ONGE"/>
    <s v="SD"/>
    <s v="57779"/>
    <s v="DAKOTA ELECTRIC"/>
    <s v="PO BOX 214"/>
    <s v="ST ONGE"/>
    <s v="SD"/>
    <s v="57779"/>
    <s v="605-722-7767"/>
    <s v="BAOLSON00@HOTMAIL.COM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5.2"/>
    <m/>
    <n v="4753"/>
    <m/>
    <m/>
    <m/>
    <m/>
    <m/>
    <n v="0"/>
    <n v="991.86"/>
    <n v="42739"/>
    <n v="42739.569581134303"/>
    <x v="1"/>
    <s v="346C97B935584D7B99A2372C95501A77"/>
    <n v="4753"/>
    <n v="991.86"/>
    <n v="1648.9692929508194"/>
    <n v="62959.041603410769"/>
    <n v="174.05364750819672"/>
    <n v="6797.6715808767258"/>
  </r>
  <r>
    <n v="6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782062217557704E-2"/>
    <n v="-1.2070846102514105E-2"/>
    <b v="0"/>
    <b v="0"/>
    <s v=""/>
    <s v="BHSCCR1533851200"/>
    <n v="1"/>
    <s v="BHSCCR1533851200"/>
    <s v="BHP12327676"/>
    <s v="WHEELER LUM OPER"/>
    <s v="WHEELER LUM OPER"/>
    <s v="WHEELER LUM OPER"/>
    <s v="1835 WHITEWOOD RD"/>
    <s v="WHITEWOOD"/>
    <s v="SD"/>
    <s v="57793"/>
    <s v="NORTHERN HILLS ELECTRIC"/>
    <s v="2840 ELK RD"/>
    <s v="STURGIS"/>
    <s v="SD"/>
    <s v="57785"/>
    <s v="605-347-5036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8"/>
    <n v="0"/>
    <n v="4.1399999999999997"/>
    <m/>
    <n v="9486"/>
    <m/>
    <m/>
    <m/>
    <m/>
    <m/>
    <n v="0"/>
    <n v="1656"/>
    <n v="42739"/>
    <n v="42739.8135223032"/>
    <x v="1"/>
    <s v="36B8573F7F9444C8AE378E3D81BEC1E6"/>
    <n v="527"/>
    <n v="92"/>
    <n v="1648.9692929508194"/>
    <n v="62959.041603410769"/>
    <n v="174.05364750819672"/>
    <n v="6797.6715808767258"/>
  </r>
  <r>
    <n v="6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7910680725637507E-2"/>
    <n v="-1.0893972535614275E-2"/>
    <b v="0"/>
    <b v="0"/>
    <s v=""/>
    <s v="BHSCCR1533883582"/>
    <n v="1"/>
    <s v="BHSCCR1533883582"/>
    <s v="0635135528"/>
    <s v="LD DWD SCH"/>
    <s v="LD DWD SCH"/>
    <s v="LD DWD SCH DIST 40-1"/>
    <s v="320 S MAIN ST"/>
    <s v="LEAD"/>
    <s v="SD"/>
    <s v="57754"/>
    <s v="EAGLE ENTERPRISES LLC"/>
    <s v="814 7TH AVE"/>
    <s v="BELLE FOURCHE"/>
    <s v="SD"/>
    <s v="57717"/>
    <s v="605-210-1775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36"/>
    <n v="0"/>
    <n v="9.9"/>
    <m/>
    <n v="18767.88"/>
    <m/>
    <m/>
    <m/>
    <m/>
    <m/>
    <n v="0"/>
    <n v="3600"/>
    <n v="42865"/>
    <n v="42744.691814849502"/>
    <x v="1"/>
    <s v="364E20535FE840A0A7FB73C49515FED9"/>
    <n v="521.33000000000004"/>
    <n v="100"/>
    <n v="1648.9692929508194"/>
    <n v="62959.041603410769"/>
    <n v="174.05364750819672"/>
    <n v="6797.6715808767258"/>
  </r>
  <r>
    <n v="7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5295170771764911E-2"/>
    <n v="-5.0096047011151234E-3"/>
    <b v="0"/>
    <b v="0"/>
    <s v=""/>
    <s v="BHSCCR1533903175"/>
    <n v="1"/>
    <s v="BHSCCR1533903175"/>
    <s v="2796921701"/>
    <s v="WAREHOUSE"/>
    <s v="BUILDING"/>
    <s v="DALES TIRE"/>
    <s v="3200 S HIGHWAY 79"/>
    <s v="RAPID CITY"/>
    <s v="SD"/>
    <s v="57701"/>
    <s v="BLACK HILLS LIGHTING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6"/>
    <n v="0"/>
    <n v="4"/>
    <m/>
    <n v="10976"/>
    <m/>
    <m/>
    <m/>
    <m/>
    <m/>
    <n v="0"/>
    <n v="2240"/>
    <n v="42752"/>
    <n v="42752.572395949101"/>
    <x v="1"/>
    <s v="2AD1BB75D5F74F04AC78F6979E46A81C"/>
    <n v="686"/>
    <n v="140"/>
    <n v="1648.9692929508194"/>
    <n v="62959.041603410769"/>
    <n v="174.05364750819672"/>
    <n v="6797.6715808767258"/>
  </r>
  <r>
    <n v="7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2.2729550364878098E-2"/>
    <n v="6.2660625395625114E-2"/>
    <b v="0"/>
    <b v="0"/>
    <s v=""/>
    <s v="BHSCCR1533903175"/>
    <n v="0"/>
    <s v="BHSCCR1533903175"/>
    <s v="2796921701"/>
    <s v="WAREHOUSE"/>
    <s v="BUILDING"/>
    <s v="DALES TIRE"/>
    <s v="3200 S HIGHWAY 79"/>
    <s v="RAPID CITY"/>
    <s v="SD"/>
    <s v="57701"/>
    <s v="BLACK HILLS LIGHTING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1.1000000000000001"/>
    <m/>
    <n v="3080"/>
    <m/>
    <m/>
    <m/>
    <m/>
    <m/>
    <n v="0"/>
    <n v="600"/>
    <n v="42752"/>
    <n v="42752.572395949101"/>
    <x v="1"/>
    <s v="ADEB4EF2AE7E4D1EA1DF7FE5B0C8709E"/>
    <n v="3080"/>
    <n v="600"/>
    <n v="1648.9692929508194"/>
    <n v="62959.041603410769"/>
    <n v="174.05364750819672"/>
    <n v="6797.6715808767258"/>
  </r>
  <r>
    <n v="7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3.9446443970899789"/>
    <n v="6.1912297250264912"/>
    <b v="1"/>
    <b v="1"/>
    <s v=""/>
    <s v="BHSCCR1533938861"/>
    <n v="1"/>
    <s v="BHSCCR1533938861"/>
    <s v="6013746720"/>
    <s v="HOT SPRINGS SCHOOL DIST"/>
    <s v="HOT SPRINGS SCHOOL DIST"/>
    <s v="HOT SPRINGS SCHOOL DIST"/>
    <s v="278 N 19TH ST"/>
    <s v="HOT SPRINGS"/>
    <s v="SD"/>
    <s v="57747"/>
    <s v="GENPRO ENERGY SOLUTIONS, LLC"/>
    <s v="PO BOX 30"/>
    <s v="PIEDMONT"/>
    <s v="SD"/>
    <s v="57769"/>
    <s v="605-277-1181"/>
    <s v="todd@genproenergy.com"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"/>
    <n v="0"/>
    <n v="75"/>
    <m/>
    <n v="250000"/>
    <m/>
    <m/>
    <m/>
    <m/>
    <m/>
    <n v="0"/>
    <n v="42260"/>
    <n v="42822"/>
    <n v="42762.671858796297"/>
    <x v="1"/>
    <s v="261C5AA31B02469C9C0423A2A114C3B8"/>
    <n v="250000"/>
    <n v="42260"/>
    <n v="1648.9692929508194"/>
    <n v="62959.041603410769"/>
    <n v="174.05364750819672"/>
    <n v="6797.6715808767258"/>
  </r>
  <r>
    <n v="7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2175228586438212"/>
    <n v="0.47456637381056571"/>
    <b v="0"/>
    <b v="0"/>
    <s v=""/>
    <s v="BHSCCR1533975295"/>
    <n v="1"/>
    <s v="BHSCCR1533975295"/>
    <s v="8548246472"/>
    <s v="MASS MARKETS"/>
    <s v="MASS MARKETS"/>
    <s v="MASS MARKETS-ATLAS BUILDING"/>
    <s v="120 INDUSTRIAL                                    STE A ATLAS"/>
    <s v="SPEARFISH"/>
    <s v="SD"/>
    <s v="57783"/>
    <s v="PHAZE ELECTRIC"/>
    <s v="PO BOX 669"/>
    <s v="SPEARFISH"/>
    <s v="SD"/>
    <s v="57783"/>
    <s v="605-641-6645"/>
    <s v="deanw@phazeel.com"/>
    <s v="C&amp;I Custom Rebate :- Customer Incentives"/>
    <s v="Other Commercial"/>
    <s v="Office"/>
    <s v="New"/>
    <s v="Forced Air Furnace"/>
    <m/>
    <m/>
    <m/>
    <m/>
    <m/>
    <m/>
    <m/>
    <m/>
    <m/>
    <m/>
    <m/>
    <m/>
    <n v="1"/>
    <n v="0"/>
    <n v="7.4"/>
    <m/>
    <n v="15344"/>
    <m/>
    <m/>
    <m/>
    <m/>
    <m/>
    <n v="0"/>
    <n v="3400"/>
    <n v="42773"/>
    <n v="42773.624298113398"/>
    <x v="1"/>
    <s v="05006E9FCA37496F93082F6864B4D8A5"/>
    <n v="15344"/>
    <n v="3400"/>
    <n v="1648.9692929508194"/>
    <n v="62959.041603410769"/>
    <n v="174.05364750819672"/>
    <n v="6797.6715808767258"/>
  </r>
  <r>
    <n v="7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2156774585895978E-2"/>
    <n v="-1.9941188081156719E-2"/>
    <b v="0"/>
    <b v="0"/>
    <s v=""/>
    <s v="BHSCCR1533975460"/>
    <n v="1"/>
    <s v="BHSCCR1533975460"/>
    <s v="3246071649"/>
    <s v="CHRIST CHURCH"/>
    <s v="CHRIST CHURCH"/>
    <s v="CHRIST CHURCH"/>
    <s v="3402 COTTONWOOD ST"/>
    <s v="RAPID CITY"/>
    <s v="SD"/>
    <s v="57702"/>
    <s v="BLACK HILLS LIGHTING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2"/>
    <n v="0"/>
    <n v="0"/>
    <m/>
    <n v="508"/>
    <m/>
    <m/>
    <m/>
    <m/>
    <m/>
    <n v="0"/>
    <n v="77"/>
    <n v="42773"/>
    <n v="42773.6456201736"/>
    <x v="1"/>
    <s v="60797EDA78004F2DB93A53E306983EF7"/>
    <n v="254"/>
    <n v="38.5"/>
    <n v="1648.9692929508194"/>
    <n v="62959.041603410769"/>
    <n v="174.05364750819672"/>
    <n v="6797.6715808767258"/>
  </r>
  <r>
    <n v="7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1060823976694489E-2"/>
    <n v="-1.7955213937013256E-2"/>
    <b v="0"/>
    <b v="0"/>
    <s v=""/>
    <s v="BHSCCR1534039616"/>
    <n v="1"/>
    <s v="BHSCCR1534039616"/>
    <s v="5011134698"/>
    <s v="TALLYS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8"/>
    <n v="0"/>
    <n v="0.48"/>
    <m/>
    <n v="2584"/>
    <m/>
    <m/>
    <m/>
    <m/>
    <m/>
    <n v="0"/>
    <n v="416"/>
    <n v="42796"/>
    <n v="42796.441803043999"/>
    <x v="1"/>
    <s v="5CB98101E97F4F35A4C025FB2C730A1B"/>
    <n v="323"/>
    <n v="52"/>
    <n v="1648.9692929508194"/>
    <n v="62959.041603410769"/>
    <n v="174.05364750819672"/>
    <n v="6797.6715808767258"/>
  </r>
  <r>
    <n v="7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512695957025364E-2"/>
    <n v="-2.4023468266340504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2"/>
    <n v="0"/>
    <n v="0.02"/>
    <m/>
    <n v="134"/>
    <m/>
    <m/>
    <m/>
    <m/>
    <m/>
    <n v="0"/>
    <n v="21.5"/>
    <n v="42796"/>
    <n v="42796.441803043999"/>
    <x v="1"/>
    <s v="EC5668A5FB9340D8A5C7B2A589BDB8E0"/>
    <n v="67"/>
    <n v="10.75"/>
    <n v="1648.9692929508194"/>
    <n v="62959.041603410769"/>
    <n v="174.05364750819672"/>
    <n v="6797.6715808767258"/>
  </r>
  <r>
    <n v="7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8853039416129168E-2"/>
    <n v="-2.276568464171631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4"/>
    <n v="0"/>
    <n v="0.32"/>
    <m/>
    <n v="1848"/>
    <m/>
    <m/>
    <m/>
    <m/>
    <m/>
    <n v="0"/>
    <n v="77.2"/>
    <n v="42796"/>
    <n v="42796.441803043999"/>
    <x v="1"/>
    <s v="71423314487C4E109833AB6F2FB816D6"/>
    <n v="462"/>
    <n v="19.3"/>
    <n v="1648.9692929508194"/>
    <n v="62959.041603410769"/>
    <n v="174.05364750819672"/>
    <n v="6797.6715808767258"/>
  </r>
  <r>
    <n v="7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3808642170779385E-2"/>
    <n v="-2.2000716823231421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3"/>
    <n v="0"/>
    <n v="0.09"/>
    <m/>
    <n v="450"/>
    <m/>
    <m/>
    <m/>
    <m/>
    <m/>
    <n v="0"/>
    <n v="73.5"/>
    <n v="42796"/>
    <n v="42796.441803043999"/>
    <x v="1"/>
    <s v="0C4E437875424070A71C91F3A1EB9842"/>
    <n v="150"/>
    <n v="24.5"/>
    <n v="1648.9692929508194"/>
    <n v="62959.041603410769"/>
    <n v="174.05364750819672"/>
    <n v="6797.6715808767258"/>
  </r>
  <r>
    <n v="7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4428092515110661E-2"/>
    <n v="-2.2956926596337534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6"/>
    <n v="0"/>
    <n v="0.12"/>
    <m/>
    <n v="666"/>
    <m/>
    <m/>
    <m/>
    <m/>
    <m/>
    <n v="0"/>
    <n v="108"/>
    <n v="42796"/>
    <n v="42796.441803043999"/>
    <x v="1"/>
    <s v="344AD37BD7184556BDD5F1F1A50E4B97"/>
    <n v="111"/>
    <n v="18"/>
    <n v="1648.9692929508194"/>
    <n v="62959.041603410769"/>
    <n v="174.05364750819672"/>
    <n v="6797.6715808767258"/>
  </r>
  <r>
    <n v="8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3538625354019599E-2"/>
    <n v="-2.1632943833575224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6"/>
    <n v="0"/>
    <n v="0.18"/>
    <m/>
    <n v="1002"/>
    <m/>
    <m/>
    <m/>
    <m/>
    <m/>
    <n v="0"/>
    <n v="162"/>
    <n v="42796"/>
    <n v="42796.441803043999"/>
    <x v="1"/>
    <s v="B6321820EFF34955973C8D025C9DBADF"/>
    <n v="167"/>
    <n v="27"/>
    <n v="1648.9692929508194"/>
    <n v="62959.041603410769"/>
    <n v="174.05364750819672"/>
    <n v="6797.6715808767258"/>
  </r>
  <r>
    <n v="8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4062775645376833E-2"/>
    <n v="-2.2442044410818859E-2"/>
    <b v="0"/>
    <b v="0"/>
    <s v=""/>
    <s v="BHSCCR1534039616"/>
    <n v="0"/>
    <s v="BHSCCR1534039616"/>
    <s v="5011134698"/>
    <s v="TALLYS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Custom Rebate :- Customer Incentives"/>
    <s v="Other Commercial"/>
    <s v="Restaurant"/>
    <s v="Existing"/>
    <s v="Forced Air Furnace"/>
    <m/>
    <m/>
    <m/>
    <m/>
    <m/>
    <m/>
    <m/>
    <m/>
    <m/>
    <m/>
    <m/>
    <m/>
    <n v="2"/>
    <n v="0"/>
    <n v="0.04"/>
    <m/>
    <n v="268"/>
    <m/>
    <m/>
    <m/>
    <m/>
    <m/>
    <n v="0"/>
    <n v="43"/>
    <n v="42796"/>
    <n v="42796.441803043999"/>
    <x v="1"/>
    <s v="75C8D6AE81A84B63BFE5C4CABBAD0BCC"/>
    <n v="134"/>
    <n v="21.5"/>
    <n v="1648.9692929508194"/>
    <n v="62959.041603410769"/>
    <n v="174.05364750819672"/>
    <n v="6797.6715808767258"/>
  </r>
  <r>
    <n v="8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4412209172948323E-2"/>
    <n v="-2.3104035792200012E-2"/>
    <b v="0"/>
    <b v="0"/>
    <s v=""/>
    <s v="BHSCCR1534040897"/>
    <n v="1"/>
    <s v="BHSCCR1534040897"/>
    <s v="7413451014"/>
    <s v="JDS EQUIPMENT SVC LLC"/>
    <s v="JDS EQUIPMENT SVC LLC"/>
    <s v="JDS EQUIPMENT SVC LLC"/>
    <s v="12176 SIOUXLAND RD"/>
    <s v="SUMMERSET"/>
    <s v="SD"/>
    <s v="57718"/>
    <s v="CLARKE ELECTRIC"/>
    <s v="2321 SOPHIA CT"/>
    <s v="RAPID CITY"/>
    <s v="SD"/>
    <s v="57702"/>
    <s v="605-342-5945"/>
    <m/>
    <s v="C&amp;I Custom Rebate :- Customer Incentives"/>
    <s v="Other Commercial"/>
    <s v="Warehouse"/>
    <s v="Existing"/>
    <s v="Forced Air Furnace"/>
    <m/>
    <m/>
    <m/>
    <m/>
    <m/>
    <m/>
    <m/>
    <m/>
    <m/>
    <m/>
    <m/>
    <m/>
    <n v="3"/>
    <n v="0"/>
    <n v="0"/>
    <m/>
    <n v="336"/>
    <m/>
    <m/>
    <m/>
    <m/>
    <m/>
    <n v="0"/>
    <n v="51"/>
    <n v="42796"/>
    <n v="42796.749864664402"/>
    <x v="1"/>
    <s v="0BF4BA016C7A4AD9B0BA320A6BBF4C7C"/>
    <n v="112"/>
    <n v="17"/>
    <n v="1648.9692929508194"/>
    <n v="62959.041603410769"/>
    <n v="174.05364750819672"/>
    <n v="6797.6715808767258"/>
  </r>
  <r>
    <n v="8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1467285310640864E-2"/>
    <n v="-1.0326551771885272E-2"/>
    <b v="0"/>
    <b v="0"/>
    <s v=""/>
    <s v="BHSCCR1534040990"/>
    <n v="1"/>
    <s v="BHSCCR1534040990"/>
    <s v="0293338895"/>
    <s v="WHITEWOOD ELEMENTARY"/>
    <s v="WHITEWOOD ELEMENTARY"/>
    <s v="WHITEWOOD ELEMENTARY"/>
    <s v="603 GARFIELD ST"/>
    <s v="WHITEWOOD"/>
    <s v="SD"/>
    <s v="57793"/>
    <s v="GENPRO ENERGY SOLUTIONS, LLC"/>
    <s v="PO BOX 30"/>
    <s v="PIEDMONT"/>
    <s v="SD"/>
    <s v="57769"/>
    <s v="605-277-1181"/>
    <s v="todd@genproenergy.com"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4"/>
    <n v="0"/>
    <n v="4.34"/>
    <m/>
    <n v="12978"/>
    <m/>
    <m/>
    <m/>
    <m/>
    <m/>
    <n v="0"/>
    <n v="1453.9999600000001"/>
    <n v="42796"/>
    <n v="42796.792681828701"/>
    <x v="1"/>
    <s v="EB91128C4F4F4BCA803B70C1DD857F4D"/>
    <n v="927"/>
    <n v="103.85714"/>
    <n v="1648.9692929508194"/>
    <n v="62959.041603410769"/>
    <n v="174.05364750819672"/>
    <n v="6797.6715808767258"/>
  </r>
  <r>
    <n v="8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11378875098157583"/>
    <n v="0.17961243610629574"/>
    <b v="0"/>
    <b v="0"/>
    <s v=""/>
    <s v="BHSCCR1534066566"/>
    <n v="1"/>
    <s v="BHSCCR1534066566"/>
    <s v="3852871419"/>
    <s v="LODGE AT DEADWOOD"/>
    <s v="DEADWOOD RESORTS LLC"/>
    <s v="DEADWOOD RESORTS LLC"/>
    <s v="101 PINE CREST DR"/>
    <s v="DEADWOOD"/>
    <s v="SD"/>
    <s v="57732"/>
    <s v="MUTH ELECTRIC"/>
    <s v="1825 SAMCO ROAD"/>
    <s v="RAPID CITY"/>
    <s v="SD"/>
    <s v="57702"/>
    <s v="605-341-3554"/>
    <s v="RSCHREMPP@MUTHELECTRIC.COM"/>
    <s v="C&amp;I Custom Rebate :- Customer Incentives"/>
    <s v="Other Commercial"/>
    <s v="Lodging"/>
    <s v="Existing"/>
    <s v="Forced Air Furnace"/>
    <m/>
    <m/>
    <m/>
    <m/>
    <m/>
    <m/>
    <m/>
    <m/>
    <m/>
    <m/>
    <m/>
    <m/>
    <n v="1"/>
    <n v="0"/>
    <n v="1"/>
    <m/>
    <n v="8813"/>
    <m/>
    <m/>
    <m/>
    <m/>
    <m/>
    <n v="0"/>
    <n v="1395"/>
    <n v="42802"/>
    <n v="42802.659724687503"/>
    <x v="1"/>
    <s v="333DE4C2F9FB41F69A8D93E0BAE05C16"/>
    <n v="8813"/>
    <n v="1395"/>
    <n v="1648.9692929508194"/>
    <n v="62959.041603410769"/>
    <n v="174.05364750819672"/>
    <n v="6797.6715808767258"/>
  </r>
  <r>
    <n v="8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2641280055216012E-2"/>
    <n v="-2.3030481194268773E-2"/>
    <b v="0"/>
    <b v="0"/>
    <s v=""/>
    <s v="BHSCCR1534068124"/>
    <n v="1"/>
    <s v="BHSCCR1534068124"/>
    <s v="5045772714"/>
    <s v="STRUGIS ELEMENTARY"/>
    <s v="MEADE BOARD OF ED"/>
    <s v="STURGIS ELEMENTARY"/>
    <s v="1121 BALLPARK RD"/>
    <s v="STURGIS"/>
    <s v="SD"/>
    <s v="57785"/>
    <s v="WIRE R US INC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6"/>
    <n v="0"/>
    <n v="0"/>
    <m/>
    <n v="1340.9760000000001"/>
    <m/>
    <m/>
    <m/>
    <m/>
    <m/>
    <n v="0"/>
    <n v="105"/>
    <n v="42803"/>
    <n v="42803.488046493097"/>
    <x v="1"/>
    <s v="CA3BF792B8FA479B857E248E70CA030E"/>
    <n v="223.49600000000001"/>
    <n v="17.5"/>
    <n v="1648.9692929508194"/>
    <n v="62959.041603410769"/>
    <n v="174.05364750819672"/>
    <n v="6797.6715808767258"/>
  </r>
  <r>
    <n v="8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10972261538801668"/>
    <n v="0.18770344187873209"/>
    <b v="0"/>
    <b v="0"/>
    <s v=""/>
    <s v="BHSCCR1534068124"/>
    <n v="0"/>
    <s v="BHSCCR1534068124"/>
    <s v="5045772714"/>
    <s v="STRUGIS ELEMENTARY"/>
    <s v="MEADE BOARD OF ED"/>
    <s v="STURGIS ELEMENTARY"/>
    <s v="1121 BALLPARK RD"/>
    <s v="STURGIS"/>
    <s v="SD"/>
    <s v="57785"/>
    <s v="WIRE R US INC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"/>
    <n v="0"/>
    <n v="2.73"/>
    <m/>
    <n v="8557"/>
    <m/>
    <m/>
    <m/>
    <m/>
    <m/>
    <n v="0"/>
    <n v="1450"/>
    <n v="42803"/>
    <n v="42803.488046493097"/>
    <x v="1"/>
    <s v="961B0728E4814AD984669F3911E7139F"/>
    <n v="8557"/>
    <n v="1450"/>
    <n v="1648.9692929508194"/>
    <n v="62959.041603410769"/>
    <n v="174.05364750819672"/>
    <n v="6797.6715808767258"/>
  </r>
  <r>
    <n v="8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751762576780465E-3"/>
    <n v="-1.8249432328738213E-2"/>
    <b v="0"/>
    <b v="0"/>
    <s v=""/>
    <s v="BHSCCR1534068124"/>
    <n v="0"/>
    <s v="BHSCCR1534068124"/>
    <s v="5045772714"/>
    <s v="STRUGIS ELEMENTARY"/>
    <s v="MEADE BOARD OF ED"/>
    <s v="STURGIS ELEMENTARY"/>
    <s v="1121 BALLPARK RD"/>
    <s v="STURGIS"/>
    <s v="SD"/>
    <s v="57785"/>
    <s v="WIRE R US INC"/>
    <s v="PO BOX 505"/>
    <s v="PIEDMONT"/>
    <s v="SD"/>
    <s v="57769"/>
    <s v="605-381-0729"/>
    <m/>
    <s v="C&amp;I Custom Rebate :- Customer Incentives"/>
    <s v="Other Commercial"/>
    <s v="Education"/>
    <s v="Existing"/>
    <s v="Forced Air Furnace"/>
    <m/>
    <m/>
    <m/>
    <m/>
    <m/>
    <m/>
    <m/>
    <m/>
    <m/>
    <m/>
    <m/>
    <m/>
    <n v="11"/>
    <n v="0"/>
    <n v="0"/>
    <m/>
    <n v="16925.48"/>
    <m/>
    <m/>
    <m/>
    <m/>
    <m/>
    <n v="0"/>
    <n v="550"/>
    <n v="42803"/>
    <n v="42803.488046493097"/>
    <x v="1"/>
    <s v="8E14C1E3F7AE492DB2A1CDE015021362"/>
    <n v="1538.68"/>
    <n v="50"/>
    <n v="1648.9692929508194"/>
    <n v="62959.041603410769"/>
    <n v="174.05364750819672"/>
    <n v="6797.6715808767258"/>
  </r>
  <r>
    <n v="88"/>
    <s v="Non-Residential - BHPSD - C/I Custom"/>
    <b v="1"/>
    <s v="Non-Residential - BHPSD - C/I Custom_C&amp;I Custom Rebate :- Customer Incentives_Other Industrial"/>
    <s v="C&amp;I_C&amp;I Custom_Various_C&amp;I Custom"/>
    <x v="2"/>
    <x v="2"/>
    <x v="2"/>
    <x v="3"/>
    <n v="-1.1324335231179801E-2"/>
    <n v="-3.5385127424903354E-3"/>
    <b v="0"/>
    <b v="0"/>
    <s v=""/>
    <s v="BHSCCR1534098220"/>
    <n v="1"/>
    <s v="BHSCCR1534098220"/>
    <s v="0172437736"/>
    <s v="FORTERRA CONCRETE PRODUCT"/>
    <s v="FORTERRA CONCRETE PRODUCT"/>
    <s v="FORTERRA CONCRETE PRODUCT"/>
    <s v="1601 CULVERT ST"/>
    <s v="RAPID CITY"/>
    <s v="SD"/>
    <s v="57701"/>
    <s v="DAKOTA SUPPLY GROUP"/>
    <s v="1936 MARLIN DR"/>
    <s v="RAPID CITY"/>
    <s v="SD"/>
    <s v="57703"/>
    <s v="605-348-7100"/>
    <s v="jwood@dsginc.biz"/>
    <s v="C&amp;I Custom Rebate :- Customer Incentives"/>
    <s v="Other Industrial"/>
    <s v="Industrial"/>
    <s v="Existing"/>
    <s v="Forced Air Furnace"/>
    <m/>
    <m/>
    <m/>
    <m/>
    <m/>
    <m/>
    <m/>
    <m/>
    <m/>
    <m/>
    <m/>
    <m/>
    <n v="26"/>
    <n v="0"/>
    <n v="7.8"/>
    <m/>
    <n v="24336"/>
    <m/>
    <m/>
    <m/>
    <m/>
    <m/>
    <n v="0"/>
    <n v="3900"/>
    <n v="42815"/>
    <n v="42815.730486145803"/>
    <x v="1"/>
    <s v="0D214E5CA3DF4B6DA8BDD6FFE4FA7AA4"/>
    <n v="936"/>
    <n v="150"/>
    <n v="1648.9692929508194"/>
    <n v="62959.041603410769"/>
    <n v="174.05364750819672"/>
    <n v="6797.6715808767258"/>
  </r>
  <r>
    <n v="8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86632053338172E-2"/>
    <n v="-1.4424593236313765E-2"/>
    <b v="0"/>
    <b v="0"/>
    <s v=""/>
    <s v="BHSCCR1534114370"/>
    <n v="1"/>
    <s v="BHSCCR1534114370"/>
    <s v="3485115409"/>
    <s v="FARM CREDIT SER"/>
    <s v="FARM CREDIT SER"/>
    <s v="FARM CREDIT SER"/>
    <s v="2510 N PLAZA DR"/>
    <s v="RAPID CITY"/>
    <s v="SD"/>
    <s v="57702"/>
    <s v="ADVANCED ELECTRICAL INC"/>
    <s v="PO BOX 647"/>
    <s v="RAPID CITY"/>
    <s v="SD"/>
    <s v="57709"/>
    <s v="605-348-9756"/>
    <s v="advancedelectricaltg@knology.net"/>
    <s v="C&amp;I Custom Rebate :- Customer Incentives"/>
    <s v="Other Commercial"/>
    <s v="Office"/>
    <s v="Existing"/>
    <s v="Forced Air Furnace"/>
    <m/>
    <m/>
    <m/>
    <m/>
    <m/>
    <m/>
    <m/>
    <m/>
    <m/>
    <m/>
    <m/>
    <m/>
    <n v="8"/>
    <n v="0"/>
    <n v="0"/>
    <m/>
    <n v="5704"/>
    <m/>
    <m/>
    <m/>
    <m/>
    <m/>
    <n v="0"/>
    <n v="608"/>
    <n v="42822"/>
    <n v="42822.454243321801"/>
    <x v="1"/>
    <s v="45E5E081F9D844EB83D6AE8B96D10447"/>
    <n v="713"/>
    <n v="76"/>
    <n v="1648.9692929508194"/>
    <n v="62959.041603410769"/>
    <n v="174.05364750819672"/>
    <n v="6797.6715808767258"/>
  </r>
  <r>
    <n v="9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8281239098284913E-2"/>
    <n v="-1.4390758121265395E-2"/>
    <b v="0"/>
    <b v="0"/>
    <s v=""/>
    <s v="BHSCCR1534136018"/>
    <n v="1"/>
    <s v="BHSCCR1534136018"/>
    <s v="0719758948"/>
    <s v="TRAFFIC SERVICES COMPANY"/>
    <s v="TRAFFIC SERVICES COMPANY"/>
    <s v="TRAFFIC SERVICES COMPANY"/>
    <s v="11740 J B RD"/>
    <s v="BLACK HAWK"/>
    <s v="SD"/>
    <s v="57718"/>
    <s v="WIRE R US INC"/>
    <s v="PO BOX 505"/>
    <s v="PIEDMONT"/>
    <s v="SD"/>
    <s v="57769"/>
    <s v="605-381-0729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7"/>
    <n v="0"/>
    <m/>
    <m/>
    <n v="3486"/>
    <m/>
    <m/>
    <m/>
    <m/>
    <m/>
    <n v="0"/>
    <n v="533.61"/>
    <n v="42828"/>
    <n v="42825.446017557901"/>
    <x v="1"/>
    <s v="2D9EB293BE3644F882DD4F51F65DD355"/>
    <n v="498"/>
    <n v="76.23"/>
    <n v="1648.9692929508194"/>
    <n v="62959.041603410769"/>
    <n v="174.05364750819672"/>
    <n v="6797.6715808767258"/>
  </r>
  <r>
    <n v="9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818670506894697E-2"/>
    <n v="-7.3633518349147838E-3"/>
    <b v="0"/>
    <b v="0"/>
    <s v=""/>
    <s v="BHSCCR1534136018"/>
    <n v="0"/>
    <s v="BHSCCR1534136018"/>
    <s v="0719758948"/>
    <s v="TRAFFIC SERVICES COMPANY"/>
    <s v="TRAFFIC SERVICES COMPANY"/>
    <s v="TRAFFIC SERVICES COMPANY"/>
    <s v="11740 J B RD"/>
    <s v="BLACK HAWK"/>
    <s v="SD"/>
    <s v="57718"/>
    <s v="WIRE R US INC"/>
    <s v="PO BOX 505"/>
    <s v="PIEDMONT"/>
    <s v="SD"/>
    <s v="57769"/>
    <s v="605-381-0729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43"/>
    <n v="0"/>
    <n v="15.48"/>
    <m/>
    <n v="30788"/>
    <m/>
    <m/>
    <m/>
    <m/>
    <m/>
    <n v="0"/>
    <n v="5332"/>
    <n v="42828"/>
    <n v="42825.446017557901"/>
    <x v="1"/>
    <s v="97E285284CC7443AAAB74E5411505A19"/>
    <n v="716"/>
    <n v="124"/>
    <n v="1648.9692929508194"/>
    <n v="62959.041603410769"/>
    <n v="174.05364750819672"/>
    <n v="6797.6715808767258"/>
  </r>
  <r>
    <n v="92"/>
    <s v="Non-Residential - BHPSD - C/I Custom"/>
    <b v="1"/>
    <s v="Non-Residential - BHPSD - C/I Custom_C&amp;I Custom Rebate :- Customer Incentives_Other Industrial"/>
    <s v="C&amp;I_C&amp;I Custom_Various_C&amp;I Custom"/>
    <x v="2"/>
    <x v="2"/>
    <x v="2"/>
    <x v="3"/>
    <n v="-1.6772321592862571E-2"/>
    <n v="-1.3394828865276414E-2"/>
    <b v="0"/>
    <b v="0"/>
    <s v=""/>
    <s v="BHSCCR1534190711"/>
    <n v="1"/>
    <s v="BHSCCR1534190711"/>
    <s v="0172437736"/>
    <s v="FORTERRA CONCRETE PRODUCT"/>
    <s v="FORTERRA CONCRETE PRODUCT"/>
    <s v="FORTERRA CONCRETE PRODUCT"/>
    <s v="1601 CULVERT ST"/>
    <s v="RAPID CITY"/>
    <s v="SD"/>
    <s v="57701"/>
    <s v="DAKOTA SUPPLY GROUP"/>
    <s v="1936 MARLIN DR"/>
    <s v="RAPID CITY"/>
    <s v="SD"/>
    <s v="57703"/>
    <s v="605-348-7100"/>
    <s v="jwood@dsginc.biz"/>
    <s v="C&amp;I Custom Rebate :- Customer Incentives"/>
    <s v="Other Industrial"/>
    <s v="Industrial"/>
    <s v="Existing"/>
    <s v="Forced Air Furnace"/>
    <m/>
    <m/>
    <m/>
    <m/>
    <m/>
    <m/>
    <m/>
    <m/>
    <m/>
    <m/>
    <m/>
    <m/>
    <n v="5"/>
    <n v="0"/>
    <n v="0.95"/>
    <m/>
    <n v="2965"/>
    <m/>
    <m/>
    <m/>
    <m/>
    <m/>
    <n v="0"/>
    <n v="415"/>
    <n v="42830"/>
    <n v="42830.672180555601"/>
    <x v="1"/>
    <s v="6CAD591D1E914F5DAFC5EF458C52170F"/>
    <n v="593"/>
    <n v="83"/>
    <n v="1648.9692929508194"/>
    <n v="62959.041603410769"/>
    <n v="174.05364750819672"/>
    <n v="6797.6715808767258"/>
  </r>
  <r>
    <n v="9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167376875875129E-2"/>
    <n v="3.0814010713212095E-3"/>
    <b v="0"/>
    <b v="0"/>
    <s v=""/>
    <s v="BHSCCR1534193525"/>
    <n v="1"/>
    <s v="BHSCCR1534193525"/>
    <s v="6108833553"/>
    <s v="ROTH TRUCKING INC"/>
    <s v="ROTH TRUCKING INC"/>
    <s v="ROTH TRUCKING INC"/>
    <s v="3730 ELK VALE RD"/>
    <s v="RAPID CITY"/>
    <s v="SD"/>
    <s v="57703"/>
    <s v="MICKS ELECTRIC"/>
    <s v="1304 OREGON ST"/>
    <s v="RAPID CITY"/>
    <s v="SD"/>
    <s v="57701"/>
    <s v="605-348-2335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9"/>
    <n v="0"/>
    <n v="2.61"/>
    <m/>
    <n v="8226"/>
    <m/>
    <m/>
    <m/>
    <m/>
    <m/>
    <n v="0"/>
    <n v="1755"/>
    <n v="42831"/>
    <n v="42831.775187615698"/>
    <x v="1"/>
    <s v="C7C32CA244134E7D97519624A626CFDC"/>
    <n v="914"/>
    <n v="195"/>
    <n v="1648.9692929508194"/>
    <n v="62959.041603410769"/>
    <n v="174.05364750819672"/>
    <n v="6797.6715808767258"/>
  </r>
  <r>
    <n v="9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3618042064831299E-2"/>
    <n v="-2.1927162225300181E-2"/>
    <b v="0"/>
    <b v="0"/>
    <s v=""/>
    <s v="BHSCCR1534196955"/>
    <n v="1"/>
    <s v="BHSCCR1534196955"/>
    <s v="3346842936"/>
    <s v="KOTA CAMPGROUND-HOT SPRINGS"/>
    <s v="ZEST LLC"/>
    <s v="KOTA CAMPGROUND-HOT SPRINGS"/>
    <s v="27585 SD HIGHWAY 79"/>
    <s v="HOT SPRINGS"/>
    <s v="SD"/>
    <s v="57747"/>
    <s v="DAKOTA SUPPLY GROUP"/>
    <s v="1936 MARLIN DR"/>
    <s v="RAPID CITY"/>
    <s v="SD"/>
    <s v="57703"/>
    <s v="605-348-7100"/>
    <s v="jwood@dsginc.biz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26"/>
    <n v="0"/>
    <n v="1.508"/>
    <m/>
    <n v="4212"/>
    <m/>
    <m/>
    <m/>
    <m/>
    <m/>
    <n v="0"/>
    <n v="650"/>
    <n v="42832"/>
    <n v="42832.6431449421"/>
    <x v="1"/>
    <s v="1891926658A8402FBD7C9B52543ED4D4"/>
    <n v="162"/>
    <n v="25"/>
    <n v="1648.9692929508194"/>
    <n v="62959.041603410769"/>
    <n v="174.05364750819672"/>
    <n v="6797.6715808767258"/>
  </r>
  <r>
    <n v="9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1413291222618987E-2"/>
    <n v="-1.9426305895638044E-2"/>
    <b v="0"/>
    <b v="0"/>
    <s v=""/>
    <s v="BHSCCR1534205095"/>
    <n v="1"/>
    <s v="BHSCCR1534205095"/>
    <s v="2143860150"/>
    <s v="RAMKOTA/BEST WESTERN"/>
    <s v="REGENCY RC VENTURES"/>
    <s v="RAMKOTA/BEST WESTERN"/>
    <s v="2111 N LACROSSE ST"/>
    <s v="RAPID CITY"/>
    <s v="SD"/>
    <s v="57701"/>
    <s v="CRESCENT ELECTRIC SUPPLY"/>
    <s v="317 MAPLE AVE"/>
    <s v="RAPID CITY"/>
    <s v="SD"/>
    <s v="57701"/>
    <s v="605-342-7913"/>
    <m/>
    <s v="C&amp;I Custom Rebate :- Customer Incentives"/>
    <s v="Other Commercial"/>
    <s v="Lodging"/>
    <s v="Existing"/>
    <s v="Forced Air Furnace"/>
    <m/>
    <m/>
    <m/>
    <m/>
    <m/>
    <m/>
    <m/>
    <m/>
    <m/>
    <m/>
    <m/>
    <m/>
    <n v="341"/>
    <n v="0"/>
    <n v="35.317369999999997"/>
    <m/>
    <n v="102575.86900000001"/>
    <m/>
    <m/>
    <m/>
    <m/>
    <m/>
    <n v="0"/>
    <n v="14322"/>
    <n v="42837"/>
    <n v="42837.5739428241"/>
    <x v="1"/>
    <s v="E4DC11C58B484EB4B719C433B702BEDF"/>
    <n v="300.80900000000003"/>
    <n v="42"/>
    <n v="1648.9692929508194"/>
    <n v="62959.041603410769"/>
    <n v="174.05364750819672"/>
    <n v="6797.6715808767258"/>
  </r>
  <r>
    <n v="9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35486611832157899"/>
    <n v="0.39365631608620238"/>
    <b v="0"/>
    <b v="0"/>
    <s v=""/>
    <s v="BHSCCR1534210353"/>
    <n v="1"/>
    <s v="BHSCCR1534210353"/>
    <s v="2049499193"/>
    <s v="FIRST INTERSTATE GATEWAY"/>
    <s v="FIRST INTERSTATE GATEWAY"/>
    <s v="FIRST INTERSTATE GATEWAY"/>
    <s v="333 WEST BLVD"/>
    <s v="RAPID CITY"/>
    <s v="SD"/>
    <s v="57701"/>
    <s v="BLACK HILLS LIGHTING"/>
    <s v="PO BOX 4035"/>
    <s v="RAPID CITY"/>
    <s v="SD"/>
    <s v="57709"/>
    <s v="605-381-9452"/>
    <m/>
    <s v="C&amp;I Custom Rebate :- Customer Incentives"/>
    <s v="Other Commercial"/>
    <s v="Office"/>
    <s v="Existing"/>
    <s v="Electric Heat Other"/>
    <s v="Natural Gas"/>
    <m/>
    <m/>
    <m/>
    <m/>
    <m/>
    <m/>
    <m/>
    <m/>
    <m/>
    <m/>
    <m/>
    <n v="1"/>
    <n v="0"/>
    <n v="0"/>
    <m/>
    <n v="23991"/>
    <m/>
    <m/>
    <m/>
    <m/>
    <m/>
    <n v="0"/>
    <n v="2850"/>
    <n v="42839"/>
    <n v="42839.495634571802"/>
    <x v="1"/>
    <s v="992CD7B958D04F4D96798B26739DFA71"/>
    <n v="23991"/>
    <n v="2850"/>
    <n v="1648.9692929508194"/>
    <n v="62959.041603410769"/>
    <n v="174.05364750819672"/>
    <n v="6797.6715808767258"/>
  </r>
  <r>
    <n v="9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5.3400284080357484E-2"/>
    <n v="3.0296602305879782E-2"/>
    <b v="0"/>
    <b v="0"/>
    <s v=""/>
    <s v="BHSCCR1534211212"/>
    <n v="1"/>
    <s v="BHSCCR1534211212"/>
    <s v="5036865016"/>
    <s v="COMFORT INN"/>
    <s v="COMFORT INN"/>
    <s v="COMFORT INN"/>
    <s v="1550 N LACROSSE ST"/>
    <s v="RAPID CITY"/>
    <s v="SD"/>
    <s v="57701"/>
    <s v="DAKOTA SUPPLY GROUP"/>
    <s v="1936 MARLIN DR"/>
    <s v="RAPID CITY"/>
    <s v="SD"/>
    <s v="57703"/>
    <s v="605-348-7100"/>
    <s v="jwood@dsginc.biz"/>
    <s v="C&amp;I Custom Rebate :- Customer Incentives"/>
    <s v="Other Commercial"/>
    <s v="Lodging"/>
    <s v="Existing"/>
    <s v="Forced Air Furnace"/>
    <m/>
    <m/>
    <m/>
    <m/>
    <m/>
    <m/>
    <m/>
    <m/>
    <m/>
    <m/>
    <m/>
    <m/>
    <n v="1"/>
    <n v="0"/>
    <n v="0"/>
    <m/>
    <n v="5011"/>
    <m/>
    <m/>
    <m/>
    <m/>
    <m/>
    <n v="0"/>
    <n v="380"/>
    <n v="42839"/>
    <n v="42839.650260844901"/>
    <x v="1"/>
    <s v="429F06CE165A4DD687B346E0E10F732C"/>
    <n v="5011"/>
    <n v="380"/>
    <n v="1648.9692929508194"/>
    <n v="62959.041603410769"/>
    <n v="174.05364750819672"/>
    <n v="6797.6715808767258"/>
  </r>
  <r>
    <n v="9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15927864293451882"/>
    <n v="0.17299252229248419"/>
    <b v="0"/>
    <b v="0"/>
    <s v=""/>
    <s v="BHSCCR1534260178"/>
    <n v="1"/>
    <s v="BHSCCR1534260178"/>
    <s v="5681739982"/>
    <s v="TRUPOWER INC"/>
    <s v="TRUPOWER INC"/>
    <s v="TRUPOWER INC"/>
    <s v="2021 MARLIN DR"/>
    <s v="RAPID CITY"/>
    <s v="SD"/>
    <s v="57701"/>
    <s v="DAKOTA SUPPLY GROUP"/>
    <s v="1936 MARLIN DR"/>
    <s v="RAPID CITY"/>
    <s v="SD"/>
    <s v="57703"/>
    <s v="605-348-7100"/>
    <s v="jwood@dsginc.biz"/>
    <s v="C&amp;I Custom Rebate :- Customer Incentives"/>
    <s v="Other Commercial"/>
    <s v="Office"/>
    <s v="New"/>
    <s v="Forced Air Furnace"/>
    <m/>
    <m/>
    <m/>
    <m/>
    <m/>
    <m/>
    <m/>
    <m/>
    <m/>
    <m/>
    <m/>
    <m/>
    <n v="1"/>
    <n v="0"/>
    <n v="0"/>
    <m/>
    <n v="11677"/>
    <m/>
    <m/>
    <m/>
    <m/>
    <m/>
    <n v="0"/>
    <n v="1350"/>
    <n v="42850"/>
    <n v="42850.765667013897"/>
    <x v="1"/>
    <s v="2DA5432D7A4241B9ABB17CA6546D9F5B"/>
    <n v="11677"/>
    <n v="1350"/>
    <n v="1648.9692929508194"/>
    <n v="62959.041603410769"/>
    <n v="174.05364750819672"/>
    <n v="6797.6715808767258"/>
  </r>
  <r>
    <n v="9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24793945888470315"/>
    <n v="0.32010171815496297"/>
    <b v="0"/>
    <b v="0"/>
    <s v=""/>
    <s v="BHSCCR1534260178"/>
    <n v="0"/>
    <s v="BHSCCR1534260178"/>
    <s v="5681739982"/>
    <s v="TRUPOWER INC"/>
    <s v="TRUPOWER INC"/>
    <s v="TRUPOWER INC"/>
    <s v="2021 MARLIN DR"/>
    <s v="RAPID CITY"/>
    <s v="SD"/>
    <s v="57701"/>
    <s v="DAKOTA SUPPLY GROUP"/>
    <s v="1936 MARLIN DR"/>
    <s v="RAPID CITY"/>
    <s v="SD"/>
    <s v="57703"/>
    <s v="605-348-7100"/>
    <s v="jwood@dsginc.biz"/>
    <s v="C&amp;I Custom Rebate :- Customer Incentives"/>
    <s v="Other Commercial"/>
    <s v="Office"/>
    <s v="New"/>
    <s v="Forced Air Furnace"/>
    <m/>
    <m/>
    <m/>
    <m/>
    <m/>
    <m/>
    <m/>
    <m/>
    <m/>
    <m/>
    <m/>
    <m/>
    <n v="1"/>
    <n v="0"/>
    <n v="6.6"/>
    <m/>
    <n v="17259"/>
    <m/>
    <m/>
    <m/>
    <m/>
    <m/>
    <n v="0"/>
    <n v="2350"/>
    <n v="42850"/>
    <n v="42850.765667013897"/>
    <x v="1"/>
    <s v="127217EF78114C96AFF03961D3B8FDC6"/>
    <n v="17259"/>
    <n v="2350"/>
    <n v="1648.9692929508194"/>
    <n v="62959.041603410769"/>
    <n v="174.05364750819672"/>
    <n v="6797.6715808767258"/>
  </r>
  <r>
    <n v="10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58512692964902835"/>
    <n v="0.85705028305301045"/>
    <b v="0"/>
    <b v="0"/>
    <s v=""/>
    <s v="BHSCCR1534266555"/>
    <n v="1"/>
    <s v="BHSCCR1534266555"/>
    <s v="5904825717"/>
    <s v="CIVIC CENTER"/>
    <s v="CITY OF RC"/>
    <s v="CIVIC CENTER"/>
    <s v="444 N MOUNT RUSHMORE RD                            913 CC ARENA"/>
    <s v="RAPID CITY"/>
    <s v="SD"/>
    <s v="57701"/>
    <s v="BHE"/>
    <s v="PO BOX 1400"/>
    <s v="RAPID CITY"/>
    <s v="SD"/>
    <s v="57709"/>
    <s v="605-721-2687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4.0999999999999996"/>
    <m/>
    <n v="38488"/>
    <m/>
    <m/>
    <m/>
    <m/>
    <m/>
    <n v="0"/>
    <n v="6000"/>
    <n v="42852"/>
    <n v="42852.635758877303"/>
    <x v="1"/>
    <s v="F48C468928E84B07924E179796E1F6FB"/>
    <n v="38488"/>
    <n v="6000"/>
    <n v="1648.9692929508194"/>
    <n v="62959.041603410769"/>
    <n v="174.05364750819672"/>
    <n v="6797.6715808767258"/>
  </r>
  <r>
    <n v="101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5.3328485020785337"/>
    <n v="3.25051689973554"/>
    <b v="1"/>
    <b v="1"/>
    <s v=""/>
    <s v="BHSCCR1534269532"/>
    <n v="1"/>
    <s v="BHSCCR1534269532"/>
    <s v="1359204156"/>
    <s v="LYNNS DAKOTAMART"/>
    <s v="LYNNS DAKOTAMART"/>
    <s v="LYNNS DAKOTAMART"/>
    <s v="1111 LAZELLE ST"/>
    <s v="STURGIS"/>
    <s v="SD"/>
    <s v="57785"/>
    <s v="TITAN LED INC"/>
    <s v="4590 ISH DR UNIT #100"/>
    <s v="SIMI VALLEY"/>
    <s v="CA"/>
    <s v="93063"/>
    <s v="805-523-7500"/>
    <m/>
    <s v="C&amp;I Custom Rebate :- Customer Incentives"/>
    <s v="Other Commercial"/>
    <s v="Grocery"/>
    <s v="Existing"/>
    <s v="Forced Air Furnace"/>
    <m/>
    <m/>
    <m/>
    <m/>
    <m/>
    <m/>
    <m/>
    <m/>
    <m/>
    <m/>
    <m/>
    <m/>
    <n v="1"/>
    <n v="0"/>
    <n v="38.520000000000003"/>
    <m/>
    <n v="337400"/>
    <m/>
    <m/>
    <m/>
    <m/>
    <m/>
    <n v="0"/>
    <n v="22270"/>
    <n v="42856"/>
    <n v="42853.637417858801"/>
    <x v="1"/>
    <s v="AE62856CDB6740A0B2BC3E21CC064278"/>
    <n v="337400"/>
    <n v="22270"/>
    <n v="1648.9692929508194"/>
    <n v="62959.041603410769"/>
    <n v="174.05364750819672"/>
    <n v="6797.6715808767258"/>
  </r>
  <r>
    <n v="102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13489771271532625"/>
    <n v="0.24213384434784924"/>
    <b v="0"/>
    <b v="0"/>
    <s v=""/>
    <s v="BHSCCR1534277743"/>
    <n v="1"/>
    <s v="BHSCCR1534277743"/>
    <s v="3185776379"/>
    <s v="MAMMOTH SITE OF HSSD"/>
    <s v="MAMMOTH SITE OF HSSD"/>
    <s v="MAMMOTH SITE OF HSSD"/>
    <s v="1745 EVANSTON AVE"/>
    <s v="HOT SPRINGS"/>
    <s v="SD"/>
    <s v="57747"/>
    <s v="GENPRO ENERGY SOLUTIONS, LLC"/>
    <s v="PO BOX 30"/>
    <s v="PIEDMONT"/>
    <s v="SD"/>
    <s v="57769"/>
    <s v="605-277-1181"/>
    <s v="todd@genproenergy.com"/>
    <s v="C&amp;I Custom Rebate :- Customer Incentives"/>
    <s v="Other Commercial"/>
    <s v="Other"/>
    <s v="Existing"/>
    <s v="Electric Heat Other"/>
    <m/>
    <m/>
    <m/>
    <m/>
    <m/>
    <m/>
    <m/>
    <m/>
    <m/>
    <m/>
    <m/>
    <m/>
    <n v="1"/>
    <n v="0"/>
    <n v="4.88"/>
    <m/>
    <n v="10142"/>
    <m/>
    <m/>
    <m/>
    <m/>
    <m/>
    <n v="0"/>
    <n v="1820"/>
    <n v="42857"/>
    <n v="42857.704060914402"/>
    <x v="1"/>
    <s v="625AC985FF574981A5B864F82D5A11C1"/>
    <n v="10142"/>
    <n v="1820"/>
    <n v="1648.9692929508194"/>
    <n v="62959.041603410769"/>
    <n v="174.05364750819672"/>
    <n v="6797.6715808767258"/>
  </r>
  <r>
    <n v="103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0.8070172196569243"/>
    <n v="1.3903211180544961"/>
    <b v="0"/>
    <b v="0"/>
    <s v=""/>
    <s v="BHSCCR1534306467"/>
    <n v="1"/>
    <s v="BHSCCR1534306467"/>
    <s v="5442401556"/>
    <s v="EVENTS CENTER"/>
    <s v="EVENTS CENTER"/>
    <s v="CENTRAL STATES FAIR"/>
    <s v="800 SAN FRANCISCO ST"/>
    <s v="RAPID CITY"/>
    <s v="SD"/>
    <s v="57701"/>
    <s v="GENPRO ENERGY SOLUTIONS, LLC"/>
    <s v="PO BOX 30"/>
    <s v="PIEDMONT"/>
    <s v="SD"/>
    <s v="57769"/>
    <s v="605-277-1181"/>
    <s v="todd@genproenergy.com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28.74"/>
    <m/>
    <n v="52458"/>
    <m/>
    <m/>
    <m/>
    <m/>
    <m/>
    <n v="0"/>
    <n v="9625"/>
    <n v="42858"/>
    <n v="42858.781469560199"/>
    <x v="1"/>
    <s v="097C23E68AD94B6D904DBBE3A1E6F3C3"/>
    <n v="52458"/>
    <n v="9625"/>
    <n v="1648.9692929508194"/>
    <n v="62959.041603410769"/>
    <n v="174.05364750819672"/>
    <n v="6797.6715808767258"/>
  </r>
  <r>
    <n v="104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6.7091725024294946E-2"/>
    <n v="0.11414884394749268"/>
    <b v="0"/>
    <b v="0"/>
    <s v=""/>
    <s v="BHSCCR1534322882"/>
    <n v="1"/>
    <s v="BHSCCR1534322882"/>
    <s v="6142826120"/>
    <s v="PARTY TIME LIQUOR"/>
    <s v="PARTY TIME LIQUOR"/>
    <s v="PARTY TIME LIQUOR"/>
    <s v="729 N 12TH ST"/>
    <s v="SPEARFISH"/>
    <s v="SD"/>
    <s v="57783"/>
    <s v="ROYAL ELECTRIC"/>
    <s v="821 N RAINBOW RD"/>
    <s v="SPEARFISH"/>
    <s v="SD"/>
    <s v="57783"/>
    <s v="605-642-6480"/>
    <s v="ROYALELECTRICSD@GMAIL.COM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1.04"/>
    <m/>
    <n v="5873"/>
    <m/>
    <m/>
    <m/>
    <m/>
    <m/>
    <n v="0"/>
    <n v="950"/>
    <n v="42866"/>
    <n v="42866.480812419002"/>
    <x v="1"/>
    <s v="9DA1F6ACC8D34C41A000741CBA0518A7"/>
    <n v="5873"/>
    <n v="950"/>
    <n v="1648.9692929508194"/>
    <n v="62959.041603410769"/>
    <n v="174.05364750819672"/>
    <n v="6797.6715808767258"/>
  </r>
  <r>
    <n v="105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5.4379686258164365E-3"/>
    <n v="-1.8249432328738213E-2"/>
    <b v="0"/>
    <b v="0"/>
    <s v=""/>
    <s v="BHSCCR1534325391"/>
    <n v="1"/>
    <s v="BHSCCR1534325391"/>
    <s v="3852871419"/>
    <s v="DEADWOOD RESORTS LLC"/>
    <s v="DEADWOOD RESORTS LLC"/>
    <s v="DEADWOOD RESORTS LLC"/>
    <s v="100 PINE CREST DR                                  LIGHTS AND RV"/>
    <s v="DEADWOOD"/>
    <s v="SD"/>
    <s v="57732"/>
    <s v="BUCKS ELECTRIC"/>
    <s v="1720 SAMCO RD #A"/>
    <s v="RAPID CITY"/>
    <s v="SD"/>
    <s v="57702"/>
    <s v="605-391-0086"/>
    <s v="BUCKSELECTRIC@RUSHMORE.COM"/>
    <s v="C&amp;I Custom Rebate :- Customer Incentives"/>
    <s v="Other Commercial"/>
    <s v="Other"/>
    <s v="New"/>
    <s v="Forced Air Furnace"/>
    <m/>
    <m/>
    <m/>
    <m/>
    <m/>
    <m/>
    <m/>
    <m/>
    <m/>
    <m/>
    <m/>
    <m/>
    <n v="10"/>
    <n v="0"/>
    <n v="0"/>
    <m/>
    <n v="13066"/>
    <m/>
    <m/>
    <m/>
    <m/>
    <m/>
    <n v="0"/>
    <n v="500"/>
    <n v="42867"/>
    <n v="42867.459180324098"/>
    <x v="1"/>
    <s v="DE44C086AB43449786A2643B9554C1C8"/>
    <n v="1306.5999999999999"/>
    <n v="50"/>
    <n v="1648.9692929508194"/>
    <n v="62959.041603410769"/>
    <n v="174.05364750819672"/>
    <n v="6797.6715808767258"/>
  </r>
  <r>
    <n v="106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1.4850437191219378E-2"/>
    <n v="-1.3836156452863849E-2"/>
    <b v="0"/>
    <b v="0"/>
    <s v=""/>
    <s v="BHSCCR1534532652"/>
    <n v="1"/>
    <s v="BHSCCR1534532652"/>
    <s v="2930407586"/>
    <s v="SOUTH CANYON BAPTIST"/>
    <s v="SOUTH CANYON BAPTIST"/>
    <s v="SOUTH CANYON BAPTIST"/>
    <s v="3333 W CHICAGO ST"/>
    <s v="RAPID CITY"/>
    <s v="SD"/>
    <s v="57702"/>
    <s v="FREEMANS ELECTRIC SERVICE INC"/>
    <s v="401 MAPLE AVE"/>
    <s v="RAPID CITY"/>
    <s v="SD"/>
    <s v="57701"/>
    <s v="605-342-4099"/>
    <s v="DLARSON@FREEMANSELECTRIC.COM"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36"/>
    <n v="0"/>
    <n v="16.559999999999999"/>
    <m/>
    <n v="25704"/>
    <m/>
    <m/>
    <m/>
    <m/>
    <m/>
    <n v="0"/>
    <n v="2880"/>
    <n v="42926"/>
    <n v="42926.480953009297"/>
    <x v="1"/>
    <s v="77E057E21D8740B888064F79F8F85639"/>
    <n v="714"/>
    <n v="80"/>
    <n v="1648.9692929508194"/>
    <n v="62959.041603410769"/>
    <n v="174.05364750819672"/>
    <n v="6797.6715808767258"/>
  </r>
  <r>
    <n v="107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3459208643207895E-2"/>
    <n v="-2.1191616245987789E-2"/>
    <b v="0"/>
    <b v="0"/>
    <s v=""/>
    <s v="BHSCCR1534560962"/>
    <n v="1"/>
    <s v="BHSCCR1534560962"/>
    <s v="3369771763"/>
    <s v="EVERETT"/>
    <s v="BURGESON"/>
    <s v="EDWARD JONES OFFICE"/>
    <s v="120 W HUDSON ST"/>
    <s v="SPEARFISH"/>
    <s v="SD"/>
    <s v="57783"/>
    <s v="HARTL ELECTRIC"/>
    <s v="PO BOX 9"/>
    <s v="SUNDANCE"/>
    <s v="WY"/>
    <s v="82729"/>
    <s v="605-642-2981"/>
    <s v="HARTLELEC@GMAIL.COM"/>
    <s v="C&amp;I Custom Rebate :- Customer Incentives"/>
    <s v="Other Commercial"/>
    <s v="Office"/>
    <s v="Existing"/>
    <s v="Forced Air Furnace"/>
    <m/>
    <m/>
    <m/>
    <m/>
    <m/>
    <m/>
    <m/>
    <m/>
    <m/>
    <m/>
    <m/>
    <m/>
    <n v="14"/>
    <n v="0"/>
    <n v="0.98"/>
    <m/>
    <n v="2408"/>
    <m/>
    <m/>
    <m/>
    <m/>
    <m/>
    <n v="0"/>
    <n v="420"/>
    <n v="42935"/>
    <n v="42935.638149999999"/>
    <x v="1"/>
    <s v="A1D333D52EE547E2B72F3FB5511AF8FE"/>
    <n v="172"/>
    <n v="30"/>
    <n v="1648.9692929508194"/>
    <n v="62959.041603410769"/>
    <n v="174.05364750819672"/>
    <n v="6797.6715808767258"/>
  </r>
  <r>
    <n v="108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2977180975265188E-2"/>
    <n v="-2.0456070266675393E-2"/>
    <b v="0"/>
    <b v="0"/>
    <s v=""/>
    <s v="BHSCCR1534574707"/>
    <n v="1"/>
    <s v="BHSCCR1534574707"/>
    <s v="9798957253"/>
    <s v="PERFECT HANGING GALLERY"/>
    <s v="PERFECT HANGING GALLERY"/>
    <s v="PERFECT HANGING GALLERY"/>
    <s v="621 MAIN ST"/>
    <s v="RAPID CITY"/>
    <s v="SD"/>
    <s v="57701"/>
    <s v="BLACK HILLS LIGHTING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8"/>
    <n v="0"/>
    <n v="0.60799999999999998"/>
    <m/>
    <n v="1618.7840000000001"/>
    <m/>
    <m/>
    <m/>
    <m/>
    <m/>
    <n v="0"/>
    <n v="280"/>
    <n v="42940"/>
    <n v="42940.547665046302"/>
    <x v="1"/>
    <s v="57C9CA72F6E34D20BD763371F6143833"/>
    <n v="202.34800000000001"/>
    <n v="35"/>
    <n v="1648.9692929508194"/>
    <n v="62959.041603410769"/>
    <n v="174.05364750819672"/>
    <n v="6797.6715808767258"/>
  </r>
  <r>
    <n v="109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5809943283234282E-2"/>
    <n v="-2.5181217637778214E-2"/>
    <b v="0"/>
    <b v="0"/>
    <s v=""/>
    <s v="BHSCCR1534574707"/>
    <n v="0"/>
    <s v="BHSCCR1534574707"/>
    <s v="9798957253"/>
    <s v="PERFECT HANGING GALLERY"/>
    <s v="PERFECT HANGING GALLERY"/>
    <s v="PERFECT HANGING GALLERY"/>
    <s v="621 MAIN ST"/>
    <s v="RAPID CITY"/>
    <s v="SD"/>
    <s v="57701"/>
    <s v="BLACK HILLS LIGHTING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20"/>
    <n v="0"/>
    <n v="0.18"/>
    <m/>
    <n v="480"/>
    <m/>
    <m/>
    <m/>
    <m/>
    <m/>
    <n v="0"/>
    <n v="57.6"/>
    <n v="42940"/>
    <n v="42940.547665046302"/>
    <x v="1"/>
    <s v="B22527E8F3F5467BA106592742961C21"/>
    <n v="24"/>
    <n v="2.88"/>
    <n v="1648.9692929508194"/>
    <n v="62959.041603410769"/>
    <n v="174.05364750819672"/>
    <n v="6797.6715808767258"/>
  </r>
  <r>
    <n v="110"/>
    <s v="Non-Residential - BHPSD - C/I Custom"/>
    <b v="1"/>
    <s v="Non-Residential - BHPSD - C/I Custom_C&amp;I Custom Rebate :- Customer Incentives_Other Commercial"/>
    <s v="C&amp;I_C&amp;I Custom_Various_C&amp;I Custom"/>
    <x v="2"/>
    <x v="2"/>
    <x v="2"/>
    <x v="3"/>
    <n v="-2.527708256703522E-2"/>
    <n v="-2.4133800163237365E-2"/>
    <b v="0"/>
    <b v="0"/>
    <s v=""/>
    <s v="BHSCCR1534574707"/>
    <n v="0"/>
    <s v="BHSCCR1534574707"/>
    <s v="9798957253"/>
    <s v="PERFECT HANGING GALLERY"/>
    <s v="PERFECT HANGING GALLERY"/>
    <s v="PERFECT HANGING GALLERY"/>
    <s v="621 MAIN ST"/>
    <s v="RAPID CITY"/>
    <s v="SD"/>
    <s v="57701"/>
    <s v="BLACK HILLS LIGHTING"/>
    <s v="PO BOX 4035"/>
    <s v="RAPID CITY"/>
    <s v="SD"/>
    <s v="57709"/>
    <s v="605-381-9452"/>
    <m/>
    <s v="C&amp;I Custom Rebate :- Customer Incentives"/>
    <s v="Other Commercial"/>
    <s v="Other"/>
    <s v="Existing"/>
    <s v="Forced Air Furnace"/>
    <m/>
    <m/>
    <m/>
    <m/>
    <m/>
    <m/>
    <m/>
    <m/>
    <m/>
    <m/>
    <m/>
    <m/>
    <n v="1"/>
    <n v="0"/>
    <n v="2.1999999999999999E-2"/>
    <m/>
    <n v="57.548400000000001"/>
    <m/>
    <m/>
    <m/>
    <m/>
    <m/>
    <n v="0"/>
    <n v="10"/>
    <n v="42940"/>
    <n v="42940.547665046302"/>
    <x v="1"/>
    <s v="61F29D8752C54840A7351FEBA60159BA"/>
    <n v="57.548400000000001"/>
    <n v="10"/>
    <n v="1648.9692929508194"/>
    <n v="62959.041603410769"/>
    <n v="174.05364750819672"/>
    <n v="6797.6715808767258"/>
  </r>
  <r>
    <n v="111"/>
    <s v="Non-Residential - BHPSD - C/I Prescriptive Rebate"/>
    <b v="0"/>
    <s v="Non-Residential - BHPSD - C/I Prescriptive Rebate__"/>
    <n v="0"/>
    <x v="0"/>
    <x v="0"/>
    <x v="0"/>
    <x v="0"/>
    <s v=""/>
    <s v=""/>
    <b v="0"/>
    <b v="0"/>
    <s v="Non-Residential - BHPSD - C/I Prescriptive Rebate"/>
    <n v="66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530"/>
    <n v="0"/>
    <n v="397.78709300000003"/>
    <m/>
    <n v="1831274.4110000001"/>
    <m/>
    <m/>
    <m/>
    <m/>
    <m/>
    <n v="0"/>
    <n v="212569.81034"/>
    <s v=""/>
    <m/>
    <x v="0"/>
    <s v=""/>
    <n v="104.46516891043925"/>
    <n v="12.126058775812892"/>
    <e v="#N/A"/>
    <e v="#N/A"/>
    <e v="#N/A"/>
    <e v="#N/A"/>
  </r>
  <r>
    <n v="112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2834320"/>
    <n v="1"/>
    <s v="BHHPPS1532834320"/>
    <s v="3546493334"/>
    <s v="DAVID L"/>
    <s v="BUSSKOHL"/>
    <s v="DAVES ROCK SHOP"/>
    <s v="1020 MOUNT RUSHMORE RD                             ROCK SHOP"/>
    <s v="CUSTER"/>
    <s v="SD"/>
    <s v="57730"/>
    <s v="MENARDS"/>
    <s v="710 N CREEK DR"/>
    <s v="RAPID CITY"/>
    <s v="SD"/>
    <s v="57703"/>
    <s v="605-399-3922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8"/>
    <n v="0"/>
    <n v="0.11952"/>
    <m/>
    <n v="349.38400000000001"/>
    <m/>
    <m/>
    <m/>
    <m/>
    <m/>
    <n v="0"/>
    <n v="64"/>
    <n v="42835"/>
    <n v="42593.732703391201"/>
    <x v="1"/>
    <s v="96E03B0CAA5946E0AF6756CC4CC7D75A"/>
    <n v="43.673000000000002"/>
    <n v="8"/>
    <n v="71.928403166606657"/>
    <n v="30.28616226838243"/>
    <n v="10.421419234256929"/>
    <n v="3.9940053618595535"/>
  </r>
  <r>
    <n v="113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6067925266997778"/>
    <n v="-0.79127047621093749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s v="MENARDS"/>
    <s v="710 N CREEK DR"/>
    <s v="RAPID CITY"/>
    <s v="SD"/>
    <s v="57703"/>
    <s v="605-399-3922"/>
    <m/>
    <s v="C&amp;I Prescriptive Rebate :- C&amp;I Lighting :- Customer Incentives"/>
    <s v="Energy Star LED Lamps - 5W to 10W"/>
    <s v="Retail"/>
    <s v="Existing"/>
    <m/>
    <m/>
    <m/>
    <m/>
    <m/>
    <m/>
    <m/>
    <m/>
    <m/>
    <m/>
    <m/>
    <m/>
    <m/>
    <n v="2"/>
    <n v="0"/>
    <n v="5.9760000000000001E-2"/>
    <m/>
    <n v="174.69200000000001"/>
    <m/>
    <m/>
    <m/>
    <m/>
    <m/>
    <n v="0"/>
    <n v="6.42"/>
    <n v="42835"/>
    <n v="42593.732703391201"/>
    <x v="1"/>
    <s v="8247F16C24A3433A9F174DDFE9356E91"/>
    <n v="87.346000000000004"/>
    <n v="3.21"/>
    <n v="124.22266552020636"/>
    <n v="22.950483592270654"/>
    <n v="4.8732072914875317"/>
    <n v="2.1019453416888925"/>
  </r>
  <r>
    <n v="11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s v="MENARDS"/>
    <s v="710 N CREEK DR"/>
    <s v="RAPID CITY"/>
    <s v="SD"/>
    <s v="57703"/>
    <s v="605-399-3922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34"/>
    <n v="0"/>
    <n v="0.50795999999999997"/>
    <m/>
    <n v="1484.8820000000001"/>
    <m/>
    <m/>
    <m/>
    <m/>
    <m/>
    <n v="0"/>
    <n v="272"/>
    <n v="42835"/>
    <n v="42593.732703391201"/>
    <x v="1"/>
    <s v="43663287F4E643DEAA2FF60DB36BB9FF"/>
    <n v="43.673000000000002"/>
    <n v="8"/>
    <n v="71.928403166606657"/>
    <n v="30.28616226838243"/>
    <n v="10.421419234256929"/>
    <n v="3.9940053618595535"/>
  </r>
  <r>
    <n v="115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6067925266997778"/>
    <n v="-0.29649072177433061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s v="MENARDS"/>
    <s v="710 N CREEK DR"/>
    <s v="RAPID CITY"/>
    <s v="SD"/>
    <s v="57703"/>
    <s v="605-399-3922"/>
    <m/>
    <s v="C&amp;I Prescriptive Rebate :- C&amp;I Lighting :- Customer Incentives"/>
    <s v="Energy Star LED Lamps - 5W to 10W"/>
    <s v="Retail"/>
    <s v="Existing"/>
    <m/>
    <m/>
    <m/>
    <m/>
    <m/>
    <m/>
    <m/>
    <m/>
    <m/>
    <m/>
    <m/>
    <m/>
    <m/>
    <n v="2"/>
    <n v="0"/>
    <n v="5.9760000000000001E-2"/>
    <m/>
    <n v="174.69200000000001"/>
    <m/>
    <m/>
    <m/>
    <m/>
    <m/>
    <n v="0"/>
    <n v="8.5"/>
    <n v="42835"/>
    <n v="42593.732703391201"/>
    <x v="1"/>
    <s v="9849C99E33224450AC436E6EB98ED91E"/>
    <n v="87.346000000000004"/>
    <n v="4.25"/>
    <n v="124.22266552020636"/>
    <n v="22.950483592270654"/>
    <n v="4.8732072914875317"/>
    <n v="2.1019453416888925"/>
  </r>
  <r>
    <n v="116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6067925266997778"/>
    <n v="-1.0291453581516139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s v="MENARDS"/>
    <s v="710 N CREEK DR"/>
    <s v="RAPID CITY"/>
    <s v="SD"/>
    <s v="57703"/>
    <s v="605-399-3922"/>
    <m/>
    <s v="C&amp;I Prescriptive Rebate :- C&amp;I Lighting :- Customer Incentives"/>
    <s v="Energy Star LED Lamps - 5W to 10W"/>
    <s v="Retail"/>
    <s v="Existing"/>
    <m/>
    <m/>
    <m/>
    <m/>
    <m/>
    <m/>
    <m/>
    <m/>
    <m/>
    <m/>
    <m/>
    <m/>
    <m/>
    <n v="10"/>
    <n v="0"/>
    <n v="0.29880000000000001"/>
    <m/>
    <n v="873.46"/>
    <m/>
    <m/>
    <m/>
    <m/>
    <m/>
    <n v="0"/>
    <n v="27.1"/>
    <n v="42835"/>
    <n v="42593.732703391201"/>
    <x v="1"/>
    <s v="8280BA1D5915486E87D9160CB788A331"/>
    <n v="87.346000000000004"/>
    <n v="2.71"/>
    <n v="124.22266552020636"/>
    <n v="22.950483592270654"/>
    <n v="4.8732072914875317"/>
    <n v="2.1019453416888925"/>
  </r>
  <r>
    <n v="117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1.4199828794462095"/>
    <b v="0"/>
    <b v="0"/>
    <s v=""/>
    <s v="BHHPPS1532834320"/>
    <n v="0"/>
    <s v="BHHPPS1532834320"/>
    <s v="3546493334"/>
    <s v="DAVID L"/>
    <s v="BUSSKOHL"/>
    <s v="DAVES ROCK SHOP"/>
    <s v="1020 MOUNT RUSHMORE RD                             ROCK SHOP"/>
    <s v="CUSTER"/>
    <s v="SD"/>
    <s v="57730"/>
    <s v="MENARDS"/>
    <s v="710 N CREEK DR"/>
    <s v="RAPID CITY"/>
    <s v="SD"/>
    <s v="57703"/>
    <s v="605-399-3922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10"/>
    <n v="0"/>
    <n v="0.14940000000000001"/>
    <m/>
    <n v="436.73"/>
    <m/>
    <m/>
    <m/>
    <m/>
    <m/>
    <n v="0"/>
    <n v="47.5"/>
    <n v="42835"/>
    <n v="42593.732703391201"/>
    <x v="1"/>
    <s v="72BF192DA79940859C48D0DC2037F428"/>
    <n v="43.673000000000002"/>
    <n v="4.75"/>
    <n v="71.928403166606657"/>
    <n v="30.28616226838243"/>
    <n v="10.421419234256929"/>
    <n v="3.9940053618595535"/>
  </r>
  <r>
    <n v="118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1268030379184058"/>
    <n v="-4.8057188404622845E-3"/>
    <b v="0"/>
    <b v="0"/>
    <s v=""/>
    <s v="BHHPPS1532903451"/>
    <n v="1"/>
    <s v="BHHPPS1532903451"/>
    <s v="6055909084"/>
    <s v="CBH COOPERATIVE"/>
    <s v="CBH COOPERATIVE"/>
    <s v="CBH COOPERATIVE"/>
    <s v="2311 5TH AVE"/>
    <s v="BELLE FOURCHE"/>
    <s v="SD"/>
    <s v="57717"/>
    <s v="BHE"/>
    <s v="PO BOX 1400"/>
    <s v="RAPID CITY"/>
    <s v="SD"/>
    <s v="57709"/>
    <s v="605-721-2687"/>
    <m/>
    <s v="C&amp;I Prescriptive Rebate :- C&amp;I Lighting :- Customer Incentives"/>
    <s v="LED Fixtures Exterior &amp; Garage - 60W to 150W"/>
    <s v="Convenience"/>
    <s v="Existing"/>
    <m/>
    <m/>
    <m/>
    <m/>
    <m/>
    <m/>
    <m/>
    <m/>
    <m/>
    <m/>
    <m/>
    <m/>
    <m/>
    <n v="14"/>
    <n v="0"/>
    <n v="3.6151390000000001"/>
    <m/>
    <n v="16748.745999999999"/>
    <m/>
    <m/>
    <m/>
    <m/>
    <m/>
    <n v="0"/>
    <n v="1400"/>
    <n v="42625"/>
    <n v="42625.788249421297"/>
    <x v="1"/>
    <s v="2891919D6B1446B0A09817667C04F825"/>
    <n v="1196.3389999999999"/>
    <n v="100"/>
    <n v="1175.7261559139786"/>
    <n v="162.55796725694501"/>
    <n v="100.15639784946237"/>
    <n v="32.544111433560438"/>
  </r>
  <r>
    <n v="119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-4.8057188404622845E-3"/>
    <b v="0"/>
    <b v="0"/>
    <s v=""/>
    <s v="BHHPPS1532903452"/>
    <n v="1"/>
    <s v="BHHPPS1532903452"/>
    <s v="6055909084"/>
    <s v="CBH COOPERATIVE"/>
    <s v="CBH COOPERATIVE"/>
    <s v="CBH COOPERATIVE"/>
    <s v="2030 LAZELLE ST"/>
    <s v="STURGIS"/>
    <s v="SD"/>
    <s v="57785"/>
    <s v="BHE"/>
    <s v="PO BOX 1400"/>
    <s v="RAPID CITY"/>
    <s v="SD"/>
    <s v="57709"/>
    <s v="605-721-2687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32"/>
    <n v="0"/>
    <n v="7.9039070000000002"/>
    <m/>
    <n v="37036.127999999997"/>
    <m/>
    <m/>
    <m/>
    <m/>
    <m/>
    <n v="0"/>
    <n v="3200"/>
    <n v="42625"/>
    <n v="42625.797486921299"/>
    <x v="1"/>
    <s v="9807B2ECA873433A81D48867EB783E41"/>
    <n v="1157.3789999999999"/>
    <n v="100"/>
    <n v="1175.7261559139786"/>
    <n v="162.55796725694501"/>
    <n v="100.15639784946237"/>
    <n v="32.544111433560438"/>
  </r>
  <r>
    <n v="120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0.51704137446278264"/>
    <b v="0"/>
    <b v="0"/>
    <s v=""/>
    <s v="BHHPPS1532910932"/>
    <n v="1"/>
    <s v="BHHPPS1532910932"/>
    <s v="9464120950"/>
    <s v="CELEBRITY HOTEL"/>
    <s v="ROLLING HILLS FARM INVEST"/>
    <s v="ROLLING HILLS FARM INVEST"/>
    <s v="627 MAIN ST"/>
    <s v="DEADWOOD"/>
    <s v="SD"/>
    <s v="57732"/>
    <s v="DAKOTA SUPPLY GROUP"/>
    <s v="1936 MARLIN DR"/>
    <s v="RAPID CITY"/>
    <s v="SD"/>
    <s v="57703"/>
    <s v="605-348-7100"/>
    <s v="jwood@dsginc.biz"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39"/>
    <n v="0"/>
    <n v="0.94517300000000004"/>
    <m/>
    <n v="4428.8789999999999"/>
    <m/>
    <m/>
    <m/>
    <m/>
    <m/>
    <n v="0"/>
    <n v="232.44"/>
    <n v="42627"/>
    <n v="42627.686588078701"/>
    <x v="1"/>
    <s v="16B611841A6D4C349DDAF9EDFB861BB4"/>
    <n v="113.56099999999999"/>
    <n v="5.96"/>
    <n v="124.22266552020636"/>
    <n v="22.950483592270654"/>
    <n v="4.8732072914875317"/>
    <n v="2.1019453416888925"/>
  </r>
  <r>
    <n v="121"/>
    <s v="Non-Residential - BHPSD - C/I Prescriptive Rebate"/>
    <b v="1"/>
    <s v="Non-Residential - BHPSD - C/I Prescriptive Rebate_C&amp;I Prescriptive Rebate :- C&amp;I Lighting :- Customer Incentives_Energy Star LED Lamps - 5W or less"/>
    <s v="C&amp;I_C&amp;I Prescriptive_Lighting_Energy Star LED Lamp (≤5W)"/>
    <x v="2"/>
    <x v="3"/>
    <x v="3"/>
    <x v="7"/>
    <n v="-3.9408866995073705E-2"/>
    <n v="3.9408866995073871E-2"/>
    <b v="0"/>
    <b v="0"/>
    <s v=""/>
    <s v="BHHPPS1532910932"/>
    <n v="0"/>
    <s v="BHHPPS1532910932"/>
    <s v="9464120950"/>
    <s v="CELEBRITY HOTEL"/>
    <s v="ROLLING HILLS FARM INVEST"/>
    <s v="ROLLING HILLS FARM INVEST"/>
    <s v="627 MAIN ST"/>
    <s v="DEADWOOD"/>
    <s v="SD"/>
    <s v="57732"/>
    <s v="DAKOTA SUPPLY GROUP"/>
    <s v="1936 MARLIN DR"/>
    <s v="RAPID CITY"/>
    <s v="SD"/>
    <s v="57703"/>
    <s v="605-348-7100"/>
    <s v="jwood@dsginc.biz"/>
    <s v="C&amp;I Prescriptive Rebate :- C&amp;I Lighting :- Customer Incentives"/>
    <s v="Energy Star LED Lamps - 5W or less"/>
    <s v="Other"/>
    <s v="Existing"/>
    <m/>
    <m/>
    <m/>
    <m/>
    <m/>
    <m/>
    <m/>
    <m/>
    <m/>
    <m/>
    <m/>
    <m/>
    <m/>
    <n v="398"/>
    <n v="0"/>
    <n v="6.4304059999999996"/>
    <m/>
    <n v="30131.784"/>
    <m/>
    <m/>
    <m/>
    <m/>
    <m/>
    <n v="0"/>
    <n v="1990"/>
    <n v="42627"/>
    <n v="42627.686588078701"/>
    <x v="1"/>
    <s v="7322DE2D450745F6B8EC27FECD2C50DE"/>
    <n v="75.707999999999998"/>
    <n v="5"/>
    <n v="76.267448275862066"/>
    <n v="14.196000000000021"/>
    <n v="4.9761576354679802"/>
    <n v="0.60500000000000331"/>
  </r>
  <r>
    <n v="122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1.3319094756253556"/>
    <b v="0"/>
    <b v="0"/>
    <s v=""/>
    <s v="BHHPPS1532910932"/>
    <n v="0"/>
    <s v="BHHPPS1532910932"/>
    <s v="9464120950"/>
    <s v="CELEBRITY HOTEL"/>
    <s v="ROLLING HILLS FARM INVEST"/>
    <s v="ROLLING HILLS FARM INVEST"/>
    <s v="627 MAIN ST"/>
    <s v="DEADWOOD"/>
    <s v="SD"/>
    <s v="57732"/>
    <s v="DAKOTA SUPPLY GROUP"/>
    <s v="1936 MARLIN DR"/>
    <s v="RAPID CITY"/>
    <s v="SD"/>
    <s v="57703"/>
    <s v="605-348-7100"/>
    <s v="jwood@dsginc.biz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154"/>
    <n v="0"/>
    <n v="5.9093499999999999"/>
    <m/>
    <n v="27689.97"/>
    <m/>
    <m/>
    <m/>
    <m/>
    <m/>
    <n v="0"/>
    <n v="1925"/>
    <n v="42627"/>
    <n v="42627.686588078701"/>
    <x v="1"/>
    <s v="32961D5C4EE94AC79826907563B3A1D3"/>
    <n v="179.80500000000001"/>
    <n v="12.5"/>
    <n v="183.5885054112554"/>
    <n v="35.763002108901198"/>
    <n v="9.5846103896103898"/>
    <n v="2.1888796977142775"/>
  </r>
  <r>
    <n v="12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2913128"/>
    <n v="1"/>
    <s v="BHHPPS1532913128"/>
    <s v="7513202077"/>
    <s v="KENS MINERALS LLC"/>
    <s v="KENS MINERALS LLC"/>
    <s v="KENS MINERALS LLC"/>
    <s v="12372 US HIGHWAY 16A"/>
    <s v="CUSTER"/>
    <s v="SD"/>
    <s v="57730"/>
    <s v="STUDT ELECTRIC INC"/>
    <s v="12390 WILOW CREEK RD"/>
    <s v="CUSTER"/>
    <s v="SD"/>
    <s v="57730"/>
    <s v="605-673-2810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12"/>
    <n v="0"/>
    <n v="0.17927999999999999"/>
    <m/>
    <n v="524.07600000000002"/>
    <m/>
    <m/>
    <m/>
    <m/>
    <m/>
    <n v="0"/>
    <n v="96"/>
    <n v="42628"/>
    <n v="42628.496363275503"/>
    <x v="1"/>
    <s v="5F57E7FFBEAF4E5CA3AD7DDA9F13D7A9"/>
    <n v="43.673000000000002"/>
    <n v="8"/>
    <n v="71.928403166606657"/>
    <n v="30.28616226838243"/>
    <n v="10.421419234256929"/>
    <n v="3.9940053618595535"/>
  </r>
  <r>
    <n v="124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5090640635406195"/>
    <n v="1.3967384267971441"/>
    <b v="0"/>
    <b v="0"/>
    <s v=""/>
    <s v="BHHPPS1532913128"/>
    <n v="0"/>
    <s v="BHHPPS1532913128"/>
    <s v="7513202077"/>
    <s v="KENS MINERALS LLC"/>
    <s v="KENS MINERALS LLC"/>
    <s v="KENS MINERALS LLC"/>
    <s v="12372 US HIGHWAY 16A"/>
    <s v="CUSTER"/>
    <s v="SD"/>
    <s v="57730"/>
    <s v="STUDT ELECTRIC INC"/>
    <s v="12390 WILOW CREEK RD"/>
    <s v="CUSTER"/>
    <s v="SD"/>
    <s v="57730"/>
    <s v="605-673-2810"/>
    <m/>
    <s v="C&amp;I Prescriptive Rebate :- C&amp;I Lighting :- Customer Incentives"/>
    <s v="LED Replacement for T12 Linear Fluorescent Lamps - 4 ft or less"/>
    <s v="Retail"/>
    <s v="Existing"/>
    <m/>
    <m/>
    <m/>
    <m/>
    <m/>
    <m/>
    <m/>
    <m/>
    <m/>
    <m/>
    <m/>
    <m/>
    <m/>
    <n v="40"/>
    <n v="0"/>
    <n v="1.1952"/>
    <m/>
    <n v="3493.84"/>
    <m/>
    <m/>
    <m/>
    <m/>
    <m/>
    <n v="0"/>
    <n v="640"/>
    <n v="42628"/>
    <n v="42628.496363275503"/>
    <x v="1"/>
    <s v="710AABFEEEF44A389785A7DE9C0E2E71"/>
    <n v="87.346000000000004"/>
    <n v="16"/>
    <n v="71.928403166606657"/>
    <n v="30.28616226838243"/>
    <n v="10.421419234256929"/>
    <n v="3.9940053618595535"/>
  </r>
  <r>
    <n v="125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1.2664346598571101"/>
    <n v="1.3319094756253556"/>
    <b v="0"/>
    <b v="0"/>
    <s v=""/>
    <s v="BHHPPS1532913128"/>
    <n v="0"/>
    <s v="BHHPPS1532913128"/>
    <s v="7513202077"/>
    <s v="KENS MINERALS LLC"/>
    <s v="KENS MINERALS LLC"/>
    <s v="KENS MINERALS LLC"/>
    <s v="12372 US HIGHWAY 16A"/>
    <s v="CUSTER"/>
    <s v="SD"/>
    <s v="57730"/>
    <s v="STUDT ELECTRIC INC"/>
    <s v="12390 WILOW CREEK RD"/>
    <s v="CUSTER"/>
    <s v="SD"/>
    <s v="57730"/>
    <s v="605-673-2810"/>
    <m/>
    <s v="C&amp;I Prescriptive Rebate :- C&amp;I Lighting :- Customer Incentives"/>
    <s v="Energy Star LED Lamps - 10W or greater"/>
    <s v="Retail"/>
    <s v="Existing"/>
    <m/>
    <m/>
    <m/>
    <m/>
    <m/>
    <m/>
    <m/>
    <m/>
    <m/>
    <m/>
    <m/>
    <m/>
    <m/>
    <n v="5"/>
    <n v="0"/>
    <n v="0.23655000000000001"/>
    <m/>
    <n v="691.48500000000001"/>
    <m/>
    <m/>
    <m/>
    <m/>
    <m/>
    <n v="0"/>
    <n v="62.5"/>
    <n v="42628"/>
    <n v="42628.496363275503"/>
    <x v="1"/>
    <s v="B351AC2A2AEB4E998A90C9EF864CD293"/>
    <n v="138.297"/>
    <n v="12.5"/>
    <n v="183.5885054112554"/>
    <n v="35.763002108901198"/>
    <n v="9.5846103896103898"/>
    <n v="2.1888796977142775"/>
  </r>
  <r>
    <n v="126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0.85592793599842021"/>
    <b v="0"/>
    <b v="0"/>
    <s v=""/>
    <s v="BHHPPS1532913553"/>
    <n v="1"/>
    <s v="BHHPPS1532913553"/>
    <s v="9045807119"/>
    <s v="BH COMMUNITY BANK"/>
    <s v="BH COMMUNITY BANK"/>
    <s v="BH COMMUNITY BANK"/>
    <s v="840 MOUNT RUSHMORE RD"/>
    <s v="RAPID CITY"/>
    <s v="SD"/>
    <s v="57701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399"/>
    <n v="0"/>
    <n v="4.4557130000000003"/>
    <m/>
    <n v="19812.345000000001"/>
    <m/>
    <m/>
    <m/>
    <m/>
    <m/>
    <n v="0"/>
    <n v="5522.16"/>
    <n v="42628"/>
    <n v="42628.684845486103"/>
    <x v="1"/>
    <s v="49D2C58A0D424687A6EF2AF768BCAB77"/>
    <n v="49.655000000000001"/>
    <n v="13.84"/>
    <n v="71.928403166606657"/>
    <n v="30.28616226838243"/>
    <n v="10.421419234256929"/>
    <n v="3.9940053618595535"/>
  </r>
  <r>
    <n v="127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0854963216808442"/>
    <n v="1.7254457747214187"/>
    <b v="0"/>
    <b v="0"/>
    <s v=""/>
    <s v="BHHPPS1532913553"/>
    <n v="0"/>
    <s v="BHHPPS1532913553"/>
    <s v="9045807119"/>
    <s v="BH COMMUNITY BANK"/>
    <s v="BH COMMUNITY BANK"/>
    <s v="BH COMMUNITY BANK"/>
    <s v="840 MOUNT RUSHMORE RD"/>
    <s v="RAPID CITY"/>
    <s v="SD"/>
    <s v="57701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Energy Star LED Lamps - 5W to 10W"/>
    <s v="Office"/>
    <s v="Existing"/>
    <m/>
    <m/>
    <m/>
    <m/>
    <m/>
    <m/>
    <m/>
    <m/>
    <m/>
    <m/>
    <m/>
    <m/>
    <m/>
    <n v="90"/>
    <n v="0"/>
    <n v="2.0100959999999999"/>
    <m/>
    <n v="8937.9"/>
    <m/>
    <m/>
    <m/>
    <m/>
    <m/>
    <n v="0"/>
    <n v="765"/>
    <n v="42628"/>
    <n v="42628.684845486103"/>
    <x v="1"/>
    <s v="B0B4B498EBCB41BAB88BEF72CB7752A7"/>
    <n v="99.31"/>
    <n v="8.5"/>
    <n v="124.22266552020636"/>
    <n v="22.950483592270654"/>
    <n v="4.8732072914875317"/>
    <n v="2.1019453416888925"/>
  </r>
  <r>
    <n v="128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2.9859042963554194"/>
    <b v="0"/>
    <b v="1"/>
    <s v=""/>
    <s v="BHHPPS1532913633"/>
    <n v="1"/>
    <s v="BHHPPS1532913633"/>
    <s v="4078328840"/>
    <s v="ROBINSON ENT CENTER LLC"/>
    <s v="ROBINSON ENT CENTER LLC"/>
    <s v="ROBINSON ENT CENTER LLC"/>
    <s v="805 E SAINT PATRICK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4"/>
    <n v="0"/>
    <n v="0.98798799999999998"/>
    <m/>
    <n v="4629.5159999999996"/>
    <m/>
    <m/>
    <m/>
    <m/>
    <m/>
    <n v="0"/>
    <n v="789.32"/>
    <n v="42628"/>
    <n v="42628.752856712999"/>
    <x v="1"/>
    <s v="998351C1B8FD4601B71BFC0458194602"/>
    <n v="1157.3789999999999"/>
    <n v="197.33"/>
    <n v="1175.7261559139786"/>
    <n v="162.55796725694501"/>
    <n v="100.15639784946237"/>
    <n v="32.544111433560438"/>
  </r>
  <r>
    <n v="129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0.49527084869422489"/>
    <s v="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Linear Fluorescent Lamps - 5 to 8 f"/>
    <s v="Other"/>
    <s v="Existing"/>
    <m/>
    <m/>
    <m/>
    <m/>
    <m/>
    <m/>
    <m/>
    <m/>
    <m/>
    <m/>
    <m/>
    <m/>
    <m/>
    <n v="36"/>
    <n v="0"/>
    <n v="1.3523240000000001"/>
    <m/>
    <n v="6336.72"/>
    <m/>
    <m/>
    <m/>
    <m/>
    <m/>
    <n v="0"/>
    <n v="828"/>
    <n v="42628"/>
    <n v="42628.752856712999"/>
    <x v="1"/>
    <s v="4E47F129F2884926BA35B11950A35D60"/>
    <n v="176.02"/>
    <n v="23"/>
    <n v="159.23217764165389"/>
    <n v="33.896245665592865"/>
    <n v="23"/>
    <n v="0"/>
  </r>
  <r>
    <n v="13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1.3319094756253556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69"/>
    <n v="0"/>
    <n v="2.6476959999999998"/>
    <m/>
    <n v="12406.545"/>
    <m/>
    <m/>
    <m/>
    <m/>
    <m/>
    <n v="0"/>
    <n v="862.5"/>
    <n v="42628"/>
    <n v="42628.752856712999"/>
    <x v="1"/>
    <s v="D3893005AA0D4FDD8EB8719DDBE72790"/>
    <n v="179.80500000000001"/>
    <n v="12.5"/>
    <n v="183.5885054112554"/>
    <n v="35.763002108901198"/>
    <n v="9.5846103896103898"/>
    <n v="2.1888796977142775"/>
  </r>
  <r>
    <n v="131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673"/>
    <n v="-4.8057188404622845E-3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3"/>
    <n v="0"/>
    <n v="0.74099099999999996"/>
    <m/>
    <n v="3472.1370000000002"/>
    <m/>
    <m/>
    <m/>
    <m/>
    <m/>
    <n v="0"/>
    <n v="300"/>
    <n v="42628"/>
    <n v="42628.752856712999"/>
    <x v="1"/>
    <s v="226E9B39C1FF4DB8A883C2CE28AC5CE5"/>
    <n v="1157.3790000000001"/>
    <n v="100"/>
    <n v="1175.7261559139786"/>
    <n v="162.55796725694501"/>
    <n v="100.15639784946237"/>
    <n v="32.544111433560438"/>
  </r>
  <r>
    <n v="132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1.7254457747214187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36"/>
    <n v="0"/>
    <n v="0.87246699999999999"/>
    <m/>
    <n v="4088.1959999999999"/>
    <m/>
    <m/>
    <m/>
    <m/>
    <m/>
    <n v="0"/>
    <n v="306"/>
    <n v="42628"/>
    <n v="42628.752856712999"/>
    <x v="1"/>
    <s v="10A4513F914E436F98A9E6638DA07AFC"/>
    <n v="113.56099999999999"/>
    <n v="8.5"/>
    <n v="124.22266552020636"/>
    <n v="22.950483592270654"/>
    <n v="4.8732072914875317"/>
    <n v="2.1019453416888925"/>
  </r>
  <r>
    <n v="13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6"/>
    <n v="0"/>
    <n v="7.2706000000000007E-2"/>
    <m/>
    <n v="340.68599999999998"/>
    <m/>
    <m/>
    <m/>
    <m/>
    <m/>
    <n v="0"/>
    <n v="48"/>
    <n v="42628"/>
    <n v="42628.752856712999"/>
    <x v="1"/>
    <s v="DD1B35490A1449DABCB841DEA3D8B712"/>
    <n v="56.780999999999999"/>
    <n v="8"/>
    <n v="71.928403166606657"/>
    <n v="30.28616226838243"/>
    <n v="10.421419234256929"/>
    <n v="3.9940053618595535"/>
  </r>
  <r>
    <n v="134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703"/>
    <n v="0.74402665660424805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9"/>
    <n v="0"/>
    <n v="1.185101"/>
    <m/>
    <n v="5553.1440000000002"/>
    <m/>
    <m/>
    <m/>
    <m/>
    <m/>
    <n v="0"/>
    <n v="675"/>
    <n v="42628"/>
    <n v="42628.752856712999"/>
    <x v="1"/>
    <s v="A7E319E517A84F1AB8E7C8D9BAD9B931"/>
    <n v="617.01600000000008"/>
    <n v="75"/>
    <n v="540.38278358208959"/>
    <n v="100.67961898397597"/>
    <n v="63.736940298507463"/>
    <n v="15.137978729011348"/>
  </r>
  <r>
    <n v="13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3967384267971441"/>
    <b v="0"/>
    <b v="0"/>
    <s v=""/>
    <s v="BHHPPS1532913633"/>
    <n v="0"/>
    <s v="BHHPPS1532913633"/>
    <s v="4078328840"/>
    <s v="ROBINSON ENT CENTER LLC"/>
    <s v="ROBINSON ENT CENTER LLC"/>
    <s v="ROBINSON ENT CENTER LLC"/>
    <s v="805 E SAINT PATRICK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296"/>
    <n v="0"/>
    <n v="7.1736190000000004"/>
    <m/>
    <n v="33614.055999999997"/>
    <m/>
    <m/>
    <m/>
    <m/>
    <m/>
    <n v="0"/>
    <n v="4736"/>
    <n v="42628"/>
    <n v="42628.752856712999"/>
    <x v="1"/>
    <s v="4769C9B6529E419AB04E2FA5C78C737F"/>
    <n v="113.56099999999999"/>
    <n v="16"/>
    <n v="71.928403166606657"/>
    <n v="30.28616226838243"/>
    <n v="10.421419234256929"/>
    <n v="3.9940053618595535"/>
  </r>
  <r>
    <n v="136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2.0846659860123062"/>
    <b v="0"/>
    <b v="1"/>
    <s v=""/>
    <s v="BHHPPS1533025585"/>
    <n v="1"/>
    <s v="BHHPPS1533025585"/>
    <s v="4403360152"/>
    <s v="CENTRAL STATES FAIR"/>
    <s v="CENTRAL STATES FAIR"/>
    <s v="CENTRAL STATES FAIR"/>
    <s v="811 E CENTRE ST                                    INFIELD"/>
    <s v="RAPID CITY"/>
    <s v="SD"/>
    <s v="57701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4"/>
    <n v="0"/>
    <n v="0.98798799999999998"/>
    <m/>
    <n v="4629.5159999999996"/>
    <m/>
    <m/>
    <m/>
    <m/>
    <m/>
    <n v="0"/>
    <n v="672"/>
    <n v="42654"/>
    <n v="42654.793417361099"/>
    <x v="1"/>
    <s v="AB36469654804B51B667F79CED46E440"/>
    <n v="1157.3789999999999"/>
    <n v="168"/>
    <n v="1175.7261559139786"/>
    <n v="162.55796725694501"/>
    <n v="100.15639784946237"/>
    <n v="32.544111433560438"/>
  </r>
  <r>
    <n v="137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3025585"/>
    <n v="0"/>
    <s v="BHHPPS1533025585"/>
    <s v="4403360152"/>
    <s v="CENTRAL STATES FAIR"/>
    <s v="CENTRAL STATES FAIR"/>
    <s v="CENTRAL STATES FAIR"/>
    <s v="811 E CENTRE ST                                    INFIELD"/>
    <s v="RAPID CITY"/>
    <s v="SD"/>
    <s v="57701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3"/>
    <n v="0"/>
    <n v="0.395034"/>
    <m/>
    <n v="1851.048"/>
    <m/>
    <m/>
    <m/>
    <m/>
    <m/>
    <n v="0"/>
    <n v="225"/>
    <n v="42654"/>
    <n v="42654.793417361099"/>
    <x v="1"/>
    <s v="A40E529927524D75B331270B48A6257C"/>
    <n v="617.01599999999996"/>
    <n v="75"/>
    <n v="540.38278358208959"/>
    <n v="100.67961898397597"/>
    <n v="63.736940298507463"/>
    <n v="15.137978729011348"/>
  </r>
  <r>
    <n v="138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5090640635406195"/>
    <n v="1.3967384267971441"/>
    <b v="0"/>
    <b v="0"/>
    <s v=""/>
    <s v="BHHPPS1533052953"/>
    <n v="1"/>
    <s v="BHHPPS1533052953"/>
    <s v="4971457645"/>
    <s v="SAINT JOE ANTIQUE MALL"/>
    <s v="SAINT JOE ANTIQUE MALL"/>
    <s v="SAINT JOE ANTIQUE MALL"/>
    <s v="615 SAINT JOSEPH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T12 Linear Fluorescent Lamps - 4 ft or less"/>
    <s v="Retail"/>
    <s v="Existing"/>
    <m/>
    <m/>
    <m/>
    <m/>
    <m/>
    <m/>
    <m/>
    <m/>
    <m/>
    <m/>
    <m/>
    <m/>
    <m/>
    <n v="96"/>
    <n v="0"/>
    <n v="2.8684799999999999"/>
    <m/>
    <n v="8385.2160000000003"/>
    <m/>
    <m/>
    <m/>
    <m/>
    <m/>
    <n v="0"/>
    <n v="1536"/>
    <n v="42667"/>
    <n v="42667.512082060202"/>
    <x v="1"/>
    <s v="E55A66F2BE7C426995B8B622F043A9F4"/>
    <n v="87.346000000000004"/>
    <n v="16"/>
    <n v="71.928403166606657"/>
    <n v="30.28616226838243"/>
    <n v="10.421419234256929"/>
    <n v="3.9940053618595535"/>
  </r>
  <r>
    <n v="139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-0.70350498037189668"/>
    <s v=""/>
    <b v="0"/>
    <b v="0"/>
    <s v=""/>
    <s v="BHHPPS1533052953"/>
    <n v="0"/>
    <s v="BHHPPS1533052953"/>
    <s v="4971457645"/>
    <s v="SAINT JOE ANTIQUE MALL"/>
    <s v="SAINT JOE ANTIQUE MALL"/>
    <s v="SAINT JOE ANTIQUE MALL"/>
    <s v="615 SAINT JOSEPH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Linear Fluorescent Lamps - 5 to 8 f"/>
    <s v="Retail"/>
    <s v="Existing"/>
    <m/>
    <m/>
    <m/>
    <m/>
    <m/>
    <m/>
    <m/>
    <m/>
    <m/>
    <m/>
    <m/>
    <m/>
    <m/>
    <n v="164"/>
    <n v="0"/>
    <n v="7.5954959999999998"/>
    <m/>
    <n v="22203.304"/>
    <m/>
    <m/>
    <m/>
    <m/>
    <m/>
    <n v="0"/>
    <n v="3772"/>
    <n v="42667"/>
    <n v="42667.512082060202"/>
    <x v="1"/>
    <s v="F0B4D9F058044D9A95E5B834D99C9A1D"/>
    <n v="135.386"/>
    <n v="23"/>
    <n v="159.23217764165389"/>
    <n v="33.896245665592865"/>
    <n v="23"/>
    <n v="0"/>
  </r>
  <r>
    <n v="20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2.0923283799330266"/>
    <n v="1.3967384267971441"/>
    <b v="1"/>
    <b v="0"/>
    <s v=""/>
    <s v="BHHPPS1533063427"/>
    <n v="1"/>
    <s v="BHHPPS1533063427"/>
    <s v="1812563563"/>
    <s v="RC MEDICAL CENTER"/>
    <s v="RC MEDICAL CENTER"/>
    <s v="RC MEDICAL CENTER"/>
    <s v="2820 MOUNT RUSHMORE RD"/>
    <s v="RAPID CITY"/>
    <s v="SD"/>
    <s v="57701"/>
    <s v="GRAYBAR"/>
    <s v="2810 NORTH FIRST AVE"/>
    <s v="SIOUX FALLS"/>
    <s v="SD"/>
    <s v="57101"/>
    <s v="605-731-7918"/>
    <m/>
    <s v="C&amp;I Prescriptive Rebate :- C&amp;I Lighting :- Customer Incentives"/>
    <s v="LED Replacement for T12 Linear Fluorescent Lamps - 4 ft or less"/>
    <s v="Health Care"/>
    <s v="Existing"/>
    <m/>
    <m/>
    <m/>
    <m/>
    <m/>
    <m/>
    <m/>
    <m/>
    <m/>
    <m/>
    <m/>
    <m/>
    <m/>
    <n v="1120"/>
    <n v="0"/>
    <n v="29.635200000000001"/>
    <m/>
    <n v="151532.64000000001"/>
    <m/>
    <m/>
    <m/>
    <m/>
    <m/>
    <n v="0"/>
    <n v="17920"/>
    <n v="42670"/>
    <n v="42670.4809193287"/>
    <x v="1"/>
    <s v="8E058EA355334E618117DF1BAB7D6DA7"/>
    <n v="135.29700000000003"/>
    <n v="16"/>
    <n v="71.928403166606657"/>
    <n v="30.28616226838243"/>
    <n v="10.421419234256929"/>
    <n v="3.9940053618595535"/>
  </r>
  <r>
    <n v="141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3063427"/>
    <n v="0"/>
    <s v="BHHPPS1533063427"/>
    <s v="1812563563"/>
    <s v="RC MEDICAL CENTER"/>
    <s v="RC MEDICAL CENTER"/>
    <s v="RC MEDICAL CENTER"/>
    <s v="2820 MOUNT RUSHMORE RD"/>
    <s v="RAPID CITY"/>
    <s v="SD"/>
    <s v="57701"/>
    <s v="GRAYBAR"/>
    <s v="2810 NORTH FIRST AVE"/>
    <s v="SIOUX FALLS"/>
    <s v="SD"/>
    <s v="57101"/>
    <s v="605-731-7918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162"/>
    <n v="0"/>
    <n v="2.1432600000000002"/>
    <m/>
    <n v="10959.138000000001"/>
    <m/>
    <m/>
    <m/>
    <m/>
    <m/>
    <n v="0"/>
    <n v="1296"/>
    <n v="42670"/>
    <n v="42670.4809193287"/>
    <x v="1"/>
    <s v="1EBECE7781CA4A9790752491F2767C8A"/>
    <n v="67.649000000000001"/>
    <n v="8"/>
    <n v="71.928403166606657"/>
    <n v="30.28616226838243"/>
    <n v="10.421419234256929"/>
    <n v="3.9940053618595535"/>
  </r>
  <r>
    <n v="142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3071924"/>
    <n v="1"/>
    <s v="BHHPPS1533071924"/>
    <s v="9030249117"/>
    <s v="W CENTRAL HOLLOW METAL"/>
    <s v="W CENTRAL HOLLOW METAL"/>
    <s v="W CENTRAL HOLLOW METAL"/>
    <s v="910 E SAINT ANDREW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6"/>
    <n v="0"/>
    <n v="0.79006799999999999"/>
    <m/>
    <n v="3702.096"/>
    <m/>
    <m/>
    <m/>
    <m/>
    <m/>
    <n v="0"/>
    <n v="450"/>
    <n v="42675"/>
    <n v="42674.699255590298"/>
    <x v="1"/>
    <s v="36B8F18BDFEF41CFA1D41755DA4A295C"/>
    <n v="617.01599999999996"/>
    <n v="75"/>
    <n v="540.38278358208959"/>
    <n v="100.67961898397597"/>
    <n v="63.736940298507463"/>
    <n v="15.137978729011348"/>
  </r>
  <r>
    <n v="143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3967384267971441"/>
    <b v="0"/>
    <b v="0"/>
    <s v=""/>
    <s v="BHHPPS1533071924"/>
    <n v="0"/>
    <s v="BHHPPS1533071924"/>
    <s v="9030249117"/>
    <s v="W CENTRAL HOLLOW METAL"/>
    <s v="W CENTRAL HOLLOW METAL"/>
    <s v="W CENTRAL HOLLOW METAL"/>
    <s v="910 E SAINT ANDREW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210"/>
    <n v="0"/>
    <n v="5.0893920000000001"/>
    <m/>
    <n v="23847.81"/>
    <m/>
    <m/>
    <m/>
    <m/>
    <m/>
    <n v="0"/>
    <n v="3360"/>
    <n v="42675"/>
    <n v="42674.699255590298"/>
    <x v="1"/>
    <s v="F180CE084A814C31AEF8DD03AE80AA23"/>
    <n v="113.56100000000001"/>
    <n v="16"/>
    <n v="71.928403166606657"/>
    <n v="30.28616226838243"/>
    <n v="10.421419234256929"/>
    <n v="3.9940053618595535"/>
  </r>
  <r>
    <n v="144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0.49527084869422489"/>
    <s v=""/>
    <b v="0"/>
    <b v="0"/>
    <s v=""/>
    <s v="BHHPPS1533071924"/>
    <n v="0"/>
    <s v="BHHPPS1533071924"/>
    <s v="9030249117"/>
    <s v="W CENTRAL HOLLOW METAL"/>
    <s v="W CENTRAL HOLLOW METAL"/>
    <s v="W CENTRAL HOLLOW METAL"/>
    <s v="910 E SAINT ANDREW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Linear Fluorescent Lamps - 5 to 8 f"/>
    <s v="Other"/>
    <s v="Existing"/>
    <m/>
    <m/>
    <m/>
    <m/>
    <m/>
    <m/>
    <m/>
    <m/>
    <m/>
    <m/>
    <m/>
    <m/>
    <m/>
    <n v="169"/>
    <n v="0"/>
    <n v="6.3484109999999996"/>
    <m/>
    <n v="29747.38"/>
    <m/>
    <m/>
    <m/>
    <m/>
    <m/>
    <n v="0"/>
    <n v="3887"/>
    <n v="42675"/>
    <n v="42674.699255590298"/>
    <x v="1"/>
    <s v="2955585AEC5E41E99DC4BD2F8BC1514D"/>
    <n v="176.02"/>
    <n v="23"/>
    <n v="159.23217764165389"/>
    <n v="33.896245665592865"/>
    <n v="23"/>
    <n v="0"/>
  </r>
  <r>
    <n v="14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92238813837952005"/>
    <n v="1.3967384267971441"/>
    <b v="0"/>
    <b v="0"/>
    <s v=""/>
    <s v="BHHPPS1533104569"/>
    <n v="1"/>
    <s v="BHHPPS1533104569"/>
    <s v="3024133820"/>
    <s v="KRULLS MARKET"/>
    <s v="KRULLS MARKET"/>
    <s v="KRULLS MARKET"/>
    <s v="531 E MAIN ST"/>
    <s v="HILL CITY"/>
    <s v="SD"/>
    <s v="57745"/>
    <s v="TITAN LED INC"/>
    <s v="4590 ISH DR UNIT #100"/>
    <s v="SIMI VALLEY"/>
    <s v="CA"/>
    <s v="93063"/>
    <s v="805-523-7500"/>
    <m/>
    <s v="C&amp;I Prescriptive Rebate :- C&amp;I Lighting :- Customer Incentives"/>
    <s v="LED Replacement for T12 Linear Fluorescent Lamps - 4 ft or less"/>
    <s v="Grocery"/>
    <s v="Existing"/>
    <m/>
    <m/>
    <m/>
    <m/>
    <m/>
    <m/>
    <m/>
    <m/>
    <m/>
    <m/>
    <m/>
    <m/>
    <m/>
    <n v="37"/>
    <n v="0"/>
    <n v="0.82717200000000002"/>
    <m/>
    <n v="3694.9679999999998"/>
    <m/>
    <m/>
    <m/>
    <m/>
    <m/>
    <n v="0"/>
    <n v="592"/>
    <n v="42678"/>
    <n v="42678.695870451404"/>
    <x v="1"/>
    <s v="B646FB9FD32E4BB49B38D5B4106B108D"/>
    <n v="99.86399999999999"/>
    <n v="16"/>
    <n v="71.928403166606657"/>
    <n v="30.28616226838243"/>
    <n v="10.421419234256929"/>
    <n v="3.9940053618595535"/>
  </r>
  <r>
    <n v="146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97162359113610708"/>
    <n v="-4.8057188404622845E-3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s v="TITAN LED INC"/>
    <s v="4590 ISH DR UNIT #100"/>
    <s v="SIMI VALLEY"/>
    <s v="CA"/>
    <s v="93063"/>
    <s v="805-523-7500"/>
    <m/>
    <s v="C&amp;I Prescriptive Rebate :- C&amp;I Lighting :- Customer Incentives"/>
    <s v="LED Fixtures Exterior &amp; Garage - 60W to 150W"/>
    <s v="Grocery"/>
    <s v="Existing"/>
    <m/>
    <m/>
    <m/>
    <m/>
    <m/>
    <m/>
    <m/>
    <m/>
    <m/>
    <m/>
    <m/>
    <m/>
    <m/>
    <n v="2"/>
    <n v="0"/>
    <n v="0.45568999999999998"/>
    <m/>
    <n v="2035.5619999999999"/>
    <m/>
    <m/>
    <m/>
    <m/>
    <m/>
    <n v="0"/>
    <n v="200"/>
    <n v="42678"/>
    <n v="42678.695870451404"/>
    <x v="1"/>
    <s v="7A400E06338A4B549C987D1C479BA11E"/>
    <n v="1017.7809999999999"/>
    <n v="100"/>
    <n v="1175.7261559139786"/>
    <n v="162.55796725694501"/>
    <n v="100.15639784946237"/>
    <n v="32.544111433560438"/>
  </r>
  <r>
    <n v="147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2.1962900140318212E-2"/>
    <n v="0.74402665660424805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s v="TITAN LED INC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Grocery"/>
    <s v="Existing"/>
    <m/>
    <m/>
    <m/>
    <m/>
    <m/>
    <m/>
    <m/>
    <m/>
    <m/>
    <m/>
    <m/>
    <m/>
    <m/>
    <n v="3"/>
    <n v="0"/>
    <n v="0.36440299999999998"/>
    <m/>
    <n v="1627.7819999999999"/>
    <m/>
    <m/>
    <m/>
    <m/>
    <m/>
    <n v="0"/>
    <n v="225"/>
    <n v="42678"/>
    <n v="42678.695870451404"/>
    <x v="1"/>
    <s v="F292082DFA2F454EB94248B0B1B70BAC"/>
    <n v="542.59399999999994"/>
    <n v="75"/>
    <n v="540.38278358208959"/>
    <n v="100.67961898397597"/>
    <n v="63.736940298507463"/>
    <n v="15.137978729011348"/>
  </r>
  <r>
    <n v="148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0613573967744179"/>
    <n v="0.53607136501803676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s v="TITAN LED INC"/>
    <s v="4590 ISH DR UNIT #100"/>
    <s v="SIMI VALLEY"/>
    <s v="CA"/>
    <s v="93063"/>
    <s v="805-523-7500"/>
    <m/>
    <s v="C&amp;I Prescriptive Rebate :- C&amp;I Lighting :- Customer Incentives"/>
    <s v="Energy Star LED Lamps - 5W to 10W"/>
    <s v="Grocery"/>
    <s v="Existing"/>
    <m/>
    <m/>
    <m/>
    <m/>
    <m/>
    <m/>
    <m/>
    <m/>
    <m/>
    <m/>
    <m/>
    <m/>
    <m/>
    <n v="11"/>
    <n v="0"/>
    <n v="0.245916"/>
    <m/>
    <n v="1098.5039999999999"/>
    <m/>
    <m/>
    <m/>
    <m/>
    <m/>
    <n v="0"/>
    <n v="66"/>
    <n v="42678"/>
    <n v="42678.695870451404"/>
    <x v="1"/>
    <s v="7528AF38587046909AAAE95CED2B8785"/>
    <n v="99.86399999999999"/>
    <n v="6"/>
    <n v="124.22266552020636"/>
    <n v="22.950483592270654"/>
    <n v="4.8732072914875317"/>
    <n v="2.1019453416888925"/>
  </r>
  <r>
    <n v="149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-0.13108170401785971"/>
    <s v="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s v="TITAN LED INC"/>
    <s v="4590 ISH DR UNIT #100"/>
    <s v="SIMI VALLEY"/>
    <s v="CA"/>
    <s v="93063"/>
    <s v="805-523-7500"/>
    <m/>
    <s v="C&amp;I Prescriptive Rebate :- C&amp;I Lighting :- Customer Incentives"/>
    <s v="LED Replacement for Linear Fluorescent Lamps - 5 to 8 f"/>
    <s v="Grocery"/>
    <s v="Existing"/>
    <m/>
    <m/>
    <m/>
    <m/>
    <m/>
    <m/>
    <m/>
    <m/>
    <m/>
    <m/>
    <m/>
    <m/>
    <m/>
    <n v="248"/>
    <n v="0"/>
    <n v="8.5936459999999997"/>
    <m/>
    <n v="38387.671999999999"/>
    <m/>
    <m/>
    <m/>
    <m/>
    <m/>
    <n v="0"/>
    <n v="5704"/>
    <n v="42678"/>
    <n v="42678.695870451404"/>
    <x v="1"/>
    <s v="215603D8B3FA471FB9F9B1037D77A0F5"/>
    <n v="154.78899999999999"/>
    <n v="23"/>
    <n v="159.23217764165389"/>
    <n v="33.896245665592865"/>
    <n v="23"/>
    <n v="0"/>
  </r>
  <r>
    <n v="15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7122026650250356"/>
    <n v="-0.72393672035293133"/>
    <b v="0"/>
    <b v="0"/>
    <s v=""/>
    <s v="BHHPPS1533104569"/>
    <n v="0"/>
    <s v="BHHPPS1533104569"/>
    <s v="3024133820"/>
    <s v="KRULLS MARKET"/>
    <s v="KRULLS MARKET"/>
    <s v="KRULLS MARKET"/>
    <s v="531 E MAIN ST"/>
    <s v="HILL CITY"/>
    <s v="SD"/>
    <s v="57745"/>
    <s v="TITAN LED INC"/>
    <s v="4590 ISH DR UNIT #100"/>
    <s v="SIMI VALLEY"/>
    <s v="CA"/>
    <s v="93063"/>
    <s v="805-523-7500"/>
    <m/>
    <s v="C&amp;I Prescriptive Rebate :- C&amp;I Lighting :- Customer Incentives"/>
    <s v="Energy Star LED Lamps - 10W or greater"/>
    <s v="Grocery"/>
    <s v="Existing"/>
    <m/>
    <m/>
    <m/>
    <m/>
    <m/>
    <m/>
    <m/>
    <m/>
    <m/>
    <m/>
    <m/>
    <m/>
    <m/>
    <n v="1"/>
    <n v="0"/>
    <n v="3.5396999999999998E-2"/>
    <m/>
    <n v="158.11799999999999"/>
    <m/>
    <m/>
    <m/>
    <m/>
    <m/>
    <n v="0"/>
    <n v="8"/>
    <n v="42678"/>
    <n v="42678.695870451404"/>
    <x v="1"/>
    <s v="01BDD593B41F45209A7B282989CCF044"/>
    <n v="158.11799999999999"/>
    <n v="8"/>
    <n v="183.5885054112554"/>
    <n v="35.763002108901198"/>
    <n v="9.5846103896103898"/>
    <n v="2.1888796977142775"/>
  </r>
  <r>
    <n v="151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1.5999443105533322"/>
    <n v="0.74402665660424805"/>
    <b v="0"/>
    <b v="0"/>
    <s v=""/>
    <s v="BHHPPS1533108027"/>
    <n v="1"/>
    <s v="BHHPPS1533108027"/>
    <s v="5955835343"/>
    <s v="PIEDMONT SCHOOL"/>
    <s v="PIEDMONT SCHOOL"/>
    <s v="MEADE BOARD OF ED"/>
    <s v="16159 2ND ST"/>
    <s v="PIEDMONT"/>
    <s v="SD"/>
    <s v="57769"/>
    <s v="WIRE R US INC"/>
    <s v="PO BOX 505"/>
    <s v="PIEDMONT"/>
    <s v="SD"/>
    <s v="57769"/>
    <s v="605-381-0729"/>
    <m/>
    <s v="C&amp;I Prescriptive Rebate :- C&amp;I Lighting :- Customer Incentives"/>
    <s v="LED Fixtures Exterior &amp; Garage - 25W to 60W"/>
    <s v="Education"/>
    <s v="Existing"/>
    <m/>
    <m/>
    <m/>
    <m/>
    <m/>
    <m/>
    <m/>
    <m/>
    <m/>
    <m/>
    <m/>
    <m/>
    <m/>
    <n v="31"/>
    <n v="0"/>
    <n v="1.280632"/>
    <m/>
    <n v="11758.331"/>
    <m/>
    <m/>
    <m/>
    <m/>
    <m/>
    <n v="0"/>
    <n v="2325"/>
    <n v="42718"/>
    <n v="42681.4730405093"/>
    <x v="1"/>
    <s v="35AE5BEB1508444A85EB595F086D5204"/>
    <n v="379.30099999999999"/>
    <n v="75"/>
    <n v="540.38278358208959"/>
    <n v="100.67961898397597"/>
    <n v="63.736940298507463"/>
    <n v="15.137978729011348"/>
  </r>
  <r>
    <n v="152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2.0427676957542755"/>
    <n v="-0.6462714196159739"/>
    <b v="1"/>
    <b v="0"/>
    <s v=""/>
    <s v="BHHPPS1533108027"/>
    <n v="0"/>
    <s v="BHHPPS1533108027"/>
    <s v="5955835343"/>
    <s v="PIEDMONT SCHOOL"/>
    <s v="PIEDMONT SCHOOL"/>
    <s v="MEADE BOARD OF ED"/>
    <s v="16159 2ND ST"/>
    <s v="PIEDMONT"/>
    <s v="SD"/>
    <s v="57769"/>
    <s v="WIRE R US INC"/>
    <s v="PO BOX 505"/>
    <s v="PIEDMONT"/>
    <s v="SD"/>
    <s v="57769"/>
    <s v="605-381-0729"/>
    <m/>
    <s v="C&amp;I Prescriptive Rebate :- C&amp;I Lighting :- Customer Incentives"/>
    <s v="Energy Star LED Lamps - 10W or greater"/>
    <s v="Education"/>
    <s v="Existing"/>
    <m/>
    <m/>
    <m/>
    <m/>
    <m/>
    <m/>
    <m/>
    <m/>
    <m/>
    <m/>
    <m/>
    <m/>
    <m/>
    <n v="2"/>
    <n v="0"/>
    <n v="2.4077000000000001E-2"/>
    <m/>
    <n v="221.066"/>
    <m/>
    <m/>
    <m/>
    <m/>
    <m/>
    <n v="0"/>
    <n v="16.34"/>
    <n v="42718"/>
    <n v="42681.4730405093"/>
    <x v="1"/>
    <s v="D261ABE85E8A4FCA8305C22570022C91"/>
    <n v="110.533"/>
    <n v="8.17"/>
    <n v="183.5885054112554"/>
    <n v="35.763002108901198"/>
    <n v="9.5846103896103898"/>
    <n v="2.1888796977142775"/>
  </r>
  <r>
    <n v="153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1.5999443105533322"/>
    <n v="0.74402665660424805"/>
    <b v="0"/>
    <b v="0"/>
    <s v=""/>
    <s v="BHHPPS1533108027"/>
    <n v="0"/>
    <s v="BHHPPS1533108027"/>
    <s v="5955835343"/>
    <s v="PIEDMONT SCHOOL"/>
    <s v="PIEDMONT SCHOOL"/>
    <s v="MEADE BOARD OF ED"/>
    <s v="16159 2ND ST"/>
    <s v="PIEDMONT"/>
    <s v="SD"/>
    <s v="57769"/>
    <s v="WIRE R US INC"/>
    <s v="PO BOX 505"/>
    <s v="PIEDMONT"/>
    <s v="SD"/>
    <s v="57769"/>
    <s v="605-381-0729"/>
    <m/>
    <s v="C&amp;I Prescriptive Rebate :- C&amp;I Lighting :- Customer Incentives"/>
    <s v="LED Fixtures Exterior &amp; Garage - 25W to 60W"/>
    <s v="Education"/>
    <s v="Existing"/>
    <m/>
    <m/>
    <m/>
    <m/>
    <m/>
    <m/>
    <m/>
    <m/>
    <m/>
    <m/>
    <m/>
    <m/>
    <m/>
    <n v="1"/>
    <n v="0"/>
    <n v="4.1311E-2"/>
    <m/>
    <n v="379.30099999999999"/>
    <m/>
    <m/>
    <m/>
    <m/>
    <m/>
    <n v="0"/>
    <n v="75"/>
    <n v="42718"/>
    <n v="42681.4730405093"/>
    <x v="1"/>
    <s v="850D57E951364345AF9E3D2BFC584A58"/>
    <n v="379.30099999999999"/>
    <n v="75"/>
    <n v="540.38278358208959"/>
    <n v="100.67961898397597"/>
    <n v="63.736940298507463"/>
    <n v="15.137978729011348"/>
  </r>
  <r>
    <n v="15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3125879"/>
    <n v="1"/>
    <s v="BHHPPS1533125879"/>
    <s v="4286221951"/>
    <s v="SM RUSHMORE MALL LLC"/>
    <s v="SM RUSHMORE MALL LLC"/>
    <s v="SM RUSHMORE MALL LLC"/>
    <s v="2200 N MAPLE AVE                                   NORTH"/>
    <s v="RAPID CITY"/>
    <s v="SD"/>
    <s v="57701"/>
    <s v="FACILITY SOLUTIONS GROUP INC"/>
    <s v="2525 WALNUT HILL LN STE 300"/>
    <s v="DALLAS"/>
    <s v="TX"/>
    <s v="75229"/>
    <s v="214-217-0190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400"/>
    <n v="0"/>
    <n v="5.976"/>
    <m/>
    <n v="17469.2"/>
    <m/>
    <m/>
    <m/>
    <m/>
    <m/>
    <n v="0"/>
    <n v="3200"/>
    <n v="42772"/>
    <n v="42683.771857210602"/>
    <x v="1"/>
    <s v="EE28FFB8880F42429D61F55C9C3D7364"/>
    <n v="43.673000000000002"/>
    <n v="8"/>
    <n v="71.928403166606657"/>
    <n v="30.28616226838243"/>
    <n v="10.421419234256929"/>
    <n v="3.9940053618595535"/>
  </r>
  <r>
    <n v="155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3125879"/>
    <n v="0"/>
    <s v="BHHPPS1533125879"/>
    <s v="4286221951"/>
    <s v="SM RUSHMORE MALL LLC"/>
    <s v="SM RUSHMORE MALL LLC"/>
    <s v="SM RUSHMORE MALL LLC"/>
    <s v="2200 N MAPLE AVE                                   NORTH"/>
    <s v="RAPID CITY"/>
    <s v="SD"/>
    <s v="57701"/>
    <s v="FACILITY SOLUTIONS GROUP INC"/>
    <s v="2525 WALNUT HILL LN STE 300"/>
    <s v="DALLAS"/>
    <s v="TX"/>
    <s v="75229"/>
    <s v="214-217-0190"/>
    <m/>
    <s v="C&amp;I Prescriptive Rebate :- C&amp;I Lighting :- Customer Incentives"/>
    <s v="LED Replacement for T8 Linear Fluorescent Lamps - 4 ft or less"/>
    <s v="Retail"/>
    <s v="Existing"/>
    <m/>
    <m/>
    <m/>
    <m/>
    <m/>
    <m/>
    <m/>
    <m/>
    <m/>
    <m/>
    <m/>
    <m/>
    <m/>
    <n v="1224"/>
    <n v="0"/>
    <n v="18.286560000000001"/>
    <m/>
    <n v="53455.752"/>
    <m/>
    <m/>
    <m/>
    <m/>
    <m/>
    <n v="0"/>
    <n v="9792"/>
    <n v="42772"/>
    <n v="42683.771857210602"/>
    <x v="1"/>
    <s v="DF234C3EBB304628A067934E15D36990"/>
    <n v="43.673000000000002"/>
    <n v="8"/>
    <n v="71.928403166606657"/>
    <n v="30.28616226838243"/>
    <n v="10.421419234256929"/>
    <n v="3.9940053618595535"/>
  </r>
  <r>
    <n v="156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0.65360580667834023"/>
    <n v="0.74402665660424805"/>
    <b v="0"/>
    <b v="0"/>
    <s v=""/>
    <s v="BHHPPS1533125879"/>
    <n v="0"/>
    <s v="BHHPPS1533125879"/>
    <s v="4286221951"/>
    <s v="SM RUSHMORE MALL LLC"/>
    <s v="SM RUSHMORE MALL LLC"/>
    <s v="SM RUSHMORE MALL LLC"/>
    <s v="2200 N MAPLE AVE                                   NORTH"/>
    <s v="RAPID CITY"/>
    <s v="SD"/>
    <s v="57701"/>
    <s v="FACILITY SOLUTIONS GROUP INC"/>
    <s v="2525 WALNUT HILL LN STE 300"/>
    <s v="DALLAS"/>
    <s v="TX"/>
    <s v="75229"/>
    <s v="214-217-0190"/>
    <m/>
    <s v="C&amp;I Prescriptive Rebate :- C&amp;I Lighting :- Customer Incentives"/>
    <s v="LED Fixtures Exterior &amp; Garage - 25W to 60W"/>
    <s v="Retail"/>
    <s v="Existing"/>
    <m/>
    <m/>
    <m/>
    <m/>
    <m/>
    <m/>
    <m/>
    <m/>
    <m/>
    <m/>
    <m/>
    <m/>
    <m/>
    <n v="44"/>
    <n v="0"/>
    <n v="7.1433119999999999"/>
    <m/>
    <n v="20881.432000000001"/>
    <m/>
    <m/>
    <m/>
    <m/>
    <m/>
    <n v="0"/>
    <n v="3300"/>
    <n v="42772"/>
    <n v="42683.771857210602"/>
    <x v="1"/>
    <s v="DD0CA91F9D0F4C5D9C749BA12DBA5018"/>
    <n v="474.57800000000003"/>
    <n v="75"/>
    <n v="540.38278358208959"/>
    <n v="100.67961898397597"/>
    <n v="63.736940298507463"/>
    <n v="15.137978729011348"/>
  </r>
  <r>
    <n v="15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-1.2339067216950319"/>
    <b v="0"/>
    <b v="0"/>
    <s v=""/>
    <s v="BHHPPS1533129782"/>
    <n v="1"/>
    <s v="BHHPPS1533129782"/>
    <s v="0702488407"/>
    <s v="KUSTOMZ TRUCK &amp; AUTO"/>
    <s v="4 D ENTERPRISES LLC"/>
    <s v="4 D ENTERPRISES LLC"/>
    <s v="2760 HAINES AVE"/>
    <s v="RAPID CITY"/>
    <s v="SD"/>
    <s v="57701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1"/>
    <n v="0"/>
    <n v="0.24699699999999999"/>
    <m/>
    <n v="1157.3789999999999"/>
    <m/>
    <m/>
    <m/>
    <m/>
    <m/>
    <n v="0"/>
    <n v="60"/>
    <n v="42685"/>
    <n v="42685.460930671303"/>
    <x v="1"/>
    <s v="EAA8D0DA2C8C4B0E8E5C71D05DF75BEF"/>
    <n v="1157.3789999999999"/>
    <n v="60"/>
    <n v="1175.7261559139786"/>
    <n v="162.55796725694501"/>
    <n v="100.15639784946237"/>
    <n v="32.544111433560438"/>
  </r>
  <r>
    <n v="158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65"/>
    <n v="-0.60626339097590731"/>
    <b v="0"/>
    <b v="0"/>
    <s v=""/>
    <s v="BHHPPS1533129782"/>
    <n v="0"/>
    <s v="BHHPPS1533129782"/>
    <s v="0702488407"/>
    <s v="KUSTOMZ TRUCK &amp; AUTO"/>
    <s v="4 D ENTERPRISES LLC"/>
    <s v="4 D ENTERPRISES LLC"/>
    <s v="2760 HAINES AVE"/>
    <s v="RAPID CITY"/>
    <s v="SD"/>
    <s v="57701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10"/>
    <n v="0"/>
    <n v="0.12117600000000001"/>
    <m/>
    <n v="567.80999999999995"/>
    <m/>
    <m/>
    <m/>
    <m/>
    <m/>
    <n v="0"/>
    <n v="80"/>
    <n v="42685"/>
    <n v="42685.460930671303"/>
    <x v="1"/>
    <s v="7330D8F08A5D4A928EE62C6F8BEF89EC"/>
    <n v="56.780999999999992"/>
    <n v="8"/>
    <n v="71.928403166606657"/>
    <n v="30.28616226838243"/>
    <n v="10.421419234256929"/>
    <n v="3.9940053618595535"/>
  </r>
  <r>
    <n v="159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-0.60626339097590731"/>
    <b v="0"/>
    <b v="0"/>
    <s v=""/>
    <s v="BHHPPS1533134705"/>
    <n v="1"/>
    <s v="BHHPPS1533134705"/>
    <s v="0541537755"/>
    <s v="ADMINISTRATION BUILDING"/>
    <s v="CENTRAL STATES FAIR"/>
    <s v="CENTRAL STATES FAIR"/>
    <s v="800 SAN FRANCISCO ST                               ADMINISTRATION"/>
    <s v="RAPID CITY"/>
    <s v="SD"/>
    <s v="57701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134"/>
    <n v="0"/>
    <n v="1.496405"/>
    <m/>
    <n v="6653.77"/>
    <m/>
    <m/>
    <m/>
    <m/>
    <m/>
    <n v="0"/>
    <n v="1072"/>
    <n v="42718"/>
    <n v="42688.652053969898"/>
    <x v="1"/>
    <s v="4A18FFB3F82F473AB09E70587323FA9C"/>
    <n v="49.655000000000001"/>
    <n v="8"/>
    <n v="71.928403166606657"/>
    <n v="30.28616226838243"/>
    <n v="10.421419234256929"/>
    <n v="3.9940053618595535"/>
  </r>
  <r>
    <n v="160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1.7564759250628477"/>
    <n v="4.9889275786565664E-2"/>
    <b v="0"/>
    <b v="0"/>
    <s v=""/>
    <s v="BHHPPS1533273500"/>
    <n v="1"/>
    <s v="BHHPPS1533273500"/>
    <s v="0007613801"/>
    <s v="DENVER MATTRESS"/>
    <s v="FURNITURE ROW"/>
    <s v="FURNITURE ROW"/>
    <s v="240 KNOLLWOOD DR"/>
    <s v="RAPID CITY"/>
    <s v="SD"/>
    <s v="57701"/>
    <s v="BHE"/>
    <s v="PO BOX 1400"/>
    <s v="RAPID CITY"/>
    <s v="SD"/>
    <s v="57709"/>
    <s v="605-721-2687"/>
    <m/>
    <s v="C&amp;I Prescriptive Rebate :- C&amp;I Lighting :- Customer Incentives"/>
    <s v="LED Fixtures Exterior &amp; Garage - 60W to 150W"/>
    <s v="Retail"/>
    <s v="Existing"/>
    <m/>
    <m/>
    <m/>
    <m/>
    <m/>
    <m/>
    <m/>
    <m/>
    <m/>
    <m/>
    <m/>
    <m/>
    <m/>
    <n v="3"/>
    <n v="0"/>
    <n v="0.91358099999999998"/>
    <m/>
    <n v="2670.5909999999999"/>
    <m/>
    <m/>
    <m/>
    <m/>
    <m/>
    <n v="0"/>
    <n v="305.33999999999997"/>
    <n v="42705"/>
    <n v="42705.432560069399"/>
    <x v="1"/>
    <s v="2AD6E9F827B14457B687E1B5878EEB69"/>
    <n v="890.197"/>
    <n v="101.77999999999999"/>
    <n v="1175.7261559139786"/>
    <n v="162.55796725694501"/>
    <n v="100.15639784946237"/>
    <n v="32.544111433560438"/>
  </r>
  <r>
    <n v="161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0.65360580667834078"/>
    <n v="0.74402665660424805"/>
    <b v="0"/>
    <b v="0"/>
    <s v=""/>
    <s v="BHHPPS1533273500"/>
    <n v="0"/>
    <s v="BHHPPS1533273500"/>
    <s v="0007613801"/>
    <s v="DENVER MATTRESS"/>
    <s v="FURNITURE ROW"/>
    <s v="FURNITURE ROW"/>
    <s v="240 KNOLLWOOD DR"/>
    <s v="RAPID CITY"/>
    <s v="SD"/>
    <s v="57701"/>
    <s v="BHE"/>
    <s v="PO BOX 1400"/>
    <s v="RAPID CITY"/>
    <s v="SD"/>
    <s v="57709"/>
    <s v="605-721-2687"/>
    <m/>
    <s v="C&amp;I Prescriptive Rebate :- C&amp;I Lighting :- Customer Incentives"/>
    <s v="LED Fixtures Exterior &amp; Garage - 25W to 60W"/>
    <s v="Retail"/>
    <s v="Existing"/>
    <m/>
    <m/>
    <m/>
    <m/>
    <m/>
    <m/>
    <m/>
    <m/>
    <m/>
    <m/>
    <m/>
    <m/>
    <m/>
    <n v="8"/>
    <n v="0"/>
    <n v="1.2987839999999999"/>
    <m/>
    <n v="3796.6239999999998"/>
    <m/>
    <m/>
    <m/>
    <m/>
    <m/>
    <n v="0"/>
    <n v="600"/>
    <n v="42705"/>
    <n v="42705.432560069399"/>
    <x v="1"/>
    <s v="AE07B2D54E234F748F742A5041AE1428"/>
    <n v="474.57799999999997"/>
    <n v="75"/>
    <n v="540.38278358208959"/>
    <n v="100.67961898397597"/>
    <n v="63.736940298507463"/>
    <n v="15.137978729011348"/>
  </r>
  <r>
    <n v="162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3967384267971441"/>
    <b v="0"/>
    <b v="0"/>
    <s v=""/>
    <s v="BHHPPS1533306948"/>
    <n v="1"/>
    <s v="BHHPPS1533306948"/>
    <s v="1986115108"/>
    <s v="GODFREY BRAKE SERV"/>
    <s v="GODFREY BRAKE SERV"/>
    <s v="GODFREY BRAKE SERV"/>
    <s v="110 POPLAR AVE"/>
    <s v="RAPID CITY"/>
    <s v="SD"/>
    <s v="57701"/>
    <s v="DAKOTA SUPPLY GROUP"/>
    <s v="1936 MARLIN DR"/>
    <s v="RAPID CITY"/>
    <s v="SD"/>
    <s v="57703"/>
    <s v="605-348-7100"/>
    <s v="jwood@dsginc.biz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270"/>
    <n v="0"/>
    <n v="6.5435040000000004"/>
    <m/>
    <n v="30661.47"/>
    <m/>
    <m/>
    <m/>
    <m/>
    <m/>
    <n v="0"/>
    <n v="4320"/>
    <n v="42705"/>
    <n v="42705.821729976902"/>
    <x v="1"/>
    <s v="BEAB5747AF674AF49D4978ECCB059FE4"/>
    <n v="113.56100000000001"/>
    <n v="16"/>
    <n v="71.928403166606657"/>
    <n v="30.28616226838243"/>
    <n v="10.421419234256929"/>
    <n v="3.9940053618595535"/>
  </r>
  <r>
    <n v="16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3306948"/>
    <n v="0"/>
    <s v="BHHPPS1533306948"/>
    <s v="1986115108"/>
    <s v="GODFREY BRAKE SERV"/>
    <s v="GODFREY BRAKE SERV"/>
    <s v="GODFREY BRAKE SERV"/>
    <s v="110 POPLAR AVE"/>
    <s v="RAPID CITY"/>
    <s v="SD"/>
    <s v="57701"/>
    <s v="DAKOTA SUPPLY GROUP"/>
    <s v="1936 MARLIN DR"/>
    <s v="RAPID CITY"/>
    <s v="SD"/>
    <s v="57703"/>
    <s v="605-348-7100"/>
    <s v="jwood@dsginc.biz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24"/>
    <n v="0"/>
    <n v="0.29082200000000002"/>
    <m/>
    <n v="1362.7439999999999"/>
    <m/>
    <m/>
    <m/>
    <m/>
    <m/>
    <n v="0"/>
    <n v="192"/>
    <n v="42705"/>
    <n v="42705.821729976902"/>
    <x v="1"/>
    <s v="D3C552CFFBFC4E2F864431A867D17B00"/>
    <n v="56.780999999999999"/>
    <n v="8"/>
    <n v="71.928403166606657"/>
    <n v="30.28616226838243"/>
    <n v="10.421419234256929"/>
    <n v="3.9940053618595535"/>
  </r>
  <r>
    <n v="164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-1.0848519414246751"/>
    <b v="0"/>
    <b v="0"/>
    <s v=""/>
    <s v="BHHPPS1533526122"/>
    <n v="1"/>
    <s v="BHHPPS1533526122"/>
    <s v="0381286969"/>
    <s v="BLESSED SACRAMENT CH"/>
    <s v="BLESSED SACRAMENT CH"/>
    <s v="BLESSED SACRAMENT CH"/>
    <s v="4500 JACKSON BLVD"/>
    <s v="RAPID CITY"/>
    <s v="SD"/>
    <s v="57702"/>
    <s v="DAKOTA SUPPLY GROUP"/>
    <s v="1936 MARLIN DR"/>
    <s v="RAPID CITY"/>
    <s v="SD"/>
    <s v="57703"/>
    <s v="605-348-7100"/>
    <s v="jwood@dsginc.biz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155"/>
    <n v="0"/>
    <n v="5.9477219999999997"/>
    <m/>
    <n v="27869.775000000001"/>
    <m/>
    <m/>
    <m/>
    <m/>
    <m/>
    <n v="0"/>
    <n v="1117.55"/>
    <n v="42710"/>
    <n v="42710.773168136599"/>
    <x v="1"/>
    <s v="5EF4F2C7913248FA971C3E704FB4017D"/>
    <n v="179.80500000000001"/>
    <n v="7.21"/>
    <n v="183.5885054112554"/>
    <n v="35.763002108901198"/>
    <n v="9.5846103896103898"/>
    <n v="2.1888796977142775"/>
  </r>
  <r>
    <n v="165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-0.37672714058770967"/>
    <b v="0"/>
    <b v="0"/>
    <s v=""/>
    <s v="BHHPPS1533526122"/>
    <n v="0"/>
    <s v="BHHPPS1533526122"/>
    <s v="0381286969"/>
    <s v="BLESSED SACRAMENT CH"/>
    <s v="BLESSED SACRAMENT CH"/>
    <s v="BLESSED SACRAMENT CH"/>
    <s v="4500 JACKSON BLVD"/>
    <s v="RAPID CITY"/>
    <s v="SD"/>
    <s v="57702"/>
    <s v="DAKOTA SUPPLY GROUP"/>
    <s v="1936 MARLIN DR"/>
    <s v="RAPID CITY"/>
    <s v="SD"/>
    <s v="57703"/>
    <s v="605-348-7100"/>
    <s v="jwood@dsginc.biz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54"/>
    <n v="0"/>
    <n v="2.0721099999999999"/>
    <m/>
    <n v="9709.4699999999993"/>
    <m/>
    <m/>
    <m/>
    <m/>
    <m/>
    <n v="0"/>
    <n v="473.04"/>
    <n v="42710"/>
    <n v="42710.773168136599"/>
    <x v="1"/>
    <s v="C1CED5D78D5D446E8990BB3760FB0AEC"/>
    <n v="179.80499999999998"/>
    <n v="8.76"/>
    <n v="183.5885054112554"/>
    <n v="35.763002108901198"/>
    <n v="9.5846103896103898"/>
    <n v="2.1888796977142775"/>
  </r>
  <r>
    <n v="166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3967384267971441"/>
    <b v="0"/>
    <b v="0"/>
    <s v=""/>
    <s v="BHHPPS1533589353"/>
    <n v="1"/>
    <s v="BHHPPS1533589353"/>
    <s v="5515919601"/>
    <s v="FTC LAUNDRY"/>
    <s v="FTC LAUNDRY"/>
    <s v="FTC LAUNDRY"/>
    <s v="1512 E SAINT PATRICK ST"/>
    <s v="RAPID CITY"/>
    <s v="SD"/>
    <s v="57703"/>
    <s v="BROOKSIDE ELECTRIC SERVICE"/>
    <s v="4315 BROOKSIDE DR"/>
    <s v="RAPID CITY"/>
    <s v="SD"/>
    <s v="57702"/>
    <s v="605-939-4047"/>
    <s v="JASONFAITH@HOTMAIL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98"/>
    <n v="0"/>
    <n v="2.3750499999999999"/>
    <m/>
    <n v="11128.977999999999"/>
    <m/>
    <m/>
    <m/>
    <m/>
    <m/>
    <n v="0"/>
    <n v="1568"/>
    <n v="42711"/>
    <n v="42711.686807557897"/>
    <x v="1"/>
    <s v="79899035AF7E42E7960F42763E2ABD1A"/>
    <n v="113.56099999999999"/>
    <n v="16"/>
    <n v="71.928403166606657"/>
    <n v="30.28616226838243"/>
    <n v="10.421419234256929"/>
    <n v="3.9940053618595535"/>
  </r>
  <r>
    <n v="16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1.7564759250628483"/>
    <n v="-4.8057188404622845E-3"/>
    <b v="0"/>
    <b v="0"/>
    <s v=""/>
    <s v="BHHPPS1533855799"/>
    <n v="1"/>
    <s v="BHHPPS1533855799"/>
    <s v="5567664825"/>
    <s v="AUTO ZONE"/>
    <s v="AUTO ZONE"/>
    <s v="AUTO ZONE"/>
    <s v="414 E NORTH ST"/>
    <s v="RAPID CITY"/>
    <s v="SD"/>
    <s v="57701"/>
    <s v="ROI ENERGY INVESTMENTS LLC"/>
    <s v="PO BOX 12203"/>
    <s v="GREEN BAY"/>
    <s v="WI"/>
    <s v="54307"/>
    <s v="920-660-5995"/>
    <s v="MHOLMAN@ROIENERGYINVESTMENTS.COM"/>
    <s v="C&amp;I Prescriptive Rebate :- C&amp;I Lighting :- Customer Incentives"/>
    <s v="LED Fixtures Exterior &amp; Garage - 60W to 150W"/>
    <s v="Retail"/>
    <s v="Existing"/>
    <m/>
    <m/>
    <m/>
    <m/>
    <m/>
    <m/>
    <m/>
    <m/>
    <m/>
    <m/>
    <m/>
    <m/>
    <m/>
    <n v="10"/>
    <n v="0"/>
    <n v="3.0452699999999999"/>
    <m/>
    <n v="8901.9699999999993"/>
    <m/>
    <m/>
    <m/>
    <m/>
    <m/>
    <n v="0"/>
    <n v="1000"/>
    <n v="42740"/>
    <n v="42740.498401273202"/>
    <x v="1"/>
    <s v="9A80BF122A9542A88B5C9EABEAACF925"/>
    <n v="890.19699999999989"/>
    <n v="100"/>
    <n v="1175.7261559139786"/>
    <n v="162.55796725694501"/>
    <n v="100.15639784946237"/>
    <n v="32.544111433560438"/>
  </r>
  <r>
    <n v="168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0.65360580667834078"/>
    <n v="0.74402665660424805"/>
    <b v="0"/>
    <b v="0"/>
    <s v=""/>
    <s v="BHHPPS1533855799"/>
    <n v="0"/>
    <s v="BHHPPS1533855799"/>
    <s v="5567664825"/>
    <s v="AUTO ZONE"/>
    <s v="AUTO ZONE"/>
    <s v="AUTO ZONE"/>
    <s v="414 E NORTH ST"/>
    <s v="RAPID CITY"/>
    <s v="SD"/>
    <s v="57701"/>
    <s v="ROI ENERGY INVESTMENTS LLC"/>
    <s v="PO BOX 12203"/>
    <s v="GREEN BAY"/>
    <s v="WI"/>
    <s v="54307"/>
    <s v="920-660-5995"/>
    <s v="MHOLMAN@ROIENERGYINVESTMENTS.COM"/>
    <s v="C&amp;I Prescriptive Rebate :- C&amp;I Lighting :- Customer Incentives"/>
    <s v="LED Fixtures Exterior &amp; Garage - 25W to 60W"/>
    <s v="Retail"/>
    <s v="Existing"/>
    <m/>
    <m/>
    <m/>
    <m/>
    <m/>
    <m/>
    <m/>
    <m/>
    <m/>
    <m/>
    <m/>
    <m/>
    <m/>
    <n v="7"/>
    <n v="0"/>
    <n v="1.136436"/>
    <m/>
    <n v="3322.0459999999998"/>
    <m/>
    <m/>
    <m/>
    <m/>
    <m/>
    <n v="0"/>
    <n v="525"/>
    <n v="42740"/>
    <n v="42740.498401273202"/>
    <x v="1"/>
    <s v="98D813EFF5B948BCAFFBE6BD558F1C8E"/>
    <n v="474.57799999999997"/>
    <n v="75"/>
    <n v="540.38278358208959"/>
    <n v="100.67961898397597"/>
    <n v="63.736940298507463"/>
    <n v="15.137978729011348"/>
  </r>
  <r>
    <n v="169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1238294291255659"/>
    <b v="0"/>
    <b v="0"/>
    <s v=""/>
    <s v="BHHPPS1533885329"/>
    <n v="1"/>
    <s v="BHHPPS1533885329"/>
    <s v="0653156237"/>
    <s v="DINING HALL"/>
    <s v="OUTLAW RANCH"/>
    <s v="OUTLAW RANCH"/>
    <s v="12710 OUTLAW RANCH RD"/>
    <s v="CUSTER"/>
    <s v="SD"/>
    <s v="57730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00"/>
    <n v="0"/>
    <n v="2.4235199999999999"/>
    <m/>
    <n v="11356.1"/>
    <m/>
    <m/>
    <m/>
    <m/>
    <m/>
    <n v="0"/>
    <n v="1491"/>
    <n v="42745"/>
    <n v="42745.681562002297"/>
    <x v="1"/>
    <s v="49ECE2CF3496453AA64CD07DF34AD37A"/>
    <n v="113.56100000000001"/>
    <n v="14.91"/>
    <n v="71.928403166606657"/>
    <n v="30.28616226838243"/>
    <n v="10.421419234256929"/>
    <n v="3.9940053618595535"/>
  </r>
  <r>
    <n v="170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93294762526264974"/>
    <n v="-0.60626339097590731"/>
    <b v="0"/>
    <b v="0"/>
    <s v=""/>
    <s v="BHHPPS1533886935"/>
    <n v="1"/>
    <s v="BHHPPS1533886935"/>
    <s v="4829790872"/>
    <s v="RUNNINGS"/>
    <s v="RUNNINGS"/>
    <s v="RUNNINGS"/>
    <s v="1020 N LACROSSE ST"/>
    <s v="RAPID CITY"/>
    <s v="SD"/>
    <s v="57701"/>
    <s v="IDEAL ENERGY"/>
    <s v="2615 210TH AVE"/>
    <s v="MARSHALL"/>
    <s v="MN"/>
    <s v="56258"/>
    <s v="605-321-0570"/>
    <s v="CHAD@MYIDEALENERGY.COM"/>
    <s v="C&amp;I Prescriptive Rebate :- C&amp;I Lighting :- Customer Incentives"/>
    <s v="LED Replacement for T8 Linear Fluorescent Lamps - 4 ft or less"/>
    <s v="Large Retail"/>
    <s v="Existing"/>
    <m/>
    <m/>
    <m/>
    <m/>
    <m/>
    <m/>
    <m/>
    <m/>
    <m/>
    <m/>
    <m/>
    <m/>
    <m/>
    <n v="2965"/>
    <n v="0"/>
    <n v="44.001786000000003"/>
    <m/>
    <n v="129490.44500000001"/>
    <m/>
    <m/>
    <m/>
    <m/>
    <m/>
    <n v="0"/>
    <n v="23720"/>
    <n v="42829"/>
    <n v="42746.554173807897"/>
    <x v="1"/>
    <s v="5C1ED64B0D834EF19FB94AB65DA57179"/>
    <n v="43.673000000000002"/>
    <n v="8"/>
    <n v="71.928403166606657"/>
    <n v="30.28616226838243"/>
    <n v="10.421419234256929"/>
    <n v="3.9940053618595535"/>
  </r>
  <r>
    <n v="171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69335995827537733"/>
    <n v="0.74402665660424805"/>
    <b v="0"/>
    <b v="0"/>
    <s v=""/>
    <s v="BHHPPS1533904083"/>
    <n v="1"/>
    <s v="BHHPPS1533904083"/>
    <s v="2796921701"/>
    <s v="WAREHOUSE"/>
    <s v="BUILDING"/>
    <s v="DALES TIRE"/>
    <s v="3200 S HIGHWAY 79"/>
    <s v="RAPID CITY"/>
    <s v="SD"/>
    <s v="57701"/>
    <s v="BLACK HILLS LIGHTING"/>
    <s v="PO BOX 4035"/>
    <s v="RAPID CITY"/>
    <s v="SD"/>
    <s v="57709"/>
    <s v="605-381-9452"/>
    <m/>
    <s v="C&amp;I Prescriptive Rebate :- C&amp;I Lighting :- Customer Incentives"/>
    <s v="LED Fixtures Exterior &amp; Garage - 25W to 60W"/>
    <s v="Warehouse"/>
    <s v="Existing"/>
    <m/>
    <m/>
    <m/>
    <m/>
    <m/>
    <m/>
    <m/>
    <m/>
    <m/>
    <m/>
    <m/>
    <m/>
    <m/>
    <n v="2"/>
    <n v="0"/>
    <n v="0.266538"/>
    <m/>
    <n v="1220.3800000000001"/>
    <m/>
    <m/>
    <m/>
    <m/>
    <m/>
    <n v="0"/>
    <n v="150"/>
    <n v="42752"/>
    <n v="42752.773998298602"/>
    <x v="1"/>
    <s v="EBB0CFCF6D7C477F8BBEDB3A5EA167F6"/>
    <n v="610.19000000000005"/>
    <n v="75"/>
    <n v="540.38278358208959"/>
    <n v="100.67961898397597"/>
    <n v="63.736940298507463"/>
    <n v="15.137978729011348"/>
  </r>
  <r>
    <n v="172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-3.0873963515973197"/>
    <b v="0"/>
    <b v="1"/>
    <s v=""/>
    <s v="BHHPPS1533917381"/>
    <n v="1"/>
    <s v="BHHPPS1533917381"/>
    <s v="5344540148"/>
    <s v="EDGEMONT SENIOR CENTER"/>
    <s v="EDGEMONT SENIOR CENTER"/>
    <s v="EDGEMONT SENIOR CENTER"/>
    <s v="601 5TH AVE"/>
    <s v="EDGEMONT"/>
    <s v="SD"/>
    <s v="57735"/>
    <s v="IRON MOUNTAIN ELECTRIC"/>
    <s v="PO BOX 32"/>
    <s v="PRINGLE"/>
    <s v="SD"/>
    <s v="57773"/>
    <s v="605-745-4364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5"/>
    <n v="0"/>
    <n v="0.65839000000000003"/>
    <m/>
    <n v="3085.08"/>
    <m/>
    <m/>
    <m/>
    <m/>
    <m/>
    <n v="0"/>
    <n v="85"/>
    <n v="42755"/>
    <n v="42755.638858599501"/>
    <x v="1"/>
    <s v="3937D31AA51B4BC4973C6561A4BB030C"/>
    <n v="617.01599999999996"/>
    <n v="17"/>
    <n v="540.38278358208959"/>
    <n v="100.67961898397597"/>
    <n v="63.736940298507463"/>
    <n v="15.137978729011348"/>
  </r>
  <r>
    <n v="173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3967384267971441"/>
    <b v="0"/>
    <b v="0"/>
    <s v=""/>
    <s v="BHHPPS1533917381"/>
    <n v="0"/>
    <s v="BHHPPS1533917381"/>
    <s v="5344540148"/>
    <s v="EDGEMONT SENIOR CENTER"/>
    <s v="EDGEMONT SENIOR CENTER"/>
    <s v="EDGEMONT SENIOR CENTER"/>
    <s v="601 5TH AVE"/>
    <s v="EDGEMONT"/>
    <s v="SD"/>
    <s v="57735"/>
    <s v="IRON MOUNTAIN ELECTRIC"/>
    <s v="PO BOX 32"/>
    <s v="PRINGLE"/>
    <s v="SD"/>
    <s v="57773"/>
    <s v="605-745-4364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02"/>
    <n v="0"/>
    <n v="2.4719899999999999"/>
    <m/>
    <n v="11583.222"/>
    <m/>
    <m/>
    <m/>
    <m/>
    <m/>
    <n v="0"/>
    <n v="1632"/>
    <n v="42755"/>
    <n v="42755.638858599501"/>
    <x v="1"/>
    <s v="7B10AF6747454742A65FCB7D17C87F72"/>
    <n v="113.56099999999999"/>
    <n v="16"/>
    <n v="71.928403166606657"/>
    <n v="30.28616226838243"/>
    <n v="10.421419234256929"/>
    <n v="3.9940053618595535"/>
  </r>
  <r>
    <n v="174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0.94606301779820789"/>
    <b v="0"/>
    <b v="0"/>
    <s v=""/>
    <s v="BHHPPS1533935644"/>
    <n v="1"/>
    <s v="BHHPPS1533935644"/>
    <s v="0684557137"/>
    <s v="DIESEL MACHINERY INC"/>
    <s v="DIESEL MACHINERY INC"/>
    <s v="DAKOTA RV"/>
    <s v="3801 DEADWOOD AVE N"/>
    <s v="RAPID CITY"/>
    <s v="SD"/>
    <s v="57702"/>
    <s v="DAKOTA SUPPLY GROUP"/>
    <s v="1936 MARLIN DR"/>
    <s v="RAPID CITY"/>
    <s v="SD"/>
    <s v="57703"/>
    <s v="605-348-7100"/>
    <s v="jwood@dsginc.biz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36"/>
    <n v="0"/>
    <n v="3.2959870000000002"/>
    <m/>
    <n v="15444.296"/>
    <m/>
    <m/>
    <m/>
    <m/>
    <m/>
    <n v="0"/>
    <n v="1931.2"/>
    <n v="42761"/>
    <n v="42761.645441932902"/>
    <x v="1"/>
    <s v="7961E8687D774D14B0AB7C53DA22BB87"/>
    <n v="113.56100000000001"/>
    <n v="14.200000000000001"/>
    <n v="71.928403166606657"/>
    <n v="30.28616226838243"/>
    <n v="10.421419234256929"/>
    <n v="3.9940053618595535"/>
  </r>
  <r>
    <n v="175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3935644"/>
    <n v="0"/>
    <s v="BHHPPS1533935644"/>
    <s v="0684557137"/>
    <s v="DIESEL MACHINERY INC"/>
    <s v="DIESEL MACHINERY INC"/>
    <s v="DAKOTA RV"/>
    <s v="3801 DEADWOOD AVE N"/>
    <s v="RAPID CITY"/>
    <s v="SD"/>
    <s v="57702"/>
    <s v="DAKOTA SUPPLY GROUP"/>
    <s v="1936 MARLIN DR"/>
    <s v="RAPID CITY"/>
    <s v="SD"/>
    <s v="57703"/>
    <s v="605-348-7100"/>
    <s v="jwood@dsginc.biz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1"/>
    <n v="0"/>
    <n v="0.13167799999999999"/>
    <m/>
    <n v="617.01599999999996"/>
    <m/>
    <m/>
    <m/>
    <m/>
    <m/>
    <n v="0"/>
    <n v="75"/>
    <n v="42761"/>
    <n v="42761.645441932902"/>
    <x v="1"/>
    <s v="E6092B73E82D48ADB79B280939E5ED7F"/>
    <n v="617.01599999999996"/>
    <n v="75"/>
    <n v="540.38278358208959"/>
    <n v="100.67961898397597"/>
    <n v="63.736940298507463"/>
    <n v="15.137978729011348"/>
  </r>
  <r>
    <n v="176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0.28702377678926755"/>
    <n v="-1.3074589700222052"/>
    <b v="0"/>
    <b v="0"/>
    <s v=""/>
    <s v="BHHPPS1533967523"/>
    <n v="1"/>
    <s v="BHHPPS1533967523"/>
    <s v="4585360348"/>
    <s v="COMFORT INN&amp;SUITES"/>
    <s v="JZ LODGING"/>
    <s v="JZ LODGING"/>
    <s v="12454 OLD HILL CITY RD"/>
    <s v="HILL CITY"/>
    <s v="SD"/>
    <s v="57745"/>
    <s v="KILOWATT ELECTRIC INC"/>
    <s v="29 EAST CHICAGO"/>
    <s v="RAPID CITY"/>
    <s v="SD"/>
    <s v="57701"/>
    <s v="605-343-9686"/>
    <s v="steve@kilowattelec.com"/>
    <s v="C&amp;I Prescriptive Rebate :- C&amp;I Lighting :- Customer Incentives"/>
    <s v="Energy Star LED Lamps - 5W to 10W"/>
    <s v="Lodging"/>
    <s v="New"/>
    <m/>
    <m/>
    <m/>
    <m/>
    <m/>
    <m/>
    <m/>
    <m/>
    <m/>
    <m/>
    <m/>
    <m/>
    <m/>
    <n v="444"/>
    <n v="0"/>
    <n v="3.4909059999999998"/>
    <m/>
    <n v="58079.64"/>
    <m/>
    <m/>
    <m/>
    <m/>
    <m/>
    <n v="0"/>
    <n v="943.5"/>
    <n v="42769"/>
    <n v="42769.497099189801"/>
    <x v="1"/>
    <s v="8264280FCB5E478CBEBC8D5005F8BD5B"/>
    <n v="130.81"/>
    <n v="2.125"/>
    <n v="124.22266552020636"/>
    <n v="22.950483592270654"/>
    <n v="4.8732072914875317"/>
    <n v="2.1019453416888925"/>
  </r>
  <r>
    <n v="17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96852739206047811"/>
    <n v="-2.3093700991927801"/>
    <b v="0"/>
    <b v="1"/>
    <s v=""/>
    <s v="BHHPPS1533967523"/>
    <n v="0"/>
    <s v="BHHPPS1533967523"/>
    <s v="4585360348"/>
    <s v="COMFORT INN&amp;SUITES"/>
    <s v="JZ LODGING"/>
    <s v="JZ LODGING"/>
    <s v="12454 OLD HILL CITY RD"/>
    <s v="HILL CITY"/>
    <s v="SD"/>
    <s v="57745"/>
    <s v="KILOWATT ELECTRIC INC"/>
    <s v="29 EAST CHICAGO"/>
    <s v="RAPID CITY"/>
    <s v="SD"/>
    <s v="57701"/>
    <s v="605-343-9686"/>
    <s v="steve@kilowattelec.com"/>
    <s v="C&amp;I Prescriptive Rebate :- C&amp;I Lighting :- Customer Incentives"/>
    <s v="LED Fixtures Exterior &amp; Garage - 60W to 150W"/>
    <s v="Lodging"/>
    <s v="New"/>
    <m/>
    <m/>
    <m/>
    <m/>
    <m/>
    <m/>
    <m/>
    <m/>
    <m/>
    <m/>
    <m/>
    <m/>
    <m/>
    <n v="9"/>
    <n v="0"/>
    <n v="0.72117900000000001"/>
    <m/>
    <n v="11998.512000000001"/>
    <m/>
    <m/>
    <m/>
    <m/>
    <m/>
    <n v="0"/>
    <n v="225"/>
    <n v="42769"/>
    <n v="42769.497099189801"/>
    <x v="1"/>
    <s v="A70BDD5676204E1F958D9EF1DB341ABD"/>
    <n v="1333.1680000000001"/>
    <n v="25"/>
    <n v="1175.7261559139786"/>
    <n v="162.55796725694501"/>
    <n v="100.15639784946237"/>
    <n v="32.544111433560438"/>
  </r>
  <r>
    <n v="178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3973082"/>
    <n v="1"/>
    <s v="BHHPPS1533973082"/>
    <s v="2465653193"/>
    <s v="RCS STORAGE"/>
    <s v="RCS STORAGE"/>
    <s v="RCS STORAGE"/>
    <s v="2400 COMMERCE RD"/>
    <s v="RAPID CITY"/>
    <s v="SD"/>
    <s v="57702"/>
    <s v="CLARKE ELECTRIC"/>
    <s v="2321 SOPHIA CT"/>
    <s v="RAPID CITY"/>
    <s v="SD"/>
    <s v="57702"/>
    <s v="605-342-5945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25"/>
    <n v="0"/>
    <n v="3.2919480000000001"/>
    <m/>
    <n v="15425.4"/>
    <m/>
    <m/>
    <m/>
    <m/>
    <m/>
    <n v="0"/>
    <n v="1875"/>
    <n v="42772"/>
    <n v="42772.445572835597"/>
    <x v="1"/>
    <s v="87594555DB3248658114F95DD5EE9527"/>
    <n v="617.01599999999996"/>
    <n v="75"/>
    <n v="540.38278358208959"/>
    <n v="100.67961898397597"/>
    <n v="63.736940298507463"/>
    <n v="15.137978729011348"/>
  </r>
  <r>
    <n v="179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-0.15639424182705158"/>
    <s v=""/>
    <b v="0"/>
    <b v="0"/>
    <s v=""/>
    <s v="BHHPPS1533975017"/>
    <n v="1"/>
    <s v="BHHPPS1533975017"/>
    <s v="1086894116"/>
    <s v="JANELLE"/>
    <s v="FINCK"/>
    <s v="FISK LAND SURVEY"/>
    <s v="1022 W MAIN ST"/>
    <s v="RAPID CITY"/>
    <s v="SD"/>
    <s v="57701"/>
    <s v="BLACK HILLS LIGHTING"/>
    <s v="PO BOX 4035"/>
    <s v="RAPID CITY"/>
    <s v="SD"/>
    <s v="57709"/>
    <s v="605-381-9452"/>
    <m/>
    <s v="C&amp;I Prescriptive Rebate :- C&amp;I Lighting :- Customer Incentives"/>
    <s v="LED Replacement for Linear Fluorescent Lamps - 5 to 8 f"/>
    <s v="Office"/>
    <s v="Existing"/>
    <m/>
    <m/>
    <m/>
    <m/>
    <m/>
    <m/>
    <m/>
    <m/>
    <m/>
    <m/>
    <m/>
    <m/>
    <m/>
    <n v="16"/>
    <n v="0"/>
    <n v="0.55389299999999997"/>
    <m/>
    <n v="2462.8960000000002"/>
    <m/>
    <m/>
    <m/>
    <m/>
    <m/>
    <n v="0"/>
    <n v="368"/>
    <n v="42773"/>
    <n v="42773.443283449102"/>
    <x v="1"/>
    <s v="CA290171EA34411DBAC7E9851411D38D"/>
    <n v="153.93100000000001"/>
    <n v="23"/>
    <n v="159.23217764165389"/>
    <n v="33.896245665592865"/>
    <n v="23"/>
    <n v="0"/>
  </r>
  <r>
    <n v="180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-0.60626339097590731"/>
    <b v="0"/>
    <b v="0"/>
    <s v=""/>
    <s v="BHHPPS1533975017"/>
    <n v="0"/>
    <s v="BHHPPS1533975017"/>
    <s v="1086894116"/>
    <s v="JANELLE"/>
    <s v="FINCK"/>
    <s v="FISK LAND SURVEY"/>
    <s v="1022 W MAIN ST"/>
    <s v="RAPID CITY"/>
    <s v="SD"/>
    <s v="57701"/>
    <s v="BLACK HILLS LIGHTING"/>
    <s v="PO BOX 4035"/>
    <s v="RAPID CITY"/>
    <s v="SD"/>
    <s v="57709"/>
    <s v="605-381-9452"/>
    <m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20"/>
    <n v="0"/>
    <n v="0.22334399999999999"/>
    <m/>
    <n v="993.1"/>
    <m/>
    <m/>
    <m/>
    <m/>
    <m/>
    <n v="0"/>
    <n v="160"/>
    <n v="42773"/>
    <n v="42773.443283449102"/>
    <x v="1"/>
    <s v="189FB37DDA084859B436A8D052925B41"/>
    <n v="49.655000000000001"/>
    <n v="8"/>
    <n v="71.928403166606657"/>
    <n v="30.28616226838243"/>
    <n v="10.421419234256929"/>
    <n v="3.9940053618595535"/>
  </r>
  <r>
    <n v="181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0.10982312579381885"/>
    <b v="0"/>
    <b v="0"/>
    <s v=""/>
    <s v="BHHPPS1533979839"/>
    <n v="1"/>
    <s v="BHHPPS1533979839"/>
    <s v="5587911853"/>
    <s v="DALES TIRE"/>
    <s v="DALES TIRE"/>
    <s v="DALES TIRE"/>
    <s v="691 DEADWOOD AVE N"/>
    <s v="RAPID CITY"/>
    <s v="SD"/>
    <s v="57702"/>
    <s v="BLACK HILLS LIGHTING"/>
    <s v="PO BOX 4035"/>
    <s v="RAPID CITY"/>
    <s v="SD"/>
    <s v="57709"/>
    <s v="605-381-9452"/>
    <m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6"/>
    <n v="0"/>
    <n v="0.23023399999999999"/>
    <m/>
    <n v="1078.83"/>
    <m/>
    <m/>
    <m/>
    <m/>
    <m/>
    <n v="0"/>
    <n v="58.95"/>
    <n v="42774"/>
    <n v="42774.778149849502"/>
    <x v="1"/>
    <s v="4354D1D4FB1040E98BC343A62F78B595"/>
    <n v="179.80499999999998"/>
    <n v="9.8250000000000011"/>
    <n v="183.5885054112554"/>
    <n v="35.763002108901198"/>
    <n v="9.5846103896103898"/>
    <n v="2.1888796977142775"/>
  </r>
  <r>
    <n v="182"/>
    <s v="Non-Residential - BHPSD - C/I Prescriptive Rebate"/>
    <b v="1"/>
    <s v="Non-Residential - BHPSD - C/I Prescriptive Rebate_C&amp;I Prescriptive Rebate :- C&amp;I Lighting :- Customer Incentives_Energy Star LED Lamps - 5W or less"/>
    <s v="C&amp;I_C&amp;I Prescriptive_Lighting_Energy Star LED Lamp (≤5W)"/>
    <x v="2"/>
    <x v="3"/>
    <x v="3"/>
    <x v="7"/>
    <n v="1.960591133004923"/>
    <n v="-1.9605911330049151"/>
    <b v="0"/>
    <b v="0"/>
    <s v=""/>
    <s v="BHHPPS1534039959"/>
    <n v="1"/>
    <s v="BHHPPS1534039959"/>
    <s v="5011134698"/>
    <s v="LATE HARVEST INC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Prescriptive Rebate :- C&amp;I Lighting :- Customer Incentives"/>
    <s v="Energy Star LED Lamps - 5W or less"/>
    <s v="Restaurant"/>
    <s v="Existing"/>
    <m/>
    <m/>
    <m/>
    <m/>
    <m/>
    <m/>
    <m/>
    <m/>
    <m/>
    <m/>
    <m/>
    <m/>
    <m/>
    <n v="8"/>
    <n v="0"/>
    <n v="0.13619200000000001"/>
    <m/>
    <n v="832.8"/>
    <m/>
    <m/>
    <m/>
    <m/>
    <m/>
    <n v="0"/>
    <n v="30.32"/>
    <n v="42796"/>
    <n v="42796.520584490703"/>
    <x v="1"/>
    <s v="EE2102B7B50A4E27B48D54BF2B2FF81A"/>
    <n v="104.1"/>
    <n v="3.79"/>
    <n v="76.267448275862066"/>
    <n v="14.196000000000021"/>
    <n v="4.9761576354679802"/>
    <n v="0.60500000000000331"/>
  </r>
  <r>
    <n v="183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-0.37736818163416058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3"/>
    <n v="0"/>
    <n v="7.6607999999999996E-2"/>
    <m/>
    <n v="468.45"/>
    <m/>
    <m/>
    <m/>
    <m/>
    <m/>
    <n v="0"/>
    <n v="12.24"/>
    <n v="42796"/>
    <n v="42796.520584490703"/>
    <x v="1"/>
    <s v="E9B6D62BDDC741EE99BC579F6140716E"/>
    <n v="156.15"/>
    <n v="4.08"/>
    <n v="124.22266552020636"/>
    <n v="22.950483592270654"/>
    <n v="4.8732072914875317"/>
    <n v="2.1019453416888925"/>
  </r>
  <r>
    <n v="18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0.20295066700511452"/>
    <n v="-0.70390972959234355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Prescriptive Rebate :- C&amp;I Lighting :- Customer Incentives"/>
    <s v="LED Replacement for T8 Linear Fluorescent Lamps - 4 ft or less"/>
    <s v="Restaurant"/>
    <s v="Existing"/>
    <m/>
    <m/>
    <m/>
    <m/>
    <m/>
    <m/>
    <m/>
    <m/>
    <m/>
    <m/>
    <m/>
    <m/>
    <m/>
    <n v="2"/>
    <n v="0"/>
    <n v="2.5536E-2"/>
    <m/>
    <n v="156.15"/>
    <m/>
    <m/>
    <m/>
    <m/>
    <m/>
    <n v="0"/>
    <n v="15.22"/>
    <n v="42796"/>
    <n v="42796.520584490703"/>
    <x v="1"/>
    <s v="E4289F3D3EB24263BF1DB74AFDD1A04C"/>
    <n v="78.075000000000003"/>
    <n v="7.61"/>
    <n v="71.928403166606657"/>
    <n v="30.28616226838243"/>
    <n v="10.421419234256929"/>
    <n v="3.9940053618595535"/>
  </r>
  <r>
    <n v="185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1.7797301914120589"/>
    <n v="-0.88840441603119402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Prescriptive Rebate :- C&amp;I Lighting :- Customer Incentives"/>
    <s v="Energy Star LED Lamps - 10W or greater"/>
    <s v="Restaurant"/>
    <s v="Existing"/>
    <m/>
    <m/>
    <m/>
    <m/>
    <m/>
    <m/>
    <m/>
    <m/>
    <m/>
    <m/>
    <m/>
    <m/>
    <m/>
    <n v="12"/>
    <n v="0"/>
    <n v="0.485184"/>
    <m/>
    <n v="2966.8440000000001"/>
    <m/>
    <m/>
    <m/>
    <m/>
    <m/>
    <n v="0"/>
    <n v="91.68"/>
    <n v="42796"/>
    <n v="42796.520584490703"/>
    <x v="1"/>
    <s v="48EE0DD7FD1E4CC1A392AE40E8292169"/>
    <n v="247.23699999999999"/>
    <n v="7.6400000000000006"/>
    <n v="183.5885054112554"/>
    <n v="35.763002108901198"/>
    <n v="9.5846103896103898"/>
    <n v="2.1888796977142775"/>
  </r>
  <r>
    <n v="186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0.20295066700511452"/>
    <n v="-0.8891873977363508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Prescriptive Rebate :- C&amp;I Lighting :- Customer Incentives"/>
    <s v="LED Replacement for T8 Linear Fluorescent Lamps - 4 ft or less"/>
    <s v="Restaurant"/>
    <s v="Existing"/>
    <m/>
    <m/>
    <m/>
    <m/>
    <m/>
    <m/>
    <m/>
    <m/>
    <m/>
    <m/>
    <m/>
    <m/>
    <m/>
    <n v="2"/>
    <n v="0"/>
    <n v="2.5536E-2"/>
    <m/>
    <n v="156.15"/>
    <m/>
    <m/>
    <m/>
    <m/>
    <m/>
    <n v="0"/>
    <n v="13.74"/>
    <n v="42796"/>
    <n v="42796.520584490703"/>
    <x v="1"/>
    <s v="B17A86A87C2F403DBD6E9C04A8995DBD"/>
    <n v="78.075000000000003"/>
    <n v="6.87"/>
    <n v="71.928403166606657"/>
    <n v="30.28616226838243"/>
    <n v="10.421419234256929"/>
    <n v="3.9940053618595535"/>
  </r>
  <r>
    <n v="187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0.39334643585363099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20"/>
    <n v="0"/>
    <n v="0.51071999999999995"/>
    <m/>
    <n v="3123"/>
    <m/>
    <m/>
    <m/>
    <m/>
    <m/>
    <n v="0"/>
    <n v="114"/>
    <n v="42796"/>
    <n v="42796.520584490703"/>
    <x v="1"/>
    <s v="645605E58E0C4D8F878C740F1B745CB4"/>
    <n v="156.15"/>
    <n v="5.7"/>
    <n v="124.22266552020636"/>
    <n v="22.950483592270654"/>
    <n v="4.8732072914875317"/>
    <n v="2.1019453416888925"/>
  </r>
  <r>
    <n v="188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-0.52009311079856657"/>
    <b v="0"/>
    <b v="0"/>
    <s v=""/>
    <s v="BHHPPS1534039959"/>
    <n v="0"/>
    <s v="BHHPPS1534039959"/>
    <s v="5011134698"/>
    <s v="LATE HARVEST INC"/>
    <s v="LATE HARVEST INC"/>
    <s v="TALLYS"/>
    <s v="530 6TH ST"/>
    <s v="RAPID CITY"/>
    <s v="SD"/>
    <s v="57701"/>
    <s v="APEX ELECTRIC"/>
    <s v="2843 SAMCO RD UNIT E"/>
    <s v="RAPID CITY"/>
    <s v="SD"/>
    <s v="57702"/>
    <s v="605-391-0231"/>
    <s v="APEX.HOLZER@GMAIL.COM"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12"/>
    <n v="0"/>
    <n v="0.30643199999999998"/>
    <m/>
    <n v="1873.8"/>
    <m/>
    <m/>
    <m/>
    <m/>
    <m/>
    <n v="0"/>
    <n v="45.36"/>
    <n v="42796"/>
    <n v="42796.520584490703"/>
    <x v="1"/>
    <s v="00F41F02B7B2487BA0720C8924DD6C22"/>
    <n v="156.15"/>
    <n v="3.78"/>
    <n v="124.22266552020636"/>
    <n v="22.950483592270654"/>
    <n v="4.8732072914875317"/>
    <n v="2.1019453416888925"/>
  </r>
  <r>
    <n v="18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-0.28697572649670333"/>
    <b v="0"/>
    <b v="0"/>
    <s v=""/>
    <s v="BHHPPS1534040769"/>
    <n v="1"/>
    <s v="BHHPPS1534040769"/>
    <s v="6156656520"/>
    <s v="CHURCH OF ALL ANGELS"/>
    <s v="CHURCH OF ALL ANGELS"/>
    <s v="CHURCH OF ALL ANGELS"/>
    <s v="1046 N 5TH ST"/>
    <s v="SPEARFISH"/>
    <s v="SD"/>
    <s v="57783"/>
    <s v="BHE"/>
    <s v="PO BOX 1400"/>
    <s v="RAPID CITY"/>
    <s v="SD"/>
    <s v="57709"/>
    <s v="605-721-2687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3"/>
    <n v="0"/>
    <n v="7.2706000000000007E-2"/>
    <m/>
    <n v="340.68299999999999"/>
    <m/>
    <m/>
    <m/>
    <m/>
    <m/>
    <n v="0"/>
    <n v="12.81"/>
    <n v="42796"/>
    <n v="42796.677917673602"/>
    <x v="1"/>
    <s v="23C4FD3698B642FE80BB0AA31E8D5CC7"/>
    <n v="113.56099999999999"/>
    <n v="4.2700000000000005"/>
    <n v="124.22266552020636"/>
    <n v="22.950483592270654"/>
    <n v="4.8732072914875317"/>
    <n v="2.1019453416888925"/>
  </r>
  <r>
    <n v="190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040769"/>
    <n v="0"/>
    <s v="BHHPPS1534040769"/>
    <s v="6156656520"/>
    <s v="CHURCH OF ALL ANGELS"/>
    <s v="CHURCH OF ALL ANGELS"/>
    <s v="CHURCH OF ALL ANGELS"/>
    <s v="1046 N 5TH ST"/>
    <s v="SPEARFISH"/>
    <s v="SD"/>
    <s v="57783"/>
    <s v="BHE"/>
    <s v="PO BOX 1400"/>
    <s v="RAPID CITY"/>
    <s v="SD"/>
    <s v="57709"/>
    <s v="605-721-2687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1"/>
    <n v="0"/>
    <n v="0.13167799999999999"/>
    <m/>
    <n v="617.01599999999996"/>
    <m/>
    <m/>
    <m/>
    <m/>
    <m/>
    <n v="0"/>
    <n v="75"/>
    <n v="42796"/>
    <n v="42796.677917673602"/>
    <x v="1"/>
    <s v="B9151104630C4F0BABD18BC4515CBA68"/>
    <n v="617.01599999999996"/>
    <n v="75"/>
    <n v="540.38278358208959"/>
    <n v="100.67961898397597"/>
    <n v="63.736940298507463"/>
    <n v="15.137978729011348"/>
  </r>
  <r>
    <n v="191"/>
    <s v="Non-Residential - BHPSD - C/I Prescriptive Rebate"/>
    <b v="1"/>
    <s v="Non-Residential - BHPSD - C/I Prescriptive Rebate_C&amp;I Prescriptive Rebate :- C&amp;I Lighting :- Customer Incentives_LED Replacement for Linear Fluorescent Lamps - 5 to 8 f"/>
    <s v="C&amp;I_C&amp;I Prescriptive_Lighting_LED Linear Replacement Lamp (5-8ft)"/>
    <x v="2"/>
    <x v="3"/>
    <x v="3"/>
    <x v="9"/>
    <n v="2.4427431632168606"/>
    <s v=""/>
    <b v="1"/>
    <b v="0"/>
    <s v=""/>
    <s v="BHHPPS1534040824"/>
    <n v="1"/>
    <s v="BHHPPS1534040824"/>
    <s v="0211290232"/>
    <s v="MILLSTONE RESTAURANT"/>
    <s v="MILLSTONE RESTAURANT"/>
    <s v="MILLSTONE RESTAURANT"/>
    <s v="2010 W MAIN ST"/>
    <s v="RAPID CITY"/>
    <s v="SD"/>
    <s v="57702"/>
    <s v="SABO ELECTRIC INC"/>
    <s v="8420 ALBERTTA DR"/>
    <s v="RAPID CITY"/>
    <s v="SD"/>
    <s v="57702"/>
    <s v="605-343-8615"/>
    <s v="GORDEN@DAKFIRE.COM"/>
    <s v="C&amp;I Prescriptive Rebate :- C&amp;I Lighting :- Customer Incentives"/>
    <s v="LED Replacement for Linear Fluorescent Lamps - 5 to 8 f"/>
    <s v="Restaurant"/>
    <s v="Existing"/>
    <m/>
    <m/>
    <m/>
    <m/>
    <m/>
    <m/>
    <m/>
    <m/>
    <m/>
    <m/>
    <m/>
    <m/>
    <m/>
    <n v="20"/>
    <n v="0"/>
    <n v="0.79161599999999999"/>
    <m/>
    <n v="4840.6400000000003"/>
    <m/>
    <m/>
    <m/>
    <m/>
    <m/>
    <n v="0"/>
    <n v="460"/>
    <n v="42796"/>
    <n v="42796.702790740703"/>
    <x v="1"/>
    <s v="C614C5E81397436F80188F907FB0380F"/>
    <n v="242.03200000000001"/>
    <n v="23"/>
    <n v="159.23217764165389"/>
    <n v="33.896245665592865"/>
    <n v="23"/>
    <n v="0"/>
  </r>
  <r>
    <n v="192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-1.0101153675963599"/>
    <b v="0"/>
    <b v="0"/>
    <s v=""/>
    <s v="BHHPPS1534040824"/>
    <n v="0"/>
    <s v="BHHPPS1534040824"/>
    <s v="0211290232"/>
    <s v="MILLSTONE RESTAURANT"/>
    <s v="MILLSTONE RESTAURANT"/>
    <s v="MILLSTONE RESTAURANT"/>
    <s v="2010 W MAIN ST"/>
    <s v="RAPID CITY"/>
    <s v="SD"/>
    <s v="57702"/>
    <s v="SABO ELECTRIC INC"/>
    <s v="8420 ALBERTTA DR"/>
    <s v="RAPID CITY"/>
    <s v="SD"/>
    <s v="57702"/>
    <s v="605-343-8615"/>
    <s v="GORDEN@DAKFIRE.COM"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101"/>
    <n v="0"/>
    <n v="2.5791360000000001"/>
    <m/>
    <n v="15771.15"/>
    <m/>
    <m/>
    <m/>
    <m/>
    <m/>
    <n v="0"/>
    <n v="277.75"/>
    <n v="42796"/>
    <n v="42796.702790740703"/>
    <x v="1"/>
    <s v="DB9D7D63DF1D4CC4A706FE448D8797B5"/>
    <n v="156.15"/>
    <n v="2.75"/>
    <n v="124.22266552020636"/>
    <n v="22.950483592270654"/>
    <n v="4.8732072914875317"/>
    <n v="2.1019453416888925"/>
  </r>
  <r>
    <n v="19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0.20295066700511452"/>
    <n v="-0.88417989319191814"/>
    <b v="0"/>
    <b v="0"/>
    <s v=""/>
    <s v="BHHPPS1534040824"/>
    <n v="0"/>
    <s v="BHHPPS1534040824"/>
    <s v="0211290232"/>
    <s v="MILLSTONE RESTAURANT"/>
    <s v="MILLSTONE RESTAURANT"/>
    <s v="MILLSTONE RESTAURANT"/>
    <s v="2010 W MAIN ST"/>
    <s v="RAPID CITY"/>
    <s v="SD"/>
    <s v="57702"/>
    <s v="SABO ELECTRIC INC"/>
    <s v="8420 ALBERTTA DR"/>
    <s v="RAPID CITY"/>
    <s v="SD"/>
    <s v="57702"/>
    <s v="605-343-8615"/>
    <s v="GORDEN@DAKFIRE.COM"/>
    <s v="C&amp;I Prescriptive Rebate :- C&amp;I Lighting :- Customer Incentives"/>
    <s v="LED Replacement for T8 Linear Fluorescent Lamps - 4 ft or less"/>
    <s v="Restaurant"/>
    <s v="Existing"/>
    <m/>
    <m/>
    <m/>
    <m/>
    <m/>
    <m/>
    <m/>
    <m/>
    <m/>
    <m/>
    <m/>
    <m/>
    <m/>
    <n v="24"/>
    <n v="0"/>
    <n v="0.30643199999999998"/>
    <m/>
    <n v="1873.8"/>
    <m/>
    <m/>
    <m/>
    <m/>
    <m/>
    <n v="0"/>
    <n v="165.36"/>
    <n v="42796"/>
    <n v="42796.702790740703"/>
    <x v="1"/>
    <s v="1A5507BCDE2340249971B4A986534E4A"/>
    <n v="78.075000000000003"/>
    <n v="6.8900000000000006"/>
    <n v="71.928403166606657"/>
    <n v="30.28616226838243"/>
    <n v="10.421419234256929"/>
    <n v="3.9940053618595535"/>
  </r>
  <r>
    <n v="194"/>
    <s v="Non-Residential - BHPSD - C/I Prescriptive Rebate"/>
    <b v="1"/>
    <s v="Non-Residential - BHPSD - C/I Prescriptive Rebate_C&amp;I Prescriptive Rebate :- C&amp;I Lighting :- Customer Incentives_LED Fixtures Exterior &amp; Garage - 25W or less"/>
    <s v="C&amp;I_C&amp;I Prescriptive_Lighting_LED Parking Garage/Canopy (&lt;30W)"/>
    <x v="2"/>
    <x v="3"/>
    <x v="3"/>
    <x v="11"/>
    <n v="1.0213764617139034"/>
    <n v="-6.7654237626589869E-2"/>
    <b v="0"/>
    <b v="0"/>
    <s v=""/>
    <s v="BHHPPS1534040824"/>
    <n v="0"/>
    <s v="BHHPPS1534040824"/>
    <s v="0211290232"/>
    <s v="MILLSTONE RESTAURANT"/>
    <s v="MILLSTONE RESTAURANT"/>
    <s v="MILLSTONE RESTAURANT"/>
    <s v="2010 W MAIN ST"/>
    <s v="RAPID CITY"/>
    <s v="SD"/>
    <s v="57702"/>
    <s v="SABO ELECTRIC INC"/>
    <s v="8420 ALBERTTA DR"/>
    <s v="RAPID CITY"/>
    <s v="SD"/>
    <s v="57702"/>
    <s v="605-343-8615"/>
    <s v="GORDEN@DAKFIRE.COM"/>
    <s v="C&amp;I Prescriptive Rebate :- C&amp;I Lighting :- Customer Incentives"/>
    <s v="LED Fixtures Exterior &amp; Garage - 25W or less"/>
    <s v="Restaurant"/>
    <s v="Existing"/>
    <m/>
    <m/>
    <m/>
    <m/>
    <m/>
    <m/>
    <m/>
    <m/>
    <m/>
    <m/>
    <m/>
    <m/>
    <m/>
    <n v="14"/>
    <n v="0"/>
    <n v="1.5745070000000001"/>
    <m/>
    <n v="9627.94"/>
    <m/>
    <m/>
    <m/>
    <m/>
    <m/>
    <n v="0"/>
    <n v="126.56"/>
    <n v="42796"/>
    <n v="42796.702790740703"/>
    <x v="1"/>
    <s v="639C268A7354441A94352A06DA771177"/>
    <n v="687.71"/>
    <n v="9.0400000000000009"/>
    <n v="597.39996296296295"/>
    <n v="88.419931751211379"/>
    <n v="9.8725925925925928"/>
    <n v="12.306584506768004"/>
  </r>
  <r>
    <n v="199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1.7797301914120589"/>
    <n v="-1.4686098980072886"/>
    <b v="0"/>
    <b v="0"/>
    <s v=""/>
    <s v="BHHPPS1534040824"/>
    <n v="0"/>
    <s v="BHHPPS1534040824"/>
    <s v="0211290232"/>
    <s v="MILLSTONE RESTAURANT"/>
    <s v="MILLSTONE RESTAURANT"/>
    <s v="MILLSTONE RESTAURANT"/>
    <s v="2010 W MAIN ST"/>
    <s v="RAPID CITY"/>
    <s v="SD"/>
    <s v="57702"/>
    <s v="SABO ELECTRIC INC"/>
    <s v="8420 ALBERTTA DR"/>
    <s v="RAPID CITY"/>
    <s v="SD"/>
    <s v="57702"/>
    <s v="605-343-8615"/>
    <s v="GORDEN@DAKFIRE.COM"/>
    <s v="C&amp;I Prescriptive Rebate :- C&amp;I Lighting :- Customer Incentives"/>
    <s v="Energy Star LED Lamps - 10W or greater"/>
    <s v="Restaurant"/>
    <s v="Existing"/>
    <m/>
    <m/>
    <m/>
    <m/>
    <m/>
    <m/>
    <m/>
    <m/>
    <m/>
    <m/>
    <m/>
    <m/>
    <m/>
    <n v="38"/>
    <n v="0"/>
    <n v="1.536416"/>
    <m/>
    <n v="9395.0059999999994"/>
    <m/>
    <m/>
    <m/>
    <m/>
    <m/>
    <n v="0"/>
    <n v="242.06"/>
    <n v="42796"/>
    <n v="42796.702790740703"/>
    <x v="1"/>
    <s v="6C97DB03B40C4522BF3CDC3912B56ACC"/>
    <n v="247.23699999999999"/>
    <n v="6.37"/>
    <n v="183.5885054112554"/>
    <n v="35.763002108901198"/>
    <n v="9.5846103896103898"/>
    <n v="2.1888796977142775"/>
  </r>
  <r>
    <n v="196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2091126722505232"/>
    <n v="-0.60626339097590731"/>
    <b v="0"/>
    <b v="0"/>
    <s v=""/>
    <s v="BHHPPS1534040957"/>
    <n v="1"/>
    <s v="BHHPPS1534040957"/>
    <s v="7413451014"/>
    <s v="JDS EQUIPMENT SVC LLC"/>
    <s v="JDS EQUIPMENT SVC LLC"/>
    <s v="JDS EQUIPMENT SVC LLC"/>
    <s v="12176 SIOUXLAND RD"/>
    <s v="SUMMERSET"/>
    <s v="SD"/>
    <s v="57718"/>
    <s v="CLARKE ELECTRIC"/>
    <s v="2321 SOPHIA CT"/>
    <s v="RAPID CITY"/>
    <s v="SD"/>
    <s v="57702"/>
    <s v="605-342-5945"/>
    <m/>
    <s v="C&amp;I Prescriptive Rebate :- C&amp;I Lighting :- Customer Incentives"/>
    <s v="LED Replacement for T8 Linear Fluorescent Lamps - 4 ft or less"/>
    <s v="Warehouse"/>
    <s v="Existing"/>
    <m/>
    <m/>
    <m/>
    <m/>
    <m/>
    <m/>
    <m/>
    <m/>
    <m/>
    <m/>
    <m/>
    <m/>
    <m/>
    <n v="32"/>
    <n v="0"/>
    <n v="0.39244800000000002"/>
    <m/>
    <n v="1796.864"/>
    <m/>
    <m/>
    <m/>
    <m/>
    <m/>
    <n v="0"/>
    <n v="256"/>
    <n v="42796"/>
    <n v="42796.756497071801"/>
    <x v="1"/>
    <s v="5C48101BF5AF4B3796C7511C08D3253D"/>
    <n v="56.152000000000001"/>
    <n v="8"/>
    <n v="71.928403166606657"/>
    <n v="30.28616226838243"/>
    <n v="10.421419234256929"/>
    <n v="3.9940053618595535"/>
  </r>
  <r>
    <n v="197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1.2224527768992919"/>
    <n v="-0.60626339097590731"/>
    <b v="0"/>
    <b v="0"/>
    <s v=""/>
    <s v="BHHPPS1534040981"/>
    <n v="1"/>
    <s v="BHHPPS1534040981"/>
    <s v="0293338895"/>
    <s v="WHITEWOOD ELEMENTARY"/>
    <s v="WHITEWOOD ELEMENTARY"/>
    <s v="WHITEWOOD ELEMENTARY"/>
    <s v="603 GARFIELD ST"/>
    <s v="WHITEWOOD"/>
    <s v="SD"/>
    <s v="57793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Education"/>
    <s v="Existing"/>
    <m/>
    <m/>
    <m/>
    <m/>
    <m/>
    <m/>
    <m/>
    <m/>
    <m/>
    <m/>
    <m/>
    <m/>
    <m/>
    <n v="512"/>
    <n v="0"/>
    <n v="1.9464189999999999"/>
    <m/>
    <n v="17871.36"/>
    <m/>
    <m/>
    <m/>
    <m/>
    <m/>
    <n v="0"/>
    <n v="4096"/>
    <n v="42796"/>
    <n v="42796.784825659699"/>
    <x v="1"/>
    <s v="7FAA159624EB4155B5450BF2196A1B42"/>
    <n v="34.905000000000001"/>
    <n v="8"/>
    <n v="71.928403166606657"/>
    <n v="30.28616226838243"/>
    <n v="10.421419234256929"/>
    <n v="3.9940053618595535"/>
  </r>
  <r>
    <n v="198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2.8558806667419399"/>
    <n v="-4.8057188404622845E-3"/>
    <b v="1"/>
    <b v="0"/>
    <s v=""/>
    <s v="BHHPPS1534040981"/>
    <n v="0"/>
    <s v="BHHPPS1534040981"/>
    <s v="0293338895"/>
    <s v="WHITEWOOD ELEMENTARY"/>
    <s v="WHITEWOOD ELEMENTARY"/>
    <s v="WHITEWOOD ELEMENTARY"/>
    <s v="603 GARFIELD ST"/>
    <s v="WHITEWOOD"/>
    <s v="SD"/>
    <s v="57793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Fixtures Exterior &amp; Garage - 60W to 150W"/>
    <s v="Education"/>
    <s v="Existing"/>
    <m/>
    <m/>
    <m/>
    <m/>
    <m/>
    <m/>
    <m/>
    <m/>
    <m/>
    <m/>
    <m/>
    <m/>
    <m/>
    <n v="1"/>
    <n v="0"/>
    <n v="7.7489000000000002E-2"/>
    <m/>
    <n v="711.48"/>
    <m/>
    <m/>
    <m/>
    <m/>
    <m/>
    <n v="0"/>
    <n v="100"/>
    <n v="42796"/>
    <n v="42796.784825659699"/>
    <x v="1"/>
    <s v="CA3545FA75CD4812B6D4ADC9F02B874A"/>
    <n v="711.48"/>
    <n v="100"/>
    <n v="1175.7261559139786"/>
    <n v="162.55796725694501"/>
    <n v="100.15639784946237"/>
    <n v="32.544111433560438"/>
  </r>
  <r>
    <n v="140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1.5999443105533322"/>
    <n v="0.74402665660424805"/>
    <b v="0"/>
    <b v="0"/>
    <s v=""/>
    <s v="BHHPPS1534040981"/>
    <n v="0"/>
    <s v="BHHPPS1534040981"/>
    <s v="0293338895"/>
    <s v="WHITEWOOD ELEMENTARY"/>
    <s v="WHITEWOOD ELEMENTARY"/>
    <s v="WHITEWOOD ELEMENTARY"/>
    <s v="603 GARFIELD ST"/>
    <s v="WHITEWOOD"/>
    <s v="SD"/>
    <s v="57793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Fixtures Exterior &amp; Garage - 25W to 60W"/>
    <s v="Education"/>
    <s v="Existing"/>
    <m/>
    <m/>
    <m/>
    <m/>
    <m/>
    <m/>
    <m/>
    <m/>
    <m/>
    <m/>
    <m/>
    <m/>
    <m/>
    <n v="4"/>
    <n v="0"/>
    <n v="0.165243"/>
    <m/>
    <n v="1517.204"/>
    <m/>
    <m/>
    <m/>
    <m/>
    <m/>
    <n v="0"/>
    <n v="300"/>
    <n v="42796"/>
    <n v="42796.784825659699"/>
    <x v="1"/>
    <s v="A5BBC286274341768C785CBC3C054EF9"/>
    <n v="379.30099999999999"/>
    <n v="75"/>
    <n v="540.38278358208959"/>
    <n v="100.67961898397597"/>
    <n v="63.736940298507463"/>
    <n v="15.137978729011348"/>
  </r>
  <r>
    <n v="20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1.2224527768992919"/>
    <n v="-0.60626339097590731"/>
    <b v="0"/>
    <b v="0"/>
    <s v=""/>
    <s v="BHHPPS1534040981"/>
    <n v="0"/>
    <s v="BHHPPS1534040981"/>
    <s v="0293338895"/>
    <s v="WHITEWOOD ELEMENTARY"/>
    <s v="WHITEWOOD ELEMENTARY"/>
    <s v="WHITEWOOD ELEMENTARY"/>
    <s v="603 GARFIELD ST"/>
    <s v="WHITEWOOD"/>
    <s v="SD"/>
    <s v="57793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Education"/>
    <s v="Existing"/>
    <m/>
    <m/>
    <m/>
    <m/>
    <m/>
    <m/>
    <m/>
    <m/>
    <m/>
    <m/>
    <m/>
    <m/>
    <m/>
    <n v="100"/>
    <n v="0"/>
    <n v="0.38016"/>
    <m/>
    <n v="3490.5"/>
    <m/>
    <m/>
    <m/>
    <m/>
    <m/>
    <n v="0"/>
    <n v="800"/>
    <n v="42796"/>
    <n v="42796.784825659699"/>
    <x v="1"/>
    <s v="72B986B948EA46AA9C908F2145D3539F"/>
    <n v="34.905000000000001"/>
    <n v="8"/>
    <n v="71.928403166606657"/>
    <n v="30.28616226838243"/>
    <n v="10.421419234256929"/>
    <n v="3.9940053618595535"/>
  </r>
  <r>
    <n v="201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2.0427676957542755"/>
    <n v="1.3319094756253556"/>
    <b v="1"/>
    <b v="0"/>
    <s v=""/>
    <s v="BHHPPS1534040981"/>
    <n v="0"/>
    <s v="BHHPPS1534040981"/>
    <s v="0293338895"/>
    <s v="WHITEWOOD ELEMENTARY"/>
    <s v="WHITEWOOD ELEMENTARY"/>
    <s v="WHITEWOOD ELEMENTARY"/>
    <s v="603 GARFIELD ST"/>
    <s v="WHITEWOOD"/>
    <s v="SD"/>
    <s v="57793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Energy Star LED Lamps - 10W or greater"/>
    <s v="Education"/>
    <s v="Existing"/>
    <m/>
    <m/>
    <m/>
    <m/>
    <m/>
    <m/>
    <m/>
    <m/>
    <m/>
    <m/>
    <m/>
    <m/>
    <m/>
    <n v="28"/>
    <n v="0"/>
    <n v="0.33707500000000001"/>
    <m/>
    <n v="3094.924"/>
    <m/>
    <m/>
    <m/>
    <m/>
    <m/>
    <n v="0"/>
    <n v="350"/>
    <n v="42796"/>
    <n v="42796.784825659699"/>
    <x v="1"/>
    <s v="09CB1042A7D64EE19843BDC3B8A0C61A"/>
    <n v="110.533"/>
    <n v="12.5"/>
    <n v="183.5885054112554"/>
    <n v="35.763002108901198"/>
    <n v="9.5846103896103898"/>
    <n v="2.1888796977142775"/>
  </r>
  <r>
    <n v="202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7.9239829286255527E-3"/>
    <n v="0.74402665660424805"/>
    <b v="0"/>
    <b v="0"/>
    <s v=""/>
    <s v="BHHPPS1534044382"/>
    <n v="1"/>
    <s v="BHHPPS1534044382"/>
    <s v="5114672783"/>
    <s v="THE PROFESSIONAL PLAZA"/>
    <s v="THE PROFESSIONAL PLAZA"/>
    <s v="THE PROFESSIONAL PLAZA"/>
    <s v="550 N 5TH ST"/>
    <s v="RAPID CITY"/>
    <s v="SD"/>
    <s v="57701"/>
    <s v="CONRADS BIG C ELECTRIC"/>
    <s v="1750 E NORTH ST"/>
    <s v="RAPID CITY"/>
    <s v="SD"/>
    <s v="57701"/>
    <s v="605-348-8744"/>
    <s v="bigc@hills.net"/>
    <s v="C&amp;I Prescriptive Rebate :- C&amp;I Lighting :- Customer Incentives"/>
    <s v="LED Fixtures Exterior &amp; Garage - 25W to 60W"/>
    <s v="Office"/>
    <s v="Existing"/>
    <m/>
    <m/>
    <m/>
    <m/>
    <m/>
    <m/>
    <m/>
    <m/>
    <m/>
    <m/>
    <m/>
    <m/>
    <m/>
    <n v="5"/>
    <n v="0"/>
    <n v="0.60675100000000004"/>
    <m/>
    <n v="2697.9250000000002"/>
    <m/>
    <m/>
    <m/>
    <m/>
    <m/>
    <n v="0"/>
    <n v="375"/>
    <n v="42797"/>
    <n v="42797.695157523201"/>
    <x v="1"/>
    <s v="1A575973D0BB4AC3A676799A6EBC58B4"/>
    <n v="539.58500000000004"/>
    <n v="75"/>
    <n v="540.38278358208959"/>
    <n v="100.67961898397597"/>
    <n v="63.736940298507463"/>
    <n v="15.137978729011348"/>
  </r>
  <r>
    <n v="19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2.780860648076148"/>
    <n v="-0.10029762054961784"/>
    <b v="1"/>
    <b v="0"/>
    <s v=""/>
    <s v="BHHPPS1534063598"/>
    <n v="1"/>
    <s v="BHHPPS1534063598"/>
    <s v="3218771955"/>
    <s v="ELK CREEK STEAKHOUSE"/>
    <s v="VJ DINING GROUP LLC"/>
    <s v="VJ DINING GROUP LLC"/>
    <s v="0 I 90 EXIT 46"/>
    <s v="PIEDMONT"/>
    <s v="SD"/>
    <s v="57769"/>
    <s v="BHE"/>
    <s v="PO BOX 1400"/>
    <s v="RAPID CITY"/>
    <s v="SD"/>
    <s v="57709"/>
    <s v="605-721-2687"/>
    <m/>
    <s v="C&amp;I Prescriptive Rebate :- C&amp;I Lighting :- Customer Incentives"/>
    <s v="LED Replacement for T12 Linear Fluorescent Lamps - 4 ft or less"/>
    <s v="Restaurant"/>
    <s v="Existing"/>
    <m/>
    <m/>
    <m/>
    <m/>
    <m/>
    <m/>
    <m/>
    <m/>
    <m/>
    <m/>
    <m/>
    <m/>
    <m/>
    <n v="24"/>
    <n v="0"/>
    <n v="0.61286399999999996"/>
    <m/>
    <n v="3747.6"/>
    <m/>
    <m/>
    <m/>
    <m/>
    <m/>
    <n v="0"/>
    <n v="240.49992"/>
    <n v="42801"/>
    <n v="42801.629139780103"/>
    <x v="1"/>
    <s v="D356FD4041694B92A84CF5D54DA5CCA4"/>
    <n v="156.15"/>
    <n v="10.02083"/>
    <n v="71.928403166606657"/>
    <n v="30.28616226838243"/>
    <n v="10.421419234256929"/>
    <n v="3.9940053618595535"/>
  </r>
  <r>
    <n v="204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1.3911399448918909"/>
    <n v="0.12403876701331371"/>
    <b v="0"/>
    <b v="0"/>
    <s v=""/>
    <s v="BHHPPS1534063598"/>
    <n v="0"/>
    <s v="BHHPPS1534063598"/>
    <s v="3218771955"/>
    <s v="ELK CREEK STEAKHOUSE"/>
    <s v="VJ DINING GROUP LLC"/>
    <s v="VJ DINING GROUP LLC"/>
    <s v="0 I 90 EXIT 46"/>
    <s v="PIEDMONT"/>
    <s v="SD"/>
    <s v="57769"/>
    <s v="BHE"/>
    <s v="PO BOX 1400"/>
    <s v="RAPID CITY"/>
    <s v="SD"/>
    <s v="57709"/>
    <s v="605-721-2687"/>
    <m/>
    <s v="C&amp;I Prescriptive Rebate :- C&amp;I Lighting :- Customer Incentives"/>
    <s v="Energy Star LED Lamps - 5W to 10W"/>
    <s v="Restaurant"/>
    <s v="Existing"/>
    <m/>
    <m/>
    <m/>
    <m/>
    <m/>
    <m/>
    <m/>
    <m/>
    <m/>
    <m/>
    <m/>
    <m/>
    <m/>
    <n v="56"/>
    <n v="0"/>
    <n v="1.430016"/>
    <m/>
    <n v="8744.4"/>
    <m/>
    <m/>
    <m/>
    <m/>
    <m/>
    <n v="0"/>
    <n v="287.50008000000003"/>
    <n v="42801"/>
    <n v="42801.629139780103"/>
    <x v="1"/>
    <s v="8747289A156D401289841E829CE7C081"/>
    <n v="156.15"/>
    <n v="5.1339300000000003"/>
    <n v="124.22266552020636"/>
    <n v="22.950483592270654"/>
    <n v="4.8732072914875317"/>
    <n v="2.1019453416888925"/>
  </r>
  <r>
    <n v="20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2.042767695754276"/>
    <n v="-0.6462714196159739"/>
    <b v="1"/>
    <b v="0"/>
    <s v=""/>
    <s v="BHHPPS1534068070"/>
    <n v="1"/>
    <s v="BHHPPS1534068070"/>
    <s v="5045772714"/>
    <s v="STURGIS ELEMENTARY"/>
    <s v="MEADE SCHOOLS"/>
    <s v="STURGIS ELEMENTARY"/>
    <s v="1121 BALLPARK RD"/>
    <s v="STURGIS"/>
    <s v="SD"/>
    <s v="57785"/>
    <s v="WIRE R US INC"/>
    <s v="PO BOX 505"/>
    <s v="PIEDMONT"/>
    <s v="SD"/>
    <s v="57769"/>
    <s v="605-381-0729"/>
    <m/>
    <s v="C&amp;I Prescriptive Rebate :- C&amp;I Lighting :- Customer Incentives"/>
    <s v="Energy Star LED Lamps - 10W or greater"/>
    <s v="Education"/>
    <s v="Existing"/>
    <m/>
    <m/>
    <m/>
    <m/>
    <m/>
    <m/>
    <m/>
    <m/>
    <m/>
    <m/>
    <m/>
    <m/>
    <m/>
    <n v="10"/>
    <n v="0"/>
    <n v="0.120384"/>
    <m/>
    <n v="1105.33"/>
    <m/>
    <m/>
    <m/>
    <m/>
    <m/>
    <n v="0"/>
    <n v="81.7"/>
    <n v="42803"/>
    <n v="42803.467709340301"/>
    <x v="1"/>
    <s v="4DCE5FB9C9E44C0ABB7013F18F8CED5A"/>
    <n v="110.53299999999999"/>
    <n v="8.17"/>
    <n v="183.5885054112554"/>
    <n v="35.763002108901198"/>
    <n v="9.5846103896103898"/>
    <n v="2.1888796977142775"/>
  </r>
  <r>
    <n v="206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-1.5999443105533315"/>
    <n v="0.74402665660424805"/>
    <b v="0"/>
    <b v="0"/>
    <s v=""/>
    <s v="BHHPPS1534068070"/>
    <n v="0"/>
    <s v="BHHPPS1534068070"/>
    <s v="5045772714"/>
    <s v="STURGIS ELEMENTARY"/>
    <s v="MEADE SCHOOLS"/>
    <s v="STURGIS ELEMENTARY"/>
    <s v="1121 BALLPARK RD"/>
    <s v="STURGIS"/>
    <s v="SD"/>
    <s v="57785"/>
    <s v="WIRE R US INC"/>
    <s v="PO BOX 505"/>
    <s v="PIEDMONT"/>
    <s v="SD"/>
    <s v="57769"/>
    <s v="605-381-0729"/>
    <m/>
    <s v="C&amp;I Prescriptive Rebate :- C&amp;I Lighting :- Customer Incentives"/>
    <s v="LED Fixtures Exterior &amp; Garage - 25W to 60W"/>
    <s v="Education"/>
    <s v="Existing"/>
    <m/>
    <m/>
    <m/>
    <m/>
    <m/>
    <m/>
    <m/>
    <m/>
    <m/>
    <m/>
    <m/>
    <m/>
    <m/>
    <n v="37"/>
    <n v="0"/>
    <n v="1.528497"/>
    <m/>
    <n v="14034.137000000001"/>
    <m/>
    <m/>
    <m/>
    <m/>
    <m/>
    <n v="0"/>
    <n v="2775"/>
    <n v="42803"/>
    <n v="42803.467709340301"/>
    <x v="1"/>
    <s v="3E420A2FFE6E415ABB5F5041C5CA85D3"/>
    <n v="379.30100000000004"/>
    <n v="75"/>
    <n v="540.38278358208959"/>
    <n v="100.67961898397597"/>
    <n v="63.736940298507463"/>
    <n v="15.137978729011348"/>
  </r>
  <r>
    <n v="207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3967384267971441"/>
    <b v="0"/>
    <b v="0"/>
    <s v=""/>
    <s v="BHHPPS1534068606"/>
    <n v="1"/>
    <s v="BHHPPS1534068606"/>
    <s v="1062466713"/>
    <s v="HOT SPRINGS SENIOR CENTER"/>
    <s v="HOT SPRINGS SENIOR CENTER"/>
    <s v="HOT SPRINGS SENIOR CENTER"/>
    <s v="206 S CHICAGO ST"/>
    <s v="HOT SPRINGS"/>
    <s v="SD"/>
    <s v="57747"/>
    <s v="IRON MOUNTAIN ELECTRIC"/>
    <s v="PO BOX 32"/>
    <s v="PRINGLE"/>
    <s v="SD"/>
    <s v="57773"/>
    <s v="605-745-4364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00"/>
    <n v="0"/>
    <n v="2.4235199999999999"/>
    <m/>
    <n v="11356.1"/>
    <m/>
    <m/>
    <m/>
    <m/>
    <m/>
    <n v="0"/>
    <n v="1600"/>
    <n v="42837"/>
    <n v="42803.631562499999"/>
    <x v="1"/>
    <s v="F106E694E75C4213BDB4EE2AEC4ECF51"/>
    <n v="113.56100000000001"/>
    <n v="16"/>
    <n v="71.928403166606657"/>
    <n v="30.28616226838243"/>
    <n v="10.421419234256929"/>
    <n v="3.9940053618595535"/>
  </r>
  <r>
    <n v="208"/>
    <s v="Non-Residential - BHPSD - C/I Prescriptive Rebate"/>
    <b v="1"/>
    <s v="Non-Residential - BHPSD - C/I Prescriptive Rebate_C&amp;I Prescriptive Rebate :- C&amp;I Lighting :- Customer Incentives_LED Fixtures Exterior &amp; Garage - 25W or less"/>
    <s v="C&amp;I_C&amp;I Prescriptive_Lighting_LED Parking Garage/Canopy (&lt;30W)"/>
    <x v="2"/>
    <x v="3"/>
    <x v="3"/>
    <x v="11"/>
    <n v="-1.0999438818457408"/>
    <n v="-9.1218858650442228E-2"/>
    <b v="0"/>
    <b v="0"/>
    <s v=""/>
    <s v="BHHPPS1534090523"/>
    <n v="1"/>
    <s v="BHHPPS1534090523"/>
    <s v="4986611058"/>
    <s v="BLACK HAWK FIRE DEPT"/>
    <s v="BLACK HAWK FIRE DEPT"/>
    <s v="BLACK HAWK FIRE DEPT"/>
    <s v="6010 PEACEFUL PINES RD"/>
    <s v="BLACK HAWK"/>
    <s v="SD"/>
    <s v="57718"/>
    <s v="SABO ELECTRIC INC"/>
    <s v="8420 ALBERTTA DR"/>
    <s v="RAPID CITY"/>
    <s v="SD"/>
    <s v="57702"/>
    <s v="605-343-8615"/>
    <s v="GORDEN@DAKFIRE.COM"/>
    <s v="C&amp;I Prescriptive Rebate :- C&amp;I Lighting :- Customer Incentives"/>
    <s v="LED Fixtures Exterior &amp; Garage - 25W or less"/>
    <s v="Other"/>
    <s v="Existing"/>
    <m/>
    <m/>
    <m/>
    <m/>
    <m/>
    <m/>
    <m/>
    <m/>
    <m/>
    <m/>
    <m/>
    <m/>
    <m/>
    <n v="12"/>
    <n v="0"/>
    <n v="1.2808299999999999"/>
    <m/>
    <n v="6001.7160000000003"/>
    <m/>
    <m/>
    <m/>
    <m/>
    <m/>
    <n v="0"/>
    <n v="105"/>
    <n v="42811"/>
    <n v="42811.6521103009"/>
    <x v="1"/>
    <s v="0D1A6A832EA74A229A58055A8BD81D19"/>
    <n v="500.14300000000003"/>
    <n v="8.75"/>
    <n v="597.39996296296295"/>
    <n v="88.419931751211379"/>
    <n v="9.8725925925925928"/>
    <n v="12.306584506768004"/>
  </r>
  <r>
    <n v="209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87782787367730541"/>
    <b v="0"/>
    <b v="0"/>
    <s v=""/>
    <s v="BHHPPS1534090523"/>
    <n v="0"/>
    <s v="BHHPPS1534090523"/>
    <s v="4986611058"/>
    <s v="BLACK HAWK FIRE DEPT"/>
    <s v="BLACK HAWK FIRE DEPT"/>
    <s v="BLACK HAWK FIRE DEPT"/>
    <s v="6010 PEACEFUL PINES RD"/>
    <s v="BLACK HAWK"/>
    <s v="SD"/>
    <s v="57718"/>
    <s v="SABO ELECTRIC INC"/>
    <s v="8420 ALBERTTA DR"/>
    <s v="RAPID CITY"/>
    <s v="SD"/>
    <s v="57702"/>
    <s v="605-343-8615"/>
    <s v="GORDEN@DAKFIRE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514"/>
    <n v="0"/>
    <n v="6.2284459999999999"/>
    <m/>
    <n v="29185.434000000001"/>
    <m/>
    <m/>
    <m/>
    <m/>
    <m/>
    <n v="0"/>
    <n v="3554.50018"/>
    <n v="42811"/>
    <n v="42811.6521103009"/>
    <x v="1"/>
    <s v="D69C45CF30A849CA9F2E63294566C991"/>
    <n v="56.780999999999999"/>
    <n v="6.9153700000000002"/>
    <n v="71.928403166606657"/>
    <n v="30.28616226838243"/>
    <n v="10.421419234256929"/>
    <n v="3.9940053618595535"/>
  </r>
  <r>
    <n v="21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73672521481907827"/>
    <n v="0.76084108785360927"/>
    <b v="0"/>
    <b v="0"/>
    <s v=""/>
    <s v="BHHPPS1534131642"/>
    <n v="1"/>
    <s v="BHHPPS1534131642"/>
    <s v="0702488407"/>
    <s v="PLUMBING DESIGN &amp; INSTALLATION"/>
    <s v="4 D ENTERPRISES LLC"/>
    <s v="4 D ENTERPRISES LLC"/>
    <s v="2760 HAINES AVE"/>
    <s v="RAPID CITY"/>
    <s v="SD"/>
    <s v="57701"/>
    <s v="DAKOTA SUPPLY GROUP"/>
    <s v="1936 MARLIN DR"/>
    <s v="RAPID CITY"/>
    <s v="SD"/>
    <s v="57703"/>
    <s v="605-348-7100"/>
    <s v="jwood@dsginc.biz"/>
    <s v="C&amp;I Prescriptive Rebate :- C&amp;I Lighting :- Customer Incentives"/>
    <s v="Energy Star LED Lamps - 10W or greater"/>
    <s v="Office"/>
    <s v="Existing"/>
    <m/>
    <m/>
    <m/>
    <m/>
    <m/>
    <m/>
    <m/>
    <m/>
    <m/>
    <m/>
    <m/>
    <m/>
    <m/>
    <n v="10"/>
    <n v="0"/>
    <n v="0.353628"/>
    <m/>
    <n v="1572.41"/>
    <m/>
    <m/>
    <m/>
    <m/>
    <m/>
    <n v="0"/>
    <n v="112.5"/>
    <n v="42823"/>
    <n v="42823.785489467598"/>
    <x v="1"/>
    <s v="E6F99D52733B4E6298BCD035F5563391"/>
    <n v="157.24100000000001"/>
    <n v="11.25"/>
    <n v="183.5885054112554"/>
    <n v="35.763002108901198"/>
    <n v="9.5846103896103898"/>
    <n v="2.1888796977142775"/>
  </r>
  <r>
    <n v="211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-0.60626339097590731"/>
    <b v="0"/>
    <b v="0"/>
    <s v=""/>
    <s v="BHHPPS1534131642"/>
    <n v="0"/>
    <s v="BHHPPS1534131642"/>
    <s v="0702488407"/>
    <s v="PLUMBING DESIGN &amp; INSTALLATION"/>
    <s v="4 D ENTERPRISES LLC"/>
    <s v="4 D ENTERPRISES LLC"/>
    <s v="2760 HAINES AVE"/>
    <s v="RAPID CITY"/>
    <s v="SD"/>
    <s v="57701"/>
    <s v="DAKOTA SUPPLY GROUP"/>
    <s v="1936 MARLIN DR"/>
    <s v="RAPID CITY"/>
    <s v="SD"/>
    <s v="57703"/>
    <s v="605-348-7100"/>
    <s v="jwood@dsginc.biz"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24"/>
    <n v="0"/>
    <n v="0.268013"/>
    <m/>
    <n v="1191.72"/>
    <m/>
    <m/>
    <m/>
    <m/>
    <m/>
    <n v="0"/>
    <n v="192"/>
    <n v="42823"/>
    <n v="42823.785489467598"/>
    <x v="1"/>
    <s v="B12E0D2292904FC1908C80F1F6CCC807"/>
    <n v="49.655000000000001"/>
    <n v="8"/>
    <n v="71.928403166606657"/>
    <n v="30.28616226838243"/>
    <n v="10.421419234256929"/>
    <n v="3.9940053618595535"/>
  </r>
  <r>
    <n v="212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-4.8057188404622845E-3"/>
    <b v="0"/>
    <b v="0"/>
    <s v=""/>
    <s v="BHHPPS1534136050"/>
    <n v="1"/>
    <s v="BHHPPS1534136050"/>
    <s v="0719758948"/>
    <s v="TRAFFIC SERVICES COMPANY"/>
    <s v="TRAFFIC SERVICES COMPANY"/>
    <s v="TRAFFIC SERVICES COMPANY"/>
    <s v="11740 J B RD"/>
    <s v="BLACK HAWK"/>
    <s v="SD"/>
    <s v="57718"/>
    <s v="WIRE R US INC"/>
    <s v="PO BOX 505"/>
    <s v="PIEDMONT"/>
    <s v="SD"/>
    <s v="57769"/>
    <s v="605-381-0729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1"/>
    <n v="0"/>
    <n v="0.24699699999999999"/>
    <m/>
    <n v="1157.3789999999999"/>
    <m/>
    <m/>
    <m/>
    <m/>
    <m/>
    <n v="0"/>
    <n v="100"/>
    <n v="42829"/>
    <n v="42825.459288078702"/>
    <x v="1"/>
    <s v="1E4607817F95460FB78093C6F60C1821"/>
    <n v="1157.3789999999999"/>
    <n v="100"/>
    <n v="1175.7261559139786"/>
    <n v="162.55796725694501"/>
    <n v="100.15639784946237"/>
    <n v="32.544111433560438"/>
  </r>
  <r>
    <n v="213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1268030379184058"/>
    <n v="-4.8057188404622845E-3"/>
    <b v="0"/>
    <b v="0"/>
    <s v=""/>
    <s v="BHHPPS1534136105"/>
    <n v="1"/>
    <s v="BHHPPS1534136105"/>
    <s v="5003740496"/>
    <s v="MINITMAN INC"/>
    <s v="MINITMAN INC"/>
    <s v="MINITMAN INC"/>
    <s v="820 E COLORADO BLVD"/>
    <s v="SPEARFISH"/>
    <s v="SD"/>
    <s v="57783"/>
    <s v="ROYAL ELECTRIC"/>
    <s v="821 N RAINBOW RD"/>
    <s v="SPEARFISH"/>
    <s v="SD"/>
    <s v="57783"/>
    <s v="605-642-6480"/>
    <s v="ROYALELECTRICSD@GMAIL.COM"/>
    <s v="C&amp;I Prescriptive Rebate :- C&amp;I Lighting :- Customer Incentives"/>
    <s v="LED Fixtures Exterior &amp; Garage - 60W to 150W"/>
    <s v="Convenience"/>
    <s v="Existing"/>
    <m/>
    <m/>
    <m/>
    <m/>
    <m/>
    <m/>
    <m/>
    <m/>
    <m/>
    <m/>
    <m/>
    <m/>
    <m/>
    <n v="8"/>
    <n v="0"/>
    <n v="2.0657939999999999"/>
    <m/>
    <n v="9570.7119999999995"/>
    <m/>
    <m/>
    <m/>
    <m/>
    <m/>
    <n v="0"/>
    <n v="800"/>
    <n v="42828"/>
    <n v="42825.490190659701"/>
    <x v="1"/>
    <s v="822848EAA74346758E84CEDB0291E60F"/>
    <n v="1196.3389999999999"/>
    <n v="100"/>
    <n v="1175.7261559139786"/>
    <n v="162.55796725694501"/>
    <n v="100.15639784946237"/>
    <n v="32.544111433560438"/>
  </r>
  <r>
    <n v="214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0.85651351347600191"/>
    <n v="0.56896210956230164"/>
    <b v="0"/>
    <b v="0"/>
    <s v=""/>
    <s v="BHHPPS1534203343"/>
    <n v="1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Energy Star LED Lamps - 10W or greater"/>
    <s v="Health Care"/>
    <s v="Existing"/>
    <m/>
    <m/>
    <m/>
    <m/>
    <m/>
    <m/>
    <m/>
    <m/>
    <m/>
    <m/>
    <m/>
    <m/>
    <m/>
    <n v="98"/>
    <n v="0"/>
    <n v="4.1057100000000002"/>
    <m/>
    <n v="20993.56"/>
    <m/>
    <m/>
    <m/>
    <m/>
    <m/>
    <n v="0"/>
    <n v="1061.3399999999999"/>
    <n v="42836"/>
    <n v="42836.753146099501"/>
    <x v="1"/>
    <s v="841E090D8E83441694A7B131CDD5636D"/>
    <n v="214.22000000000003"/>
    <n v="10.829999999999998"/>
    <n v="183.5885054112554"/>
    <n v="35.763002108901198"/>
    <n v="9.5846103896103898"/>
    <n v="2.1888796977142775"/>
  </r>
  <r>
    <n v="215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16"/>
    <n v="0"/>
    <n v="0.21168000000000001"/>
    <m/>
    <n v="1082.384"/>
    <m/>
    <m/>
    <m/>
    <m/>
    <m/>
    <n v="0"/>
    <n v="128"/>
    <n v="42836"/>
    <n v="42836.753146099501"/>
    <x v="1"/>
    <s v="30B08BC9FA634F1DAB2DC25A24BB94D2"/>
    <n v="67.649000000000001"/>
    <n v="8"/>
    <n v="71.928403166606657"/>
    <n v="30.28616226838243"/>
    <n v="10.421419234256929"/>
    <n v="3.9940053618595535"/>
  </r>
  <r>
    <n v="216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1.934167196728303"/>
    <n v="0.74402665660424805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Health Care"/>
    <s v="Existing"/>
    <m/>
    <m/>
    <m/>
    <m/>
    <m/>
    <m/>
    <m/>
    <m/>
    <m/>
    <m/>
    <m/>
    <m/>
    <m/>
    <n v="1"/>
    <n v="0"/>
    <n v="0.143766"/>
    <m/>
    <n v="735.11400000000003"/>
    <m/>
    <m/>
    <m/>
    <m/>
    <m/>
    <n v="0"/>
    <n v="75"/>
    <n v="42836"/>
    <n v="42836.753146099501"/>
    <x v="1"/>
    <s v="93324EF22368426ABF611151E109E595"/>
    <n v="735.11400000000003"/>
    <n v="75"/>
    <n v="540.38278358208959"/>
    <n v="100.67961898397597"/>
    <n v="63.736940298507463"/>
    <n v="15.137978729011348"/>
  </r>
  <r>
    <n v="21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1.2498731837909414"/>
    <n v="-4.8057188404622845E-3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Fixtures Exterior &amp; Garage - 60W to 150W"/>
    <s v="Health Care"/>
    <s v="Existing"/>
    <m/>
    <m/>
    <m/>
    <m/>
    <m/>
    <m/>
    <m/>
    <m/>
    <m/>
    <m/>
    <m/>
    <m/>
    <m/>
    <n v="11"/>
    <n v="0"/>
    <n v="2.9663870000000001"/>
    <m/>
    <n v="15167.933000000001"/>
    <m/>
    <m/>
    <m/>
    <m/>
    <m/>
    <n v="0"/>
    <n v="1100"/>
    <n v="42836"/>
    <n v="42836.753146099501"/>
    <x v="1"/>
    <s v="908DA5E2BD9A470191F1289E7303AF2E"/>
    <n v="1378.903"/>
    <n v="100"/>
    <n v="1175.7261559139786"/>
    <n v="162.55796725694501"/>
    <n v="100.15639784946237"/>
    <n v="32.544111433560438"/>
  </r>
  <r>
    <n v="218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0.48253163970467655"/>
    <n v="1.7254457747214187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Energy Star LED Lamps - 5W to 10W"/>
    <s v="Health Care"/>
    <s v="Existing"/>
    <m/>
    <m/>
    <m/>
    <m/>
    <m/>
    <m/>
    <m/>
    <m/>
    <m/>
    <m/>
    <m/>
    <m/>
    <m/>
    <n v="8"/>
    <n v="0"/>
    <n v="0.21168000000000001"/>
    <m/>
    <n v="1082.376"/>
    <m/>
    <m/>
    <m/>
    <m/>
    <m/>
    <n v="0"/>
    <n v="68"/>
    <n v="42836"/>
    <n v="42836.753146099501"/>
    <x v="1"/>
    <s v="0852A1C2CED941E48C0294B1D3DD31D7"/>
    <n v="135.297"/>
    <n v="8.5"/>
    <n v="124.22266552020636"/>
    <n v="22.950483592270654"/>
    <n v="4.8732072914875317"/>
    <n v="2.1019453416888925"/>
  </r>
  <r>
    <n v="21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0.48253163970467655"/>
    <n v="0.77394624695871317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Energy Star LED Lamps - 5W to 10W"/>
    <s v="Health Care"/>
    <s v="Existing"/>
    <m/>
    <m/>
    <m/>
    <m/>
    <m/>
    <m/>
    <m/>
    <m/>
    <m/>
    <m/>
    <m/>
    <m/>
    <m/>
    <n v="12"/>
    <n v="0"/>
    <n v="0.31752000000000002"/>
    <m/>
    <n v="1623.5640000000001"/>
    <m/>
    <m/>
    <m/>
    <m/>
    <m/>
    <n v="0"/>
    <n v="78"/>
    <n v="42836"/>
    <n v="42836.753146099501"/>
    <x v="1"/>
    <s v="3B3A357674DD4E2BBF9EF0A320D7F5E0"/>
    <n v="135.297"/>
    <n v="6.5"/>
    <n v="124.22266552020636"/>
    <n v="22.950483592270654"/>
    <n v="4.8732072914875317"/>
    <n v="2.1019453416888925"/>
  </r>
  <r>
    <n v="220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1.9341671967283018"/>
    <n v="-2.7901307733747842"/>
    <b v="0"/>
    <b v="1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Fixtures Exterior &amp; Garage - 25W to 60W"/>
    <s v="Health Care"/>
    <s v="Existing"/>
    <m/>
    <m/>
    <m/>
    <m/>
    <m/>
    <m/>
    <m/>
    <m/>
    <m/>
    <m/>
    <m/>
    <m/>
    <m/>
    <n v="51"/>
    <n v="0"/>
    <n v="7.3320660000000002"/>
    <m/>
    <n v="37490.813999999998"/>
    <m/>
    <m/>
    <m/>
    <m/>
    <m/>
    <n v="0"/>
    <n v="1096.5"/>
    <n v="42836"/>
    <n v="42836.753146099501"/>
    <x v="1"/>
    <s v="004A462FCFAD4DD5BF85B69D1BC663EF"/>
    <n v="735.11399999999992"/>
    <n v="21.5"/>
    <n v="540.38278358208959"/>
    <n v="100.67961898397597"/>
    <n v="63.736940298507463"/>
    <n v="15.137978729011348"/>
  </r>
  <r>
    <n v="221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60"/>
    <n v="0"/>
    <n v="0.79379999999999995"/>
    <m/>
    <n v="4058.94"/>
    <m/>
    <m/>
    <m/>
    <m/>
    <m/>
    <n v="0"/>
    <n v="480"/>
    <n v="42836"/>
    <n v="42836.753146099501"/>
    <x v="1"/>
    <s v="2504F813E93F4B0FA385E367D9551FB0"/>
    <n v="67.649000000000001"/>
    <n v="8"/>
    <n v="71.928403166606657"/>
    <n v="30.28616226838243"/>
    <n v="10.421419234256929"/>
    <n v="3.9940053618595535"/>
  </r>
  <r>
    <n v="222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94470059311593102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372"/>
    <n v="0"/>
    <n v="4.9215600000000004"/>
    <m/>
    <n v="25165.428"/>
    <m/>
    <m/>
    <m/>
    <m/>
    <m/>
    <n v="0"/>
    <n v="2473.1601599999999"/>
    <n v="42836"/>
    <n v="42836.753146099501"/>
    <x v="1"/>
    <s v="AD7BE34DB59F407180BFFA66CA2F35D1"/>
    <n v="67.649000000000001"/>
    <n v="6.6482799999999997"/>
    <n v="71.928403166606657"/>
    <n v="30.28616226838243"/>
    <n v="10.421419234256929"/>
    <n v="3.9940053618595535"/>
  </r>
  <r>
    <n v="223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0.48253163970467655"/>
    <n v="1.4875708927807423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Energy Star LED Lamps - 5W to 10W"/>
    <s v="Health Care"/>
    <s v="Existing"/>
    <m/>
    <m/>
    <m/>
    <m/>
    <m/>
    <m/>
    <m/>
    <m/>
    <m/>
    <m/>
    <m/>
    <m/>
    <m/>
    <n v="28"/>
    <n v="0"/>
    <n v="0.74087999999999998"/>
    <m/>
    <n v="3788.3159999999998"/>
    <m/>
    <m/>
    <m/>
    <m/>
    <m/>
    <n v="0"/>
    <n v="224"/>
    <n v="42836"/>
    <n v="42836.753146099501"/>
    <x v="1"/>
    <s v="9D61358728654D48AB849EB8A0EBFAF0"/>
    <n v="135.297"/>
    <n v="8"/>
    <n v="124.22266552020636"/>
    <n v="22.950483592270654"/>
    <n v="4.8732072914875317"/>
    <n v="2.1019453416888925"/>
  </r>
  <r>
    <n v="22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11"/>
    <n v="0"/>
    <n v="0.14552999999999999"/>
    <m/>
    <n v="744.13900000000001"/>
    <m/>
    <m/>
    <m/>
    <m/>
    <m/>
    <n v="0"/>
    <n v="88"/>
    <n v="42836"/>
    <n v="42836.753146099501"/>
    <x v="1"/>
    <s v="07B99A8B1EB6496991180D8816F8BF2D"/>
    <n v="67.649000000000001"/>
    <n v="8"/>
    <n v="71.928403166606657"/>
    <n v="30.28616226838243"/>
    <n v="10.421419234256929"/>
    <n v="3.9940053618595535"/>
  </r>
  <r>
    <n v="225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14129895787668634"/>
    <n v="-0.60626339097590731"/>
    <b v="0"/>
    <b v="0"/>
    <s v=""/>
    <s v="BHHPPS1534203343"/>
    <n v="0"/>
    <s v="BHHPPS1534203343"/>
    <s v="3230449733"/>
    <s v="SLINGSBY WRIGHT DVLP"/>
    <s v="SLINGSBY WRIGHT DVLP"/>
    <s v="SLINGSBY WRIGHT DVLP"/>
    <s v="240 MINNESOTA ST"/>
    <s v="RAPID CITY"/>
    <s v="SD"/>
    <s v="57701"/>
    <s v="TITAN LED INC"/>
    <s v="4590 ISH DR UNIT #100"/>
    <s v="SIMI VALLEY"/>
    <s v="CA"/>
    <s v="93063"/>
    <s v="805-523-7500"/>
    <m/>
    <s v="C&amp;I Prescriptive Rebate :- C&amp;I Lighting :- Customer Incentives"/>
    <s v="LED Replacement for T8 Linear Fluorescent Lamps - 4 ft or less"/>
    <s v="Health Care"/>
    <s v="Existing"/>
    <m/>
    <m/>
    <m/>
    <m/>
    <m/>
    <m/>
    <m/>
    <m/>
    <m/>
    <m/>
    <m/>
    <m/>
    <m/>
    <n v="1"/>
    <n v="0"/>
    <n v="1.323E-2"/>
    <m/>
    <n v="67.649000000000001"/>
    <m/>
    <m/>
    <m/>
    <m/>
    <m/>
    <n v="0"/>
    <n v="8"/>
    <n v="42836"/>
    <n v="42836.753146099501"/>
    <x v="1"/>
    <s v="60A7B71E124B42C4845535F81EC2B2EB"/>
    <n v="67.649000000000001"/>
    <n v="8"/>
    <n v="71.928403166606657"/>
    <n v="30.28616226838243"/>
    <n v="10.421419234256929"/>
    <n v="3.9940053618595535"/>
  </r>
  <r>
    <n v="226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-0.80617056819206268"/>
    <b v="0"/>
    <b v="0"/>
    <s v=""/>
    <s v="BHHPPS1534205522"/>
    <n v="1"/>
    <s v="BHHPPS1534205522"/>
    <s v="2143860150"/>
    <s v="RAMKOTA/BEST WESTERN"/>
    <s v="REGENCY RC VENTURES"/>
    <s v="RAMKOTA/BEST WESTERN"/>
    <s v="2111 N LACROSSE ST"/>
    <s v="RAPID CITY"/>
    <s v="SD"/>
    <s v="57701"/>
    <s v="CRESCENT ELECTRIC SUPPLY"/>
    <s v="317 MAPLE AVE"/>
    <s v="RAPID CITY"/>
    <s v="SD"/>
    <s v="57701"/>
    <s v="605-342-7913"/>
    <m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8"/>
    <n v="0"/>
    <n v="0.306979"/>
    <m/>
    <n v="1438.44"/>
    <m/>
    <m/>
    <m/>
    <m/>
    <m/>
    <n v="0"/>
    <n v="62.56"/>
    <n v="42837"/>
    <n v="42837.652539618102"/>
    <x v="1"/>
    <s v="CB5670C7A28E4B04BEB42CB2CAB59181"/>
    <n v="179.80500000000001"/>
    <n v="7.82"/>
    <n v="183.5885054112554"/>
    <n v="35.763002108901198"/>
    <n v="9.5846103896103898"/>
    <n v="2.1888796977142775"/>
  </r>
  <r>
    <n v="227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1.4162084281985392"/>
    <b v="0"/>
    <b v="0"/>
    <s v=""/>
    <s v="BHHPPS1534205522"/>
    <n v="0"/>
    <s v="BHHPPS1534205522"/>
    <s v="2143860150"/>
    <s v="RAMKOTA/BEST WESTERN"/>
    <s v="REGENCY RC VENTURES"/>
    <s v="RAMKOTA/BEST WESTERN"/>
    <s v="2111 N LACROSSE ST"/>
    <s v="RAPID CITY"/>
    <s v="SD"/>
    <s v="57701"/>
    <s v="CRESCENT ELECTRIC SUPPLY"/>
    <s v="317 MAPLE AVE"/>
    <s v="RAPID CITY"/>
    <s v="SD"/>
    <s v="57701"/>
    <s v="605-342-7913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20"/>
    <n v="0"/>
    <n v="0.48470400000000002"/>
    <m/>
    <n v="2271.2199999999998"/>
    <m/>
    <m/>
    <m/>
    <m/>
    <m/>
    <n v="0"/>
    <n v="157"/>
    <n v="42837"/>
    <n v="42837.652539618102"/>
    <x v="1"/>
    <s v="1D63C883F2FA40FFBEB00E7052146EA3"/>
    <n v="113.56099999999999"/>
    <n v="7.85"/>
    <n v="124.22266552020636"/>
    <n v="22.950483592270654"/>
    <n v="4.8732072914875317"/>
    <n v="2.1019453416888925"/>
  </r>
  <r>
    <n v="228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-0.64170287251379998"/>
    <b v="0"/>
    <b v="0"/>
    <s v=""/>
    <s v="BHHPPS1534205522"/>
    <n v="0"/>
    <s v="BHHPPS1534205522"/>
    <s v="2143860150"/>
    <s v="RAMKOTA/BEST WESTERN"/>
    <s v="REGENCY RC VENTURES"/>
    <s v="RAMKOTA/BEST WESTERN"/>
    <s v="2111 N LACROSSE ST"/>
    <s v="RAPID CITY"/>
    <s v="SD"/>
    <s v="57701"/>
    <s v="CRESCENT ELECTRIC SUPPLY"/>
    <s v="317 MAPLE AVE"/>
    <s v="RAPID CITY"/>
    <s v="SD"/>
    <s v="57701"/>
    <s v="605-342-7913"/>
    <m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128"/>
    <n v="0"/>
    <n v="4.9116669999999996"/>
    <m/>
    <n v="23015.040000000001"/>
    <m/>
    <m/>
    <m/>
    <m/>
    <m/>
    <n v="0"/>
    <n v="1047.04"/>
    <n v="42837"/>
    <n v="42837.652539618102"/>
    <x v="1"/>
    <s v="58C6CC1A2DA24024B7DD4236A0C3E27B"/>
    <n v="179.80500000000001"/>
    <n v="8.18"/>
    <n v="183.5885054112554"/>
    <n v="35.763002108901198"/>
    <n v="9.5846103896103898"/>
    <n v="2.1888796977142775"/>
  </r>
  <r>
    <n v="22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1.4162084281985392"/>
    <b v="0"/>
    <b v="0"/>
    <s v=""/>
    <s v="BHHPPS1534205522"/>
    <n v="0"/>
    <s v="BHHPPS1534205522"/>
    <s v="2143860150"/>
    <s v="RAMKOTA/BEST WESTERN"/>
    <s v="REGENCY RC VENTURES"/>
    <s v="RAMKOTA/BEST WESTERN"/>
    <s v="2111 N LACROSSE ST"/>
    <s v="RAPID CITY"/>
    <s v="SD"/>
    <s v="57701"/>
    <s v="CRESCENT ELECTRIC SUPPLY"/>
    <s v="317 MAPLE AVE"/>
    <s v="RAPID CITY"/>
    <s v="SD"/>
    <s v="57701"/>
    <s v="605-342-7913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20"/>
    <n v="0"/>
    <n v="0.48470400000000002"/>
    <m/>
    <n v="2271.2199999999998"/>
    <m/>
    <m/>
    <m/>
    <m/>
    <m/>
    <n v="0"/>
    <n v="157"/>
    <n v="42837"/>
    <n v="42837.652539618102"/>
    <x v="1"/>
    <s v="2B41E3AE79884BB7AA50A44197977A37"/>
    <n v="113.56099999999999"/>
    <n v="7.85"/>
    <n v="124.22266552020636"/>
    <n v="22.950483592270654"/>
    <n v="4.8732072914875317"/>
    <n v="2.1019453416888925"/>
  </r>
  <r>
    <n v="230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73672521481907827"/>
    <n v="1.3319094756253556"/>
    <b v="0"/>
    <b v="0"/>
    <s v=""/>
    <s v="BHHPPS1534208165"/>
    <n v="1"/>
    <s v="BHHPPS1534208165"/>
    <s v="3355993456"/>
    <s v="SWEET INVESTMENT"/>
    <s v="SWEET INVESTMENT"/>
    <s v="SWEET INVESTMENT"/>
    <s v="540 DEADWOOD AVE N                                STE 201"/>
    <s v="RAPID CITY"/>
    <s v="SD"/>
    <s v="57702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Energy Star LED Lamps - 10W or greater"/>
    <s v="Office"/>
    <s v="Existing"/>
    <m/>
    <m/>
    <m/>
    <m/>
    <m/>
    <m/>
    <m/>
    <m/>
    <m/>
    <m/>
    <m/>
    <m/>
    <m/>
    <n v="1"/>
    <n v="0"/>
    <n v="3.5362999999999999E-2"/>
    <m/>
    <n v="157.24100000000001"/>
    <m/>
    <m/>
    <m/>
    <m/>
    <m/>
    <n v="0"/>
    <n v="12.5"/>
    <n v="42838"/>
    <n v="42838.684498611103"/>
    <x v="1"/>
    <s v="F00A0D2F8ECF495BB924E17B391688D9"/>
    <n v="157.24100000000001"/>
    <n v="12.5"/>
    <n v="183.5885054112554"/>
    <n v="35.763002108901198"/>
    <n v="9.5846103896103898"/>
    <n v="2.1888796977142775"/>
  </r>
  <r>
    <n v="231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90409595612510674"/>
    <n v="1.3967384267971441"/>
    <b v="0"/>
    <b v="0"/>
    <s v=""/>
    <s v="BHHPPS1534208165"/>
    <n v="0"/>
    <s v="BHHPPS1534208165"/>
    <s v="3355993456"/>
    <s v="SWEET INVESTMENT"/>
    <s v="SWEET INVESTMENT"/>
    <s v="SWEET INVESTMENT"/>
    <s v="540 DEADWOOD AVE N                                STE 201"/>
    <s v="RAPID CITY"/>
    <s v="SD"/>
    <s v="57702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Replacement for T12 Linear Fluorescent Lamps - 4 ft or less"/>
    <s v="Office"/>
    <s v="Existing"/>
    <m/>
    <m/>
    <m/>
    <m/>
    <m/>
    <m/>
    <m/>
    <m/>
    <m/>
    <m/>
    <m/>
    <m/>
    <m/>
    <n v="96"/>
    <n v="0"/>
    <n v="2.1441020000000002"/>
    <m/>
    <n v="9533.76"/>
    <m/>
    <m/>
    <m/>
    <m/>
    <m/>
    <n v="0"/>
    <n v="1536"/>
    <n v="42838"/>
    <n v="42838.684498611103"/>
    <x v="1"/>
    <s v="D8CC1F42483643FB8203AB79C64D37BF"/>
    <n v="99.31"/>
    <n v="16"/>
    <n v="71.928403166606657"/>
    <n v="30.28616226838243"/>
    <n v="10.421419234256929"/>
    <n v="3.9940053618595535"/>
  </r>
  <r>
    <n v="232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1.3319094756253556"/>
    <b v="0"/>
    <b v="0"/>
    <s v=""/>
    <s v="BHHPPS1534210234"/>
    <n v="1"/>
    <s v="BHHPPS1534210234"/>
    <s v="5038104559"/>
    <s v="THE MAN SALON"/>
    <s v="THE MAN SALON"/>
    <s v="THE MAN SALON"/>
    <s v="1745 EGLIN ST                                     STE 220"/>
    <s v="RAPID CITY"/>
    <s v="SD"/>
    <s v="57701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9"/>
    <n v="0"/>
    <n v="0.34535199999999999"/>
    <m/>
    <n v="1618.2449999999999"/>
    <m/>
    <m/>
    <m/>
    <m/>
    <m/>
    <n v="0"/>
    <n v="112.5"/>
    <n v="42839"/>
    <n v="42839.452269097201"/>
    <x v="1"/>
    <s v="5E4CC10AC22B4467BFA6E8F4E6ED3BCA"/>
    <n v="179.80499999999998"/>
    <n v="12.5"/>
    <n v="183.5885054112554"/>
    <n v="35.763002108901198"/>
    <n v="9.5846103896103898"/>
    <n v="2.1888796977142775"/>
  </r>
  <r>
    <n v="233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4210234"/>
    <n v="0"/>
    <s v="BHHPPS1534210234"/>
    <s v="5038104559"/>
    <s v="THE MAN SALON"/>
    <s v="THE MAN SALON"/>
    <s v="THE MAN SALON"/>
    <s v="1745 EGLIN ST                                     STE 220"/>
    <s v="RAPID CITY"/>
    <s v="SD"/>
    <s v="57701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66"/>
    <n v="0"/>
    <n v="0.79976199999999997"/>
    <m/>
    <n v="3747.5459999999998"/>
    <m/>
    <m/>
    <m/>
    <m/>
    <m/>
    <n v="0"/>
    <n v="528"/>
    <n v="42839"/>
    <n v="42839.452269097201"/>
    <x v="1"/>
    <s v="BF1A57A36227416CB2D04F5288C97C5F"/>
    <n v="56.780999999999999"/>
    <n v="8"/>
    <n v="71.928403166606657"/>
    <n v="30.28616226838243"/>
    <n v="10.421419234256929"/>
    <n v="3.9940053618595535"/>
  </r>
  <r>
    <n v="234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96852739206047678"/>
    <n v="-4.8057188404622845E-3"/>
    <b v="0"/>
    <b v="0"/>
    <s v=""/>
    <s v="BHHPPS1534211206"/>
    <n v="1"/>
    <s v="BHHPPS1534211206"/>
    <s v="5036865016"/>
    <s v="COMFORT INN"/>
    <s v="COMFORT INN"/>
    <s v="COMFORT INN"/>
    <s v="1550 N LACROSSE ST"/>
    <s v="RAPID CITY"/>
    <s v="SD"/>
    <s v="57701"/>
    <s v="DAKOTA SUPPLY GROUP"/>
    <s v="1936 MARLIN DR"/>
    <s v="RAPID CITY"/>
    <s v="SD"/>
    <s v="57703"/>
    <s v="605-348-7100"/>
    <s v="jwood@dsginc.biz"/>
    <s v="C&amp;I Prescriptive Rebate :- C&amp;I Lighting :- Customer Incentives"/>
    <s v="LED Fixtures Exterior &amp; Garage - 60W to 150W"/>
    <s v="Lodging"/>
    <s v="Existing"/>
    <m/>
    <m/>
    <m/>
    <m/>
    <m/>
    <m/>
    <m/>
    <m/>
    <m/>
    <m/>
    <m/>
    <m/>
    <m/>
    <n v="8"/>
    <n v="0"/>
    <n v="0.64104799999999995"/>
    <m/>
    <n v="10665.343999999999"/>
    <m/>
    <m/>
    <m/>
    <m/>
    <m/>
    <n v="0"/>
    <n v="800"/>
    <n v="42839"/>
    <n v="42839.645592627297"/>
    <x v="1"/>
    <s v="B6B59BF1F85C458887E1D40D36D756E2"/>
    <n v="1333.1679999999999"/>
    <n v="100"/>
    <n v="1175.7261559139786"/>
    <n v="162.55796725694501"/>
    <n v="100.15639784946237"/>
    <n v="32.544111433560438"/>
  </r>
  <r>
    <n v="235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813"/>
    <n v="-4.8057188404622845E-3"/>
    <b v="0"/>
    <b v="0"/>
    <s v=""/>
    <s v="BHHPPS1534211234"/>
    <n v="1"/>
    <s v="BHHPPS1534211234"/>
    <s v="0242088666"/>
    <s v="SENTINEL FEDERAL"/>
    <s v="SENTINEL FEDERAL"/>
    <s v="SENTINEL FEDERAL"/>
    <s v="4011 TRIPLE CROWN DR"/>
    <s v="RAPID CITY"/>
    <s v="SD"/>
    <s v="57701"/>
    <s v="MUELLENBERG ELECTRIC"/>
    <s v="1080 KENNEL DR SUITE A"/>
    <s v="RAPID CITY"/>
    <s v="SD"/>
    <s v="57703"/>
    <s v="605-341-7577"/>
    <m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9"/>
    <n v="0"/>
    <n v="2.2229739999999998"/>
    <m/>
    <n v="10416.411"/>
    <m/>
    <m/>
    <m/>
    <m/>
    <m/>
    <n v="0"/>
    <n v="900"/>
    <n v="42839"/>
    <n v="42839.671523958299"/>
    <x v="1"/>
    <s v="820726D92EA6467080C40D971CCCE4BB"/>
    <n v="1157.3789999999999"/>
    <n v="100"/>
    <n v="1175.7261559139786"/>
    <n v="162.55796725694501"/>
    <n v="100.15639784946237"/>
    <n v="32.544111433560438"/>
  </r>
  <r>
    <n v="236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90409595612510674"/>
    <n v="1.3967384267971441"/>
    <b v="0"/>
    <b v="0"/>
    <s v=""/>
    <s v="BHHPPS1534211302"/>
    <n v="1"/>
    <s v="BHHPPS1534211302"/>
    <s v="4607577338"/>
    <s v="HORST PROPERTIES"/>
    <s v="HORST PROPERTIES"/>
    <s v="HORST PROPERTIES"/>
    <s v="1090 DEADWOOD AVE N                               APT 1"/>
    <s v="RAPID CITY"/>
    <s v="SD"/>
    <s v="57702"/>
    <s v="CLARKE ELECTRIC"/>
    <s v="2321 SOPHIA CT"/>
    <s v="RAPID CITY"/>
    <s v="SD"/>
    <s v="57702"/>
    <s v="605-342-5945"/>
    <m/>
    <s v="C&amp;I Prescriptive Rebate :- C&amp;I Lighting :- Customer Incentives"/>
    <s v="LED Replacement for T12 Linear Fluorescent Lamps - 4 ft or less"/>
    <s v="Office"/>
    <s v="Existing"/>
    <m/>
    <m/>
    <m/>
    <m/>
    <m/>
    <m/>
    <m/>
    <m/>
    <m/>
    <m/>
    <m/>
    <m/>
    <m/>
    <n v="60"/>
    <n v="0"/>
    <n v="1.3400639999999999"/>
    <m/>
    <n v="5958.6"/>
    <m/>
    <m/>
    <m/>
    <m/>
    <m/>
    <n v="0"/>
    <n v="960"/>
    <n v="42839"/>
    <n v="42839.733336342601"/>
    <x v="1"/>
    <s v="B36A0DA4E3DA49F99A8EE75E58A0CF28"/>
    <n v="99.31"/>
    <n v="16"/>
    <n v="71.928403166606657"/>
    <n v="30.28616226838243"/>
    <n v="10.421419234256929"/>
    <n v="3.9940053618595535"/>
  </r>
  <r>
    <n v="237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231260"/>
    <n v="1"/>
    <s v="BHHPPS1534231260"/>
    <s v="4503012294"/>
    <s v="BLACK HILLS BAGELS"/>
    <s v="BLACK HILLS BAGELS"/>
    <s v="BLACK HILLS BAGELS"/>
    <s v="913 MOUNT RUSHMORE RD"/>
    <s v="RAPID CITY"/>
    <s v="SD"/>
    <s v="57701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8"/>
    <n v="0"/>
    <n v="1.053423"/>
    <m/>
    <n v="4936.1279999999997"/>
    <m/>
    <m/>
    <m/>
    <m/>
    <m/>
    <n v="0"/>
    <n v="600"/>
    <n v="42846"/>
    <n v="42846.473754976898"/>
    <x v="1"/>
    <s v="4B49A284755143E5BAF54080F7116332"/>
    <n v="617.01599999999996"/>
    <n v="75"/>
    <n v="540.38278358208959"/>
    <n v="100.67961898397597"/>
    <n v="63.736940298507463"/>
    <n v="15.137978729011348"/>
  </r>
  <r>
    <n v="238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1138144200367004"/>
    <b v="0"/>
    <b v="0"/>
    <s v=""/>
    <s v="BHHPPS1534322940"/>
    <n v="1"/>
    <s v="BHHPPS1534322940"/>
    <s v="6142826120"/>
    <s v="PARTY TIME LIQUOR"/>
    <s v="PARTY TIME LIQUOR"/>
    <s v="PARTY TIME LIQUOR"/>
    <s v="729 N 12TH ST"/>
    <s v="SPEARFISH"/>
    <s v="SD"/>
    <s v="57783"/>
    <s v="ROYAL ELECTRIC"/>
    <s v="821 N RAINBOW RD"/>
    <s v="SPEARFISH"/>
    <s v="SD"/>
    <s v="57783"/>
    <s v="605-642-6480"/>
    <s v="ROYALELECTRICSD@GMAIL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12"/>
    <n v="0"/>
    <n v="0.29082200000000002"/>
    <m/>
    <n v="1362.732"/>
    <m/>
    <m/>
    <m/>
    <m/>
    <m/>
    <n v="0"/>
    <n v="178.44"/>
    <n v="42866"/>
    <n v="42866.493438738398"/>
    <x v="1"/>
    <s v="1E26CFCBBE9C4EB7A9CF3D90C3338397"/>
    <n v="113.56099999999999"/>
    <n v="14.87"/>
    <n v="71.928403166606657"/>
    <n v="30.28616226838243"/>
    <n v="10.421419234256929"/>
    <n v="3.9940053618595535"/>
  </r>
  <r>
    <n v="239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0.96852739206047811"/>
    <n v="7.7236773100079856E-2"/>
    <b v="0"/>
    <b v="0"/>
    <s v=""/>
    <s v="BHHPPS1534325509"/>
    <n v="1"/>
    <s v="BHHPPS1534325509"/>
    <s v="3852871419"/>
    <s v="DEADWOOD RESORTS LLC"/>
    <s v="DEADWOOD RESORTS LLC"/>
    <s v="DEADWOOD RESORTS LLC"/>
    <s v="101 PINE CREST DR"/>
    <s v="DEADWOOD"/>
    <s v="SD"/>
    <s v="57732"/>
    <s v="BUCKS ELECTRIC"/>
    <s v="1720 SAMCO RD #A"/>
    <s v="RAPID CITY"/>
    <s v="SD"/>
    <s v="57702"/>
    <s v="605-391-0086"/>
    <s v="BUCKSELECTRIC@RUSHMORE.COM"/>
    <s v="C&amp;I Prescriptive Rebate :- C&amp;I Lighting :- Customer Incentives"/>
    <s v="LED Fixtures Exterior &amp; Garage - 60W to 150W"/>
    <s v="Lodging"/>
    <s v="Existing"/>
    <m/>
    <m/>
    <m/>
    <m/>
    <m/>
    <m/>
    <m/>
    <m/>
    <m/>
    <m/>
    <m/>
    <m/>
    <m/>
    <n v="29"/>
    <n v="0"/>
    <n v="2.323798"/>
    <m/>
    <n v="38661.872000000003"/>
    <m/>
    <m/>
    <m/>
    <m/>
    <m/>
    <n v="0"/>
    <n v="2977.43"/>
    <n v="42867"/>
    <n v="42867.491538506903"/>
    <x v="1"/>
    <s v="80F4EC75892D40BE84315D82E685A41B"/>
    <n v="1333.1680000000001"/>
    <n v="102.66999999999999"/>
    <n v="1175.7261559139786"/>
    <n v="162.55796725694501"/>
    <n v="100.15639784946237"/>
    <n v="32.544111433560438"/>
  </r>
  <r>
    <n v="240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3543167897040618"/>
    <n v="-1.1696076522245782"/>
    <b v="0"/>
    <b v="0"/>
    <s v=""/>
    <s v="BHHPPS1534332028"/>
    <n v="1"/>
    <s v="BHHPPS1534332028"/>
    <s v="2470662751"/>
    <s v="CITY OF SPEARFISH"/>
    <s v="LIBRARY"/>
    <s v="CITY OF SPEARFISH"/>
    <s v="625 N 5TH ST"/>
    <s v="SPEARFISH"/>
    <s v="SD"/>
    <s v="57783"/>
    <s v="EAGLE ENTERPRISES LLC"/>
    <s v="814 7TH AVE"/>
    <s v="BELLE FOURCHE"/>
    <s v="SD"/>
    <s v="57717"/>
    <s v="605-210-1775"/>
    <m/>
    <s v="C&amp;I Prescriptive Rebate :- C&amp;I Lighting :- Customer Incentives"/>
    <s v="LED Replacement for T8 Linear Fluorescent Lamps - 4 ft or less"/>
    <s v="Office"/>
    <s v="Existing"/>
    <m/>
    <m/>
    <m/>
    <m/>
    <m/>
    <m/>
    <m/>
    <m/>
    <m/>
    <m/>
    <m/>
    <m/>
    <m/>
    <n v="600"/>
    <n v="0"/>
    <n v="6.7003199999999996"/>
    <m/>
    <n v="29793"/>
    <m/>
    <m/>
    <m/>
    <m/>
    <m/>
    <n v="0"/>
    <n v="3450"/>
    <n v="42870"/>
    <n v="42870.451993287003"/>
    <x v="1"/>
    <s v="88D3DE8CCB1F49BAB5EE9071DE3E26A5"/>
    <n v="49.655000000000001"/>
    <n v="5.75"/>
    <n v="71.928403166606657"/>
    <n v="30.28616226838243"/>
    <n v="10.421419234256929"/>
    <n v="3.9940053618595535"/>
  </r>
  <r>
    <n v="241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-1.2271939544855535"/>
    <b v="0"/>
    <b v="0"/>
    <s v=""/>
    <s v="BHHPPS1534355576"/>
    <n v="1"/>
    <s v="BHHPPS1534355576"/>
    <s v="4504423066"/>
    <s v="BIBLE FELLOWSHIP"/>
    <s v="BIBLE FELLOWSHIP"/>
    <s v="BIBLE FELLOWSHIP"/>
    <s v="1212 E FAIRMONT BLVD"/>
    <s v="RAPID CITY"/>
    <s v="SD"/>
    <s v="57701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36"/>
    <n v="0"/>
    <n v="0.87246699999999999"/>
    <m/>
    <n v="4088.1959999999999"/>
    <m/>
    <m/>
    <m/>
    <m/>
    <m/>
    <n v="0"/>
    <n v="198.72"/>
    <n v="42878"/>
    <n v="42878.666603391197"/>
    <x v="1"/>
    <s v="183B4D2484224AFC800B23EBAC2E9D51"/>
    <n v="113.56099999999999"/>
    <n v="5.52"/>
    <n v="71.928403166606657"/>
    <n v="30.28616226838243"/>
    <n v="10.421419234256929"/>
    <n v="3.9940053618595535"/>
  </r>
  <r>
    <n v="242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1.2271939544855535"/>
    <b v="0"/>
    <b v="0"/>
    <s v=""/>
    <s v="BHHPPS1534355576"/>
    <n v="0"/>
    <s v="BHHPPS1534355576"/>
    <s v="4504423066"/>
    <s v="BIBLE FELLOWSHIP"/>
    <s v="BIBLE FELLOWSHIP"/>
    <s v="BIBLE FELLOWSHIP"/>
    <s v="1212 E FAIRMONT BLVD"/>
    <s v="RAPID CITY"/>
    <s v="SD"/>
    <s v="57701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38"/>
    <n v="0"/>
    <n v="0.46046900000000002"/>
    <m/>
    <n v="2157.6779999999999"/>
    <m/>
    <m/>
    <m/>
    <m/>
    <m/>
    <n v="0"/>
    <n v="209.76"/>
    <n v="42878"/>
    <n v="42878.666603391197"/>
    <x v="1"/>
    <s v="5BFCE2FB4C86428FB46D7C816186BB31"/>
    <n v="56.780999999999999"/>
    <n v="5.52"/>
    <n v="71.928403166606657"/>
    <n v="30.28616226838243"/>
    <n v="10.421419234256929"/>
    <n v="3.9940053618595535"/>
  </r>
  <r>
    <n v="243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386785"/>
    <n v="1"/>
    <s v="BHHPPS1534386785"/>
    <s v="1711129512"/>
    <s v="J J BODY SHOP"/>
    <s v="J J BODY SHOP"/>
    <s v="J J BODY SHOP"/>
    <s v="1513 E PHILADELPHIA ST"/>
    <s v="RAPID CITY"/>
    <s v="SD"/>
    <s v="57703"/>
    <s v="MUELLENBERG ELECTRIC"/>
    <s v="1080 KENNEL DR SUITE A"/>
    <s v="RAPID CITY"/>
    <s v="SD"/>
    <s v="57703"/>
    <s v="605-341-7577"/>
    <m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4"/>
    <n v="0"/>
    <n v="0.52671199999999996"/>
    <m/>
    <n v="2468.0639999999999"/>
    <m/>
    <m/>
    <m/>
    <m/>
    <m/>
    <n v="0"/>
    <n v="300"/>
    <n v="42888"/>
    <n v="42888.576423263898"/>
    <x v="1"/>
    <s v="D9DA182E7A1246ED9F1A7EA3B4BF3897"/>
    <n v="617.01599999999996"/>
    <n v="75"/>
    <n v="540.38278358208959"/>
    <n v="100.67961898397597"/>
    <n v="63.736940298507463"/>
    <n v="15.137978729011348"/>
  </r>
  <r>
    <n v="244"/>
    <s v="Non-Residential - BHPSD - C/I Prescriptive Rebate"/>
    <b v="1"/>
    <s v="Non-Residential - BHPSD - C/I Prescriptive Rebate_C&amp;I Prescriptive Rebate :- C&amp;I Lighting :- Customer Incentives_LED Fixtures Exterior &amp; Garage - 25W or less"/>
    <s v="C&amp;I_C&amp;I Prescriptive_Lighting_LED Parking Garage/Canopy (&lt;30W)"/>
    <x v="2"/>
    <x v="3"/>
    <x v="3"/>
    <x v="11"/>
    <n v="-1.0999438818457414"/>
    <n v="2.0417856305775652"/>
    <b v="0"/>
    <b v="1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s v="MUELLENBERG ELECTRIC"/>
    <s v="1080 KENNEL DR SUITE A"/>
    <s v="RAPID CITY"/>
    <s v="SD"/>
    <s v="57703"/>
    <s v="605-341-7577"/>
    <m/>
    <s v="C&amp;I Prescriptive Rebate :- C&amp;I Lighting :- Customer Incentives"/>
    <s v="LED Fixtures Exterior &amp; Garage - 25W or less"/>
    <s v="Other"/>
    <s v="Existing"/>
    <m/>
    <m/>
    <m/>
    <m/>
    <m/>
    <m/>
    <m/>
    <m/>
    <m/>
    <m/>
    <m/>
    <m/>
    <m/>
    <n v="1"/>
    <n v="0"/>
    <n v="0.106736"/>
    <m/>
    <n v="500.14299999999997"/>
    <m/>
    <m/>
    <m/>
    <m/>
    <m/>
    <n v="0"/>
    <n v="35"/>
    <n v="42888"/>
    <n v="42888.576423263898"/>
    <x v="1"/>
    <s v="8EC653C49D954B06972659FD435D6F98"/>
    <n v="500.14299999999997"/>
    <n v="35"/>
    <n v="597.39996296296295"/>
    <n v="88.419931751211379"/>
    <n v="9.8725925925925928"/>
    <n v="12.306584506768004"/>
  </r>
  <r>
    <n v="245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s v="MUELLENBERG ELECTRIC"/>
    <s v="1080 KENNEL DR SUITE A"/>
    <s v="RAPID CITY"/>
    <s v="SD"/>
    <s v="57703"/>
    <s v="605-341-7577"/>
    <m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616"/>
    <n v="0"/>
    <n v="7.464442"/>
    <m/>
    <n v="34977.095999999998"/>
    <m/>
    <m/>
    <m/>
    <m/>
    <m/>
    <n v="0"/>
    <n v="4928"/>
    <n v="42888"/>
    <n v="42888.576423263898"/>
    <x v="1"/>
    <s v="08D748D983914B9A8BAB43AB7D3B190E"/>
    <n v="56.780999999999999"/>
    <n v="8"/>
    <n v="71.928403166606657"/>
    <n v="30.28616226838243"/>
    <n v="10.421419234256929"/>
    <n v="3.9940053618595535"/>
  </r>
  <r>
    <n v="246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0.70570279966544147"/>
    <b v="0"/>
    <b v="0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s v="MUELLENBERG ELECTRIC"/>
    <s v="1080 KENNEL DR SUITE A"/>
    <s v="RAPID CITY"/>
    <s v="SD"/>
    <s v="57703"/>
    <s v="605-341-7577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74"/>
    <n v="0"/>
    <n v="1.7934049999999999"/>
    <m/>
    <n v="8403.5139999999992"/>
    <m/>
    <m/>
    <m/>
    <m/>
    <m/>
    <n v="0"/>
    <n v="979.76"/>
    <n v="42888"/>
    <n v="42888.576423263898"/>
    <x v="1"/>
    <s v="6ED8358A44964716A023BD7D0A1FFF5B"/>
    <n v="113.56099999999999"/>
    <n v="13.24"/>
    <n v="71.928403166606657"/>
    <n v="30.28616226838243"/>
    <n v="10.421419234256929"/>
    <n v="3.9940053618595535"/>
  </r>
  <r>
    <n v="247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0.42528254517721442"/>
    <b v="0"/>
    <b v="0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s v="MUELLENBERG ELECTRIC"/>
    <s v="1080 KENNEL DR SUITE A"/>
    <s v="RAPID CITY"/>
    <s v="SD"/>
    <s v="57703"/>
    <s v="605-341-7577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236"/>
    <n v="0"/>
    <n v="5.7195070000000001"/>
    <m/>
    <n v="26800.396000000001"/>
    <m/>
    <m/>
    <m/>
    <m/>
    <m/>
    <n v="0"/>
    <n v="2860.32"/>
    <n v="42888"/>
    <n v="42888.576423263898"/>
    <x v="1"/>
    <s v="5DE1E01C06D144B9949E97684DD8BCE6"/>
    <n v="113.56100000000001"/>
    <n v="12.120000000000001"/>
    <n v="71.928403166606657"/>
    <n v="30.28616226838243"/>
    <n v="10.421419234256929"/>
    <n v="3.9940053618595535"/>
  </r>
  <r>
    <n v="248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2890770790918427"/>
    <b v="0"/>
    <b v="0"/>
    <s v=""/>
    <s v="BHHPPS1534386785"/>
    <n v="0"/>
    <s v="BHHPPS1534386785"/>
    <s v="1711129512"/>
    <s v="J J BODY SHOP"/>
    <s v="J J BODY SHOP"/>
    <s v="J J BODY SHOP"/>
    <s v="1513 E PHILADELPHIA ST"/>
    <s v="RAPID CITY"/>
    <s v="SD"/>
    <s v="57703"/>
    <s v="MUELLENBERG ELECTRIC"/>
    <s v="1080 KENNEL DR SUITE A"/>
    <s v="RAPID CITY"/>
    <s v="SD"/>
    <s v="57703"/>
    <s v="605-341-7577"/>
    <m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4"/>
    <n v="0"/>
    <n v="9.6940999999999999E-2"/>
    <m/>
    <n v="454.24400000000003"/>
    <m/>
    <m/>
    <m/>
    <m/>
    <m/>
    <n v="0"/>
    <n v="62.28"/>
    <n v="42888"/>
    <n v="42888.576423263898"/>
    <x v="1"/>
    <s v="69163625717845ACB93645D863990297"/>
    <n v="113.56100000000001"/>
    <n v="15.57"/>
    <n v="71.928403166606657"/>
    <n v="30.28616226838243"/>
    <n v="10.421419234256929"/>
    <n v="3.9940053618595535"/>
  </r>
  <r>
    <n v="24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12"/>
    <n v="0.65500880598837496"/>
    <b v="0"/>
    <b v="0"/>
    <s v=""/>
    <s v="BHHPPS1534408855"/>
    <n v="1"/>
    <s v="BHHPPS1534408855"/>
    <s v="3557285423"/>
    <s v="THE MAN SALON"/>
    <s v="THE MAN SALON"/>
    <s v="THE MAN SALON"/>
    <s v="2335 W MAIN ST                                    STE 220"/>
    <s v="RAPID CITY"/>
    <s v="SD"/>
    <s v="57702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8"/>
    <n v="0"/>
    <n v="0.193882"/>
    <m/>
    <n v="908.48800000000006"/>
    <m/>
    <m/>
    <m/>
    <m/>
    <m/>
    <n v="0"/>
    <n v="50"/>
    <n v="42891"/>
    <n v="42891.763463622701"/>
    <x v="1"/>
    <s v="AD7B073E802742C9818ACD8C305CE43F"/>
    <n v="113.56100000000001"/>
    <n v="6.25"/>
    <n v="124.22266552020636"/>
    <n v="22.950483592270654"/>
    <n v="4.8732072914875317"/>
    <n v="2.1019453416888925"/>
  </r>
  <r>
    <n v="250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0.60626339097590731"/>
    <b v="0"/>
    <b v="0"/>
    <s v=""/>
    <s v="BHHPPS1534408855"/>
    <n v="0"/>
    <s v="BHHPPS1534408855"/>
    <s v="3557285423"/>
    <s v="THE MAN SALON"/>
    <s v="THE MAN SALON"/>
    <s v="THE MAN SALON"/>
    <s v="2335 W MAIN ST                                    STE 220"/>
    <s v="RAPID CITY"/>
    <s v="SD"/>
    <s v="57702"/>
    <s v="GENPRO ENERGY SOLUTIONS, LLC"/>
    <s v="PO BOX 30"/>
    <s v="PIEDMONT"/>
    <s v="SD"/>
    <s v="57769"/>
    <s v="605-277-1181"/>
    <s v="todd@genproenergy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96"/>
    <n v="0"/>
    <n v="1.1632899999999999"/>
    <m/>
    <n v="5450.9759999999997"/>
    <m/>
    <m/>
    <m/>
    <m/>
    <m/>
    <n v="0"/>
    <n v="768"/>
    <n v="42891"/>
    <n v="42891.763463622701"/>
    <x v="1"/>
    <s v="87C398EEB1D043B0A31FD00AA5E4B4C6"/>
    <n v="56.780999999999999"/>
    <n v="8"/>
    <n v="71.928403166606657"/>
    <n v="30.28616226838243"/>
    <n v="10.421419234256929"/>
    <n v="3.9940053618595535"/>
  </r>
  <r>
    <n v="251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1.0854963216808446"/>
    <n v="1.7254457747214187"/>
    <b v="0"/>
    <b v="0"/>
    <s v=""/>
    <s v="BHHPPS1534428852"/>
    <n v="1"/>
    <s v="BHHPPS1534428852"/>
    <s v="0884531973"/>
    <m/>
    <s v="BARKER WILSON LLP"/>
    <s v="BARKER WILSON LLP"/>
    <s v="211 ZINNIA ST"/>
    <s v="BELLE FOURCHE"/>
    <s v="SD"/>
    <s v="57717"/>
    <s v="BHE"/>
    <s v="PO BOX 1400"/>
    <s v="RAPID CITY"/>
    <s v="SD"/>
    <s v="57709"/>
    <s v="605-721-2687"/>
    <m/>
    <s v="C&amp;I Prescriptive Rebate :- C&amp;I Lighting :- Customer Incentives"/>
    <s v="Energy Star LED Lamps - 5W to 10W"/>
    <s v="Office"/>
    <s v="Existing"/>
    <m/>
    <m/>
    <m/>
    <m/>
    <m/>
    <m/>
    <m/>
    <m/>
    <m/>
    <m/>
    <m/>
    <m/>
    <m/>
    <n v="188"/>
    <n v="0"/>
    <n v="4.1988669999999999"/>
    <m/>
    <n v="18670.28"/>
    <m/>
    <m/>
    <m/>
    <m/>
    <m/>
    <n v="0"/>
    <n v="1598"/>
    <n v="42919"/>
    <n v="42899.433779282401"/>
    <x v="1"/>
    <s v="E4873A6F5A944FDCA8DC81479FFD01C1"/>
    <n v="99.309999999999988"/>
    <n v="8.5"/>
    <n v="124.22266552020636"/>
    <n v="22.950483592270654"/>
    <n v="4.8732072914875317"/>
    <n v="2.1019453416888925"/>
  </r>
  <r>
    <n v="252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0.5090640635406195"/>
    <n v="1.3967384267971441"/>
    <b v="0"/>
    <b v="0"/>
    <s v=""/>
    <s v="BHHPPS1534455625"/>
    <n v="1"/>
    <s v="BHHPPS1534455625"/>
    <s v="5378888087"/>
    <s v="LUCYS NEARLY NEW"/>
    <s v="LUCYS NEARLY NEW"/>
    <s v="LUCYS NEARLY NEW"/>
    <s v="2320 JUNCTION AVE                                 STE B"/>
    <s v="STURGIS"/>
    <s v="SD"/>
    <s v="57785"/>
    <s v="RATH ELECTRIC"/>
    <s v="1440 DAVENPORT"/>
    <s v="STURGIS"/>
    <s v="SD"/>
    <s v="57785"/>
    <m/>
    <s v="rathelectric@yahoo.com"/>
    <s v="C&amp;I Prescriptive Rebate :- C&amp;I Lighting :- Customer Incentives"/>
    <s v="LED Replacement for T12 Linear Fluorescent Lamps - 4 ft or less"/>
    <s v="Retail"/>
    <s v="Existing"/>
    <m/>
    <m/>
    <m/>
    <m/>
    <m/>
    <m/>
    <m/>
    <m/>
    <m/>
    <m/>
    <m/>
    <m/>
    <m/>
    <n v="90"/>
    <n v="0"/>
    <n v="2.6892"/>
    <m/>
    <n v="7861.14"/>
    <m/>
    <m/>
    <m/>
    <m/>
    <m/>
    <n v="0"/>
    <n v="1440"/>
    <n v="42919"/>
    <n v="42907.726920752299"/>
    <x v="1"/>
    <s v="6D0C807B1D3D419C95EE59F92C5EEB79"/>
    <n v="87.346000000000004"/>
    <n v="16"/>
    <n v="71.928403166606657"/>
    <n v="30.28616226838243"/>
    <n v="10.421419234256929"/>
    <n v="3.9940053618595535"/>
  </r>
  <r>
    <n v="253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-1.5301479794237274"/>
    <b v="0"/>
    <b v="0"/>
    <s v=""/>
    <s v="BHHPPS1534482433"/>
    <n v="1"/>
    <s v="BHHPPS1534482433"/>
    <s v="4504423066"/>
    <s v="BIBLE FELLOWSHIP"/>
    <s v="BIBLE FELLOWSHIP"/>
    <s v="BIBLE FELLOWSHIP"/>
    <s v="1212 E FAIRMONT BLVD"/>
    <s v="RAPID CITY"/>
    <s v="SD"/>
    <s v="57701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72"/>
    <n v="0"/>
    <n v="1.744934"/>
    <m/>
    <n v="8176.3919999999998"/>
    <m/>
    <m/>
    <m/>
    <m/>
    <m/>
    <n v="0"/>
    <n v="310.32"/>
    <n v="42919"/>
    <n v="42915.7690427083"/>
    <x v="1"/>
    <s v="F6EF60E693CC423FA20400B47D5B80E7"/>
    <n v="113.56099999999999"/>
    <n v="4.3099999999999996"/>
    <n v="71.928403166606657"/>
    <n v="30.28616226838243"/>
    <n v="10.421419234256929"/>
    <n v="3.9940053618595535"/>
  </r>
  <r>
    <n v="254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50014270650659343"/>
    <n v="-1.5301479794237272"/>
    <b v="0"/>
    <b v="0"/>
    <s v=""/>
    <s v="BHHPPS1534482433"/>
    <n v="0"/>
    <s v="BHHPPS1534482433"/>
    <s v="4504423066"/>
    <s v="BIBLE FELLOWSHIP"/>
    <s v="BIBLE FELLOWSHIP"/>
    <s v="BIBLE FELLOWSHIP"/>
    <s v="1212 E FAIRMONT BLVD"/>
    <s v="RAPID CITY"/>
    <s v="SD"/>
    <s v="57701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Replacement for T8 Linear Fluorescent Lamps - 4 ft or less"/>
    <s v="Other"/>
    <s v="Existing"/>
    <m/>
    <m/>
    <m/>
    <m/>
    <m/>
    <m/>
    <m/>
    <m/>
    <m/>
    <m/>
    <m/>
    <m/>
    <m/>
    <n v="28"/>
    <n v="0"/>
    <n v="0.33929300000000001"/>
    <m/>
    <n v="1589.8679999999999"/>
    <m/>
    <m/>
    <m/>
    <m/>
    <m/>
    <n v="0"/>
    <n v="120.68"/>
    <n v="42919"/>
    <n v="42915.7690427083"/>
    <x v="1"/>
    <s v="C7536D8446CE41EB810BD7E5A4B26685"/>
    <n v="56.780999999999999"/>
    <n v="4.3100000000000005"/>
    <n v="71.928403166606657"/>
    <n v="30.28616226838243"/>
    <n v="10.421419234256929"/>
    <n v="3.9940053618595535"/>
  </r>
  <r>
    <n v="255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97162359113610641"/>
    <n v="-4.8057188404622845E-3"/>
    <b v="0"/>
    <b v="0"/>
    <s v=""/>
    <s v="BHHPPS1534498537"/>
    <n v="1"/>
    <s v="BHHPPS1534498537"/>
    <s v="4973180282"/>
    <s v="HAGGARS GROCERY"/>
    <s v="HAGGARS GROCERY"/>
    <s v="HAGGARS GROCERY"/>
    <s v="8015 STAGE STOP RD"/>
    <s v="SUMMERSET"/>
    <s v="SD"/>
    <s v="57769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60W to 150W"/>
    <s v="Grocery"/>
    <s v="Existing"/>
    <m/>
    <m/>
    <m/>
    <m/>
    <m/>
    <m/>
    <m/>
    <m/>
    <m/>
    <m/>
    <m/>
    <m/>
    <m/>
    <n v="15"/>
    <n v="0"/>
    <n v="3.4176739999999999"/>
    <m/>
    <n v="15266.715"/>
    <m/>
    <m/>
    <m/>
    <m/>
    <m/>
    <n v="0"/>
    <n v="1500"/>
    <n v="42921"/>
    <n v="42921.783852696797"/>
    <x v="1"/>
    <s v="79DEA4A8FEC64F4BA87BD693DFEB44A1"/>
    <n v="1017.7810000000001"/>
    <n v="100"/>
    <n v="1175.7261559139786"/>
    <n v="162.55796725694501"/>
    <n v="100.15639784946237"/>
    <n v="32.544111433560438"/>
  </r>
  <r>
    <n v="256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97162359113610708"/>
    <n v="-4.8057188404622845E-3"/>
    <b v="0"/>
    <b v="0"/>
    <s v=""/>
    <s v="BHHPPS1534498537"/>
    <n v="0"/>
    <s v="BHHPPS1534498537"/>
    <s v="4973180282"/>
    <s v="HAGGARS GROCERY"/>
    <s v="HAGGARS GROCERY"/>
    <s v="HAGGARS GROCERY"/>
    <s v="8015 STAGE STOP RD"/>
    <s v="SUMMERSET"/>
    <s v="SD"/>
    <s v="57769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60W to 150W"/>
    <s v="Grocery"/>
    <s v="Existing"/>
    <m/>
    <m/>
    <m/>
    <m/>
    <m/>
    <m/>
    <m/>
    <m/>
    <m/>
    <m/>
    <m/>
    <m/>
    <m/>
    <n v="12"/>
    <n v="0"/>
    <n v="2.7341389999999999"/>
    <m/>
    <n v="12213.371999999999"/>
    <m/>
    <m/>
    <m/>
    <m/>
    <m/>
    <n v="0"/>
    <n v="1200"/>
    <n v="42921"/>
    <n v="42921.783852696797"/>
    <x v="1"/>
    <s v="A4EBE213AD60437EBFFB7B27F29E2AEA"/>
    <n v="1017.7809999999999"/>
    <n v="100"/>
    <n v="1175.7261559139786"/>
    <n v="162.55796725694501"/>
    <n v="100.15639784946237"/>
    <n v="32.544111433560438"/>
  </r>
  <r>
    <n v="257"/>
    <s v="Non-Residential - BHPSD - C/I Prescriptive Rebate"/>
    <b v="1"/>
    <s v="Non-Residential - BHPSD - C/I Prescriptive Rebate_C&amp;I Prescriptive Rebate :- C&amp;I Lighting :- Customer Incentives_LED Replacement for T8 Linear Fluorescent Lamps - 4 ft or less"/>
    <s v="C&amp;I_C&amp;I Prescriptive_Lighting_LED Linear Replacement Lamp (≤4ft)"/>
    <x v="2"/>
    <x v="3"/>
    <x v="3"/>
    <x v="4"/>
    <n v="-0.7262855878431993"/>
    <n v="-0.60626339097590731"/>
    <b v="0"/>
    <b v="0"/>
    <s v=""/>
    <s v="BHHPPS1534498537"/>
    <n v="0"/>
    <s v="BHHPPS1534498537"/>
    <s v="4973180282"/>
    <s v="HAGGARS GROCERY"/>
    <s v="HAGGARS GROCERY"/>
    <s v="HAGGARS GROCERY"/>
    <s v="8015 STAGE STOP RD"/>
    <s v="SUMMERSET"/>
    <s v="SD"/>
    <s v="57769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Replacement for T8 Linear Fluorescent Lamps - 4 ft or less"/>
    <s v="Grocery"/>
    <s v="Existing"/>
    <m/>
    <m/>
    <m/>
    <m/>
    <m/>
    <m/>
    <m/>
    <m/>
    <m/>
    <m/>
    <m/>
    <m/>
    <m/>
    <n v="564"/>
    <n v="0"/>
    <n v="6.304392"/>
    <m/>
    <n v="28161.648000000001"/>
    <m/>
    <m/>
    <m/>
    <m/>
    <m/>
    <n v="0"/>
    <n v="4512"/>
    <n v="42921"/>
    <n v="42921.783852696797"/>
    <x v="1"/>
    <s v="6D66509EF30D441CA5DC7B9FD330E0BD"/>
    <n v="49.932000000000002"/>
    <n v="8"/>
    <n v="71.928403166606657"/>
    <n v="30.28616226838243"/>
    <n v="10.421419234256929"/>
    <n v="3.9940053618595535"/>
  </r>
  <r>
    <n v="258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2.1962900140319343E-2"/>
    <n v="0.74402665660424805"/>
    <b v="0"/>
    <b v="0"/>
    <s v=""/>
    <s v="BHHPPS1534498537"/>
    <n v="0"/>
    <s v="BHHPPS1534498537"/>
    <s v="4973180282"/>
    <s v="HAGGARS GROCERY"/>
    <s v="HAGGARS GROCERY"/>
    <s v="HAGGARS GROCERY"/>
    <s v="8015 STAGE STOP RD"/>
    <s v="SUMMERSET"/>
    <s v="SD"/>
    <s v="57769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25W to 60W"/>
    <s v="Grocery"/>
    <s v="Existing"/>
    <m/>
    <m/>
    <m/>
    <m/>
    <m/>
    <m/>
    <m/>
    <m/>
    <m/>
    <m/>
    <m/>
    <m/>
    <m/>
    <n v="2"/>
    <n v="0"/>
    <n v="0.24293500000000001"/>
    <m/>
    <n v="1085.1880000000001"/>
    <m/>
    <m/>
    <m/>
    <m/>
    <m/>
    <n v="0"/>
    <n v="150"/>
    <n v="42921"/>
    <n v="42921.783852696797"/>
    <x v="1"/>
    <s v="D6FCD154C0914C948BA36BBD911D01AF"/>
    <n v="542.59400000000005"/>
    <n v="75"/>
    <n v="540.38278358208959"/>
    <n v="100.67961898397597"/>
    <n v="63.736940298507463"/>
    <n v="15.137978729011348"/>
  </r>
  <r>
    <n v="259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2.1962900140319343E-2"/>
    <n v="0.74402665660424805"/>
    <b v="0"/>
    <b v="0"/>
    <s v=""/>
    <s v="BHHPPS1534498537"/>
    <n v="0"/>
    <s v="BHHPPS1534498537"/>
    <s v="4973180282"/>
    <s v="HAGGARS GROCERY"/>
    <s v="HAGGARS GROCERY"/>
    <s v="HAGGARS GROCERY"/>
    <s v="8015 STAGE STOP RD"/>
    <s v="SUMMERSET"/>
    <s v="SD"/>
    <s v="57769"/>
    <s v="LIGHTING MAINTENANCE"/>
    <s v="2221 BRIDGE VIEW DR"/>
    <s v="RAPID CITY"/>
    <s v="SD"/>
    <s v="57701"/>
    <s v="605-343-1386"/>
    <s v="paul@solarsoundcorp.com"/>
    <s v="C&amp;I Prescriptive Rebate :- C&amp;I Lighting :- Customer Incentives"/>
    <s v="LED Fixtures Exterior &amp; Garage - 25W to 60W"/>
    <s v="Grocery"/>
    <s v="Existing"/>
    <m/>
    <m/>
    <m/>
    <m/>
    <m/>
    <m/>
    <m/>
    <m/>
    <m/>
    <m/>
    <m/>
    <m/>
    <m/>
    <n v="2"/>
    <n v="0"/>
    <n v="0.24293500000000001"/>
    <m/>
    <n v="1085.1880000000001"/>
    <m/>
    <m/>
    <m/>
    <m/>
    <m/>
    <n v="0"/>
    <n v="150"/>
    <n v="42921"/>
    <n v="42921.783852696797"/>
    <x v="1"/>
    <s v="5C66278014994D6BABD72C9FFD969879"/>
    <n v="542.59400000000005"/>
    <n v="75"/>
    <n v="540.38278358208959"/>
    <n v="100.67961898397597"/>
    <n v="63.736940298507463"/>
    <n v="15.137978729011348"/>
  </r>
  <r>
    <n v="260"/>
    <s v="Non-Residential - BHPSD - C/I Prescriptive Rebate"/>
    <b v="1"/>
    <s v="Non-Residential - BHPSD - C/I Prescriptive Rebate_C&amp;I Prescriptive Rebate :- C&amp;I Lighting :- Customer Incentives_Occupancy Sensor - Fixture"/>
    <s v="C&amp;I_C&amp;I Prescriptive_Lighting_Fixture Mount Occupancy"/>
    <x v="2"/>
    <x v="3"/>
    <x v="3"/>
    <x v="12"/>
    <s v=""/>
    <s v=""/>
    <b v="0"/>
    <b v="0"/>
    <s v=""/>
    <s v="BHHPPS1534532626"/>
    <n v="1"/>
    <s v="BHHPPS1534532626"/>
    <s v="2930407586"/>
    <s v="SOUTH CANYON BAPTIST"/>
    <s v="SOUTH CANYON BAPTIST"/>
    <s v="SOUTH CANYON BAPTIST"/>
    <s v="3333 W CHICAGO ST"/>
    <s v="RAPID CITY"/>
    <s v="SD"/>
    <s v="57702"/>
    <s v="FREEMANS ELECTRIC SERVICE INC"/>
    <s v="401 MAPLE AVE"/>
    <s v="RAPID CITY"/>
    <s v="SD"/>
    <s v="57701"/>
    <s v="605-342-4099"/>
    <s v="DLARSON@FREEMANSELECTRIC.COM"/>
    <s v="C&amp;I Prescriptive Rebate :- C&amp;I Lighting :- Customer Incentives"/>
    <s v="Occupancy Sensor - Fixture"/>
    <s v="Other"/>
    <s v="Existing"/>
    <m/>
    <m/>
    <m/>
    <m/>
    <m/>
    <m/>
    <m/>
    <m/>
    <m/>
    <m/>
    <m/>
    <m/>
    <m/>
    <n v="8"/>
    <n v="0"/>
    <n v="0.67050699999999996"/>
    <m/>
    <n v="3141.864"/>
    <m/>
    <m/>
    <m/>
    <m/>
    <m/>
    <n v="0"/>
    <n v="224"/>
    <n v="42926"/>
    <n v="42926.472461493096"/>
    <x v="1"/>
    <s v="C4552AE8622F4BC99FD538E62FCE5C42"/>
    <n v="392.733"/>
    <n v="28"/>
    <n v="392.733"/>
    <n v="0"/>
    <n v="28"/>
    <n v="0"/>
  </r>
  <r>
    <n v="261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066"/>
    <n v="-0.335610216668144"/>
    <b v="0"/>
    <b v="0"/>
    <s v=""/>
    <s v="BHHPPS1534532626"/>
    <n v="0"/>
    <s v="BHHPPS1534532626"/>
    <s v="2930407586"/>
    <s v="SOUTH CANYON BAPTIST"/>
    <s v="SOUTH CANYON BAPTIST"/>
    <s v="SOUTH CANYON BAPTIST"/>
    <s v="3333 W CHICAGO ST"/>
    <s v="RAPID CITY"/>
    <s v="SD"/>
    <s v="57702"/>
    <s v="FREEMANS ELECTRIC SERVICE INC"/>
    <s v="401 MAPLE AVE"/>
    <s v="RAPID CITY"/>
    <s v="SD"/>
    <s v="57701"/>
    <s v="605-342-4099"/>
    <s v="DLARSON@FREEMANSELECTRIC.COM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46"/>
    <n v="0"/>
    <n v="1.7651300000000001"/>
    <m/>
    <n v="8271.0300000000007"/>
    <m/>
    <m/>
    <m/>
    <m/>
    <m/>
    <n v="0"/>
    <n v="407.1"/>
    <n v="42926"/>
    <n v="42926.472461493096"/>
    <x v="1"/>
    <s v="1D66B4E0F74745D8B3D5B877A162776E"/>
    <n v="179.80500000000001"/>
    <n v="8.85"/>
    <n v="183.5885054112554"/>
    <n v="35.763002108901198"/>
    <n v="9.5846103896103898"/>
    <n v="2.1888796977142775"/>
  </r>
  <r>
    <n v="262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532626"/>
    <n v="0"/>
    <s v="BHHPPS1534532626"/>
    <s v="2930407586"/>
    <s v="SOUTH CANYON BAPTIST"/>
    <s v="SOUTH CANYON BAPTIST"/>
    <s v="SOUTH CANYON BAPTIST"/>
    <s v="3333 W CHICAGO ST"/>
    <s v="RAPID CITY"/>
    <s v="SD"/>
    <s v="57702"/>
    <s v="FREEMANS ELECTRIC SERVICE INC"/>
    <s v="401 MAPLE AVE"/>
    <s v="RAPID CITY"/>
    <s v="SD"/>
    <s v="57701"/>
    <s v="605-342-4099"/>
    <s v="DLARSON@FREEMANSELECTRIC.COM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6"/>
    <n v="0"/>
    <n v="0.79006799999999999"/>
    <m/>
    <n v="3702.096"/>
    <m/>
    <m/>
    <m/>
    <m/>
    <m/>
    <n v="0"/>
    <n v="450"/>
    <n v="42926"/>
    <n v="42926.472461493096"/>
    <x v="1"/>
    <s v="589E241D340E47DA9E6C6D30D686F22C"/>
    <n v="617.01599999999996"/>
    <n v="75"/>
    <n v="540.38278358208959"/>
    <n v="100.67961898397597"/>
    <n v="63.736940298507463"/>
    <n v="15.137978729011348"/>
  </r>
  <r>
    <n v="263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1.3319094756253556"/>
    <b v="0"/>
    <b v="0"/>
    <s v=""/>
    <s v="BHHPPS1534532626"/>
    <n v="0"/>
    <s v="BHHPPS1534532626"/>
    <s v="2930407586"/>
    <s v="SOUTH CANYON BAPTIST"/>
    <s v="SOUTH CANYON BAPTIST"/>
    <s v="SOUTH CANYON BAPTIST"/>
    <s v="3333 W CHICAGO ST"/>
    <s v="RAPID CITY"/>
    <s v="SD"/>
    <s v="57702"/>
    <s v="FREEMANS ELECTRIC SERVICE INC"/>
    <s v="401 MAPLE AVE"/>
    <s v="RAPID CITY"/>
    <s v="SD"/>
    <s v="57701"/>
    <s v="605-342-4099"/>
    <s v="DLARSON@FREEMANSELECTRIC.COM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18"/>
    <n v="0"/>
    <n v="0.69070299999999996"/>
    <m/>
    <n v="3236.49"/>
    <m/>
    <m/>
    <m/>
    <m/>
    <m/>
    <n v="0"/>
    <n v="225"/>
    <n v="42926"/>
    <n v="42926.472461493096"/>
    <x v="1"/>
    <s v="003699733782457D90AEAF6BE31B5B61"/>
    <n v="179.80499999999998"/>
    <n v="12.5"/>
    <n v="183.5885054112554"/>
    <n v="35.763002108901198"/>
    <n v="9.5846103896103898"/>
    <n v="2.1888796977142775"/>
  </r>
  <r>
    <n v="264"/>
    <s v="Non-Residential - BHPSD - C/I Prescriptive Rebate"/>
    <b v="1"/>
    <s v="Non-Residential - BHPSD - C/I Prescriptive Rebate_C&amp;I Prescriptive Rebate :- C&amp;I Lighting :- Customer Incentives_Energy Star LED Lamps - 10W or greater"/>
    <s v="C&amp;I_C&amp;I Prescriptive_Lighting_Energy Star LED Lamp (&gt;10W)"/>
    <x v="2"/>
    <x v="3"/>
    <x v="3"/>
    <x v="8"/>
    <n v="-0.10579384246698145"/>
    <n v="-1.0391664704029351"/>
    <b v="0"/>
    <b v="0"/>
    <s v=""/>
    <s v="BHHPPS1534532626"/>
    <n v="0"/>
    <s v="BHHPPS1534532626"/>
    <s v="2930407586"/>
    <s v="SOUTH CANYON BAPTIST"/>
    <s v="SOUTH CANYON BAPTIST"/>
    <s v="SOUTH CANYON BAPTIST"/>
    <s v="3333 W CHICAGO ST"/>
    <s v="RAPID CITY"/>
    <s v="SD"/>
    <s v="57702"/>
    <s v="FREEMANS ELECTRIC SERVICE INC"/>
    <s v="401 MAPLE AVE"/>
    <s v="RAPID CITY"/>
    <s v="SD"/>
    <s v="57701"/>
    <s v="605-342-4099"/>
    <s v="DLARSON@FREEMANSELECTRIC.COM"/>
    <s v="C&amp;I Prescriptive Rebate :- C&amp;I Lighting :- Customer Incentives"/>
    <s v="Energy Star LED Lamps - 10W or greater"/>
    <s v="Other"/>
    <s v="Existing"/>
    <m/>
    <m/>
    <m/>
    <m/>
    <m/>
    <m/>
    <m/>
    <m/>
    <m/>
    <m/>
    <m/>
    <m/>
    <m/>
    <n v="72"/>
    <n v="0"/>
    <n v="2.762813"/>
    <m/>
    <n v="12945.96"/>
    <m/>
    <m/>
    <m/>
    <m/>
    <m/>
    <n v="0"/>
    <n v="526.32000000000005"/>
    <n v="42926"/>
    <n v="42926.472461493096"/>
    <x v="1"/>
    <s v="2825F2B6889E4D3CAFF4E07B6C2CBF70"/>
    <n v="179.80499999999998"/>
    <n v="7.3100000000000005"/>
    <n v="183.5885054112554"/>
    <n v="35.763002108901198"/>
    <n v="9.5846103896103898"/>
    <n v="2.1888796977142775"/>
  </r>
  <r>
    <n v="265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9"/>
    <n v="1.1238294291255655"/>
    <b v="0"/>
    <b v="0"/>
    <s v=""/>
    <s v="BHHPPS1534561105"/>
    <n v="1"/>
    <s v="BHHPPS1534561105"/>
    <s v="4988211014"/>
    <s v="RAPID CITY JOURNAL"/>
    <s v="RAPID CITY JOURNAL"/>
    <s v="RAPID CITY JOURNAL"/>
    <s v="507 MAIN ST"/>
    <s v="RAPID CITY"/>
    <s v="SD"/>
    <s v="57701"/>
    <s v="DAKOTA SUPPLY GROUP"/>
    <s v="1936 MARLIN DR"/>
    <s v="RAPID CITY"/>
    <s v="SD"/>
    <s v="57703"/>
    <s v="605-348-7100"/>
    <s v="jwood@dsginc.biz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666"/>
    <n v="0"/>
    <n v="16.140643000000001"/>
    <m/>
    <n v="75631.626000000004"/>
    <m/>
    <m/>
    <m/>
    <m/>
    <m/>
    <n v="0"/>
    <n v="9930.06"/>
    <n v="42935"/>
    <n v="42935.668675462999"/>
    <x v="1"/>
    <s v="D68C24A0E5C142B890A7C6625C57994C"/>
    <n v="113.56100000000001"/>
    <n v="14.909999999999998"/>
    <n v="71.928403166606657"/>
    <n v="30.28616226838243"/>
    <n v="10.421419234256929"/>
    <n v="3.9940053618595535"/>
  </r>
  <r>
    <n v="266"/>
    <s v="Non-Residential - BHPSD - C/I Prescriptive Rebate"/>
    <b v="1"/>
    <s v="Non-Residential - BHPSD - C/I Prescriptive Rebate_C&amp;I Prescriptive Rebate :- C&amp;I Lighting :- Customer Incentives_LED Replacement for T12 Linear Fluorescent Lamps - 4 ft or less"/>
    <s v="C&amp;I_C&amp;I Prescriptive_Lighting_LED Linear Replacement Lamp (≤4ft)"/>
    <x v="2"/>
    <x v="3"/>
    <x v="3"/>
    <x v="4"/>
    <n v="1.3746408826732115"/>
    <n v="1.1238294291255659"/>
    <b v="0"/>
    <b v="0"/>
    <s v=""/>
    <s v="BHHPPS1534561128"/>
    <n v="1"/>
    <s v="BHHPPS1534561128"/>
    <s v="5196390216"/>
    <s v="RAPID CITY JOURNAL"/>
    <s v="RAPID CITY JOURNAL"/>
    <s v="RAPID CITY JOURNAL"/>
    <s v="412 2ND ST"/>
    <s v="RAPID CITY"/>
    <s v="SD"/>
    <s v="57701"/>
    <s v="DAKOTA SUPPLY GROUP"/>
    <s v="1936 MARLIN DR"/>
    <s v="RAPID CITY"/>
    <s v="SD"/>
    <s v="57703"/>
    <s v="605-348-7100"/>
    <s v="jwood@dsginc.biz"/>
    <s v="C&amp;I Prescriptive Rebate :- C&amp;I Lighting :- Customer Incentives"/>
    <s v="LED Replacement for T12 Linear Fluorescent Lamps - 4 ft or less"/>
    <s v="Other"/>
    <s v="Existing"/>
    <m/>
    <m/>
    <m/>
    <m/>
    <m/>
    <m/>
    <m/>
    <m/>
    <m/>
    <m/>
    <m/>
    <m/>
    <m/>
    <n v="834"/>
    <n v="0"/>
    <n v="20.212157000000001"/>
    <m/>
    <n v="94709.873999999996"/>
    <m/>
    <m/>
    <m/>
    <m/>
    <m/>
    <n v="0"/>
    <n v="12434.94"/>
    <n v="42935"/>
    <n v="42935.671897141197"/>
    <x v="1"/>
    <s v="E75B3B6437834CC9B65168CC92E62622"/>
    <n v="113.56099999999999"/>
    <n v="14.91"/>
    <n v="71.928403166606657"/>
    <n v="30.28616226838243"/>
    <n v="10.421419234256929"/>
    <n v="3.9940053618595535"/>
  </r>
  <r>
    <n v="267"/>
    <s v="Non-Residential - BHPSD - C/I Prescriptive Rebate"/>
    <b v="1"/>
    <s v="Non-Residential - BHPSD - C/I Prescriptive Rebate_C&amp;I Prescriptive Rebate :- C&amp;I Lighting :- Customer Incentives_LED Fixtures Exterior &amp; Garage - 60W to 150W"/>
    <s v="C&amp;I_C&amp;I Prescriptive_Lighting_LED Parking Garage/Canopy (≥75W)"/>
    <x v="2"/>
    <x v="3"/>
    <x v="3"/>
    <x v="6"/>
    <n v="-0.11286531336220673"/>
    <n v="-4.8057188404622845E-3"/>
    <b v="0"/>
    <b v="0"/>
    <s v=""/>
    <s v="BHHPPS1534561626"/>
    <n v="1"/>
    <s v="BHHPPS1534561626"/>
    <s v="2138660329"/>
    <s v="CORNERSTONE"/>
    <s v="CORNERSTONE"/>
    <s v="CORNERSTONE"/>
    <s v="30 MAIN ST"/>
    <s v="RAPID CITY"/>
    <s v="SD"/>
    <s v="57701"/>
    <s v="DAKOTA SUPPLY GROUP"/>
    <s v="1936 MARLIN DR"/>
    <s v="RAPID CITY"/>
    <s v="SD"/>
    <s v="57703"/>
    <s v="605-348-7100"/>
    <s v="jwood@dsginc.biz"/>
    <s v="C&amp;I Prescriptive Rebate :- C&amp;I Lighting :- Customer Incentives"/>
    <s v="LED Fixtures Exterior &amp; Garage - 60W to 150W"/>
    <s v="Other"/>
    <s v="Existing"/>
    <m/>
    <m/>
    <m/>
    <m/>
    <m/>
    <m/>
    <m/>
    <m/>
    <m/>
    <m/>
    <m/>
    <m/>
    <m/>
    <n v="10"/>
    <n v="0"/>
    <n v="2.4699710000000001"/>
    <m/>
    <n v="11573.79"/>
    <m/>
    <m/>
    <m/>
    <m/>
    <m/>
    <n v="0"/>
    <n v="1000"/>
    <n v="42935"/>
    <n v="42935.777491319401"/>
    <x v="1"/>
    <s v="D2BC46507B36446A879890ECF510B16E"/>
    <n v="1157.3790000000001"/>
    <n v="100"/>
    <n v="1175.7261559139786"/>
    <n v="162.55796725694501"/>
    <n v="100.15639784946237"/>
    <n v="32.544111433560438"/>
  </r>
  <r>
    <n v="268"/>
    <s v="Non-Residential - BHPSD - C/I Prescriptive Rebate"/>
    <b v="1"/>
    <s v="Non-Residential - BHPSD - C/I Prescriptive Rebate_C&amp;I Prescriptive Rebate :- C&amp;I Lighting :- Customer Incentives_LED Fixtures Exterior &amp; Garage - 25W to 60W"/>
    <s v="C&amp;I_C&amp;I Prescriptive_Lighting_LED Parking Garage/Canopy (30-75W)"/>
    <x v="2"/>
    <x v="3"/>
    <x v="3"/>
    <x v="10"/>
    <n v="0.76115918188076592"/>
    <n v="0.74402665660424805"/>
    <b v="0"/>
    <b v="0"/>
    <s v=""/>
    <s v="BHHPPS1534561626"/>
    <n v="0"/>
    <s v="BHHPPS1534561626"/>
    <s v="2138660329"/>
    <s v="CORNERSTONE"/>
    <s v="CORNERSTONE"/>
    <s v="CORNERSTONE"/>
    <s v="30 MAIN ST"/>
    <s v="RAPID CITY"/>
    <s v="SD"/>
    <s v="57701"/>
    <s v="DAKOTA SUPPLY GROUP"/>
    <s v="1936 MARLIN DR"/>
    <s v="RAPID CITY"/>
    <s v="SD"/>
    <s v="57703"/>
    <s v="605-348-7100"/>
    <s v="jwood@dsginc.biz"/>
    <s v="C&amp;I Prescriptive Rebate :- C&amp;I Lighting :- Customer Incentives"/>
    <s v="LED Fixtures Exterior &amp; Garage - 25W to 60W"/>
    <s v="Other"/>
    <s v="Existing"/>
    <m/>
    <m/>
    <m/>
    <m/>
    <m/>
    <m/>
    <m/>
    <m/>
    <m/>
    <m/>
    <m/>
    <m/>
    <m/>
    <n v="2"/>
    <n v="0"/>
    <n v="0.26335599999999998"/>
    <m/>
    <n v="1234.0319999999999"/>
    <m/>
    <m/>
    <m/>
    <m/>
    <m/>
    <n v="0"/>
    <n v="150"/>
    <n v="42935"/>
    <n v="42935.777491319401"/>
    <x v="1"/>
    <s v="CFC320DF44644A6EBFEDA2D2C1C567A9"/>
    <n v="617.01599999999996"/>
    <n v="75"/>
    <n v="540.38278358208959"/>
    <n v="100.67961898397597"/>
    <n v="63.736940298507463"/>
    <n v="15.137978729011348"/>
  </r>
  <r>
    <n v="269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73"/>
    <n v="-0.90069292190364869"/>
    <b v="0"/>
    <b v="0"/>
    <s v=""/>
    <s v="BHHPPS1534574686"/>
    <n v="1"/>
    <s v="BHHPPS1534574686"/>
    <s v="9798957253"/>
    <s v="PERFECT HANGING GALLERY"/>
    <s v="PERFECT HANGING GALLERY"/>
    <s v="PERFECT HANGING GALLERY"/>
    <s v="621 MAIN ST"/>
    <s v="RAPID CITY"/>
    <s v="SD"/>
    <s v="57701"/>
    <s v="BLACK HILLS LIGHTING"/>
    <s v="PO BOX 4035"/>
    <s v="RAPID CITY"/>
    <s v="SD"/>
    <s v="57709"/>
    <s v="605-381-9452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18"/>
    <n v="0"/>
    <n v="0.43623400000000001"/>
    <m/>
    <n v="2044.098"/>
    <m/>
    <m/>
    <m/>
    <m/>
    <m/>
    <n v="0"/>
    <n v="53.64"/>
    <n v="42940"/>
    <n v="42940.5389762384"/>
    <x v="1"/>
    <s v="7A17C16D2D764F809479F20EF00F75B9"/>
    <n v="113.56099999999999"/>
    <n v="2.98"/>
    <n v="124.22266552020636"/>
    <n v="22.950483592270654"/>
    <n v="4.8732072914875317"/>
    <n v="2.1019453416888925"/>
  </r>
  <r>
    <n v="270"/>
    <s v="Non-Residential - BHPSD - C/I Prescriptive Rebate"/>
    <b v="1"/>
    <s v="Non-Residential - BHPSD - C/I Prescriptive Rebate_C&amp;I Prescriptive Rebate :- C&amp;I Lighting :- Customer Incentives_Energy Star LED Lamps - 5W to 10W"/>
    <s v="C&amp;I_C&amp;I Prescriptive_Lighting_Energy Star LED Lamp (5-10W)"/>
    <x v="2"/>
    <x v="3"/>
    <x v="3"/>
    <x v="5"/>
    <n v="-0.46455080030631812"/>
    <n v="0.31722647363261447"/>
    <b v="0"/>
    <b v="0"/>
    <s v=""/>
    <s v="BHHPPS1534574686"/>
    <n v="0"/>
    <s v="BHHPPS1534574686"/>
    <s v="9798957253"/>
    <s v="PERFECT HANGING GALLERY"/>
    <s v="PERFECT HANGING GALLERY"/>
    <s v="PERFECT HANGING GALLERY"/>
    <s v="621 MAIN ST"/>
    <s v="RAPID CITY"/>
    <s v="SD"/>
    <s v="57701"/>
    <s v="BLACK HILLS LIGHTING"/>
    <s v="PO BOX 4035"/>
    <s v="RAPID CITY"/>
    <s v="SD"/>
    <s v="57709"/>
    <s v="605-381-9452"/>
    <m/>
    <s v="C&amp;I Prescriptive Rebate :- C&amp;I Lighting :- Customer Incentives"/>
    <s v="Energy Star LED Lamps - 5W to 10W"/>
    <s v="Other"/>
    <s v="Existing"/>
    <m/>
    <m/>
    <m/>
    <m/>
    <m/>
    <m/>
    <m/>
    <m/>
    <m/>
    <m/>
    <m/>
    <m/>
    <m/>
    <n v="32"/>
    <n v="0"/>
    <n v="0.77552600000000005"/>
    <m/>
    <n v="3633.9520000000002"/>
    <m/>
    <m/>
    <m/>
    <m/>
    <m/>
    <n v="0"/>
    <n v="177.28"/>
    <n v="42940"/>
    <n v="42940.5389762384"/>
    <x v="1"/>
    <s v="766434B09F5E400C8C1BB809800AD41C"/>
    <n v="113.56100000000001"/>
    <n v="5.54"/>
    <n v="124.22266552020636"/>
    <n v="22.950483592270654"/>
    <n v="4.8732072914875317"/>
    <n v="2.1019453416888925"/>
  </r>
  <r>
    <n v="271"/>
    <s v="Residential - BHPSD - Residential Energy Efficiency Rebate"/>
    <b v="0"/>
    <s v="Residential - BHPSD - Residential Energy Efficiency Rebate__"/>
    <n v="0"/>
    <x v="0"/>
    <x v="0"/>
    <x v="0"/>
    <x v="0"/>
    <s v=""/>
    <s v=""/>
    <b v="0"/>
    <b v="0"/>
    <s v="Residential - BHPSD - Residential Energy Efficiency Rebate"/>
    <n v="55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1"/>
    <n v="0"/>
    <n v="42.0242"/>
    <m/>
    <n v="111458.90283000001"/>
    <m/>
    <m/>
    <m/>
    <m/>
    <m/>
    <n v="0"/>
    <n v="13808.75"/>
    <s v=""/>
    <m/>
    <x v="0"/>
    <s v=""/>
    <n v="1569.843701830986"/>
    <n v="194.4894366197183"/>
    <e v="#N/A"/>
    <e v="#N/A"/>
    <e v="#N/A"/>
    <e v="#N/A"/>
  </r>
  <r>
    <n v="272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40717293650502445"/>
    <n v="0.44367825470805689"/>
    <b v="0"/>
    <b v="0"/>
    <s v=""/>
    <s v="BHHEPS1532882230"/>
    <n v="1"/>
    <s v="BHHEPS1532882230"/>
    <s v="3501750401"/>
    <s v="JACK"/>
    <s v="NAUGLE"/>
    <m/>
    <s v="4103 MINNEKAHTA DR"/>
    <s v="RAPID CITY"/>
    <s v="SD"/>
    <s v="57702"/>
    <s v="ACTION MECHANICAL"/>
    <s v="1856 LOMBARDY DR"/>
    <s v="RAPID CITY"/>
    <s v="SD"/>
    <s v="57709"/>
    <s v="605-348-5212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ANZ140241A"/>
    <m/>
    <n v="1"/>
    <n v="0"/>
    <n v="0.49299999999999999"/>
    <m/>
    <n v="478.80500000000001"/>
    <m/>
    <m/>
    <m/>
    <m/>
    <m/>
    <n v="0"/>
    <n v="225"/>
    <n v="42615"/>
    <n v="42615.6955989583"/>
    <x v="1"/>
    <s v="A11CC10C148248269F45121260167778"/>
    <n v="478.80500000000001"/>
    <n v="225"/>
    <n v="901.38850000000002"/>
    <n v="1037.8477106736327"/>
    <n v="201.5625"/>
    <n v="52.825442201178021"/>
  </r>
  <r>
    <n v="273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50381717338915977"/>
    <n v="-0.97609216035772517"/>
    <b v="0"/>
    <b v="0"/>
    <s v=""/>
    <s v="BHHEPS1532882260"/>
    <n v="1"/>
    <s v="BHHEPS1532882260"/>
    <s v="0001026146"/>
    <s v="LES A"/>
    <s v="KEITH"/>
    <m/>
    <s v="2326 WILSON AVE"/>
    <s v="HOT SPRINGS"/>
    <s v="SD"/>
    <s v="57747"/>
    <s v="NELSONS OIL and GAS"/>
    <s v="1346 GALVESTON AVE"/>
    <s v="HOT SPRINGS"/>
    <s v="SD"/>
    <s v="57747"/>
    <s v="605-745-4789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14HPX-024-230-19"/>
    <m/>
    <n v="1"/>
    <n v="0"/>
    <n v="0.39500000000000002"/>
    <m/>
    <n v="378.50299999999999"/>
    <m/>
    <m/>
    <m/>
    <m/>
    <m/>
    <n v="0"/>
    <n v="150"/>
    <n v="42615"/>
    <n v="42615.709618865701"/>
    <x v="1"/>
    <s v="A5431E92E34F45ADAC74CCC0BC89BB35"/>
    <n v="378.50299999999999"/>
    <n v="150"/>
    <n v="901.38850000000002"/>
    <n v="1037.8477106736327"/>
    <n v="201.5625"/>
    <n v="52.825442201178021"/>
  </r>
  <r>
    <n v="274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0.45001196978249142"/>
    <n v="-0.92571866782486023"/>
    <b v="0"/>
    <b v="0"/>
    <s v=""/>
    <s v="BHHEPS1532906113"/>
    <n v="1"/>
    <s v="BHHEPS1532906113"/>
    <s v="4112289528"/>
    <s v="ELIZABETH L"/>
    <s v="MEYER"/>
    <m/>
    <s v="12634 SANDSTONE RD"/>
    <s v="HOT SPRINGS"/>
    <s v="SD"/>
    <s v="57747"/>
    <s v="NELSONS OIL and GAS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18000"/>
    <m/>
    <m/>
    <m/>
    <m/>
    <m/>
    <m/>
    <m/>
    <m/>
    <n v="1"/>
    <n v="0"/>
    <n v="0.71599999999999997"/>
    <m/>
    <n v="1987.4390000000001"/>
    <m/>
    <m/>
    <m/>
    <m/>
    <m/>
    <n v="0"/>
    <n v="75"/>
    <n v="42626"/>
    <n v="42626.780199618101"/>
    <x v="1"/>
    <s v="B40425FFBAE741E2A358720529D9E46A"/>
    <n v="1987.4390000000001"/>
    <n v="75"/>
    <n v="2495.8377857142855"/>
    <n v="1129.7450286933804"/>
    <n v="107.14285714285714"/>
    <n v="34.722057856284209"/>
  </r>
  <r>
    <n v="275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45121016150768639"/>
    <n v="-0.40824829046386363"/>
    <b v="0"/>
    <b v="0"/>
    <s v=""/>
    <s v="BHHEPS1532927754"/>
    <n v="1"/>
    <s v="BHHEPS1532927754"/>
    <s v="0770295976"/>
    <s v="TRAVIS J"/>
    <s v="FOSTER"/>
    <m/>
    <s v="7308 WONDERLAND CT"/>
    <s v="BLACK HAWK"/>
    <s v="SD"/>
    <s v="57718"/>
    <s v="LOWES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GEH50DFEJSR"/>
    <m/>
    <n v="1"/>
    <n v="0"/>
    <n v="0.13600000000000001"/>
    <m/>
    <n v="2877"/>
    <m/>
    <m/>
    <m/>
    <m/>
    <m/>
    <n v="0"/>
    <n v="250"/>
    <n v="42634"/>
    <n v="42634.7605497685"/>
    <x v="1"/>
    <s v="ADC9E49CA6604FAD9617B155639FA6F3"/>
    <n v="2877"/>
    <n v="250"/>
    <n v="3035.2857142857142"/>
    <n v="350.80263652931455"/>
    <n v="261.42857142857144"/>
    <n v="27.994168488950606"/>
  </r>
  <r>
    <n v="276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1.1884691629751747E-2"/>
    <n v="-1.6859773678906163"/>
    <b v="0"/>
    <b v="0"/>
    <s v=""/>
    <s v="BHHEPS1532927760"/>
    <n v="1"/>
    <s v="BHHEPS1532927760"/>
    <s v="2306840144"/>
    <s v="JOAN M"/>
    <s v="WILSON"/>
    <m/>
    <s v="13138 CANYON VIEW RD"/>
    <s v="PIEDMONT"/>
    <s v="SD"/>
    <s v="57769"/>
    <s v="TESSIERS INC"/>
    <s v="4310 PENDLETON DR"/>
    <s v="RAPID CITY"/>
    <s v="SD"/>
    <s v="57709"/>
    <s v="605-341-2412"/>
    <s v="dan.larson@tessiersinc.com"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SL18XP1-024-230"/>
    <m/>
    <n v="1"/>
    <n v="0"/>
    <n v="0.60399999999999998"/>
    <m/>
    <n v="913.72299999999996"/>
    <m/>
    <m/>
    <m/>
    <m/>
    <m/>
    <n v="0"/>
    <n v="112.5"/>
    <n v="42634"/>
    <n v="42634.768014270798"/>
    <x v="1"/>
    <s v="276AF04CAD264E22A4BD04AA6DBA6242"/>
    <n v="913.72299999999996"/>
    <n v="112.5"/>
    <n v="901.38850000000002"/>
    <n v="1037.8477106736327"/>
    <n v="201.5625"/>
    <n v="52.825442201178021"/>
  </r>
  <r>
    <n v="277"/>
    <s v="Residential - BHPSD - Residential Energy Efficiency Rebate"/>
    <b v="1"/>
    <s v="Residential - BHPSD - Residential Energy Efficiency Rebate_Residential Water Heating :- Customer Incentives_Electric Water Heater - EF &lt; 0.95"/>
    <s v="Residential_High Efficiency HVAC_Water Heating_Electric Storage Water Heater EF 0.95"/>
    <x v="1"/>
    <x v="4"/>
    <x v="5"/>
    <x v="16"/>
    <s v=""/>
    <s v=""/>
    <b v="0"/>
    <b v="0"/>
    <s v=""/>
    <s v="BHHEPS1532965100"/>
    <n v="1"/>
    <s v="BHHEPS1532965100"/>
    <s v="5815530032"/>
    <s v="ERIN E"/>
    <s v="LEHMANN"/>
    <m/>
    <s v="4119 HALL ST"/>
    <s v="RAPID CITY"/>
    <s v="SD"/>
    <s v="57702"/>
    <s v="K and D Appliance"/>
    <s v="PO BOX 2026"/>
    <s v="RAPID CITY"/>
    <s v="SD"/>
    <s v="57709"/>
    <s v="605-394-9411"/>
    <m/>
    <s v="Residential Water Heating :- Customer Incentives"/>
    <s v="Electric Water Heater - EF &lt; 0.95"/>
    <m/>
    <m/>
    <m/>
    <m/>
    <m/>
    <m/>
    <m/>
    <m/>
    <m/>
    <s v="85"/>
    <s v=".92"/>
    <m/>
    <m/>
    <s v="MHD85245"/>
    <m/>
    <n v="1"/>
    <n v="0"/>
    <n v="3.005E-2"/>
    <m/>
    <n v="263.23678000000001"/>
    <m/>
    <m/>
    <m/>
    <m/>
    <m/>
    <n v="0"/>
    <n v="106.25"/>
    <n v="42646"/>
    <n v="42643.690867905098"/>
    <x v="1"/>
    <s v="EC06B821932F43CFB8BC2459E95EFB24"/>
    <n v="263.23678000000001"/>
    <n v="106.25"/>
    <n v="263.23678000000001"/>
    <n v="0"/>
    <n v="106.25"/>
    <n v="0"/>
  </r>
  <r>
    <n v="278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015979"/>
    <n v="1"/>
    <s v="BHHEPS1533015979"/>
    <s v="1602551088"/>
    <s v="JOAN H"/>
    <s v="HOULIHAN"/>
    <m/>
    <s v="109 HAYLOFT CT"/>
    <s v="CUSTER"/>
    <s v="SD"/>
    <s v="57730"/>
    <s v="BHE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"/>
    <s v=".95"/>
    <m/>
    <m/>
    <s v="650EORT 100"/>
    <m/>
    <n v="1"/>
    <n v="0"/>
    <n v="2.0420000000000001E-2"/>
    <m/>
    <n v="178.89402999999999"/>
    <m/>
    <m/>
    <m/>
    <m/>
    <m/>
    <n v="0"/>
    <n v="87.5"/>
    <n v="42649"/>
    <n v="42649.535627002297"/>
    <x v="1"/>
    <s v="B3B62AED2674485A8AF1B9FF7823074B"/>
    <n v="178.89402999999999"/>
    <n v="87.5"/>
    <n v="164.03409531250006"/>
    <n v="36.173336303462285"/>
    <n v="83.125"/>
    <n v="11.986360561328565"/>
  </r>
  <r>
    <n v="279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017948"/>
    <n v="1"/>
    <s v="BHHEPS1533017948"/>
    <s v="5981851164"/>
    <s v="CURTIS"/>
    <s v="ANDERSON"/>
    <m/>
    <s v="5265 PINEDALE CIR"/>
    <s v="RAPID CITY"/>
    <s v="SD"/>
    <s v="57702"/>
    <s v="BHE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"/>
    <s v=".95"/>
    <m/>
    <m/>
    <s v="ENT 50 100"/>
    <m/>
    <n v="1"/>
    <n v="0"/>
    <n v="2.0420000000000001E-2"/>
    <m/>
    <n v="178.89402999999999"/>
    <m/>
    <m/>
    <m/>
    <m/>
    <m/>
    <n v="0"/>
    <n v="87.5"/>
    <n v="42650"/>
    <n v="42650.430064583299"/>
    <x v="1"/>
    <s v="0247768AF3744E828843C68580D6F077"/>
    <n v="178.89402999999999"/>
    <n v="87.5"/>
    <n v="164.03409531250006"/>
    <n v="36.173336303462285"/>
    <n v="83.125"/>
    <n v="11.986360561328565"/>
  </r>
  <r>
    <n v="280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45976197864817503"/>
    <n v="-0.40824829046386363"/>
    <b v="0"/>
    <b v="0"/>
    <s v=""/>
    <s v="BHHEPS1533017969"/>
    <n v="1"/>
    <s v="BHHEPS1533017969"/>
    <s v="2574716712"/>
    <s v="LARRY V"/>
    <s v="WALKER"/>
    <m/>
    <s v="2714 HOEFER AVE"/>
    <s v="RAPID CITY"/>
    <s v="SD"/>
    <s v="57701"/>
    <s v="MIDWESTERN MECHANICAL INC"/>
    <s v="1865 SAMCO RD"/>
    <s v="RAPID CITY"/>
    <s v="SD"/>
    <s v="57702"/>
    <s v="605-394-9636"/>
    <s v="BKALTVEDT@MWMECH.COM"/>
    <s v="Residential Heat Pumps :- Residential Heat Pumps - HP Water Heater :- Customer Incentives"/>
    <s v="Heat Pump Water Heater"/>
    <m/>
    <m/>
    <m/>
    <m/>
    <m/>
    <m/>
    <m/>
    <m/>
    <m/>
    <m/>
    <m/>
    <m/>
    <m/>
    <s v="HPTU 50 120"/>
    <m/>
    <n v="1"/>
    <n v="0"/>
    <n v="0.13600000000000001"/>
    <m/>
    <n v="2874"/>
    <m/>
    <m/>
    <m/>
    <m/>
    <m/>
    <n v="0"/>
    <n v="250"/>
    <n v="42650"/>
    <n v="42650.439497685198"/>
    <x v="1"/>
    <s v="222CC87FC243413FB150F241BAA394C4"/>
    <n v="2874"/>
    <n v="250"/>
    <n v="3035.2857142857142"/>
    <n v="350.80263652931455"/>
    <n v="261.42857142857144"/>
    <n v="27.994168488950606"/>
  </r>
  <r>
    <n v="281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2.9542375753100494"/>
    <n v="2.6742983737162631"/>
    <b v="1"/>
    <b v="1"/>
    <s v=""/>
    <s v="BHHEPS1533022276"/>
    <n v="1"/>
    <s v="BHHEPS1533022276"/>
    <s v="0770295976"/>
    <s v="TRAVIS J"/>
    <s v="FOSTER"/>
    <m/>
    <s v="7308 WONDERLAND CT"/>
    <s v="BLACK HAWK"/>
    <s v="SD"/>
    <s v="57718"/>
    <s v="JDS EQUIPMENT SVC LLC"/>
    <s v="12176 SIOUXLAND RD"/>
    <s v="SUMMERSET"/>
    <s v="SD"/>
    <s v="57718"/>
    <s v="605-716-1366"/>
    <s v="jdinfo@midconetwork.com"/>
    <s v="Residential Heat Pumps :- Residential Mini-Split :- Customer Incentives"/>
    <s v="Ductless Mini-Split HP SEER &gt;= 19"/>
    <m/>
    <m/>
    <m/>
    <m/>
    <m/>
    <m/>
    <s v="54000"/>
    <m/>
    <m/>
    <m/>
    <m/>
    <m/>
    <m/>
    <s v="MXZ-8C48NAHZ"/>
    <m/>
    <n v="1"/>
    <n v="0"/>
    <n v="1.8089999999999999"/>
    <m/>
    <n v="5833.3729999999996"/>
    <m/>
    <m/>
    <m/>
    <m/>
    <m/>
    <n v="0"/>
    <n v="200"/>
    <n v="42653"/>
    <n v="42653.725953159701"/>
    <x v="1"/>
    <s v="AC4FF1191F624352BB31F0C4EFE00C92"/>
    <n v="5833.3729999999996"/>
    <n v="200"/>
    <n v="2495.8377857142855"/>
    <n v="1129.7450286933804"/>
    <n v="107.14285714285714"/>
    <n v="34.722057856284209"/>
  </r>
  <r>
    <n v="282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-1.0949945926326472"/>
    <b v="0"/>
    <b v="0"/>
    <s v=""/>
    <s v="BHHEPS1533031692"/>
    <n v="1"/>
    <s v="BHHEPS1533031692"/>
    <s v="3412682792"/>
    <s v="SAMANTHA"/>
    <s v="GREEN"/>
    <m/>
    <s v="14760 E HILLS VIEW DR"/>
    <s v="PIEDMONT"/>
    <s v="SD"/>
    <s v="57769"/>
    <s v="LOWES"/>
    <s v="2550 HAINES AVE"/>
    <s v="RAPID CITY"/>
    <s v="SD"/>
    <s v="57701"/>
    <s v="605-341-4815"/>
    <m/>
    <s v="Residential Water Heating :- Customer Incentives"/>
    <s v="Electric Water Heater - EF &gt;= 0.95"/>
    <m/>
    <m/>
    <m/>
    <m/>
    <m/>
    <m/>
    <s v="60000"/>
    <m/>
    <m/>
    <s v="40"/>
    <s v=".95"/>
    <m/>
    <m/>
    <s v="E40 1 RH MH"/>
    <m/>
    <n v="1"/>
    <n v="0"/>
    <n v="1.435E-2"/>
    <m/>
    <n v="125.72344"/>
    <m/>
    <m/>
    <m/>
    <m/>
    <m/>
    <n v="0"/>
    <n v="70"/>
    <n v="42656"/>
    <n v="42656.619047337997"/>
    <x v="1"/>
    <s v="E6A2003CCFFB4C5CBA4723943581CE42"/>
    <n v="125.72344"/>
    <n v="70"/>
    <n v="164.03409531250006"/>
    <n v="36.173336303462285"/>
    <n v="83.125"/>
    <n v="11.986360561328565"/>
  </r>
  <r>
    <n v="283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049757"/>
    <n v="1"/>
    <s v="BHHEPS1533049757"/>
    <s v="0303749475"/>
    <s v="OLD NORTH LLC"/>
    <s v="OLD NORTH LLC"/>
    <s v="OLD NORTH LLC"/>
    <s v="919 MAIN ST"/>
    <s v="RAPID CITY"/>
    <s v="SD"/>
    <s v="57701"/>
    <s v="BHE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"/>
    <s v=".95"/>
    <m/>
    <m/>
    <s v="PRO E50T2RH95"/>
    <m/>
    <n v="15"/>
    <n v="0"/>
    <n v="0.30630000000000002"/>
    <m/>
    <n v="2683.4104499999999"/>
    <m/>
    <m/>
    <m/>
    <m/>
    <m/>
    <n v="0"/>
    <n v="1312.5"/>
    <n v="42664"/>
    <n v="42664.519468055601"/>
    <x v="1"/>
    <s v="9F2396C620E443738408CCFEA6094859"/>
    <n v="178.89402999999999"/>
    <n v="87.5"/>
    <n v="164.03409531250006"/>
    <n v="36.173336303462285"/>
    <n v="83.125"/>
    <n v="11.986360561328565"/>
  </r>
  <r>
    <n v="284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053182"/>
    <n v="1"/>
    <s v="BHHEPS1533053182"/>
    <s v="1735721659"/>
    <s v="VICKIE"/>
    <s v="HAUGE"/>
    <m/>
    <s v="505 H ST"/>
    <s v="EDGEMONT"/>
    <s v="SD"/>
    <s v="57735"/>
    <s v="BHE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"/>
    <s v=".95"/>
    <m/>
    <m/>
    <s v="E50H6-45110"/>
    <m/>
    <n v="1"/>
    <n v="0"/>
    <n v="2.0420000000000001E-2"/>
    <m/>
    <n v="178.89402999999999"/>
    <m/>
    <m/>
    <m/>
    <m/>
    <m/>
    <n v="0"/>
    <n v="87.5"/>
    <n v="42667"/>
    <n v="42667.617835995399"/>
    <x v="1"/>
    <s v="E4B1F38985B84EDFB02D262F57779B1C"/>
    <n v="178.89402999999999"/>
    <n v="87.5"/>
    <n v="164.03409531250006"/>
    <n v="36.173336303462285"/>
    <n v="83.125"/>
    <n v="11.986360561328565"/>
  </r>
  <r>
    <n v="285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0.3649981975442157"/>
    <b v="0"/>
    <b v="0"/>
    <s v=""/>
    <s v="BHHEPS1533061346"/>
    <n v="1"/>
    <s v="BHHEPS1533061346"/>
    <s v="0758710187"/>
    <s v="RICHARD G"/>
    <s v="ELMORE"/>
    <m/>
    <s v="210 S FISK AVE"/>
    <s v="NEWELL"/>
    <s v="SD"/>
    <s v="57760"/>
    <s v="LOWES"/>
    <s v="2550 HAINES AVE"/>
    <s v="RAPID CITY"/>
    <s v="SD"/>
    <s v="57701"/>
    <s v="605-341-4815"/>
    <m/>
    <s v="Residential Water Heating :- Customer Incentives"/>
    <s v="Electric Water Heater - EF &gt;= 0.95"/>
    <m/>
    <m/>
    <m/>
    <m/>
    <m/>
    <m/>
    <s v="60000"/>
    <m/>
    <m/>
    <s v="40"/>
    <s v=".95"/>
    <m/>
    <m/>
    <s v="6EM40-D"/>
    <m/>
    <n v="1"/>
    <n v="0"/>
    <n v="1.435E-2"/>
    <m/>
    <n v="125.72344"/>
    <m/>
    <m/>
    <m/>
    <m/>
    <m/>
    <n v="0"/>
    <n v="87.5"/>
    <n v="42669"/>
    <n v="42669.763163229203"/>
    <x v="1"/>
    <s v="AC0A0B32BE93496FAA74641D8F9746C1"/>
    <n v="125.72344"/>
    <n v="87.5"/>
    <n v="164.03409531250006"/>
    <n v="36.173336303462285"/>
    <n v="83.125"/>
    <n v="11.986360561328565"/>
  </r>
  <r>
    <n v="286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0.23705359360315245"/>
    <n v="0.67445327343346206"/>
    <b v="0"/>
    <b v="0"/>
    <s v=""/>
    <s v="BHHEPS1533071423"/>
    <n v="1"/>
    <s v="BHHEPS1533071423"/>
    <s v="2433454577"/>
    <s v="TRACY L"/>
    <s v="WIEBE"/>
    <m/>
    <s v="24174 S ROCKERVILLE RD"/>
    <s v="KEYSTONE"/>
    <s v="SD"/>
    <s v="57751"/>
    <s v="BHE"/>
    <s v="PO BOX 1400"/>
    <s v="RAPID CITY"/>
    <s v="SD"/>
    <s v="57709"/>
    <s v="605-721-2687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2.5099999999999998"/>
    <m/>
    <n v="4385.0349999999999"/>
    <m/>
    <m/>
    <m/>
    <m/>
    <m/>
    <n v="0"/>
    <n v="800"/>
    <n v="42675"/>
    <n v="42674.537366550903"/>
    <x v="1"/>
    <s v="D392B3D83B4D4FF8970E48363A682E1A"/>
    <n v="4385.0349999999999"/>
    <n v="800"/>
    <n v="4727.4153333333334"/>
    <n v="1444.3161486364422"/>
    <n v="677.77777777777783"/>
    <n v="181.21673811444546"/>
  </r>
  <r>
    <n v="287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2.4872614612517356"/>
    <n v="-2.55498738280951"/>
    <b v="1"/>
    <b v="1"/>
    <s v=""/>
    <s v="BHHEPS1533130223"/>
    <n v="1"/>
    <s v="BHHEPS1533130223"/>
    <s v="4130513188"/>
    <s v="ALONZO B"/>
    <s v="SEABOLDT"/>
    <m/>
    <s v="27461 PASS RD"/>
    <s v="HOT SPRINGS"/>
    <s v="SD"/>
    <s v="57747"/>
    <s v="ACE HARDWARE"/>
    <s v="207 S CHICAGO"/>
    <s v="HOT SPRINGS"/>
    <s v="SD"/>
    <s v="57747"/>
    <s v="605-745-5173"/>
    <s v="ACE1@GWTC.NET"/>
    <s v="Residential Water Heating :- Customer Incentives"/>
    <s v="Electric Water Heater - EF &gt;= 0.95"/>
    <m/>
    <m/>
    <m/>
    <m/>
    <m/>
    <m/>
    <s v="60000"/>
    <m/>
    <m/>
    <s v="30"/>
    <s v=".95"/>
    <m/>
    <m/>
    <s v="630 EORT 100"/>
    <m/>
    <n v="1"/>
    <n v="0"/>
    <n v="8.4499999999999992E-3"/>
    <m/>
    <n v="74.061549999999997"/>
    <m/>
    <m/>
    <m/>
    <m/>
    <m/>
    <n v="0"/>
    <n v="52.5"/>
    <n v="42685"/>
    <n v="42685.529464502302"/>
    <x v="1"/>
    <s v="625F833B7FC34474A69F9EA328AFBA97"/>
    <n v="74.061549999999997"/>
    <n v="52.5"/>
    <n v="164.03409531250006"/>
    <n v="36.173336303462285"/>
    <n v="83.125"/>
    <n v="11.986360561328565"/>
  </r>
  <r>
    <n v="288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0.56730746268964827"/>
    <n v="-0.92571866782486023"/>
    <b v="0"/>
    <b v="0"/>
    <s v=""/>
    <s v="BHHEPS1533137769"/>
    <n v="1"/>
    <s v="BHHEPS1533137769"/>
    <s v="5306240745"/>
    <s v="MICHELE A"/>
    <s v="RAPOSA"/>
    <m/>
    <s v="209 2ND ST"/>
    <s v="NISLAND"/>
    <s v="SD"/>
    <s v="57762"/>
    <s v="BHE"/>
    <s v="PO BOX 1400"/>
    <s v="RAPID CITY"/>
    <s v="SD"/>
    <s v="57709"/>
    <s v="605-721-2687"/>
    <m/>
    <s v="Residential Heat Pumps :- Residential Mini-Split :- Customer Incentives"/>
    <s v="Ductless Mini-Split HP SEER &gt;= 19"/>
    <m/>
    <m/>
    <m/>
    <m/>
    <m/>
    <m/>
    <s v="17900"/>
    <m/>
    <m/>
    <m/>
    <m/>
    <m/>
    <m/>
    <s v="ASU18RLF    AOU18RLXFWH"/>
    <m/>
    <n v="2"/>
    <n v="0"/>
    <n v="1.41"/>
    <m/>
    <n v="3709.85"/>
    <m/>
    <m/>
    <m/>
    <m/>
    <m/>
    <n v="0"/>
    <n v="150"/>
    <n v="42774"/>
    <n v="42689.713485300897"/>
    <x v="1"/>
    <s v="305057C3D9C243FAAF4CF945F2450B42"/>
    <n v="1854.925"/>
    <n v="75"/>
    <n v="2495.8377857142855"/>
    <n v="1129.7450286933804"/>
    <n v="107.14285714285714"/>
    <n v="34.722057856284209"/>
  </r>
  <r>
    <n v="289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-1.0949945926326472"/>
    <b v="0"/>
    <b v="0"/>
    <s v=""/>
    <s v="BHHEPS1533137788"/>
    <n v="1"/>
    <s v="BHHEPS1533137788"/>
    <s v="5959427933"/>
    <s v="TIM L"/>
    <s v="BESHARA"/>
    <m/>
    <s v="2608 HIDDEN TIMBERS"/>
    <s v="RAPID CITY"/>
    <s v="SD"/>
    <s v="57702"/>
    <s v="LOWES"/>
    <s v="2550 HAINES AVE"/>
    <s v="RAPID CITY"/>
    <s v="SD"/>
    <s v="57701"/>
    <s v="605-341-4815"/>
    <m/>
    <s v="Residential Water Heating :- Customer Incentives"/>
    <s v="Electric Water Heater - EF &gt;= 0.95"/>
    <m/>
    <m/>
    <m/>
    <m/>
    <m/>
    <m/>
    <s v="60000"/>
    <m/>
    <m/>
    <s v="40"/>
    <s v=".95"/>
    <m/>
    <m/>
    <s v="E40R6-45-110"/>
    <m/>
    <n v="1"/>
    <n v="0"/>
    <n v="1.435E-2"/>
    <m/>
    <n v="125.72344"/>
    <m/>
    <m/>
    <m/>
    <m/>
    <m/>
    <n v="0"/>
    <n v="70"/>
    <n v="42774"/>
    <n v="42689.723153090301"/>
    <x v="1"/>
    <s v="68D65D168CAB49AAA1ABD43CF54E2485"/>
    <n v="125.72344"/>
    <n v="70"/>
    <n v="164.03409531250006"/>
    <n v="36.173336303462285"/>
    <n v="83.125"/>
    <n v="11.986360561328565"/>
  </r>
  <r>
    <n v="290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5.6572183310301203E-3"/>
    <n v="-0.2057152595166355"/>
    <b v="0"/>
    <b v="0"/>
    <s v=""/>
    <s v="BHHEPS1533142784"/>
    <n v="1"/>
    <s v="BHHEPS1533142784"/>
    <s v="5822419630"/>
    <s v="OLIVIA"/>
    <s v="MEARS"/>
    <m/>
    <s v="2329 ELY AVE"/>
    <s v="HOT SPRINGS"/>
    <s v="SD"/>
    <s v="57747"/>
    <s v="NELSONS OIL and GAS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26400"/>
    <m/>
    <m/>
    <m/>
    <m/>
    <m/>
    <m/>
    <s v="MR24DY3JM"/>
    <m/>
    <n v="1"/>
    <n v="0"/>
    <n v="1.05"/>
    <m/>
    <n v="2502.2289999999998"/>
    <m/>
    <m/>
    <m/>
    <m/>
    <m/>
    <n v="0"/>
    <n v="100"/>
    <n v="42691"/>
    <n v="42691.451664733802"/>
    <x v="1"/>
    <s v="8048BB36872F4CEC880AC215BA5E5B1D"/>
    <n v="2502.2289999999998"/>
    <n v="100"/>
    <n v="2495.8377857142855"/>
    <n v="1129.7450286933804"/>
    <n v="107.14285714285714"/>
    <n v="34.722057856284209"/>
  </r>
  <r>
    <n v="291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5.6572183310301203E-3"/>
    <n v="-0.2057152595166355"/>
    <b v="0"/>
    <b v="0"/>
    <s v=""/>
    <s v="BHHEPS1533150367"/>
    <n v="1"/>
    <s v="BHHEPS1533150367"/>
    <s v="3033726167"/>
    <s v="JIM"/>
    <s v="MILLER"/>
    <m/>
    <s v="28469 OLD HIGHWAY 18"/>
    <s v="EDGEMONT"/>
    <s v="SD"/>
    <s v="57735"/>
    <s v="NELSONS OIL and GAS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26400"/>
    <m/>
    <m/>
    <m/>
    <m/>
    <m/>
    <m/>
    <s v="MR24DY3JM"/>
    <m/>
    <n v="1"/>
    <n v="0"/>
    <n v="1.05"/>
    <m/>
    <n v="2502.2289999999998"/>
    <m/>
    <m/>
    <m/>
    <m/>
    <m/>
    <n v="0"/>
    <n v="100"/>
    <n v="42695"/>
    <n v="42695.759669131898"/>
    <x v="1"/>
    <s v="5118ABE6B6C946E18969BFEE9720C0DA"/>
    <n v="2502.2289999999998"/>
    <n v="100"/>
    <n v="2495.8377857142855"/>
    <n v="1129.7450286933804"/>
    <n v="107.14285714285714"/>
    <n v="34.722057856284209"/>
  </r>
  <r>
    <n v="292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0.64160306421937419"/>
    <n v="0.67445327343346206"/>
    <b v="0"/>
    <b v="0"/>
    <s v=""/>
    <s v="BHHEPS1533167861"/>
    <n v="1"/>
    <s v="BHHEPS1533167861"/>
    <s v="0561 5238 59"/>
    <s v="Danny"/>
    <s v="Rexroad"/>
    <s v="N/A"/>
    <s v="9501 S High Meadows Dr&lt;br&gt;Black Hawk"/>
    <s v="BLACK HAWK"/>
    <s v="SD"/>
    <s v="57718"/>
    <s v="BHE"/>
    <s v="PO BOX 1400"/>
    <s v="RAPID CITY"/>
    <s v="SD"/>
    <s v="57709"/>
    <s v="605-721-2687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2.8969999999999998"/>
    <m/>
    <n v="5654.0929999999998"/>
    <m/>
    <m/>
    <m/>
    <m/>
    <m/>
    <n v="0"/>
    <n v="800"/>
    <n v="42697"/>
    <n v="42697.923040891197"/>
    <x v="1"/>
    <s v="48D44AE322BE4D35BA9B079830EC22F1"/>
    <n v="5654.0929999999998"/>
    <n v="800"/>
    <n v="4727.4153333333334"/>
    <n v="1444.3161486364422"/>
    <n v="677.77777777777783"/>
    <n v="181.21673811444546"/>
  </r>
  <r>
    <n v="293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0.85008454237238162"/>
    <n v="-0.2057152595166355"/>
    <b v="0"/>
    <b v="0"/>
    <s v=""/>
    <s v="BHHEPS1533172301"/>
    <n v="1"/>
    <s v="BHHEPS1533172301"/>
    <s v="5122490478"/>
    <s v="WILLIAM O"/>
    <s v="LUKENS"/>
    <m/>
    <s v="312 MEADOWLARK DR"/>
    <s v="HOT SPRINGS"/>
    <s v="SD"/>
    <s v="57747"/>
    <s v="NELSONS OIL and GAS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16200"/>
    <m/>
    <m/>
    <m/>
    <m/>
    <m/>
    <m/>
    <s v="MR24DY3JM"/>
    <m/>
    <n v="1"/>
    <n v="0"/>
    <n v="0.64400000000000002"/>
    <m/>
    <n v="1535.4590000000001"/>
    <m/>
    <m/>
    <m/>
    <m/>
    <m/>
    <n v="0"/>
    <n v="100"/>
    <n v="42702"/>
    <n v="42702.4599105671"/>
    <x v="1"/>
    <s v="90B0314E0C1547C485393CFFDB532B5D"/>
    <n v="1535.4590000000001"/>
    <n v="100"/>
    <n v="2495.8377857142855"/>
    <n v="1129.7450286933804"/>
    <n v="107.14285714285714"/>
    <n v="34.722057856284209"/>
  </r>
  <r>
    <n v="294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1.0084914607709574"/>
    <n v="1.2342915570998139"/>
    <b v="0"/>
    <b v="0"/>
    <s v=""/>
    <s v="BHHEPS1533191057"/>
    <n v="1"/>
    <s v="BHHEPS1533191057"/>
    <s v="5985853371"/>
    <s v="JOSHUA W"/>
    <s v="SCHUH"/>
    <m/>
    <s v="12810 PINE HAVEN RD"/>
    <s v="HOT SPRINGS"/>
    <s v="SD"/>
    <s v="57747"/>
    <s v="NELSONS OIL and GAS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36000"/>
    <m/>
    <m/>
    <m/>
    <m/>
    <m/>
    <m/>
    <s v="MR36TQY3JMA"/>
    <m/>
    <n v="1"/>
    <n v="0"/>
    <n v="1.3720000000000001"/>
    <m/>
    <n v="3635.1759999999999"/>
    <m/>
    <m/>
    <m/>
    <m/>
    <m/>
    <n v="0"/>
    <n v="150"/>
    <n v="42703"/>
    <n v="42703.5340418634"/>
    <x v="1"/>
    <s v="96835D797EF441F0A72771835192922C"/>
    <n v="3635.1759999999999"/>
    <n v="150"/>
    <n v="2495.8377857142855"/>
    <n v="1129.7450286933804"/>
    <n v="107.14285714285714"/>
    <n v="34.722057856284209"/>
  </r>
  <r>
    <n v="295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4.710373839596451E-2"/>
    <n v="-0.2057152595166355"/>
    <b v="0"/>
    <b v="0"/>
    <s v=""/>
    <s v="BHHEPS1533191057"/>
    <n v="0"/>
    <s v="BHHEPS1533191057"/>
    <s v="5985853371"/>
    <s v="JOSHUA W"/>
    <s v="SCHUH"/>
    <m/>
    <s v="12810 PINE HAVEN RD"/>
    <s v="HOT SPRINGS"/>
    <s v="SD"/>
    <s v="57747"/>
    <s v="NELSONS OIL and GAS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24000"/>
    <m/>
    <m/>
    <m/>
    <m/>
    <m/>
    <m/>
    <s v="MR24DY3JMA"/>
    <m/>
    <n v="1"/>
    <n v="0"/>
    <n v="0.96399999999999997"/>
    <m/>
    <n v="2549.0529999999999"/>
    <m/>
    <m/>
    <m/>
    <m/>
    <m/>
    <n v="0"/>
    <n v="100"/>
    <n v="42703"/>
    <n v="42703.5340418634"/>
    <x v="1"/>
    <s v="4317175D2DB74A0E8305234FEAFB5A5C"/>
    <n v="2549.0529999999999"/>
    <n v="100"/>
    <n v="2495.8377857142855"/>
    <n v="1129.7450286933804"/>
    <n v="107.14285714285714"/>
    <n v="34.722057856284209"/>
  </r>
  <r>
    <n v="296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460591"/>
    <n v="1"/>
    <s v="BHHEPS1533460591"/>
    <s v="4551423387"/>
    <s v="PETER J"/>
    <s v="STACH"/>
    <m/>
    <s v="120 MATKINS PL"/>
    <s v="HILL CITY"/>
    <s v="SD"/>
    <s v="57745"/>
    <s v="MENARDS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50"/>
    <s v=".95"/>
    <m/>
    <m/>
    <s v="9E50-DEL"/>
    <m/>
    <n v="1"/>
    <n v="0"/>
    <n v="2.0420000000000001E-2"/>
    <m/>
    <n v="178.89402999999999"/>
    <m/>
    <m/>
    <m/>
    <m/>
    <m/>
    <n v="0"/>
    <n v="87.5"/>
    <n v="42709"/>
    <n v="42709.774846330998"/>
    <x v="1"/>
    <s v="F9E58CCA402A49DFBE522467EBF017CC"/>
    <n v="178.89402999999999"/>
    <n v="87.5"/>
    <n v="164.03409531250006"/>
    <n v="36.173336303462285"/>
    <n v="83.125"/>
    <n v="11.986360561328565"/>
  </r>
  <r>
    <n v="297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2.4450052434044678"/>
    <n v="2.4494897427831774"/>
    <b v="1"/>
    <b v="1"/>
    <s v=""/>
    <s v="BHHEPS1533794133"/>
    <n v="1"/>
    <s v="BHHEPS1533794133"/>
    <s v="2535079025"/>
    <s v="MARK D"/>
    <s v="ROBINSON"/>
    <m/>
    <s v="375 PINE MOUNTAIN AVE"/>
    <s v="HILL CITY"/>
    <s v="SD"/>
    <s v="57745"/>
    <s v="BHE"/>
    <s v="PO BOX 1400"/>
    <s v="RAPID CITY"/>
    <s v="SD"/>
    <s v="57709"/>
    <s v="605-721-2687"/>
    <m/>
    <s v="Residential Heat Pumps :- Residential Heat Pumps - HP Water Heater :- Customer Incentives"/>
    <s v="Heat Pump Water Heater"/>
    <m/>
    <m/>
    <m/>
    <m/>
    <m/>
    <m/>
    <m/>
    <m/>
    <m/>
    <m/>
    <m/>
    <m/>
    <m/>
    <s v="HPTU-66 120"/>
    <m/>
    <n v="1"/>
    <n v="0"/>
    <n v="0.184"/>
    <m/>
    <n v="3893"/>
    <m/>
    <m/>
    <m/>
    <m/>
    <m/>
    <n v="0"/>
    <n v="330"/>
    <n v="42738"/>
    <n v="42719.785696759303"/>
    <x v="1"/>
    <s v="DE63FA603E324208B8AF447295AA4FD6"/>
    <n v="3893"/>
    <n v="330"/>
    <n v="3035.2857142857142"/>
    <n v="350.80263652931455"/>
    <n v="261.42857142857144"/>
    <n v="27.994168488950606"/>
  </r>
  <r>
    <n v="298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-1.0949945926326472"/>
    <b v="0"/>
    <b v="0"/>
    <s v=""/>
    <s v="BHHEPS1533805188"/>
    <n v="1"/>
    <s v="BHHEPS1533805188"/>
    <s v="4384377754"/>
    <s v="ARLENE A"/>
    <s v="PAYNE"/>
    <m/>
    <s v="559 STEALTH LN"/>
    <s v="BOX ELDER"/>
    <s v="SD"/>
    <s v="57719"/>
    <s v="MENARDS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40"/>
    <s v=".95"/>
    <m/>
    <m/>
    <s v="6EM40D"/>
    <m/>
    <n v="1"/>
    <n v="0"/>
    <n v="1.435E-2"/>
    <m/>
    <n v="125.72344"/>
    <m/>
    <m/>
    <m/>
    <m/>
    <m/>
    <n v="0"/>
    <n v="70"/>
    <n v="42740"/>
    <n v="42724.562293634299"/>
    <x v="1"/>
    <s v="8B073540895B4D2A81A9186B17214A76"/>
    <n v="125.72344"/>
    <n v="70"/>
    <n v="164.03409531250006"/>
    <n v="36.173336303462285"/>
    <n v="83.125"/>
    <n v="11.986360561328565"/>
  </r>
  <r>
    <n v="299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45121016150768639"/>
    <n v="-0.40824829046386363"/>
    <b v="0"/>
    <b v="0"/>
    <s v=""/>
    <s v="BHHEPS1533818587"/>
    <n v="1"/>
    <s v="BHHEPS1533818587"/>
    <s v="9733730916"/>
    <s v="GERALD"/>
    <s v="LANNOYE"/>
    <s v="LANNOYE, GERALD"/>
    <s v="25030 LECHNER LN"/>
    <s v="CUSTER"/>
    <s v="SD"/>
    <s v="57730"/>
    <s v="LOWES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GEH50DFEJSRB"/>
    <m/>
    <n v="1"/>
    <n v="0"/>
    <n v="0.13600000000000001"/>
    <m/>
    <n v="2877"/>
    <m/>
    <m/>
    <m/>
    <m/>
    <m/>
    <n v="0"/>
    <n v="250"/>
    <n v="42730"/>
    <n v="42730.011136539397"/>
    <x v="1"/>
    <s v="DE7F77E26D214CD6B90048BA7807789A"/>
    <n v="2877"/>
    <n v="250"/>
    <n v="3035.2857142857142"/>
    <n v="350.80263652931455"/>
    <n v="261.42857142857144"/>
    <n v="27.994168488950606"/>
  </r>
  <r>
    <n v="300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2.4872614612517356"/>
    <n v="-2.55498738280951"/>
    <b v="1"/>
    <b v="1"/>
    <s v=""/>
    <s v="BHHEPS1533829901"/>
    <n v="1"/>
    <s v="BHHEPS1533829901"/>
    <s v="4836377851"/>
    <s v="Ron"/>
    <s v="Czmowski"/>
    <m/>
    <s v="7365 Rena Ln"/>
    <s v="BLACK HAWK"/>
    <s v="SD"/>
    <s v="57718"/>
    <s v="LOWES"/>
    <s v="2550 HAINES AVE"/>
    <s v="RAPID CITY"/>
    <s v="SD"/>
    <s v="57701"/>
    <s v="605-341-4815"/>
    <m/>
    <s v="Residential Water Heating :- Customer Incentives"/>
    <s v="Electric Water Heater - EF &gt;= 0.95"/>
    <m/>
    <m/>
    <m/>
    <m/>
    <m/>
    <m/>
    <s v="60000"/>
    <m/>
    <m/>
    <s v="30"/>
    <s v=".95"/>
    <m/>
    <m/>
    <s v="NE3F30LBD 110"/>
    <m/>
    <n v="1"/>
    <n v="0"/>
    <n v="8.4499999999999992E-3"/>
    <m/>
    <n v="74.061549999999997"/>
    <m/>
    <m/>
    <m/>
    <m/>
    <m/>
    <n v="0"/>
    <n v="52.5"/>
    <n v="42719"/>
    <n v="42735.381275428197"/>
    <x v="1"/>
    <s v="45CBBFDBBE634327957DBCB47AF4ECF0"/>
    <n v="74.061549999999997"/>
    <n v="52.5"/>
    <n v="164.03409531250006"/>
    <n v="36.173336303462285"/>
    <n v="83.125"/>
    <n v="11.986360561328565"/>
  </r>
  <r>
    <n v="301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45121016150768639"/>
    <n v="-0.40824829046386363"/>
    <b v="0"/>
    <b v="0"/>
    <s v=""/>
    <s v="BHHEPS1533863016"/>
    <n v="1"/>
    <s v="BHHEPS1533863016"/>
    <s v="0629965957"/>
    <s v="Alexandra"/>
    <s v="Lux"/>
    <s v="Alexandra Lux"/>
    <s v="16 Pleasant Street"/>
    <s v="DEADWOOD"/>
    <s v="SD"/>
    <s v="57732"/>
    <s v="LOWES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GEH50DFEJSRB"/>
    <m/>
    <n v="1"/>
    <n v="0"/>
    <n v="0.13600000000000001"/>
    <m/>
    <n v="2877"/>
    <m/>
    <m/>
    <m/>
    <m/>
    <m/>
    <n v="0"/>
    <n v="250"/>
    <n v="42800"/>
    <n v="42741.564457141198"/>
    <x v="1"/>
    <s v="08D5FD076A0849F0B816AD196CA1C0E4"/>
    <n v="2877"/>
    <n v="250"/>
    <n v="3035.2857142857142"/>
    <n v="350.80263652931455"/>
    <n v="261.42857142857144"/>
    <n v="27.994168488950606"/>
  </r>
  <r>
    <n v="302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882545"/>
    <n v="1"/>
    <s v="BHHEPS1533882545"/>
    <s v="1105201165"/>
    <s v="Tyler"/>
    <s v="Brown"/>
    <m/>
    <s v="2021 Forest St."/>
    <s v="RAPID CITY"/>
    <s v="SD"/>
    <s v="57702"/>
    <s v="FREEMANS ELECTRIC SERVICE"/>
    <s v="901 E DICKSON LANE"/>
    <s v="STURGIS"/>
    <s v="SD"/>
    <s v="57785"/>
    <s v="605-347-0110"/>
    <s v="battles@freemanselectric.com"/>
    <s v="Residential Water Heating :- Customer Incentives"/>
    <s v="Electric Water Heater - EF &gt;= 0.95"/>
    <m/>
    <m/>
    <m/>
    <m/>
    <m/>
    <m/>
    <s v="60000"/>
    <m/>
    <m/>
    <s v="50"/>
    <s v="0.95"/>
    <m/>
    <m/>
    <s v="12EM50-DEC"/>
    <m/>
    <n v="1"/>
    <n v="0"/>
    <n v="2.0420000000000001E-2"/>
    <m/>
    <n v="178.89402999999999"/>
    <m/>
    <m/>
    <m/>
    <m/>
    <m/>
    <n v="0"/>
    <n v="87.5"/>
    <n v="42796"/>
    <n v="42743.581777858803"/>
    <x v="1"/>
    <s v="F8F9B7C54F5F45AA8CA810CA08E867C5"/>
    <n v="178.89402999999999"/>
    <n v="87.5"/>
    <n v="164.03409531250006"/>
    <n v="36.173336303462285"/>
    <n v="83.125"/>
    <n v="11.986360561328565"/>
  </r>
  <r>
    <n v="303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893359"/>
    <n v="1"/>
    <s v="BHHEPS1533893359"/>
    <s v="4888758534"/>
    <s v="JAMES M"/>
    <s v="LASSLE"/>
    <s v="JAMES M LASSLE"/>
    <s v="1401 WHITETAIL DR"/>
    <s v="STURGIS"/>
    <s v="SD"/>
    <s v="57785"/>
    <s v="MENARDS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50"/>
    <s v="0.95"/>
    <m/>
    <m/>
    <s v="6E50-D"/>
    <m/>
    <n v="1"/>
    <n v="0"/>
    <n v="2.0420000000000001E-2"/>
    <m/>
    <n v="178.89402999999999"/>
    <m/>
    <m/>
    <m/>
    <m/>
    <m/>
    <n v="0"/>
    <n v="87.5"/>
    <n v="42748"/>
    <n v="42748.453289467601"/>
    <x v="1"/>
    <s v="376E19B0705642968E2B5EF1BF22B38A"/>
    <n v="178.89402999999999"/>
    <n v="87.5"/>
    <n v="164.03409531250006"/>
    <n v="36.173336303462285"/>
    <n v="83.125"/>
    <n v="11.986360561328565"/>
  </r>
  <r>
    <n v="304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923298"/>
    <n v="1"/>
    <s v="BHHEPS1533923298"/>
    <s v="4272210921"/>
    <s v="Doris"/>
    <s v="Truth"/>
    <s v="Doris Truth"/>
    <s v="PO Box 758&lt;br&gt;1737 Canton Ave"/>
    <s v="HOT SPRINGS"/>
    <s v="SD"/>
    <s v="57747"/>
    <s v="MENARDS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50"/>
    <s v=".95"/>
    <m/>
    <m/>
    <s v="12E50-DEC"/>
    <m/>
    <n v="1"/>
    <n v="0"/>
    <n v="2.0420000000000001E-2"/>
    <m/>
    <n v="178.89402999999999"/>
    <m/>
    <m/>
    <m/>
    <m/>
    <m/>
    <n v="0"/>
    <n v="87.5"/>
    <n v="42749"/>
    <n v="42758.8470783218"/>
    <x v="1"/>
    <s v="4CD3E0C3BE2C41E08761CE9AD831BA1C"/>
    <n v="178.89402999999999"/>
    <n v="87.5"/>
    <n v="164.03409531250006"/>
    <n v="36.173336303462285"/>
    <n v="83.125"/>
    <n v="11.986360561328565"/>
  </r>
  <r>
    <n v="305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978894"/>
    <n v="1"/>
    <s v="BHHEPS1533978894"/>
    <s v="3697345269"/>
    <s v="JOHN"/>
    <s v="HOWELL"/>
    <m/>
    <s v="25116 GRANITE HEIGHTS DR"/>
    <s v="CUSTER"/>
    <s v="SD"/>
    <s v="57730"/>
    <s v="BHE"/>
    <s v="PO BOX 1400"/>
    <s v="RAPID CITY"/>
    <s v="SD"/>
    <s v="57709"/>
    <s v="605-721-2687"/>
    <m/>
    <s v="Residential Water Heating :- Customer Incentives"/>
    <s v="Electric Water Heater - EF &gt;= 0.95"/>
    <m/>
    <m/>
    <m/>
    <m/>
    <m/>
    <m/>
    <s v="60000"/>
    <m/>
    <m/>
    <s v="50."/>
    <s v=".95"/>
    <m/>
    <m/>
    <s v="650EORS 110"/>
    <m/>
    <n v="1"/>
    <n v="0"/>
    <n v="2.0420000000000001E-2"/>
    <m/>
    <n v="178.89402999999999"/>
    <m/>
    <m/>
    <m/>
    <m/>
    <m/>
    <n v="0"/>
    <n v="87.5"/>
    <n v="42774"/>
    <n v="42774.537028819403"/>
    <x v="1"/>
    <s v="A2DCBE4178E842078CC0E072B5BF39A1"/>
    <n v="178.89402999999999"/>
    <n v="87.5"/>
    <n v="164.03409531250006"/>
    <n v="36.173336303462285"/>
    <n v="83.125"/>
    <n v="11.986360561328565"/>
  </r>
  <r>
    <n v="306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3978905"/>
    <n v="1"/>
    <s v="BHHEPS1533978905"/>
    <s v="2651621360"/>
    <s v="ELIZABETH"/>
    <s v="SCHUMACHER"/>
    <m/>
    <s v="114 DORAN RD"/>
    <s v="HOT SPRINGS"/>
    <s v="SD"/>
    <s v="57747"/>
    <s v="ACE HARDWARE"/>
    <s v="207 S CHICAGO"/>
    <s v="HOT SPRINGS"/>
    <s v="SD"/>
    <s v="57747"/>
    <s v="605-745-5173"/>
    <s v="ACE1@GWTC.NET"/>
    <s v="Residential Water Heating :- Customer Incentives"/>
    <s v="Electric Water Heater - EF &gt;= 0.95"/>
    <m/>
    <m/>
    <m/>
    <m/>
    <m/>
    <m/>
    <s v="60000"/>
    <m/>
    <m/>
    <s v="50"/>
    <s v=".95"/>
    <m/>
    <m/>
    <s v="650 EORS 110"/>
    <m/>
    <n v="1"/>
    <n v="0"/>
    <n v="2.0420000000000001E-2"/>
    <m/>
    <n v="178.89402999999999"/>
    <m/>
    <m/>
    <m/>
    <m/>
    <m/>
    <n v="0"/>
    <n v="87.5"/>
    <n v="42774"/>
    <n v="42774.542676192097"/>
    <x v="1"/>
    <s v="44593D1B06FA4D4C9326AFEB15FD4D50"/>
    <n v="178.89402999999999"/>
    <n v="87.5"/>
    <n v="164.03409531250006"/>
    <n v="36.173336303462285"/>
    <n v="83.125"/>
    <n v="11.986360561328565"/>
  </r>
  <r>
    <n v="307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0.9564988189981819"/>
    <n v="-0.92571866782486023"/>
    <b v="0"/>
    <b v="0"/>
    <s v=""/>
    <s v="BHHEPS1533978917"/>
    <n v="1"/>
    <s v="BHHEPS1533978917"/>
    <s v="8558139863"/>
    <s v="THOMAS"/>
    <s v="IVERSON"/>
    <m/>
    <s v="510 S 15TH ST"/>
    <s v="HOT SPRINGS"/>
    <s v="SD"/>
    <s v="57747"/>
    <s v="NELSONS OIL and GAS"/>
    <s v="1346 GALVESTON AVE"/>
    <s v="HOT SPRINGS"/>
    <s v="SD"/>
    <s v="57747"/>
    <s v="605-745-4789"/>
    <m/>
    <s v="Residential Heat Pumps :- Residential Mini-Split :- Customer Incentives"/>
    <s v="Ductless Mini-Split HP SEER &gt;= 19"/>
    <m/>
    <m/>
    <m/>
    <m/>
    <m/>
    <m/>
    <s v="11200"/>
    <m/>
    <m/>
    <m/>
    <m/>
    <m/>
    <m/>
    <s v="AOU15RLS3"/>
    <m/>
    <n v="1"/>
    <n v="0"/>
    <n v="0.46700000000000003"/>
    <m/>
    <n v="1415.2380000000001"/>
    <m/>
    <m/>
    <m/>
    <m/>
    <m/>
    <n v="0"/>
    <n v="75"/>
    <n v="42774"/>
    <n v="42774.545717905101"/>
    <x v="1"/>
    <s v="6F8754E78D90496F9F8D5A8BFBBDD629"/>
    <n v="1415.2380000000001"/>
    <n v="75"/>
    <n v="2495.8377857142855"/>
    <n v="1129.7450286933804"/>
    <n v="107.14285714285714"/>
    <n v="34.722057856284209"/>
  </r>
  <r>
    <n v="308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48406379359252888"/>
    <n v="-0.26620695282483414"/>
    <b v="0"/>
    <b v="0"/>
    <s v=""/>
    <s v="BHHEPS1533979000"/>
    <n v="1"/>
    <s v="BHHEPS1533979000"/>
    <s v="2659553869"/>
    <s v="STEVE A"/>
    <s v="PALECK"/>
    <m/>
    <s v="3215 HALL ST"/>
    <s v="RAPID CITY"/>
    <s v="SD"/>
    <s v="57702"/>
    <s v="ONE HOUR HEATING AND AIRCONDITIONING"/>
    <s v="PO BOX 381"/>
    <s v="BLACK HAWK"/>
    <s v="SD"/>
    <s v="57718"/>
    <s v="605-718-5403"/>
    <s v="craig.waddington@onehourair.com"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ANZ140301A"/>
    <m/>
    <n v="1"/>
    <n v="0"/>
    <n v="0.41099999999999998"/>
    <m/>
    <n v="399.00400000000002"/>
    <m/>
    <m/>
    <m/>
    <m/>
    <m/>
    <n v="0"/>
    <n v="187.5"/>
    <n v="42774"/>
    <n v="42774.586342326402"/>
    <x v="1"/>
    <s v="8E53205B959145C89DD86C0CCB406C63"/>
    <n v="399.00400000000002"/>
    <n v="187.5"/>
    <n v="901.38850000000002"/>
    <n v="1037.8477106736327"/>
    <n v="201.5625"/>
    <n v="52.825442201178021"/>
  </r>
  <r>
    <n v="309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1.7027730867570068"/>
    <n v="-0.42919753763947632"/>
    <b v="0"/>
    <b v="0"/>
    <s v=""/>
    <s v="BHHEPS1533979017"/>
    <n v="1"/>
    <s v="BHHEPS1533979017"/>
    <s v="5309757011"/>
    <s v="CHAD A"/>
    <s v="MILLER"/>
    <m/>
    <s v="4240 PENROSE PL"/>
    <s v="RAPID CITY"/>
    <s v="SD"/>
    <s v="57702"/>
    <s v="PRECISION MECHANICAL"/>
    <s v="570 S HIGHWAY 79"/>
    <s v="RAPID CITY"/>
    <s v="SD"/>
    <s v="57702"/>
    <m/>
    <s v="dlarson@precisionmech.biz"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3.4609999999999999"/>
    <m/>
    <n v="7186.7579999999998"/>
    <m/>
    <m/>
    <m/>
    <m/>
    <m/>
    <n v="0"/>
    <n v="600"/>
    <n v="42774"/>
    <n v="42774.600277164398"/>
    <x v="1"/>
    <s v="08DD487748994345914A238FD825BF7E"/>
    <n v="7186.7579999999998"/>
    <n v="600"/>
    <n v="4727.4153333333334"/>
    <n v="1444.3161486364422"/>
    <n v="677.77777777777783"/>
    <n v="181.21673811444546"/>
  </r>
  <r>
    <n v="310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0.41079801328907639"/>
    <n v="0.3649981975442157"/>
    <b v="0"/>
    <b v="0"/>
    <s v=""/>
    <s v="BHHEPS1534033066"/>
    <n v="1"/>
    <s v="BHHEPS1534033066"/>
    <s v="3970222054"/>
    <s v="SUSAN"/>
    <s v="FORD"/>
    <m/>
    <s v="8607 BLUCKSBERG CT"/>
    <s v="STURGIS"/>
    <s v="SD"/>
    <s v="57785"/>
    <s v="MENARDS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50"/>
    <s v=".95"/>
    <m/>
    <m/>
    <s v="9E50-DEL"/>
    <m/>
    <n v="1"/>
    <n v="0"/>
    <n v="2.0420000000000001E-2"/>
    <m/>
    <n v="178.89402999999999"/>
    <m/>
    <m/>
    <m/>
    <m/>
    <m/>
    <n v="0"/>
    <n v="87.5"/>
    <n v="42796"/>
    <n v="42794.597953969896"/>
    <x v="1"/>
    <s v="23E71EF31FC74408A82A38E61DBC3CBB"/>
    <n v="178.89402999999999"/>
    <n v="87.5"/>
    <n v="164.03409531250006"/>
    <n v="36.173336303462285"/>
    <n v="83.125"/>
    <n v="11.986360561328565"/>
  </r>
  <r>
    <n v="311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1.1565810354220105"/>
    <n v="0.67445327343346206"/>
    <b v="0"/>
    <b v="0"/>
    <s v=""/>
    <s v="BHHEPS1534033125"/>
    <n v="1"/>
    <s v="BHHEPS1534033125"/>
    <s v="2873873336"/>
    <s v="LARRY"/>
    <s v="MOWRY"/>
    <m/>
    <s v="338 S 4TH ST"/>
    <s v="HOT SPRINGS"/>
    <s v="SD"/>
    <s v="57747"/>
    <s v="NELSONS OIL and GAS"/>
    <s v="1346 GALVESTON AVE"/>
    <s v="HOT SPRINGS"/>
    <s v="SD"/>
    <s v="57747"/>
    <s v="605-745-4789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3.093"/>
    <m/>
    <n v="6397.884"/>
    <m/>
    <m/>
    <m/>
    <m/>
    <m/>
    <n v="0"/>
    <n v="800"/>
    <n v="42796"/>
    <n v="42794.609445983799"/>
    <x v="1"/>
    <s v="2EE754A19AF24281A8C197635044B703"/>
    <n v="6397.884"/>
    <n v="800"/>
    <n v="4727.4153333333334"/>
    <n v="1444.3161486364422"/>
    <n v="677.77777777777783"/>
    <n v="181.21673811444546"/>
  </r>
  <r>
    <n v="312"/>
    <s v="Residential - BHPSD - Residential Energy Efficiency Rebate"/>
    <b v="1"/>
    <s v="Residential - BHPSD - Residential Energy Efficiency Rebate_Residential Water Heating :- Customer Incentives_Electric Water Heater - EF &gt;= 0.95"/>
    <s v="Residential_High Efficiency HVAC_Water Heating_Electric Storage Water Heater EF &gt;0.95"/>
    <x v="1"/>
    <x v="4"/>
    <x v="5"/>
    <x v="17"/>
    <n v="-1.0590854819446998"/>
    <n v="-1.0949945926326472"/>
    <b v="0"/>
    <b v="0"/>
    <s v=""/>
    <s v="BHHEPS1534036960"/>
    <n v="1"/>
    <s v="BHHEPS1534036960"/>
    <s v="3222856765"/>
    <s v="HOWARD"/>
    <s v="PEARSON"/>
    <m/>
    <s v="6006 OAK CT                                       APT 14 5"/>
    <s v="BLACK HAWK"/>
    <s v="SD"/>
    <s v="57718"/>
    <s v="MENARDS"/>
    <s v="710 N CREEK DR"/>
    <s v="RAPID CITY"/>
    <s v="SD"/>
    <s v="57703"/>
    <s v="605-399-3922"/>
    <m/>
    <s v="Residential Water Heating :- Customer Incentives"/>
    <s v="Electric Water Heater - EF &gt;= 0.95"/>
    <m/>
    <m/>
    <m/>
    <m/>
    <m/>
    <m/>
    <s v="60000"/>
    <m/>
    <m/>
    <s v="40"/>
    <s v=".95"/>
    <m/>
    <m/>
    <s v="6EM40-D"/>
    <m/>
    <n v="1"/>
    <n v="0"/>
    <n v="1.435E-2"/>
    <m/>
    <n v="125.72344"/>
    <m/>
    <m/>
    <m/>
    <m/>
    <m/>
    <n v="0"/>
    <n v="70"/>
    <n v="42795"/>
    <n v="42795.7318815162"/>
    <x v="1"/>
    <s v="3CACACDCEC4F4172B526658851B8C1E2"/>
    <n v="125.72344"/>
    <n v="70"/>
    <n v="164.03409531250006"/>
    <n v="36.173336303462285"/>
    <n v="83.125"/>
    <n v="11.986360561328565"/>
  </r>
  <r>
    <n v="313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1.176928150348622"/>
    <n v="-1.5328483487124147"/>
    <b v="0"/>
    <b v="0"/>
    <s v=""/>
    <s v="BHHEPS1534115262"/>
    <n v="1"/>
    <s v="BHHEPS1534115262"/>
    <s v="2416401538"/>
    <s v="FRANK A"/>
    <s v="SCHMID"/>
    <m/>
    <s v="8405 BLACKBIRD CT"/>
    <s v="RAPID CITY"/>
    <s v="SD"/>
    <s v="57702"/>
    <s v="D AND R SERVICE INC"/>
    <s v="3030 W ST LOUIS ST"/>
    <s v="BELLE FOURCHE"/>
    <s v="SD"/>
    <s v="57717"/>
    <s v="605-723-9600"/>
    <s v="DRSERVICE@RUSHMORE.COM"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1.589"/>
    <m/>
    <n v="3027.5590000000002"/>
    <m/>
    <m/>
    <m/>
    <m/>
    <m/>
    <n v="0"/>
    <n v="400"/>
    <n v="42822"/>
    <n v="42822.727818055602"/>
    <x v="1"/>
    <s v="C5D2596CBC4146D49E21F3FA05FBF858"/>
    <n v="3027.5590000000002"/>
    <n v="400"/>
    <n v="4727.4153333333334"/>
    <n v="1444.3161486364422"/>
    <n v="677.77777777777783"/>
    <n v="181.21673811444546"/>
  </r>
  <r>
    <n v="314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-1.0145181050629404"/>
    <n v="-0.2057152595166355"/>
    <b v="0"/>
    <b v="0"/>
    <s v=""/>
    <s v="BHHEPS1534131452"/>
    <n v="1"/>
    <s v="BHHEPS1534131452"/>
    <s v="6157666834"/>
    <s v="KENDALL J"/>
    <s v="ALDINGER"/>
    <m/>
    <s v="2507 N 2ND ST"/>
    <s v="SPEARFISH"/>
    <s v="SD"/>
    <s v="57783"/>
    <s v="WOLFFS PLUMBING and HTG"/>
    <s v="PO BOX 97"/>
    <s v="SPEARFISH"/>
    <s v="SD"/>
    <s v="57783"/>
    <s v="605-642-5756"/>
    <m/>
    <s v="Residential Heat Pumps :- Residential Mini-Split :- Customer Incentives"/>
    <s v="Ductless Mini-Split HP SEER &gt;= 19"/>
    <m/>
    <m/>
    <m/>
    <m/>
    <m/>
    <m/>
    <s v="13500"/>
    <m/>
    <m/>
    <m/>
    <m/>
    <m/>
    <m/>
    <s v="MXZ-2C20NA2"/>
    <m/>
    <n v="1"/>
    <n v="0"/>
    <n v="0.497"/>
    <m/>
    <n v="1349.691"/>
    <m/>
    <m/>
    <m/>
    <m/>
    <m/>
    <n v="0"/>
    <n v="100"/>
    <n v="42823"/>
    <n v="42823.683478090301"/>
    <x v="1"/>
    <s v="0EB80E37C9C54501A70DAC7A7A4542D3"/>
    <n v="1349.691"/>
    <n v="100"/>
    <n v="2495.8377857142855"/>
    <n v="1129.7450286933804"/>
    <n v="107.14285714285714"/>
    <n v="34.722057856284209"/>
  </r>
  <r>
    <n v="315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32863411582734914"/>
    <n v="-0.40824829046386363"/>
    <b v="0"/>
    <b v="0"/>
    <s v=""/>
    <s v="BHHEPS1534134046"/>
    <n v="1"/>
    <s v="BHHEPS1534134046"/>
    <s v="0561 5238 59"/>
    <s v="Danny"/>
    <s v="Rexroad"/>
    <s v="Danny Rexroad"/>
    <s v="9501 S High Meadows Dr&lt;br&gt;Black Hawk"/>
    <s v="BLACK HAWK"/>
    <s v="SD"/>
    <s v="57718"/>
    <s v="LOWES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GEH50DFEJSRA"/>
    <m/>
    <n v="1"/>
    <n v="0"/>
    <n v="0.13800000000000001"/>
    <m/>
    <n v="2920"/>
    <m/>
    <m/>
    <m/>
    <m/>
    <m/>
    <n v="0"/>
    <n v="250"/>
    <n v="42829"/>
    <n v="42824.630196411999"/>
    <x v="1"/>
    <s v="1838DF6ED36B445CA63ACFF542F7A74A"/>
    <n v="2920"/>
    <n v="250"/>
    <n v="3035.2857142857142"/>
    <n v="350.80263652931455"/>
    <n v="261.42857142857144"/>
    <n v="27.994168488950606"/>
  </r>
  <r>
    <n v="316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38912982689711717"/>
    <n v="0.44367825470805689"/>
    <b v="0"/>
    <b v="0"/>
    <s v=""/>
    <s v="BHHEPS1534196283"/>
    <n v="1"/>
    <s v="BHHEPS1534196283"/>
    <s v="2332424785"/>
    <s v="PATRICK"/>
    <s v="DESMET"/>
    <m/>
    <s v="12558 CLAYTON DR"/>
    <s v="HOT SPRINGS"/>
    <s v="SD"/>
    <s v="57747"/>
    <s v="NELSONS OIL and GAS"/>
    <s v="1346 GALVESTON AVE"/>
    <s v="HOT SPRINGS"/>
    <s v="SD"/>
    <s v="57747"/>
    <s v="605-745-4789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XP17-036-230-08"/>
    <m/>
    <n v="1"/>
    <n v="0"/>
    <n v="0.49299999999999999"/>
    <m/>
    <n v="497.53100000000001"/>
    <m/>
    <m/>
    <m/>
    <m/>
    <m/>
    <n v="0"/>
    <n v="225"/>
    <n v="42832"/>
    <n v="42832.536610266201"/>
    <x v="1"/>
    <s v="F43D35AADF9E4E3A895F08AFFF481F4F"/>
    <n v="497.53100000000001"/>
    <n v="225"/>
    <n v="901.38850000000002"/>
    <n v="1037.8477106736327"/>
    <n v="201.5625"/>
    <n v="52.825442201178021"/>
  </r>
  <r>
    <n v="317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0.60143503494953277"/>
    <n v="0.12262786789699287"/>
    <b v="0"/>
    <b v="0"/>
    <s v=""/>
    <s v="BHHEPS1534196337"/>
    <n v="1"/>
    <s v="BHHEPS1534196337"/>
    <s v="2825382743"/>
    <s v="KENNETH M"/>
    <s v="TONSAGER"/>
    <m/>
    <s v="1502 GERMOND ST"/>
    <s v="HOT SPRINGS"/>
    <s v="SD"/>
    <s v="57747"/>
    <s v="NELSONS OIL and GAS"/>
    <s v="1346 GALVESTON AVE"/>
    <s v="HOT SPRINGS"/>
    <s v="SD"/>
    <s v="57747"/>
    <s v="605-745-4789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2.3130000000000002"/>
    <m/>
    <n v="3858.7530000000002"/>
    <m/>
    <m/>
    <m/>
    <m/>
    <m/>
    <n v="0"/>
    <n v="700"/>
    <n v="42832"/>
    <n v="42832.552044525502"/>
    <x v="1"/>
    <s v="96CA041D693C4FC79C11982483B8D7E5"/>
    <n v="3858.7530000000002"/>
    <n v="700"/>
    <n v="4727.4153333333334"/>
    <n v="1444.3161486364422"/>
    <n v="677.77777777777783"/>
    <n v="181.21673811444546"/>
  </r>
  <r>
    <n v="318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40717293650502445"/>
    <n v="0.44367825470805689"/>
    <b v="0"/>
    <b v="0"/>
    <s v=""/>
    <s v="BHHEPS1534340648"/>
    <n v="1"/>
    <s v="BHHEPS1534340648"/>
    <s v="2638723210"/>
    <s v="Dustin"/>
    <s v="KLeinsasser"/>
    <s v="Dustin KLeinsasser"/>
    <s v="12807 Pine Haven Rd"/>
    <s v="HOT SPRINGS"/>
    <s v="SD"/>
    <s v="57747"/>
    <s v="ALL SEASONS HEATING AND COOLING"/>
    <s v="PO BOX 782"/>
    <s v="BLACK HAWK"/>
    <s v="SD"/>
    <s v="57718"/>
    <s v="605-721-1211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25HCB536A"/>
    <m/>
    <n v="1"/>
    <n v="0"/>
    <n v="0.49299999999999999"/>
    <m/>
    <n v="478.80500000000001"/>
    <m/>
    <m/>
    <m/>
    <m/>
    <m/>
    <n v="0"/>
    <n v="225"/>
    <n v="42872"/>
    <n v="42872.457182754602"/>
    <x v="1"/>
    <s v="75EF2F08C32949C19BA7FFD3F5FB0387"/>
    <n v="478.80500000000001"/>
    <n v="225"/>
    <n v="901.38850000000002"/>
    <n v="1037.8477106736327"/>
    <n v="201.5625"/>
    <n v="52.825442201178021"/>
  </r>
  <r>
    <n v="319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3.4911606852858393E-2"/>
    <n v="1.2342915570998139"/>
    <b v="0"/>
    <b v="0"/>
    <s v=""/>
    <s v="BHHEPS1534351146"/>
    <n v="1"/>
    <s v="BHHEPS1534351146"/>
    <s v="3704355296"/>
    <s v="GRAYLE"/>
    <s v="GOODRICH"/>
    <m/>
    <s v="9407 WALDAN LN"/>
    <s v="BLACK HAWK"/>
    <s v="SD"/>
    <s v="57718"/>
    <s v="ALL SEASONS HEATING AND COOLING"/>
    <s v="PO BOX 782"/>
    <s v="BLACK HAWK"/>
    <s v="SD"/>
    <s v="57718"/>
    <s v="605-721-1211"/>
    <m/>
    <s v="Residential Heat Pumps :- Residential Mini-Split :- Customer Incentives"/>
    <s v="Ductless Mini-Split HP SEER &gt;= 19"/>
    <m/>
    <m/>
    <m/>
    <m/>
    <m/>
    <m/>
    <s v="24600"/>
    <m/>
    <m/>
    <m/>
    <m/>
    <m/>
    <m/>
    <s v="MPB036S4M-1P"/>
    <m/>
    <n v="1"/>
    <n v="0"/>
    <n v="0.76"/>
    <m/>
    <n v="2535.279"/>
    <m/>
    <m/>
    <m/>
    <m/>
    <m/>
    <n v="0"/>
    <n v="150"/>
    <n v="42877"/>
    <n v="42877.453338425898"/>
    <x v="1"/>
    <s v="3D0322F074224140A98E8E1ADCBB1E1F"/>
    <n v="2535.279"/>
    <n v="150"/>
    <n v="2495.8377857142855"/>
    <n v="1129.7450286933804"/>
    <n v="107.14285714285714"/>
    <n v="34.722057856284209"/>
  </r>
  <r>
    <n v="320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-0.43565881135540202"/>
    <n v="-0.26620695282483414"/>
    <b v="0"/>
    <b v="0"/>
    <s v=""/>
    <s v="BHHEPS1534351604"/>
    <n v="1"/>
    <s v="BHHEPS1534351604"/>
    <s v="2246921381"/>
    <s v="ADAM"/>
    <s v="ZVORAK"/>
    <m/>
    <s v="712 CEDAR LN"/>
    <s v="SPEARFISH"/>
    <s v="SD"/>
    <s v="57783"/>
    <s v="SPEARFISH ELECTRIC AND HEATING"/>
    <s v="530 W JACKSON"/>
    <s v="SPEARFISH"/>
    <s v="SD"/>
    <s v="57783"/>
    <s v="605-642-2983"/>
    <m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4A6H4030G100AA"/>
    <m/>
    <n v="1"/>
    <n v="0"/>
    <n v="0.42899999999999999"/>
    <m/>
    <n v="449.24099999999999"/>
    <m/>
    <m/>
    <m/>
    <m/>
    <m/>
    <n v="0"/>
    <n v="187.5"/>
    <n v="42877"/>
    <n v="42877.6103021991"/>
    <x v="1"/>
    <s v="F90975A0EA6B420F8EE7B17708CD4E35"/>
    <n v="449.24099999999999"/>
    <n v="187.5"/>
    <n v="901.38850000000002"/>
    <n v="1037.8477106736327"/>
    <n v="201.5625"/>
    <n v="52.825442201178021"/>
  </r>
  <r>
    <n v="321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1.3647727578164102"/>
    <n v="-0.98102294317594552"/>
    <b v="0"/>
    <b v="0"/>
    <s v=""/>
    <s v="BHHEPS1534455537"/>
    <n v="1"/>
    <s v="BHHEPS1534455537"/>
    <s v="3775431190"/>
    <s v="DOROTHY R"/>
    <s v="KAISER"/>
    <m/>
    <s v="341 S 15TH ST"/>
    <s v="HOT SPRINGS"/>
    <s v="SD"/>
    <s v="57747"/>
    <s v="NELSONS OIL and GAS"/>
    <s v="1346 GALVESTON AVE"/>
    <s v="HOT SPRINGS"/>
    <s v="SD"/>
    <s v="57747"/>
    <s v="605-745-4789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1.6830000000000001"/>
    <m/>
    <n v="2756.252"/>
    <m/>
    <m/>
    <m/>
    <m/>
    <m/>
    <n v="0"/>
    <n v="500"/>
    <n v="42919"/>
    <n v="42907.686208645799"/>
    <x v="1"/>
    <s v="3A097423695149F8962E20A4ACEF73E7"/>
    <n v="2756.252"/>
    <n v="500"/>
    <n v="4727.4153333333334"/>
    <n v="1444.3161486364422"/>
    <n v="677.77777777777783"/>
    <n v="181.21673811444546"/>
  </r>
  <r>
    <n v="322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0.52196236078810887"/>
    <n v="1.7781040845064005"/>
    <b v="0"/>
    <b v="0"/>
    <s v=""/>
    <s v="BHHEPS1534471374"/>
    <n v="1"/>
    <s v="BHHEPS1534471374"/>
    <s v="1793877417"/>
    <s v="KENNETH"/>
    <s v="BATKA"/>
    <m/>
    <s v="1505 BUENA VISTA RD"/>
    <s v="SPEARFISH"/>
    <s v="SD"/>
    <s v="57783"/>
    <s v="PRECISION MECHANICAL"/>
    <s v="570 S HIGHWAY 79"/>
    <s v="RAPID CITY"/>
    <s v="SD"/>
    <s v="57702"/>
    <m/>
    <s v="dlarson@precisionmech.biz"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3.1379999999999999"/>
    <m/>
    <n v="5481.2939999999999"/>
    <m/>
    <m/>
    <m/>
    <m/>
    <m/>
    <n v="0"/>
    <n v="1000"/>
    <n v="42919"/>
    <n v="42912.532128240702"/>
    <x v="1"/>
    <s v="31E05ECEF1694E7FBDDC1CEDDC870B99"/>
    <n v="5481.2939999999999"/>
    <n v="1000"/>
    <n v="4727.4153333333334"/>
    <n v="1444.3161486364422"/>
    <n v="677.77777777777783"/>
    <n v="181.21673811444546"/>
  </r>
  <r>
    <n v="323"/>
    <s v="Residential - BHPSD - Residential Energy Efficiency Rebate"/>
    <b v="1"/>
    <s v="Residential - BHPSD - Residential Energy Efficiency Rebate_Residential Heat Pumps :- Residential Heat Pumps - Air Source Heat Pumps :- Customer Incentives_Air Source Heat Pump - SEER &gt;= 15, EER &gt;= 12.5, HSPF &gt;= 8.5"/>
    <s v="Residential_High Efficiency HVAC_HVAC_Heat Pump SEER 15"/>
    <x v="1"/>
    <x v="4"/>
    <x v="4"/>
    <x v="13"/>
    <n v="2.6151307866145048"/>
    <n v="1.8634486697738391"/>
    <b v="1"/>
    <b v="0"/>
    <s v=""/>
    <s v="BHHEPS1534497326"/>
    <n v="1"/>
    <s v="BHHEPS1534497326"/>
    <s v="2261077384"/>
    <s v="JOHN C"/>
    <s v="RICHARDSON"/>
    <m/>
    <s v="5108 RIDGEVIEW RD"/>
    <s v="RAPID CITY"/>
    <s v="SD"/>
    <s v="57701"/>
    <s v="VIKING MECHANICAL"/>
    <s v="2435 CARTER DR"/>
    <s v="RAPID CITY"/>
    <s v="SD"/>
    <s v="57702"/>
    <s v="605-341-4200"/>
    <s v="vikingmechanical@msn.com"/>
    <s v="Residential Heat Pumps :- Residential Heat Pumps - Air Source Heat Pumps :- Customer Incentives"/>
    <s v="Air Source Heat Pump - SEER &gt;= 15, EER &gt;= 12.5, HSPF &gt;= 8.5"/>
    <m/>
    <m/>
    <m/>
    <m/>
    <m/>
    <m/>
    <m/>
    <m/>
    <m/>
    <m/>
    <m/>
    <m/>
    <m/>
    <s v="288bnv0480001"/>
    <m/>
    <n v="1"/>
    <n v="0"/>
    <n v="1.625"/>
    <m/>
    <n v="3615.4960000000001"/>
    <m/>
    <m/>
    <m/>
    <m/>
    <m/>
    <n v="0"/>
    <n v="300"/>
    <n v="42921"/>
    <n v="42921.5528611111"/>
    <x v="1"/>
    <s v="BCDAB18D78A7452DB5B638A2856D4F97"/>
    <n v="3615.4960000000001"/>
    <n v="300"/>
    <n v="901.38850000000002"/>
    <n v="1037.8477106736327"/>
    <n v="201.5625"/>
    <n v="52.825442201178021"/>
  </r>
  <r>
    <n v="324"/>
    <s v="Residential - BHPSD - Residential Energy Efficiency Rebate"/>
    <b v="1"/>
    <s v="Residential - BHPSD - Residential Energy Efficiency Rebate_Residential Heat Pumps :- Residential Heat Pumps - ER Heat Pump :- Customer Incentives_Early Retirement Heat Pump (1-5 tons)"/>
    <s v="Residential_High Efficiency HVAC_HVAC_Early Retirement Heat Pump SEER 15"/>
    <x v="1"/>
    <x v="4"/>
    <x v="4"/>
    <x v="18"/>
    <n v="-0.64273001046878331"/>
    <n v="-0.98102294317594552"/>
    <b v="0"/>
    <b v="0"/>
    <s v=""/>
    <s v="BHHEPS1534575636"/>
    <n v="1"/>
    <s v="BHHEPS1534575636"/>
    <s v="4278018709"/>
    <s v="PATTY"/>
    <s v="BOOZE"/>
    <m/>
    <s v="7022 E HIGH MEADOWS RD"/>
    <s v="SUMMERSET"/>
    <s v="SD"/>
    <s v="57718"/>
    <s v="STREET HEATING and SHEET METAL"/>
    <s v="3303 CRAIG ST"/>
    <s v="RAPID CITY"/>
    <s v="SD"/>
    <s v="57701"/>
    <s v="605-342-5107"/>
    <m/>
    <s v="Residential Heat Pumps :- Residential Heat Pumps - ER Heat Pump :- Customer Incentives"/>
    <s v="Early Retirement Heat Pump (1-5 tons)"/>
    <m/>
    <m/>
    <m/>
    <m/>
    <m/>
    <m/>
    <m/>
    <m/>
    <m/>
    <m/>
    <m/>
    <m/>
    <m/>
    <m/>
    <m/>
    <n v="1"/>
    <n v="0"/>
    <n v="2.016"/>
    <m/>
    <n v="3799.11"/>
    <m/>
    <m/>
    <m/>
    <m/>
    <m/>
    <n v="0"/>
    <n v="500"/>
    <n v="42940"/>
    <n v="42940.8008198264"/>
    <x v="1"/>
    <s v="C2B112EB80B649DF9F5A2DB4662D7E0E"/>
    <n v="3799.11"/>
    <n v="500"/>
    <n v="4727.4153333333334"/>
    <n v="1444.3161486364422"/>
    <n v="677.77777777777783"/>
    <n v="181.21673811444546"/>
  </r>
  <r>
    <n v="325"/>
    <s v="Residential - BHPSD - Residential Energy Efficiency Rebate"/>
    <b v="1"/>
    <s v="Residential - BHPSD - Residential Energy Efficiency Rebate_Residential Heat Pumps :- Residential Heat Pumps - HP Water Heater :- Customer Incentives_Heat Pump Water Heater"/>
    <s v="Residential_High Efficiency HVAC_Water Heating_Heat Pump Water Heater"/>
    <x v="1"/>
    <x v="4"/>
    <x v="5"/>
    <x v="15"/>
    <n v="-0.30297866440588322"/>
    <n v="-0.40824829046386363"/>
    <b v="0"/>
    <b v="0"/>
    <s v=""/>
    <s v="BHHEPS1534598450"/>
    <n v="1"/>
    <s v="BHHEPS1534598450"/>
    <s v="0578459107"/>
    <s v="BRIAN V"/>
    <s v="KAYSER"/>
    <m/>
    <s v="6600 MEADOW ROSE LN"/>
    <s v="BLACK HAWK"/>
    <s v="SD"/>
    <s v="57718"/>
    <s v="LOWES - Rapid City"/>
    <s v="2550 HAINES AVE"/>
    <s v="RAPID CITY"/>
    <s v="SD"/>
    <s v="57701"/>
    <s v="605-341-4815"/>
    <m/>
    <s v="Residential Heat Pumps :- Residential Heat Pumps - HP Water Heater :- Customer Incentives"/>
    <s v="Heat Pump Water Heater"/>
    <m/>
    <m/>
    <m/>
    <m/>
    <m/>
    <m/>
    <m/>
    <m/>
    <m/>
    <m/>
    <m/>
    <m/>
    <m/>
    <s v="HP10-50H45DV 120"/>
    <m/>
    <n v="1"/>
    <n v="0"/>
    <n v="0.13900000000000001"/>
    <m/>
    <n v="2929"/>
    <m/>
    <m/>
    <m/>
    <m/>
    <m/>
    <n v="0"/>
    <n v="250"/>
    <n v="42949"/>
    <n v="42947.585833333302"/>
    <x v="1"/>
    <s v="2832373D409C48448EDAB2B5BE9E0887"/>
    <n v="2929"/>
    <n v="250"/>
    <n v="3035.2857142857142"/>
    <n v="350.80263652931455"/>
    <n v="261.42857142857144"/>
    <n v="27.994168488950606"/>
  </r>
  <r>
    <n v="326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0.28532651713327561"/>
    <n v="-0.2057152595166355"/>
    <b v="0"/>
    <b v="0"/>
    <s v=""/>
    <s v="BHHEPS1534681507"/>
    <n v="1"/>
    <s v="BHHEPS1534681507"/>
    <s v="1491875812"/>
    <s v="BRIAN C"/>
    <s v="PETERSON"/>
    <m/>
    <s v="7512 RED RIDGE DR"/>
    <s v="BLACK HAWK"/>
    <s v="SD"/>
    <s v="57718"/>
    <s v="STREET HEATING and SHEET METAL"/>
    <s v="3303 CRAIG ST"/>
    <s v="RAPID CITY"/>
    <s v="SD"/>
    <s v="57701"/>
    <s v="605-342-5107"/>
    <m/>
    <s v="Residential Heat Pumps :- Residential Mini-Split :- Customer Incentives"/>
    <s v="Ductless Mini-Split HP SEER &gt;= 19"/>
    <m/>
    <m/>
    <m/>
    <m/>
    <m/>
    <m/>
    <s v="25000"/>
    <m/>
    <m/>
    <m/>
    <m/>
    <m/>
    <m/>
    <s v="MPB024S4S-1P"/>
    <m/>
    <n v="1"/>
    <n v="0"/>
    <n v="1.024"/>
    <m/>
    <n v="2818.1840000000002"/>
    <m/>
    <m/>
    <m/>
    <m/>
    <m/>
    <n v="0"/>
    <n v="100"/>
    <n v="42956"/>
    <n v="42956.693181597198"/>
    <x v="1"/>
    <s v="87AAE910308847DFA1DE183EF74B11BD"/>
    <n v="2818.1840000000002"/>
    <n v="100"/>
    <n v="2495.8377857142855"/>
    <n v="1129.7450286933804"/>
    <n v="107.14285714285714"/>
    <n v="34.722057856284209"/>
  </r>
  <r>
    <n v="327"/>
    <s v="Residential - BHPSD - Residential Energy Efficiency Rebate"/>
    <b v="1"/>
    <s v="Residential - BHPSD - Residential Energy Efficiency Rebate_Residential Heat Pumps :- Residential Mini-Split :- Customer Incentives_Ductless Mini-Split HP SEER &gt;= 19"/>
    <s v="Residential_High Efficiency HVAC_HVAC_Ductless Mini-Split HP SEER ≥19"/>
    <x v="1"/>
    <x v="4"/>
    <x v="4"/>
    <x v="14"/>
    <n v="6.4343026470128739E-2"/>
    <n v="-0.2057152595166355"/>
    <b v="0"/>
    <b v="0"/>
    <s v=""/>
    <s v="BHHEPS1534689142"/>
    <n v="1"/>
    <s v="BHHEPS1534689142"/>
    <s v="1806847280"/>
    <s v="PAUL J"/>
    <s v="BARBER"/>
    <m/>
    <s v="3209 BROADMOOR DR"/>
    <s v="RAPID CITY"/>
    <s v="SD"/>
    <s v="57702"/>
    <s v="BHE"/>
    <s v="PO BOX 1400"/>
    <s v="RAPID CITY"/>
    <s v="SD"/>
    <s v="57709"/>
    <s v="605-721-2687"/>
    <m/>
    <s v="Residential Heat Pumps :- Residential Mini-Split :- Customer Incentives"/>
    <s v="Ductless Mini-Split HP SEER &gt;= 19"/>
    <m/>
    <m/>
    <m/>
    <m/>
    <m/>
    <m/>
    <s v="25000"/>
    <m/>
    <m/>
    <m/>
    <m/>
    <m/>
    <m/>
    <s v="AOU24RLXFZH"/>
    <m/>
    <n v="1"/>
    <n v="0"/>
    <n v="0.98399999999999999"/>
    <m/>
    <n v="2568.529"/>
    <m/>
    <m/>
    <m/>
    <m/>
    <m/>
    <n v="0"/>
    <n v="100"/>
    <n v="42958"/>
    <n v="42958.703575115702"/>
    <x v="1"/>
    <s v="6DCAC80DEF66400381F1B8C343A4BDAC"/>
    <n v="2568.529"/>
    <n v="100"/>
    <n v="2495.8377857142855"/>
    <n v="1129.7450286933804"/>
    <n v="107.14285714285714"/>
    <n v="34.722057856284209"/>
  </r>
  <r>
    <n v="328"/>
    <s v="Residential - BHPSD - Residential Lighting &amp; Appliances"/>
    <b v="0"/>
    <s v="Residential - BHPSD - Residential Lighting &amp; Appliances__"/>
    <n v="0"/>
    <x v="0"/>
    <x v="0"/>
    <x v="0"/>
    <x v="0"/>
    <s v=""/>
    <s v=""/>
    <b v="0"/>
    <b v="0"/>
    <s v="Residential - BHPSD - Residential Lighting &amp; Appliances"/>
    <n v="128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38"/>
    <n v="0"/>
    <n v="5.9438000000000004"/>
    <m/>
    <n v="50491.896000000001"/>
    <m/>
    <m/>
    <m/>
    <m/>
    <m/>
    <n v="0"/>
    <n v="8130.0972000000002"/>
    <s v=""/>
    <m/>
    <x v="0"/>
    <s v=""/>
    <n v="32.829581274382313"/>
    <n v="5.2861490247074121"/>
    <e v="#N/A"/>
    <e v="#N/A"/>
    <e v="#N/A"/>
    <e v="#N/A"/>
  </r>
  <r>
    <n v="32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392"/>
    <n v="1"/>
    <s v="BHHEPS1532959392"/>
    <s v="6763060226"/>
    <s v="STEPHEN D"/>
    <s v="DEMPSEY"/>
    <m/>
    <s v="121 OLD GLORY PL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5600000000000002E-2"/>
    <m/>
    <n v="387.20400000000001"/>
    <m/>
    <m/>
    <m/>
    <m/>
    <m/>
    <n v="0"/>
    <n v="54"/>
    <n v="42641"/>
    <n v="42641.6487158565"/>
    <x v="1"/>
    <s v="6FC4453CA02D4CFE87671FF3D7CBEA73"/>
    <n v="32.267000000000003"/>
    <n v="4.5"/>
    <n v="31.912660854402784"/>
    <n v="4.6294175975068628"/>
    <n v="3.9162224934612029"/>
    <n v="1.1499528005502413"/>
  </r>
  <r>
    <n v="33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395"/>
    <n v="1"/>
    <s v="BHHEPS1532959395"/>
    <s v="2151562178"/>
    <s v="TANNER G"/>
    <s v="BLAND"/>
    <m/>
    <s v="12415 MINERS LN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641"/>
    <n v="42641.649760185202"/>
    <x v="1"/>
    <s v="AF0165DD52164D2FB1D138E747799FF8"/>
    <n v="32.267000000000003"/>
    <n v="4.5"/>
    <n v="31.912660854402784"/>
    <n v="4.6294175975068628"/>
    <n v="3.9162224934612029"/>
    <n v="1.1499528005502413"/>
  </r>
  <r>
    <n v="33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398"/>
    <n v="1"/>
    <s v="BHHEPS1532959398"/>
    <s v="5724731883"/>
    <s v="GORDON D"/>
    <s v="RICHMOND"/>
    <m/>
    <s v="228 E PHILADELPHIA ST                             APT C3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0.02"/>
    <m/>
    <n v="168.9"/>
    <m/>
    <m/>
    <m/>
    <m/>
    <m/>
    <n v="0"/>
    <n v="28"/>
    <n v="42641"/>
    <n v="42641.651869294001"/>
    <x v="1"/>
    <s v="87F775873EDE48F3A5E7AAE73D6FFBF8"/>
    <n v="33.78"/>
    <n v="5.6"/>
    <n v="31.912660854402784"/>
    <n v="4.6294175975068628"/>
    <n v="3.9162224934612029"/>
    <n v="1.1499528005502413"/>
  </r>
  <r>
    <n v="33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398"/>
    <n v="0"/>
    <s v="BHHEPS1532959398"/>
    <s v="5724731883"/>
    <s v="GORDON D"/>
    <s v="RICHMOND"/>
    <m/>
    <s v="228 E PHILADELPHIA ST                             APT C3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641"/>
    <n v="42641.651869294001"/>
    <x v="1"/>
    <s v="8827E1DF40344B9F90B5FEDC3AD79F6A"/>
    <n v="32.267000000000003"/>
    <n v="4.5"/>
    <n v="31.912660854402784"/>
    <n v="4.6294175975068628"/>
    <n v="3.9162224934612029"/>
    <n v="1.1499528005502413"/>
  </r>
  <r>
    <n v="33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1937E-2"/>
    <n v="0.50765345000200468"/>
    <b v="0"/>
    <b v="0"/>
    <s v=""/>
    <s v="BHHEPS1532959419"/>
    <n v="1"/>
    <s v="BHHEPS1532959419"/>
    <s v="1645696726"/>
    <s v="KYLE D"/>
    <s v="WOLF"/>
    <m/>
    <s v="2124 WISCONSIN AVE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9.5000000000000001E-2"/>
    <m/>
    <n v="806.67499999999995"/>
    <m/>
    <m/>
    <m/>
    <m/>
    <m/>
    <n v="0"/>
    <n v="112.5"/>
    <n v="42641"/>
    <n v="42641.659832638899"/>
    <x v="1"/>
    <s v="B9DB74987BAA46F192BAFFAE7438C7E2"/>
    <n v="32.266999999999996"/>
    <n v="4.5"/>
    <n v="31.912660854402784"/>
    <n v="4.6294175975068628"/>
    <n v="3.9162224934612029"/>
    <n v="1.1499528005502413"/>
  </r>
  <r>
    <n v="33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423"/>
    <n v="1"/>
    <s v="BHHEPS1532959423"/>
    <s v="5165458288"/>
    <s v="DONNA"/>
    <s v="DURANT"/>
    <m/>
    <s v="6828 DUNSMORE RD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641"/>
    <n v="42641.660829016197"/>
    <x v="1"/>
    <s v="85990D92E5CA47BC934F3DB8DEBFB848"/>
    <n v="33.78"/>
    <n v="5.6"/>
    <n v="31.912660854402784"/>
    <n v="4.6294175975068628"/>
    <n v="3.9162224934612029"/>
    <n v="1.1499528005502413"/>
  </r>
  <r>
    <n v="33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2959423"/>
    <n v="0"/>
    <s v="BHHEPS1532959423"/>
    <s v="5165458288"/>
    <s v="DONNA"/>
    <s v="DURANT"/>
    <m/>
    <s v="6828 DUNSMORE RD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0800000000000001E-2"/>
    <m/>
    <n v="92.768000000000001"/>
    <m/>
    <m/>
    <m/>
    <m/>
    <m/>
    <n v="0"/>
    <n v="16"/>
    <n v="42641"/>
    <n v="42641.660829016197"/>
    <x v="1"/>
    <s v="A25277F11E2546519E8E85091434EC79"/>
    <n v="23.192"/>
    <n v="4"/>
    <n v="31.912660854402784"/>
    <n v="4.6294175975068628"/>
    <n v="3.9162224934612029"/>
    <n v="1.1499528005502413"/>
  </r>
  <r>
    <n v="33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423"/>
    <n v="0"/>
    <s v="BHHEPS1532959423"/>
    <s v="5165458288"/>
    <s v="DONNA"/>
    <s v="DURANT"/>
    <m/>
    <s v="6828 DUNSMORE RD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641"/>
    <n v="42641.660829016197"/>
    <x v="1"/>
    <s v="818E079FA766430DAB40BE0820FE04F6"/>
    <n v="32.267000000000003"/>
    <n v="4.5"/>
    <n v="31.912660854402784"/>
    <n v="4.6294175975068628"/>
    <n v="3.9162224934612029"/>
    <n v="1.1499528005502413"/>
  </r>
  <r>
    <n v="33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427"/>
    <n v="1"/>
    <s v="BHHEPS1532959427"/>
    <s v="0519998588"/>
    <s v="MATTHEW D"/>
    <s v="ODDEN"/>
    <m/>
    <s v="6319 SEMINOLE LN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641"/>
    <n v="42641.662202118103"/>
    <x v="1"/>
    <s v="849961BAA3A941AEA0A038F0FB699833"/>
    <n v="33.78"/>
    <n v="5.6"/>
    <n v="31.912660854402784"/>
    <n v="4.6294175975068628"/>
    <n v="3.9162224934612029"/>
    <n v="1.1499528005502413"/>
  </r>
  <r>
    <n v="33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435"/>
    <n v="1"/>
    <s v="BHHEPS1532959435"/>
    <s v="0102317983"/>
    <s v="RETA F"/>
    <s v="MCGOVERN"/>
    <m/>
    <s v="821 FLORMANN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641"/>
    <n v="42641.666079594899"/>
    <x v="1"/>
    <s v="DEAAC3783AAE4BA59FD0401347438E9A"/>
    <n v="33.78"/>
    <n v="5.6"/>
    <n v="31.912660854402784"/>
    <n v="4.6294175975068628"/>
    <n v="3.9162224934612029"/>
    <n v="1.1499528005502413"/>
  </r>
  <r>
    <n v="33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435"/>
    <n v="0"/>
    <s v="BHHEPS1532959435"/>
    <s v="0102317983"/>
    <s v="RETA F"/>
    <s v="MCGOVERN"/>
    <m/>
    <s v="821 FLORMANN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641"/>
    <n v="42641.666079594899"/>
    <x v="1"/>
    <s v="ADC6CCFF2FA7416C96FDC402B8FAE0F4"/>
    <n v="32.267000000000003"/>
    <n v="4.5"/>
    <n v="31.912660854402784"/>
    <n v="4.6294175975068628"/>
    <n v="3.9162224934612029"/>
    <n v="1.1499528005502413"/>
  </r>
  <r>
    <n v="34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2959440"/>
    <n v="1"/>
    <s v="BHHEPS1532959440"/>
    <s v="1546455262"/>
    <s v="SHAWN M"/>
    <s v="MECHLING"/>
    <m/>
    <s v="1609 PINE ST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641"/>
    <n v="42641.667324305599"/>
    <x v="1"/>
    <s v="AC4628925F01434DBADBABEAD2C0D2B7"/>
    <n v="32.267000000000003"/>
    <n v="4.5"/>
    <n v="31.912660854402784"/>
    <n v="4.6294175975068628"/>
    <n v="3.9162224934612029"/>
    <n v="1.1499528005502413"/>
  </r>
  <r>
    <n v="34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2959440"/>
    <n v="0"/>
    <s v="BHHEPS1532959440"/>
    <s v="1546455262"/>
    <s v="SHAWN M"/>
    <s v="MECHLING"/>
    <m/>
    <s v="1609 PINE ST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641"/>
    <n v="42641.667324305599"/>
    <x v="1"/>
    <s v="335A515305F14D049C17347545340157"/>
    <n v="33.78"/>
    <n v="5.6"/>
    <n v="31.912660854402784"/>
    <n v="4.6294175975068628"/>
    <n v="3.9162224934612029"/>
    <n v="1.1499528005502413"/>
  </r>
  <r>
    <n v="34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8"/>
    <n v="7.2852995791401517E-2"/>
    <b v="0"/>
    <b v="0"/>
    <s v=""/>
    <s v="BHHEPS1532959455"/>
    <n v="1"/>
    <s v="BHHEPS1532959455"/>
    <s v="4557532254"/>
    <s v="KEITH"/>
    <s v="GADE"/>
    <m/>
    <s v="2114 HARNEY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8.0999999999999996E-3"/>
    <m/>
    <n v="69.575999999999993"/>
    <m/>
    <m/>
    <m/>
    <m/>
    <m/>
    <n v="0"/>
    <n v="12"/>
    <n v="42641"/>
    <n v="42641.672716203699"/>
    <x v="1"/>
    <s v="32BDC1A7F7764427825107AF2A763EF9"/>
    <n v="23.191999999999997"/>
    <n v="4"/>
    <n v="31.912660854402784"/>
    <n v="4.6294175975068628"/>
    <n v="3.9162224934612029"/>
    <n v="1.1499528005502413"/>
  </r>
  <r>
    <n v="34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18140"/>
    <n v="1"/>
    <s v="BHHEPS1533018140"/>
    <s v="0186806786"/>
    <s v="DAVID L"/>
    <s v="SEVERSON"/>
    <m/>
    <s v="12043 FOX TAIL LN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650"/>
    <n v="42650.501885451398"/>
    <x v="1"/>
    <s v="6DE8D27B723A4046B2DFBC123B08B263"/>
    <n v="33.78"/>
    <n v="5.6"/>
    <n v="31.912660854402784"/>
    <n v="4.6294175975068628"/>
    <n v="3.9162224934612029"/>
    <n v="1.1499528005502413"/>
  </r>
  <r>
    <n v="34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18140"/>
    <n v="0"/>
    <s v="BHHEPS1533018140"/>
    <s v="0186806786"/>
    <s v="DAVID L"/>
    <s v="SEVERSON"/>
    <m/>
    <s v="12043 FOX TAIL LN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0"/>
    <n v="0"/>
    <n v="7.5999999999999998E-2"/>
    <m/>
    <n v="645.34"/>
    <m/>
    <m/>
    <m/>
    <m/>
    <m/>
    <n v="0"/>
    <n v="90"/>
    <n v="42650"/>
    <n v="42650.501885451398"/>
    <x v="1"/>
    <s v="0F781031B7734B3380F7FC8F9F393063"/>
    <n v="32.267000000000003"/>
    <n v="4.5"/>
    <n v="31.912660854402784"/>
    <n v="4.6294175975068628"/>
    <n v="3.9162224934612029"/>
    <n v="1.1499528005502413"/>
  </r>
  <r>
    <n v="345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5.0515134880505345E-2"/>
    <n v="0.4214787522569125"/>
    <b v="0"/>
    <b v="0"/>
    <s v=""/>
    <s v="BHHEPS1533037916"/>
    <n v="1"/>
    <s v="BHHEPS1533037916"/>
    <s v="0893721824"/>
    <s v="JASON D"/>
    <s v="JONES"/>
    <m/>
    <s v="3110 AMERICAN EAGLE RD"/>
    <s v="SPEARFISH"/>
    <s v="SD"/>
    <s v="57783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RL560WH6830"/>
    <m/>
    <n v="94"/>
    <n v="0"/>
    <n v="0.36659999999999998"/>
    <m/>
    <n v="3127.944"/>
    <m/>
    <m/>
    <m/>
    <m/>
    <m/>
    <n v="0"/>
    <n v="940"/>
    <n v="42660"/>
    <n v="42660.5513741088"/>
    <x v="1"/>
    <s v="5CCE73BE4A4344088382BD6E99EFF2A7"/>
    <n v="33.275999999999996"/>
    <n v="10"/>
    <n v="35.519370843989762"/>
    <n v="44.409875363027503"/>
    <n v="9.3048337595907924"/>
    <n v="1.6493506177636894"/>
  </r>
  <r>
    <n v="34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38070"/>
    <n v="1"/>
    <s v="BHHEPS1533038070"/>
    <s v="1624061431"/>
    <s v="CORREEN G"/>
    <s v="DAMMEN"/>
    <m/>
    <s v="10 SAMPSON ST"/>
    <s v="DEADWOOD"/>
    <s v="SD"/>
    <s v="5773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660"/>
    <n v="42660.5947008449"/>
    <x v="1"/>
    <s v="2BD6D0A8ABF1428EBD2CD2122B1B47EB"/>
    <n v="32.267000000000003"/>
    <n v="4.5"/>
    <n v="31.912660854402784"/>
    <n v="4.6294175975068628"/>
    <n v="3.9162224934612029"/>
    <n v="1.1499528005502413"/>
  </r>
  <r>
    <n v="34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38070"/>
    <n v="0"/>
    <s v="BHHEPS1533038070"/>
    <s v="1624061431"/>
    <s v="CORREEN G"/>
    <s v="DAMMEN"/>
    <m/>
    <s v="10 SAMPSON ST"/>
    <s v="DEADWOOD"/>
    <s v="SD"/>
    <s v="5773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2.7000000000000001E-3"/>
    <m/>
    <n v="23.192"/>
    <m/>
    <m/>
    <m/>
    <m/>
    <m/>
    <n v="0"/>
    <n v="4"/>
    <n v="42660"/>
    <n v="42660.5947008449"/>
    <x v="1"/>
    <s v="46A55D61152C4F0783AA868797DD8A0E"/>
    <n v="23.192"/>
    <n v="4"/>
    <n v="31.912660854402784"/>
    <n v="4.6294175975068628"/>
    <n v="3.9162224934612029"/>
    <n v="1.1499528005502413"/>
  </r>
  <r>
    <n v="34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38078"/>
    <n v="1"/>
    <s v="BHHEPS1533038078"/>
    <s v="5640460322"/>
    <s v="APRIL J"/>
    <s v="SOMMER"/>
    <m/>
    <s v="345 1/2 N 7TH ST"/>
    <s v="SPEARFISH"/>
    <s v="SD"/>
    <s v="57783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660"/>
    <n v="42660.596036307899"/>
    <x v="1"/>
    <s v="ECE06F49FA11411FAFD15408890AB99E"/>
    <n v="32.267000000000003"/>
    <n v="4.5"/>
    <n v="31.912660854402784"/>
    <n v="4.6294175975068628"/>
    <n v="3.9162224934612029"/>
    <n v="1.1499528005502413"/>
  </r>
  <r>
    <n v="34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8"/>
    <n v="7.2852995791401517E-2"/>
    <b v="0"/>
    <b v="0"/>
    <s v=""/>
    <s v="BHHEPS1533038084"/>
    <n v="1"/>
    <s v="BHHEPS1533038084"/>
    <s v="7186305596"/>
    <s v="JEFFREY S"/>
    <s v="JOHNSON"/>
    <m/>
    <s v="12520 JAX C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1.6199999999999999E-2"/>
    <m/>
    <n v="139.15199999999999"/>
    <m/>
    <m/>
    <m/>
    <m/>
    <m/>
    <n v="0"/>
    <n v="24"/>
    <n v="42660"/>
    <n v="42660.596960798597"/>
    <x v="1"/>
    <s v="96272D30C9064A3388E57F8B2B789FC8"/>
    <n v="23.191999999999997"/>
    <n v="4"/>
    <n v="31.912660854402784"/>
    <n v="4.6294175975068628"/>
    <n v="3.9162224934612029"/>
    <n v="1.1499528005502413"/>
  </r>
  <r>
    <n v="35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38084"/>
    <n v="0"/>
    <s v="BHHEPS1533038084"/>
    <s v="7186305596"/>
    <s v="JEFFREY S"/>
    <s v="JOHNSON"/>
    <m/>
    <s v="12520 JAX C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0.1"/>
    <m/>
    <n v="844.5"/>
    <m/>
    <m/>
    <m/>
    <m/>
    <m/>
    <n v="0"/>
    <n v="140"/>
    <n v="42660"/>
    <n v="42660.596960798597"/>
    <x v="1"/>
    <s v="D57E32D2780E410DA533D11A12357B43"/>
    <n v="33.78"/>
    <n v="5.6"/>
    <n v="31.912660854402784"/>
    <n v="4.6294175975068628"/>
    <n v="3.9162224934612029"/>
    <n v="1.1499528005502413"/>
  </r>
  <r>
    <n v="35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38084"/>
    <n v="0"/>
    <s v="BHHEPS1533038084"/>
    <s v="7186305596"/>
    <s v="JEFFREY S"/>
    <s v="JOHNSON"/>
    <m/>
    <s v="12520 JAX C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5600000000000002E-2"/>
    <m/>
    <n v="387.20400000000001"/>
    <m/>
    <m/>
    <m/>
    <m/>
    <m/>
    <n v="0"/>
    <n v="54"/>
    <n v="42660"/>
    <n v="42660.596960798597"/>
    <x v="1"/>
    <s v="42D5B50047FC42CE9BE781C77D080A8E"/>
    <n v="32.267000000000003"/>
    <n v="4.5"/>
    <n v="31.912660854402784"/>
    <n v="4.6294175975068628"/>
    <n v="3.9162224934612029"/>
    <n v="1.1499528005502413"/>
  </r>
  <r>
    <n v="35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2"/>
    <b v="0"/>
    <b v="0"/>
    <s v=""/>
    <s v="BHHEPS1533038092"/>
    <n v="1"/>
    <s v="BHHEPS1533038092"/>
    <s v="1329399206"/>
    <s v="DALE D"/>
    <s v="HOUSEHOLDER"/>
    <m/>
    <s v="537 PINE MOUNTAIN AVE"/>
    <s v="HILL CITY"/>
    <s v="SD"/>
    <s v="5774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4E-2"/>
    <m/>
    <n v="202.68"/>
    <m/>
    <m/>
    <m/>
    <m/>
    <m/>
    <n v="0"/>
    <n v="33.6"/>
    <n v="42660"/>
    <n v="42660.598553044001"/>
    <x v="1"/>
    <s v="B8F5443805AA4131A556E5C418DF74DA"/>
    <n v="33.78"/>
    <n v="5.6000000000000005"/>
    <n v="31.912660854402784"/>
    <n v="4.6294175975068628"/>
    <n v="3.9162224934612029"/>
    <n v="1.1499528005502413"/>
  </r>
  <r>
    <n v="35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2"/>
    <b v="0"/>
    <b v="0"/>
    <s v=""/>
    <s v="BHHEPS1533038097"/>
    <n v="1"/>
    <s v="BHHEPS1533038097"/>
    <s v="3526142241"/>
    <s v="KRISTINE K"/>
    <s v="SACHARA"/>
    <m/>
    <s v="3040 GOLDEN EAGLE PL"/>
    <s v="SPEARFISH"/>
    <s v="SD"/>
    <s v="57783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4E-2"/>
    <m/>
    <n v="202.68"/>
    <m/>
    <m/>
    <m/>
    <m/>
    <m/>
    <n v="0"/>
    <n v="33.6"/>
    <n v="42660"/>
    <n v="42660.599751817099"/>
    <x v="1"/>
    <s v="177ECD39E29846989D97CABC133712EB"/>
    <n v="33.78"/>
    <n v="5.6000000000000005"/>
    <n v="31.912660854402784"/>
    <n v="4.6294175975068628"/>
    <n v="3.9162224934612029"/>
    <n v="1.1499528005502413"/>
  </r>
  <r>
    <n v="35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38097"/>
    <n v="0"/>
    <s v="BHHEPS1533038097"/>
    <s v="3526142241"/>
    <s v="KRISTINE K"/>
    <s v="SACHARA"/>
    <m/>
    <s v="3040 GOLDEN EAGLE PL"/>
    <s v="SPEARFISH"/>
    <s v="SD"/>
    <s v="57783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660"/>
    <n v="42660.599751817099"/>
    <x v="1"/>
    <s v="1E0878904B5F4039B687607ABF133D40"/>
    <n v="32.267000000000003"/>
    <n v="4.5"/>
    <n v="31.912660854402784"/>
    <n v="4.6294175975068628"/>
    <n v="3.9162224934612029"/>
    <n v="1.1499528005502413"/>
  </r>
  <r>
    <n v="35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49954"/>
    <n v="1"/>
    <s v="BHHEPS1533049954"/>
    <s v="5606083316"/>
    <s v="JEREMY G"/>
    <s v="GARDINER"/>
    <m/>
    <s v="525 38TH S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664"/>
    <n v="42664.595228472201"/>
    <x v="1"/>
    <s v="038003CB91D1490A8E2E22AA87A2B427"/>
    <n v="32.267000000000003"/>
    <n v="4.5"/>
    <n v="31.912660854402784"/>
    <n v="4.6294175975068628"/>
    <n v="3.9162224934612029"/>
    <n v="1.1499528005502413"/>
  </r>
  <r>
    <n v="35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49958"/>
    <n v="1"/>
    <s v="BHHEPS1533049958"/>
    <s v="5960388348"/>
    <s v="DOROTHY J"/>
    <s v="HOXENG"/>
    <m/>
    <s v="103 CORRAL DR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0800000000000001E-2"/>
    <m/>
    <n v="92.768000000000001"/>
    <m/>
    <m/>
    <m/>
    <m/>
    <m/>
    <n v="0"/>
    <n v="16"/>
    <n v="42664"/>
    <n v="42664.596134108797"/>
    <x v="1"/>
    <s v="43CD637520474F0D8D995D1993A94494"/>
    <n v="23.192"/>
    <n v="4"/>
    <n v="31.912660854402784"/>
    <n v="4.6294175975068628"/>
    <n v="3.9162224934612029"/>
    <n v="1.1499528005502413"/>
  </r>
  <r>
    <n v="35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49967"/>
    <n v="1"/>
    <s v="BHHEPS1533049967"/>
    <s v="3708552655"/>
    <s v="GARY N"/>
    <s v="JOHNSON"/>
    <m/>
    <s v="6343 TIMBERLINE RD W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664"/>
    <n v="42664.598347569401"/>
    <x v="1"/>
    <s v="4A6EA165E8674EB2A695D1E5208385EE"/>
    <n v="32.267000000000003"/>
    <n v="4.5"/>
    <n v="31.912660854402784"/>
    <n v="4.6294175975068628"/>
    <n v="3.9162224934612029"/>
    <n v="1.1499528005502413"/>
  </r>
  <r>
    <n v="35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49967"/>
    <n v="0"/>
    <s v="BHHEPS1533049967"/>
    <s v="3708552655"/>
    <s v="GARY N"/>
    <s v="JOHNSON"/>
    <m/>
    <s v="6343 TIMBERLINE RD W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664"/>
    <n v="42664.598347569401"/>
    <x v="1"/>
    <s v="63FA5113050440FA8A4AAC54FE5F42FD"/>
    <n v="33.78"/>
    <n v="5.6"/>
    <n v="31.912660854402784"/>
    <n v="4.6294175975068628"/>
    <n v="3.9162224934612029"/>
    <n v="1.1499528005502413"/>
  </r>
  <r>
    <n v="35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49974"/>
    <n v="1"/>
    <s v="BHHEPS1533049974"/>
    <s v="6704224759"/>
    <s v="DEAN D"/>
    <s v="SIGMAN"/>
    <m/>
    <s v="2322 PALISADES LOOP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664"/>
    <n v="42664.600054826398"/>
    <x v="1"/>
    <s v="FD857CB25D37448690FB0257AAEC4961"/>
    <n v="33.78"/>
    <n v="5.6"/>
    <n v="31.912660854402784"/>
    <n v="4.6294175975068628"/>
    <n v="3.9162224934612029"/>
    <n v="1.1499528005502413"/>
  </r>
  <r>
    <n v="36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49977"/>
    <n v="1"/>
    <s v="BHHEPS1533049977"/>
    <s v="3341566170"/>
    <s v="DEBRA D"/>
    <s v="BISGAARD"/>
    <m/>
    <s v="8537 STABLES DR"/>
    <s v="PIEDMONT"/>
    <s v="SD"/>
    <s v="57769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2.7E-2"/>
    <m/>
    <n v="231.92"/>
    <m/>
    <m/>
    <m/>
    <m/>
    <m/>
    <n v="0"/>
    <n v="40"/>
    <n v="42664"/>
    <n v="42664.601184953703"/>
    <x v="1"/>
    <s v="640CB9260AB24BCFB31069853312CEC9"/>
    <n v="23.192"/>
    <n v="4"/>
    <n v="31.912660854402784"/>
    <n v="4.6294175975068628"/>
    <n v="3.9162224934612029"/>
    <n v="1.1499528005502413"/>
  </r>
  <r>
    <n v="36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49977"/>
    <n v="0"/>
    <s v="BHHEPS1533049977"/>
    <s v="3341566170"/>
    <s v="DEBRA D"/>
    <s v="BISGAARD"/>
    <m/>
    <s v="8537 STABLES DR"/>
    <s v="PIEDMONT"/>
    <s v="SD"/>
    <s v="57769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664"/>
    <n v="42664.601184953703"/>
    <x v="1"/>
    <s v="636BC7BEA3664804833A764760505725"/>
    <n v="32.267000000000003"/>
    <n v="4.5"/>
    <n v="31.912660854402784"/>
    <n v="4.6294175975068628"/>
    <n v="3.9162224934612029"/>
    <n v="1.1499528005502413"/>
  </r>
  <r>
    <n v="36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49980"/>
    <n v="1"/>
    <s v="BHHEPS1533049980"/>
    <s v="2607823769"/>
    <s v="DOUGLAS E"/>
    <s v="NELSON"/>
    <m/>
    <s v="11085 MT SHADOW RD"/>
    <s v="PIEDMONT"/>
    <s v="SD"/>
    <s v="57769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664"/>
    <n v="42664.602399652802"/>
    <x v="1"/>
    <s v="F3A170EF956C4FADB6DB9A7FFE7CBFA0"/>
    <n v="32.267000000000003"/>
    <n v="4.5"/>
    <n v="31.912660854402784"/>
    <n v="4.6294175975068628"/>
    <n v="3.9162224934612029"/>
    <n v="1.1499528005502413"/>
  </r>
  <r>
    <n v="36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055976"/>
    <n v="1"/>
    <s v="BHHEPS1533055976"/>
    <s v="1153651154"/>
    <s v="JAMES A"/>
    <s v="PHOENIX"/>
    <m/>
    <s v="1332 PANORAMA CIR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0.1"/>
    <m/>
    <n v="844.5"/>
    <m/>
    <m/>
    <m/>
    <m/>
    <m/>
    <n v="0"/>
    <n v="140"/>
    <n v="42668"/>
    <n v="42668.751194791701"/>
    <x v="1"/>
    <s v="379BEFDCA0924E03BBF26DEC65FD7CDC"/>
    <n v="33.78"/>
    <n v="5.6"/>
    <n v="31.912660854402784"/>
    <n v="4.6294175975068628"/>
    <n v="3.9162224934612029"/>
    <n v="1.1499528005502413"/>
  </r>
  <r>
    <n v="36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56126"/>
    <n v="1"/>
    <s v="BHHEPS1533056126"/>
    <s v="3356626658"/>
    <s v="PENNY L"/>
    <s v="LORE"/>
    <m/>
    <s v="5909 OAK CT"/>
    <s v="BLACK HAWK"/>
    <s v="SD"/>
    <s v="57718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2.7000000000000001E-3"/>
    <m/>
    <n v="23.192"/>
    <m/>
    <m/>
    <m/>
    <m/>
    <m/>
    <n v="0"/>
    <n v="4"/>
    <n v="42668"/>
    <n v="42668.7539924421"/>
    <x v="1"/>
    <s v="355CA1E1ABC34560BAB2291AE00C2DAD"/>
    <n v="23.192"/>
    <n v="4"/>
    <n v="31.912660854402784"/>
    <n v="4.6294175975068628"/>
    <n v="3.9162224934612029"/>
    <n v="1.1499528005502413"/>
  </r>
  <r>
    <n v="36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2"/>
    <b v="0"/>
    <b v="0"/>
    <s v=""/>
    <s v="BHHEPS1533056126"/>
    <n v="0"/>
    <s v="BHHEPS1533056126"/>
    <s v="3356626658"/>
    <s v="PENNY L"/>
    <s v="LORE"/>
    <m/>
    <s v="5909 OAK CT"/>
    <s v="BLACK HAWK"/>
    <s v="SD"/>
    <s v="57718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2E-2"/>
    <m/>
    <n v="101.34"/>
    <m/>
    <m/>
    <m/>
    <m/>
    <m/>
    <n v="0"/>
    <n v="16.8"/>
    <n v="42668"/>
    <n v="42668.7539924421"/>
    <x v="1"/>
    <s v="B2712C73A65B4A18BF434629668EAF95"/>
    <n v="33.78"/>
    <n v="5.6000000000000005"/>
    <n v="31.912660854402784"/>
    <n v="4.6294175975068628"/>
    <n v="3.9162224934612029"/>
    <n v="1.1499528005502413"/>
  </r>
  <r>
    <n v="36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56126"/>
    <n v="0"/>
    <s v="BHHEPS1533056126"/>
    <s v="3356626658"/>
    <s v="PENNY L"/>
    <s v="LORE"/>
    <m/>
    <s v="5909 OAK CT"/>
    <s v="BLACK HAWK"/>
    <s v="SD"/>
    <s v="57718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668"/>
    <n v="42668.7539924421"/>
    <x v="1"/>
    <s v="DA0EA7056ACC447FBE8A8E2407C0A489"/>
    <n v="32.267000000000003"/>
    <n v="4.5"/>
    <n v="31.912660854402784"/>
    <n v="4.6294175975068628"/>
    <n v="3.9162224934612029"/>
    <n v="1.1499528005502413"/>
  </r>
  <r>
    <n v="36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56127"/>
    <n v="1"/>
    <s v="BHHEPS1533056127"/>
    <s v="4768028179"/>
    <s v="DOROTHY C"/>
    <s v="GIBSON"/>
    <m/>
    <s v="622 E IOWA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14E-2"/>
    <m/>
    <n v="96.801000000000002"/>
    <m/>
    <m/>
    <m/>
    <m/>
    <m/>
    <n v="0"/>
    <n v="13.5"/>
    <n v="42668"/>
    <n v="42668.755524537002"/>
    <x v="1"/>
    <s v="CC6F8317646841C1BE59E02CCC6AE7A1"/>
    <n v="32.267000000000003"/>
    <n v="4.5"/>
    <n v="31.912660854402784"/>
    <n v="4.6294175975068628"/>
    <n v="3.9162224934612029"/>
    <n v="1.1499528005502413"/>
  </r>
  <r>
    <n v="36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056127"/>
    <n v="0"/>
    <s v="BHHEPS1533056127"/>
    <s v="4768028179"/>
    <s v="DOROTHY C"/>
    <s v="GIBSON"/>
    <m/>
    <s v="622 E IOWA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2.7000000000000001E-3"/>
    <m/>
    <n v="23.192"/>
    <m/>
    <m/>
    <m/>
    <m/>
    <m/>
    <n v="0"/>
    <n v="4"/>
    <n v="42668"/>
    <n v="42668.755524537002"/>
    <x v="1"/>
    <s v="F5260BF3916440BA9E73C7DB49436E1C"/>
    <n v="23.192"/>
    <n v="4"/>
    <n v="31.912660854402784"/>
    <n v="4.6294175975068628"/>
    <n v="3.9162224934612029"/>
    <n v="1.1499528005502413"/>
  </r>
  <r>
    <n v="36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063421"/>
    <n v="1"/>
    <s v="BHHEPS1533063421"/>
    <s v="1020448988"/>
    <s v="NORMAN D"/>
    <s v="BSHARAH"/>
    <m/>
    <s v="2211 SHERIDAN LAKE RD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670"/>
    <n v="42670.476777199103"/>
    <x v="1"/>
    <s v="857B06854E4445F196ADAA0AFA8C9579"/>
    <n v="32.267000000000003"/>
    <n v="4.5"/>
    <n v="31.912660854402784"/>
    <n v="4.6294175975068628"/>
    <n v="3.9162224934612029"/>
    <n v="1.1499528005502413"/>
  </r>
  <r>
    <n v="370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9.5932961062454206E-2"/>
    <n v="0.4214787522569125"/>
    <b v="0"/>
    <b v="0"/>
    <s v=""/>
    <s v="BHHEPS1533071245"/>
    <n v="1"/>
    <s v="BHHEPS1533071245"/>
    <s v="9592390375"/>
    <s v="RICHARD"/>
    <s v="BELL"/>
    <m/>
    <s v="1206 CLARK ST"/>
    <s v="RAPID CITY"/>
    <s v="SD"/>
    <s v="57701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1110QXYZCC"/>
    <m/>
    <n v="34"/>
    <n v="0"/>
    <n v="0.1258"/>
    <m/>
    <n v="1062.806"/>
    <m/>
    <m/>
    <m/>
    <m/>
    <m/>
    <n v="0"/>
    <n v="340"/>
    <n v="42675"/>
    <n v="42674.476904745403"/>
    <x v="1"/>
    <s v="C540C3CA90044C01906693909F865EA6"/>
    <n v="31.259"/>
    <n v="10"/>
    <n v="35.519370843989762"/>
    <n v="44.409875363027503"/>
    <n v="9.3048337595907924"/>
    <n v="1.6493506177636894"/>
  </r>
  <r>
    <n v="37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471"/>
    <n v="1"/>
    <s v="BHHEPS1533177471"/>
    <s v="3695010358"/>
    <s v="DAVID P"/>
    <s v="CALHOON"/>
    <m/>
    <s v="9012 S RIDGE TRL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02"/>
    <n v="42702.541790162002"/>
    <x v="1"/>
    <s v="CB8B5A9D41F54D318910A7E89C95093E"/>
    <n v="32.267000000000003"/>
    <n v="4.5"/>
    <n v="31.912660854402784"/>
    <n v="4.6294175975068628"/>
    <n v="3.9162224934612029"/>
    <n v="1.1499528005502413"/>
  </r>
  <r>
    <n v="37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479"/>
    <n v="1"/>
    <s v="BHHEPS1533177479"/>
    <s v="6043661473"/>
    <s v="PAUL E"/>
    <s v="MCNEIL"/>
    <m/>
    <s v="206 PINE ST"/>
    <s v="BUFFALO GAP"/>
    <s v="SD"/>
    <s v="5772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702"/>
    <n v="42702.543826539397"/>
    <x v="1"/>
    <s v="0DF8372A6CD74D2B9E5B9A5C1E167BD6"/>
    <n v="32.267000000000003"/>
    <n v="4.5"/>
    <n v="31.912660854402784"/>
    <n v="4.6294175975068628"/>
    <n v="3.9162224934612029"/>
    <n v="1.1499528005502413"/>
  </r>
  <r>
    <n v="37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481"/>
    <n v="1"/>
    <s v="BHHEPS1533177481"/>
    <s v="1772335547"/>
    <s v="KAREN M"/>
    <s v="HANSON"/>
    <m/>
    <s v="4106 W SAINT LOUIS S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02"/>
    <n v="42702.544894409701"/>
    <x v="1"/>
    <s v="60F61D02E93D483E93D53466DB65BC5C"/>
    <n v="32.267000000000003"/>
    <n v="4.5"/>
    <n v="31.912660854402784"/>
    <n v="4.6294175975068628"/>
    <n v="3.9162224934612029"/>
    <n v="1.1499528005502413"/>
  </r>
  <r>
    <n v="37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485"/>
    <n v="1"/>
    <s v="BHHEPS1533177485"/>
    <s v="6908494798"/>
    <s v="MERLIN"/>
    <s v="CROWN"/>
    <m/>
    <s v="3600 SHERIDAN LAKE RD                             APT 225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02"/>
    <n v="42702.546729976901"/>
    <x v="1"/>
    <s v="2983915427244725912BD5215FB885F4"/>
    <n v="32.267000000000003"/>
    <n v="4.5"/>
    <n v="31.912660854402784"/>
    <n v="4.6294175975068628"/>
    <n v="3.9162224934612029"/>
    <n v="1.1499528005502413"/>
  </r>
  <r>
    <n v="37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01"/>
    <n v="1"/>
    <s v="BHHEPS1533177801"/>
    <s v="5201968902"/>
    <s v="LEONA J"/>
    <s v="SCHMITZ"/>
    <m/>
    <s v="3600 SHERIDAN LAKE RD                             APT 222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702"/>
    <n v="42702.648290011603"/>
    <x v="1"/>
    <s v="684FE11B812E4E85BEF3C6FC8CE6BB74"/>
    <n v="32.267000000000003"/>
    <n v="4.5"/>
    <n v="31.912660854402784"/>
    <n v="4.6294175975068628"/>
    <n v="3.9162224934612029"/>
    <n v="1.1499528005502413"/>
  </r>
  <r>
    <n v="37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05"/>
    <n v="1"/>
    <s v="BHHEPS1533177805"/>
    <s v="5287462404"/>
    <s v="THOMAS"/>
    <s v="SECREST"/>
    <m/>
    <s v="101 TIMBERLINE RD"/>
    <s v="SPEARFISH"/>
    <s v="SD"/>
    <s v="57783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02"/>
    <n v="42702.6492155093"/>
    <x v="1"/>
    <s v="645F567EDFB643CFABBE41EFA2947292"/>
    <n v="32.267000000000003"/>
    <n v="4.5"/>
    <n v="31.912660854402784"/>
    <n v="4.6294175975068628"/>
    <n v="3.9162224934612029"/>
    <n v="1.1499528005502413"/>
  </r>
  <r>
    <n v="37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11"/>
    <n v="1"/>
    <s v="BHHEPS1533177811"/>
    <s v="6589094663"/>
    <s v="SHIRLEY J"/>
    <s v="SNYDER"/>
    <m/>
    <s v="5804 CREEK DR"/>
    <s v="BLACK HAWK"/>
    <s v="SD"/>
    <s v="57718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02"/>
    <n v="42702.651114814798"/>
    <x v="1"/>
    <s v="F3969B57ED144145AFCE3010190A1C6D"/>
    <n v="32.267000000000003"/>
    <n v="4.5"/>
    <n v="31.912660854402784"/>
    <n v="4.6294175975068628"/>
    <n v="3.9162224934612029"/>
    <n v="1.1499528005502413"/>
  </r>
  <r>
    <n v="37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8"/>
    <n v="7.2852995791401517E-2"/>
    <b v="0"/>
    <b v="0"/>
    <s v=""/>
    <s v="BHHEPS1533177814"/>
    <n v="1"/>
    <s v="BHHEPS1533177814"/>
    <s v="9321158711"/>
    <s v="GEORGE M"/>
    <s v="ALLEN"/>
    <m/>
    <s v="319 PINE MOUNTAIN AVE"/>
    <s v="HILL CITY"/>
    <s v="SD"/>
    <s v="5774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6.7500000000000004E-2"/>
    <m/>
    <n v="579.79999999999995"/>
    <m/>
    <m/>
    <m/>
    <m/>
    <m/>
    <n v="0"/>
    <n v="100"/>
    <n v="42702"/>
    <n v="42702.651940543998"/>
    <x v="1"/>
    <s v="DC196DBAECCB4954AE2B0A7C3E3742A8"/>
    <n v="23.191999999999997"/>
    <n v="4"/>
    <n v="31.912660854402784"/>
    <n v="4.6294175975068628"/>
    <n v="3.9162224934612029"/>
    <n v="1.1499528005502413"/>
  </r>
  <r>
    <n v="37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177814"/>
    <n v="0"/>
    <s v="BHHEPS1533177814"/>
    <s v="9321158711"/>
    <s v="GEORGE M"/>
    <s v="ALLEN"/>
    <m/>
    <s v="319 PINE MOUNTAIN AVE"/>
    <s v="HILL CITY"/>
    <s v="SD"/>
    <s v="5774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0.1"/>
    <m/>
    <n v="844.5"/>
    <m/>
    <m/>
    <m/>
    <m/>
    <m/>
    <n v="0"/>
    <n v="140"/>
    <n v="42702"/>
    <n v="42702.651940543998"/>
    <x v="1"/>
    <s v="55D3732FFA5E4434942FB71383B1DA22"/>
    <n v="33.78"/>
    <n v="5.6"/>
    <n v="31.912660854402784"/>
    <n v="4.6294175975068628"/>
    <n v="3.9162224934612029"/>
    <n v="1.1499528005502413"/>
  </r>
  <r>
    <n v="38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1937E-2"/>
    <n v="0.50765345000200468"/>
    <b v="0"/>
    <b v="0"/>
    <s v=""/>
    <s v="BHHEPS1533177814"/>
    <n v="0"/>
    <s v="BHHEPS1533177814"/>
    <s v="9321158711"/>
    <s v="GEORGE M"/>
    <s v="ALLEN"/>
    <m/>
    <s v="319 PINE MOUNTAIN AVE"/>
    <s v="HILL CITY"/>
    <s v="SD"/>
    <s v="5774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9.5000000000000001E-2"/>
    <m/>
    <n v="806.67499999999995"/>
    <m/>
    <m/>
    <m/>
    <m/>
    <m/>
    <n v="0"/>
    <n v="112.5"/>
    <n v="42702"/>
    <n v="42702.651940543998"/>
    <x v="1"/>
    <s v="12C190264308492AA4342DD06B534A6E"/>
    <n v="32.266999999999996"/>
    <n v="4.5"/>
    <n v="31.912660854402784"/>
    <n v="4.6294175975068628"/>
    <n v="3.9162224934612029"/>
    <n v="1.1499528005502413"/>
  </r>
  <r>
    <n v="38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20"/>
    <n v="1"/>
    <s v="BHHEPS1533177820"/>
    <s v="5076384876"/>
    <s v="KENNETH L"/>
    <s v="MEIROSE"/>
    <m/>
    <s v="1211 PINE VIEW DR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02"/>
    <n v="42702.653372141198"/>
    <x v="1"/>
    <s v="43B4C5FED77A48A6936D8D2C8C2BD8F2"/>
    <n v="32.267000000000003"/>
    <n v="4.5"/>
    <n v="31.912660854402784"/>
    <n v="4.6294175975068628"/>
    <n v="3.9162224934612029"/>
    <n v="1.1499528005502413"/>
  </r>
  <r>
    <n v="38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8"/>
    <n v="7.2852995791401517E-2"/>
    <b v="0"/>
    <b v="0"/>
    <s v=""/>
    <s v="BHHEPS1533177826"/>
    <n v="1"/>
    <s v="BHHEPS1533177826"/>
    <s v="2730015257"/>
    <s v="JULIA A"/>
    <s v="MILLER"/>
    <m/>
    <s v="1711 JUNCTION AVE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1.6199999999999999E-2"/>
    <m/>
    <n v="139.15199999999999"/>
    <m/>
    <m/>
    <m/>
    <m/>
    <m/>
    <n v="0"/>
    <n v="24"/>
    <n v="42702"/>
    <n v="42702.655526620401"/>
    <x v="1"/>
    <s v="9215BD31D98943A8BDD8FBA045F42FF4"/>
    <n v="23.191999999999997"/>
    <n v="4"/>
    <n v="31.912660854402784"/>
    <n v="4.6294175975068628"/>
    <n v="3.9162224934612029"/>
    <n v="1.1499528005502413"/>
  </r>
  <r>
    <n v="38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77826"/>
    <n v="0"/>
    <s v="BHHEPS1533177826"/>
    <s v="2730015257"/>
    <s v="JULIA A"/>
    <s v="MILLER"/>
    <m/>
    <s v="1711 JUNCTION AVE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02"/>
    <n v="42702.655526620401"/>
    <x v="1"/>
    <s v="B58F6CEE49C0483DAD8E930C38628A80"/>
    <n v="32.267000000000003"/>
    <n v="4.5"/>
    <n v="31.912660854402784"/>
    <n v="4.6294175975068628"/>
    <n v="3.9162224934612029"/>
    <n v="1.1499528005502413"/>
  </r>
  <r>
    <n v="38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189831"/>
    <n v="1"/>
    <s v="BHHEPS1533189831"/>
    <s v="2477779331"/>
    <s v="DWIGHT R"/>
    <s v="OVIATT"/>
    <m/>
    <s v="931 PELL ST"/>
    <s v="WHITEWOOD"/>
    <s v="SD"/>
    <s v="57793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703"/>
    <n v="42703.531657754596"/>
    <x v="1"/>
    <s v="2E40ACE45A10499492A11C3E16EBE3A2"/>
    <n v="23.192"/>
    <n v="4"/>
    <n v="31.912660854402784"/>
    <n v="4.6294175975068628"/>
    <n v="3.9162224934612029"/>
    <n v="1.1499528005502413"/>
  </r>
  <r>
    <n v="38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189831"/>
    <n v="0"/>
    <s v="BHHEPS1533189831"/>
    <s v="2477779331"/>
    <s v="DWIGHT R"/>
    <s v="OVIATT"/>
    <m/>
    <s v="931 PELL ST"/>
    <s v="WHITEWOOD"/>
    <s v="SD"/>
    <s v="57793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03"/>
    <n v="42703.531657754596"/>
    <x v="1"/>
    <s v="289A092278684C9BB1E089972FA762ED"/>
    <n v="32.267000000000003"/>
    <n v="4.5"/>
    <n v="31.912660854402784"/>
    <n v="4.6294175975068628"/>
    <n v="3.9162224934612029"/>
    <n v="1.1499528005502413"/>
  </r>
  <r>
    <n v="38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793629"/>
    <n v="1"/>
    <s v="BHHEPS1533793629"/>
    <s v="9811162255"/>
    <s v="CHRIS"/>
    <s v="HANSON"/>
    <m/>
    <s v="13644 SUNSHINE VALLEY RD"/>
    <s v="PIEDMONT"/>
    <s v="SD"/>
    <s v="57769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719"/>
    <n v="42719.626048530103"/>
    <x v="1"/>
    <s v="7674F43B1B6841BFB5A7DF835ACEED4C"/>
    <n v="32.267000000000003"/>
    <n v="4.5"/>
    <n v="31.912660854402784"/>
    <n v="4.6294175975068628"/>
    <n v="3.9162224934612029"/>
    <n v="1.1499528005502413"/>
  </r>
  <r>
    <n v="38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2"/>
    <b v="0"/>
    <b v="0"/>
    <s v=""/>
    <s v="BHHEPS1533793737"/>
    <n v="1"/>
    <s v="BHHEPS1533793737"/>
    <s v="3556914605"/>
    <s v="SENTHILKUMAR"/>
    <s v="VELUSWAMY"/>
    <m/>
    <s v="1538 N KEPP C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1"/>
    <n v="0"/>
    <n v="4.3999999999999997E-2"/>
    <m/>
    <n v="371.58"/>
    <m/>
    <m/>
    <m/>
    <m/>
    <m/>
    <n v="0"/>
    <n v="61.6"/>
    <n v="42719"/>
    <n v="42719.6268824074"/>
    <x v="1"/>
    <s v="325AD7E9E38E4351835E0F0221A54ED7"/>
    <n v="33.78"/>
    <n v="5.6000000000000005"/>
    <n v="31.912660854402784"/>
    <n v="4.6294175975068628"/>
    <n v="3.9162224934612029"/>
    <n v="1.1499528005502413"/>
  </r>
  <r>
    <n v="38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793737"/>
    <n v="0"/>
    <s v="BHHEPS1533793737"/>
    <s v="3556914605"/>
    <s v="SENTHILKUMAR"/>
    <s v="VELUSWAMY"/>
    <m/>
    <s v="1538 N KEPP C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4"/>
    <n v="0"/>
    <n v="5.3199999999999997E-2"/>
    <m/>
    <n v="451.738"/>
    <m/>
    <m/>
    <m/>
    <m/>
    <m/>
    <n v="0"/>
    <n v="63"/>
    <n v="42719"/>
    <n v="42719.6268824074"/>
    <x v="1"/>
    <s v="88A5A1DCAC8F4BF79B9D2118A7E0FA5F"/>
    <n v="32.267000000000003"/>
    <n v="4.5"/>
    <n v="31.912660854402784"/>
    <n v="4.6294175975068628"/>
    <n v="3.9162224934612029"/>
    <n v="1.1499528005502413"/>
  </r>
  <r>
    <n v="38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3793737"/>
    <n v="0"/>
    <s v="BHHEPS1533793737"/>
    <s v="3556914605"/>
    <s v="SENTHILKUMAR"/>
    <s v="VELUSWAMY"/>
    <m/>
    <s v="1538 N KEPP C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4"/>
    <n v="0"/>
    <n v="3.78E-2"/>
    <m/>
    <n v="324.68799999999999"/>
    <m/>
    <m/>
    <m/>
    <m/>
    <m/>
    <n v="0"/>
    <n v="56"/>
    <n v="42719"/>
    <n v="42719.6268824074"/>
    <x v="1"/>
    <s v="743D2E66A63C49BEAC429166A6445911"/>
    <n v="23.192"/>
    <n v="4"/>
    <n v="31.912660854402784"/>
    <n v="4.6294175975068628"/>
    <n v="3.9162224934612029"/>
    <n v="1.1499528005502413"/>
  </r>
  <r>
    <n v="39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793749"/>
    <n v="1"/>
    <s v="BHHEPS1533793749"/>
    <s v="2246183095"/>
    <s v="LANA K"/>
    <s v="HUSSEY"/>
    <m/>
    <s v="2720 WESTGATE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719"/>
    <n v="42719.627865937502"/>
    <x v="1"/>
    <s v="E81D5AC396874F29B7DE85C014AFB10C"/>
    <n v="33.78"/>
    <n v="5.6"/>
    <n v="31.912660854402784"/>
    <n v="4.6294175975068628"/>
    <n v="3.9162224934612029"/>
    <n v="1.1499528005502413"/>
  </r>
  <r>
    <n v="39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793759"/>
    <n v="1"/>
    <s v="BHHEPS1533793759"/>
    <s v="4999524514"/>
    <s v="HOWARD"/>
    <s v="SHAFF"/>
    <m/>
    <s v="1105 WEST BLVD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19"/>
    <n v="42719.629433564798"/>
    <x v="1"/>
    <s v="3005CAF42FC849E9894003FCFE1524A6"/>
    <n v="32.267000000000003"/>
    <n v="4.5"/>
    <n v="31.912660854402784"/>
    <n v="4.6294175975068628"/>
    <n v="3.9162224934612029"/>
    <n v="1.1499528005502413"/>
  </r>
  <r>
    <n v="39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793764"/>
    <n v="1"/>
    <s v="BHHEPS1533793764"/>
    <s v="5076384876"/>
    <s v="KENNETH L"/>
    <s v="MEIROSE"/>
    <m/>
    <s v="1211 PINE VIEW DR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19"/>
    <n v="42719.630420370398"/>
    <x v="1"/>
    <s v="D9D04DB40AFF4593A567FEA8EDE80FB6"/>
    <n v="32.267000000000003"/>
    <n v="4.5"/>
    <n v="31.912660854402784"/>
    <n v="4.6294175975068628"/>
    <n v="3.9162224934612029"/>
    <n v="1.1499528005502413"/>
  </r>
  <r>
    <n v="39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812940"/>
    <n v="1"/>
    <s v="BHHEPS1533812940"/>
    <s v="4855974185"/>
    <s v="DERIK"/>
    <s v="MORAN"/>
    <m/>
    <s v="3110 LAZELLE ST                                   LOT 206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726"/>
    <n v="42726.7844392361"/>
    <x v="1"/>
    <s v="B9DFA0F8BC14484EBC59AA4B0D27FA4D"/>
    <n v="32.267000000000003"/>
    <n v="4.5"/>
    <n v="31.912660854402784"/>
    <n v="4.6294175975068628"/>
    <n v="3.9162224934612029"/>
    <n v="1.1499528005502413"/>
  </r>
  <r>
    <n v="394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5.0515134880505186E-2"/>
    <n v="0.4214787522569125"/>
    <b v="0"/>
    <b v="0"/>
    <s v=""/>
    <s v="BHHEPS1533979100"/>
    <n v="1"/>
    <s v="BHHEPS1533979100"/>
    <s v="0757690714"/>
    <s v="JOHN D"/>
    <s v="BUXTON"/>
    <m/>
    <s v="2631 TUMBLEWEED TRL"/>
    <s v="SPEARFISH"/>
    <s v="SD"/>
    <s v="57783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LT560WH6930"/>
    <m/>
    <n v="70"/>
    <n v="0"/>
    <n v="0.27300000000000002"/>
    <m/>
    <n v="2329.3200000000002"/>
    <m/>
    <m/>
    <m/>
    <m/>
    <m/>
    <n v="0"/>
    <n v="700"/>
    <n v="42774"/>
    <n v="42774.626848495398"/>
    <x v="1"/>
    <s v="D93ACC2B3198482295F3986401669722"/>
    <n v="33.276000000000003"/>
    <n v="10"/>
    <n v="35.519370843989762"/>
    <n v="44.409875363027503"/>
    <n v="9.3048337595907924"/>
    <n v="1.6493506177636894"/>
  </r>
  <r>
    <n v="395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0.33548009388051053"/>
    <n v="0.4214787522569125"/>
    <b v="0"/>
    <b v="0"/>
    <s v=""/>
    <s v="BHHEPS1533979114"/>
    <n v="1"/>
    <s v="BHHEPS1533979114"/>
    <s v="7666844298"/>
    <s v="STACI"/>
    <s v="MILLER"/>
    <m/>
    <s v="2224 CEDAR DR"/>
    <s v="RAPID CITY"/>
    <s v="SD"/>
    <s v="57702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LED14FMM-165L8"/>
    <m/>
    <n v="2"/>
    <n v="0"/>
    <n v="1.18E-2"/>
    <m/>
    <n v="100.836"/>
    <m/>
    <m/>
    <m/>
    <m/>
    <m/>
    <n v="0"/>
    <n v="20"/>
    <n v="42774"/>
    <n v="42774.631579479203"/>
    <x v="1"/>
    <s v="DE7F0AE12804447AB2DA0B35CC97F1DD"/>
    <n v="50.417999999999999"/>
    <n v="10"/>
    <n v="35.519370843989762"/>
    <n v="44.409875363027503"/>
    <n v="9.3048337595907924"/>
    <n v="1.6493506177636894"/>
  </r>
  <r>
    <n v="396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0.11748803871568768"/>
    <n v="0.4214787522569125"/>
    <b v="0"/>
    <b v="0"/>
    <s v=""/>
    <s v="BHHEPS1533979114"/>
    <n v="0"/>
    <s v="BHHEPS1533979114"/>
    <s v="7666844298"/>
    <s v="STACI"/>
    <s v="MILLER"/>
    <m/>
    <s v="2224 CEDAR DR"/>
    <s v="RAPID CITY"/>
    <s v="SD"/>
    <s v="57702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EV608941"/>
    <m/>
    <n v="8"/>
    <n v="0"/>
    <n v="3.8399999999999997E-2"/>
    <m/>
    <n v="325.89600000000002"/>
    <m/>
    <m/>
    <m/>
    <m/>
    <m/>
    <n v="0"/>
    <n v="80"/>
    <n v="42774"/>
    <n v="42774.631579479203"/>
    <x v="1"/>
    <s v="531C271707A54502BF179E6C155F6DC6"/>
    <n v="40.737000000000002"/>
    <n v="10"/>
    <n v="35.519370843989762"/>
    <n v="44.409875363027503"/>
    <n v="9.3048337595907924"/>
    <n v="1.6493506177636894"/>
  </r>
  <r>
    <n v="39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983085"/>
    <n v="1"/>
    <s v="BHHEPS1533983085"/>
    <s v="6704224759"/>
    <s v="DEAN D"/>
    <s v="SIGMAN"/>
    <m/>
    <s v="2322 PALISADES LOOP"/>
    <s v="STURGIS"/>
    <s v="SD"/>
    <s v="57785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719"/>
    <n v="42775.696197488403"/>
    <x v="1"/>
    <s v="57360133932A42288740B5A75E975D1C"/>
    <n v="32.267000000000003"/>
    <n v="4.5"/>
    <n v="31.912660854402784"/>
    <n v="4.6294175975068628"/>
    <n v="3.9162224934612029"/>
    <n v="1.1499528005502413"/>
  </r>
  <r>
    <n v="39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983093"/>
    <n v="1"/>
    <s v="BHHEPS1533983093"/>
    <s v="7725172030"/>
    <s v="JENNIFER J"/>
    <s v="BYINGTON"/>
    <m/>
    <s v="4036 W MAIN S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5600000000000002E-2"/>
    <m/>
    <n v="387.20400000000001"/>
    <m/>
    <m/>
    <m/>
    <m/>
    <m/>
    <n v="0"/>
    <n v="54"/>
    <n v="42733"/>
    <n v="42775.705532210603"/>
    <x v="1"/>
    <s v="8ECBBF00571E408DBA85E94DFEFAC477"/>
    <n v="32.267000000000003"/>
    <n v="4.5"/>
    <n v="31.912660854402784"/>
    <n v="4.6294175975068628"/>
    <n v="3.9162224934612029"/>
    <n v="1.1499528005502413"/>
  </r>
  <r>
    <n v="39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983093"/>
    <n v="0"/>
    <s v="BHHEPS1533983093"/>
    <s v="7725172030"/>
    <s v="JENNIFER J"/>
    <s v="BYINGTON"/>
    <m/>
    <s v="4036 W MAIN S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0.04"/>
    <m/>
    <n v="337.8"/>
    <m/>
    <m/>
    <m/>
    <m/>
    <m/>
    <n v="0"/>
    <n v="56"/>
    <n v="42733"/>
    <n v="42775.705532210603"/>
    <x v="1"/>
    <s v="93EE9FBCD1FF4B9CA160A348A780CDB8"/>
    <n v="33.78"/>
    <n v="5.6"/>
    <n v="31.912660854402784"/>
    <n v="4.6294175975068628"/>
    <n v="3.9162224934612029"/>
    <n v="1.1499528005502413"/>
  </r>
  <r>
    <n v="40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1937E-2"/>
    <n v="0.50765345000200468"/>
    <b v="0"/>
    <b v="0"/>
    <s v=""/>
    <s v="BHHEPS1533983107"/>
    <n v="1"/>
    <s v="BHHEPS1533983107"/>
    <s v="3526003445"/>
    <s v="JEF"/>
    <s v="MATTERN"/>
    <m/>
    <s v="612 DEERFIELD CT"/>
    <s v="SPEARFISH"/>
    <s v="SD"/>
    <s v="57783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5"/>
    <n v="0"/>
    <n v="9.5000000000000001E-2"/>
    <m/>
    <n v="806.67499999999995"/>
    <m/>
    <m/>
    <m/>
    <m/>
    <m/>
    <n v="0"/>
    <n v="112.5"/>
    <n v="42754"/>
    <n v="42775.7118960648"/>
    <x v="1"/>
    <s v="2F7F358F474A44A8B243599AFDB384EF"/>
    <n v="32.266999999999996"/>
    <n v="4.5"/>
    <n v="31.912660854402784"/>
    <n v="4.6294175975068628"/>
    <n v="3.9162224934612029"/>
    <n v="1.1499528005502413"/>
  </r>
  <r>
    <n v="40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3983111"/>
    <n v="1"/>
    <s v="BHHEPS1533983111"/>
    <s v="4557532254"/>
    <s v="KEITH"/>
    <s v="GADE"/>
    <m/>
    <s v="2114 HARNEY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747"/>
    <n v="42775.712720682903"/>
    <x v="1"/>
    <s v="A2B100FD476148688F10C5B8E3755890"/>
    <n v="33.78"/>
    <n v="5.6"/>
    <n v="31.912660854402784"/>
    <n v="4.6294175975068628"/>
    <n v="3.9162224934612029"/>
    <n v="1.1499528005502413"/>
  </r>
  <r>
    <n v="40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983115"/>
    <n v="1"/>
    <s v="BHHEPS1533983115"/>
    <s v="7974747601"/>
    <s v="AARON E"/>
    <s v="MORLOCK"/>
    <m/>
    <s v="215 E SUMMIT ST"/>
    <s v="LEAD"/>
    <s v="SD"/>
    <s v="57754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754"/>
    <n v="42775.713909375001"/>
    <x v="1"/>
    <s v="A91C24C719584E57AE9D8FB486AA8D59"/>
    <n v="32.267000000000003"/>
    <n v="4.5"/>
    <n v="31.912660854402784"/>
    <n v="4.6294175975068628"/>
    <n v="3.9162224934612029"/>
    <n v="1.1499528005502413"/>
  </r>
  <r>
    <n v="40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3983138"/>
    <n v="1"/>
    <s v="BHHEPS1533983138"/>
    <s v="4557532254"/>
    <s v="KEITH"/>
    <s v="GADE"/>
    <m/>
    <s v="2114 HARNEY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747"/>
    <n v="42775.741581134302"/>
    <x v="1"/>
    <s v="61889BE8E9334C2DBFDCF933EEBD3B44"/>
    <n v="32.267000000000003"/>
    <n v="4.5"/>
    <n v="31.912660854402784"/>
    <n v="4.6294175975068628"/>
    <n v="3.9162224934612029"/>
    <n v="1.1499528005502413"/>
  </r>
  <r>
    <n v="40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020480"/>
    <n v="1"/>
    <s v="BHHEPS1534020480"/>
    <s v="2547917719"/>
    <s v="DAVID P"/>
    <s v="BRUECKNER"/>
    <m/>
    <s v="21250 US HIGHWAY 14A"/>
    <s v="LEAD"/>
    <s v="SD"/>
    <s v="57754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789"/>
    <n v="42789.5412665162"/>
    <x v="1"/>
    <s v="8B935DC7AADC4ABF9BBA9E4E0B10BC7B"/>
    <n v="32.267000000000003"/>
    <n v="4.5"/>
    <n v="31.912660854402784"/>
    <n v="4.6294175975068628"/>
    <n v="3.9162224934612029"/>
    <n v="1.1499528005502413"/>
  </r>
  <r>
    <n v="40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020486"/>
    <n v="1"/>
    <s v="BHHEPS1534020486"/>
    <s v="1049767998"/>
    <s v="KELLI"/>
    <s v="FOLTZ"/>
    <m/>
    <s v="5 GLENDALE LN                                     APT D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9E-2"/>
    <m/>
    <n v="161.33500000000001"/>
    <m/>
    <m/>
    <m/>
    <m/>
    <m/>
    <n v="0"/>
    <n v="22.5"/>
    <n v="42789"/>
    <n v="42789.5425783912"/>
    <x v="1"/>
    <s v="614E74625756454EAB9364FF7F2B27E6"/>
    <n v="32.267000000000003"/>
    <n v="4.5"/>
    <n v="31.912660854402784"/>
    <n v="4.6294175975068628"/>
    <n v="3.9162224934612029"/>
    <n v="1.1499528005502413"/>
  </r>
  <r>
    <n v="40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032921"/>
    <n v="1"/>
    <s v="BHHEPS1534032921"/>
    <s v="3818148881"/>
    <s v="STEVE"/>
    <s v="SCHOCK"/>
    <m/>
    <s v="5653 FINCH C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794"/>
    <n v="42794.536915972203"/>
    <x v="1"/>
    <s v="A6CE9D1C4358455B8F487C1404952BEE"/>
    <n v="33.78"/>
    <n v="5.6"/>
    <n v="31.912660854402784"/>
    <n v="4.6294175975068628"/>
    <n v="3.9162224934612029"/>
    <n v="1.1499528005502413"/>
  </r>
  <r>
    <n v="407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5.0515134880505186E-2"/>
    <n v="0.4214787522569125"/>
    <b v="0"/>
    <b v="0"/>
    <s v=""/>
    <s v="BHHEPS1534066295"/>
    <n v="1"/>
    <s v="BHHEPS1534066295"/>
    <s v="2803796049"/>
    <s v="MICHAEL J"/>
    <s v="BARKL"/>
    <m/>
    <s v="10370 QUAAL RD"/>
    <s v="BLACK HAWK"/>
    <s v="SD"/>
    <s v="57718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LT560WH6930"/>
    <m/>
    <n v="32"/>
    <n v="0"/>
    <n v="0.12479999999999999"/>
    <m/>
    <n v="1064.8320000000001"/>
    <m/>
    <m/>
    <m/>
    <m/>
    <m/>
    <n v="0"/>
    <n v="320"/>
    <n v="42802"/>
    <n v="42802.591133831003"/>
    <x v="1"/>
    <s v="1CB4AA83CC234323AA21AC5C8587ECFF"/>
    <n v="33.276000000000003"/>
    <n v="10"/>
    <n v="35.519370843989762"/>
    <n v="44.409875363027503"/>
    <n v="9.3048337595907924"/>
    <n v="1.6493506177636894"/>
  </r>
  <r>
    <n v="408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2.1017191252169592E-2"/>
    <n v="0.4214787522569125"/>
    <b v="0"/>
    <b v="0"/>
    <s v=""/>
    <s v="BHHEPS1534090855"/>
    <n v="1"/>
    <s v="BHHEPS1534090855"/>
    <s v="2708415614"/>
    <s v="SHAMIE D"/>
    <s v="OVERBY"/>
    <m/>
    <s v="5026 W CHICAGO ST"/>
    <s v="RAPID CITY"/>
    <s v="SD"/>
    <s v="57702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RL560"/>
    <m/>
    <n v="25"/>
    <n v="0"/>
    <n v="0.10249999999999999"/>
    <m/>
    <n v="864.65"/>
    <m/>
    <m/>
    <m/>
    <m/>
    <m/>
    <n v="0"/>
    <n v="250"/>
    <n v="42811"/>
    <n v="42811.7676993403"/>
    <x v="1"/>
    <s v="3FC8B360E0FF41E991E56E8267AFBCD7"/>
    <n v="34.585999999999999"/>
    <n v="10"/>
    <n v="35.519370843989762"/>
    <n v="44.409875363027503"/>
    <n v="9.3048337595907924"/>
    <n v="1.6493506177636894"/>
  </r>
  <r>
    <n v="409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2.7817480546640867E-2"/>
    <n v="0.4214787522569125"/>
    <b v="0"/>
    <b v="0"/>
    <s v=""/>
    <s v="BHHEPS1534090855"/>
    <n v="0"/>
    <s v="BHHEPS1534090855"/>
    <s v="2708415614"/>
    <s v="SHAMIE D"/>
    <s v="OVERBY"/>
    <m/>
    <s v="5026 W CHICAGO ST"/>
    <s v="RAPID CITY"/>
    <s v="SD"/>
    <s v="57702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XEL-014PAL"/>
    <m/>
    <n v="2"/>
    <n v="0"/>
    <n v="8.0000000000000002E-3"/>
    <m/>
    <n v="68.567999999999998"/>
    <m/>
    <m/>
    <m/>
    <m/>
    <m/>
    <n v="0"/>
    <n v="20"/>
    <n v="42811"/>
    <n v="42811.7676993403"/>
    <x v="1"/>
    <s v="FDF7809749564CB483E0A24FD1007DAB"/>
    <n v="34.283999999999999"/>
    <n v="10"/>
    <n v="35.519370843989762"/>
    <n v="44.409875363027503"/>
    <n v="9.3048337595907924"/>
    <n v="1.6493506177636894"/>
  </r>
  <r>
    <n v="41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134294"/>
    <n v="1"/>
    <s v="BHHEPS1534134294"/>
    <s v="4182144992"/>
    <s v="TODD A"/>
    <s v="BOCKORNY"/>
    <m/>
    <s v="515 ALTA VISTA DR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9E-2"/>
    <m/>
    <n v="161.33500000000001"/>
    <m/>
    <m/>
    <m/>
    <m/>
    <m/>
    <n v="0"/>
    <n v="22.5"/>
    <n v="42824"/>
    <n v="42824.713282835597"/>
    <x v="1"/>
    <s v="F110E1C3E25941418586A8DD37478283"/>
    <n v="32.267000000000003"/>
    <n v="4.5"/>
    <n v="31.912660854402784"/>
    <n v="4.6294175975068628"/>
    <n v="3.9162224934612029"/>
    <n v="1.1499528005502413"/>
  </r>
  <r>
    <n v="41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134297"/>
    <n v="1"/>
    <s v="BHHEPS1534134297"/>
    <s v="6298095065"/>
    <s v="CLAYTON R"/>
    <s v="TRULSON"/>
    <m/>
    <s v="6641 CARNOUSTIE C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824"/>
    <n v="42824.714325659697"/>
    <x v="1"/>
    <s v="F4210C7C7B4E4E5A870787B628746DCF"/>
    <n v="33.78"/>
    <n v="5.6"/>
    <n v="31.912660854402784"/>
    <n v="4.6294175975068628"/>
    <n v="3.9162224934612029"/>
    <n v="1.1499528005502413"/>
  </r>
  <r>
    <n v="41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134300"/>
    <n v="1"/>
    <s v="BHHEPS1534134300"/>
    <s v="0930754044"/>
    <s v="JOHN E"/>
    <s v="STAHL"/>
    <m/>
    <s v="25324 SIDNEY PARK RD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824"/>
    <n v="42824.715253738403"/>
    <x v="1"/>
    <s v="B5EC99DA98A6472BA164D84BC8824FCE"/>
    <n v="32.267000000000003"/>
    <n v="4.5"/>
    <n v="31.912660854402784"/>
    <n v="4.6294175975068628"/>
    <n v="3.9162224934612029"/>
    <n v="1.1499528005502413"/>
  </r>
  <r>
    <n v="41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134300"/>
    <n v="0"/>
    <s v="BHHEPS1534134300"/>
    <s v="0930754044"/>
    <s v="JOHN E"/>
    <s v="STAHL"/>
    <m/>
    <s v="25324 SIDNEY PARK RD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824"/>
    <n v="42824.715253738403"/>
    <x v="1"/>
    <s v="C3A2A72597A24AA8B9688E48B674135A"/>
    <n v="23.192"/>
    <n v="4"/>
    <n v="31.912660854402784"/>
    <n v="4.6294175975068628"/>
    <n v="3.9162224934612029"/>
    <n v="1.1499528005502413"/>
  </r>
  <r>
    <n v="41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134301"/>
    <n v="1"/>
    <s v="BHHEPS1534134301"/>
    <s v="0854517046"/>
    <s v="DIXIE J"/>
    <s v="HOLMES"/>
    <m/>
    <s v="6917 COG HILL LN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824"/>
    <n v="42824.716399884303"/>
    <x v="1"/>
    <s v="E96A3B7A28F545729DB68C8E3AFDA31E"/>
    <n v="33.78"/>
    <n v="5.6"/>
    <n v="31.912660854402784"/>
    <n v="4.6294175975068628"/>
    <n v="3.9162224934612029"/>
    <n v="1.1499528005502413"/>
  </r>
  <r>
    <n v="41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134301"/>
    <n v="0"/>
    <s v="BHHEPS1534134301"/>
    <s v="0854517046"/>
    <s v="DIXIE J"/>
    <s v="HOLMES"/>
    <m/>
    <s v="6917 COG HILL LN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824"/>
    <n v="42824.716399884303"/>
    <x v="1"/>
    <s v="D5FE214015CB4989AA5B173B51BB21E2"/>
    <n v="32.267000000000003"/>
    <n v="4.5"/>
    <n v="31.912660854402784"/>
    <n v="4.6294175975068628"/>
    <n v="3.9162224934612029"/>
    <n v="1.1499528005502413"/>
  </r>
  <r>
    <n v="41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242056"/>
    <n v="1"/>
    <s v="BHHEPS1534242056"/>
    <s v="4182144992"/>
    <s v="TODD A"/>
    <s v="BOCKORNY"/>
    <m/>
    <s v="515 ALTA VISTA DR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35E-2"/>
    <m/>
    <n v="115.96"/>
    <m/>
    <m/>
    <m/>
    <m/>
    <m/>
    <n v="0"/>
    <n v="20"/>
    <n v="42846"/>
    <n v="42846.699536539403"/>
    <x v="1"/>
    <s v="9C28233924564EDF8420D14C595C23F3"/>
    <n v="23.192"/>
    <n v="4"/>
    <n v="31.912660854402784"/>
    <n v="4.6294175975068628"/>
    <n v="3.9162224934612029"/>
    <n v="1.1499528005502413"/>
  </r>
  <r>
    <n v="41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242551"/>
    <n v="1"/>
    <s v="BHHEPS1534242551"/>
    <s v="1351661913"/>
    <s v="BRANDON"/>
    <s v="HUBLER"/>
    <m/>
    <s v="247 1/2 N 10TH ST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846"/>
    <n v="42846.700620335701"/>
    <x v="1"/>
    <s v="BEB79FAB5CEB4349A7E0CE400DDE0ED1"/>
    <n v="33.78"/>
    <n v="5.6"/>
    <n v="31.912660854402784"/>
    <n v="4.6294175975068628"/>
    <n v="3.9162224934612029"/>
    <n v="1.1499528005502413"/>
  </r>
  <r>
    <n v="41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242551"/>
    <n v="0"/>
    <s v="BHHEPS1534242551"/>
    <s v="1351661913"/>
    <s v="BRANDON"/>
    <s v="HUBLER"/>
    <m/>
    <s v="247 1/2 N 10TH ST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7"/>
    <n v="0"/>
    <n v="2.6599999999999999E-2"/>
    <m/>
    <n v="225.869"/>
    <m/>
    <m/>
    <m/>
    <m/>
    <m/>
    <n v="0"/>
    <n v="31.5"/>
    <n v="42846"/>
    <n v="42846.700620335701"/>
    <x v="1"/>
    <s v="0E5E9E9F80EA479D9D976D6C3D483EDF"/>
    <n v="32.267000000000003"/>
    <n v="4.5"/>
    <n v="31.912660854402784"/>
    <n v="4.6294175975068628"/>
    <n v="3.9162224934612029"/>
    <n v="1.1499528005502413"/>
  </r>
  <r>
    <n v="41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243084"/>
    <n v="1"/>
    <s v="BHHEPS1534243084"/>
    <s v="6386923355"/>
    <s v="BEVERLY J"/>
    <s v="MCNEESE"/>
    <m/>
    <s v="600 4TH AVE"/>
    <s v="BELLE FOURCHE"/>
    <s v="SD"/>
    <s v="57717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14E-2"/>
    <m/>
    <n v="96.801000000000002"/>
    <m/>
    <m/>
    <m/>
    <m/>
    <m/>
    <n v="0"/>
    <n v="13.5"/>
    <n v="42846"/>
    <n v="42846.7021451736"/>
    <x v="1"/>
    <s v="6A14C1B5388743FCB1ED99444AA39F80"/>
    <n v="32.267000000000003"/>
    <n v="4.5"/>
    <n v="31.912660854402784"/>
    <n v="4.6294175975068628"/>
    <n v="3.9162224934612029"/>
    <n v="1.1499528005502413"/>
  </r>
  <r>
    <n v="42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243693"/>
    <n v="1"/>
    <s v="BHHEPS1534243693"/>
    <s v="3258244820"/>
    <s v="MATT J"/>
    <s v="KOUPAL"/>
    <m/>
    <s v="4606 WENTWORTH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846"/>
    <n v="42846.703093286997"/>
    <x v="1"/>
    <s v="DA1199F63D5F403082E7C042CF85E43F"/>
    <n v="23.192"/>
    <n v="4"/>
    <n v="31.912660854402784"/>
    <n v="4.6294175975068628"/>
    <n v="3.9162224934612029"/>
    <n v="1.1499528005502413"/>
  </r>
  <r>
    <n v="42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243693"/>
    <n v="0"/>
    <s v="BHHEPS1534243693"/>
    <s v="3258244820"/>
    <s v="MATT J"/>
    <s v="KOUPAL"/>
    <m/>
    <s v="4606 WENTWORTH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22.4"/>
    <n v="42846"/>
    <n v="42846.703093286997"/>
    <x v="1"/>
    <s v="C454BB8E8605448A959FE7065B245D02"/>
    <n v="33.78"/>
    <n v="5.6"/>
    <n v="31.912660854402784"/>
    <n v="4.6294175975068628"/>
    <n v="3.9162224934612029"/>
    <n v="1.1499528005502413"/>
  </r>
  <r>
    <n v="42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243693"/>
    <n v="0"/>
    <s v="BHHEPS1534243693"/>
    <s v="3258244820"/>
    <s v="MATT J"/>
    <s v="KOUPAL"/>
    <m/>
    <s v="4606 WENTWORTH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9"/>
    <n v="42846"/>
    <n v="42846.703093286997"/>
    <x v="1"/>
    <s v="F1C877F1C9D44D8988C44D091CCADE41"/>
    <n v="32.267000000000003"/>
    <n v="4.5"/>
    <n v="31.912660854402784"/>
    <n v="4.6294175975068628"/>
    <n v="3.9162224934612029"/>
    <n v="1.1499528005502413"/>
  </r>
  <r>
    <n v="42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357470"/>
    <n v="1"/>
    <s v="BHHEPS1534357470"/>
    <s v="0752005724"/>
    <s v="WILLIAM G"/>
    <s v="SCHLEINING"/>
    <m/>
    <s v="221 S 11TH ST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879"/>
    <n v="42879.446023148201"/>
    <x v="1"/>
    <s v="E190D68BCF294FEA9F7D73554AECB670"/>
    <n v="32.267000000000003"/>
    <n v="4.5"/>
    <n v="31.912660854402784"/>
    <n v="4.6294175975068628"/>
    <n v="3.9162224934612029"/>
    <n v="1.1499528005502413"/>
  </r>
  <r>
    <n v="42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358501"/>
    <n v="1"/>
    <s v="BHHEPS1534358501"/>
    <s v="5079633753"/>
    <s v="DOROTHY E"/>
    <s v="OLDENKAMP"/>
    <m/>
    <s v="23137 PACTOLA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3.7999999999999999E-2"/>
    <m/>
    <n v="322.67"/>
    <m/>
    <m/>
    <m/>
    <m/>
    <m/>
    <n v="0"/>
    <n v="45"/>
    <n v="42879"/>
    <n v="42879.7603087963"/>
    <x v="1"/>
    <s v="36E6381272E14C3F99C2F5787298B235"/>
    <n v="32.267000000000003"/>
    <n v="4.5"/>
    <n v="31.912660854402784"/>
    <n v="4.6294175975068628"/>
    <n v="3.9162224934612029"/>
    <n v="1.1499528005502413"/>
  </r>
  <r>
    <n v="42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361697"/>
    <n v="1"/>
    <s v="BHHEPS1534361697"/>
    <s v="0752005724"/>
    <s v="WILLIAM G"/>
    <s v="SCHLEINING"/>
    <m/>
    <s v="221 S 11TH ST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880"/>
    <n v="42880.720618090301"/>
    <x v="1"/>
    <s v="C422842BDD2E459CA4A4C800794DF636"/>
    <n v="32.267000000000003"/>
    <n v="4.5"/>
    <n v="31.912660854402784"/>
    <n v="4.6294175975068628"/>
    <n v="3.9162224934612029"/>
    <n v="1.1499528005502413"/>
  </r>
  <r>
    <n v="42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1.4642144492653311"/>
    <b v="0"/>
    <b v="0"/>
    <s v=""/>
    <s v="BHHEPS1534377012"/>
    <n v="1"/>
    <s v="BHHEPS1534377012"/>
    <s v="3047726445"/>
    <s v="DELORES C"/>
    <s v="GOLDADE"/>
    <m/>
    <s v="1128 PARKWOOD RD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7.6E-3"/>
    <m/>
    <n v="64.534000000000006"/>
    <m/>
    <m/>
    <m/>
    <m/>
    <m/>
    <n v="0"/>
    <n v="11.2"/>
    <n v="42886"/>
    <n v="42886.430599537001"/>
    <x v="1"/>
    <s v="E87B26F392A14D14B287AB8567DD137A"/>
    <n v="32.267000000000003"/>
    <n v="5.6"/>
    <n v="31.912660854402784"/>
    <n v="4.6294175975068628"/>
    <n v="3.9162224934612029"/>
    <n v="1.1499528005502413"/>
  </r>
  <r>
    <n v="42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377012"/>
    <n v="0"/>
    <s v="BHHEPS1534377012"/>
    <s v="3047726445"/>
    <s v="DELORES C"/>
    <s v="GOLDADE"/>
    <m/>
    <s v="1128 PARKWOOD RD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886"/>
    <n v="42886.430599537001"/>
    <x v="1"/>
    <s v="E121556081DD411089F981C643EE8274"/>
    <n v="23.192"/>
    <n v="4"/>
    <n v="31.912660854402784"/>
    <n v="4.6294175975068628"/>
    <n v="3.9162224934612029"/>
    <n v="1.1499528005502413"/>
  </r>
  <r>
    <n v="42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377012"/>
    <n v="0"/>
    <s v="BHHEPS1534377012"/>
    <s v="3047726445"/>
    <s v="DELORES C"/>
    <s v="GOLDADE"/>
    <m/>
    <s v="1128 PARKWOOD RD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886"/>
    <n v="42886.430599537001"/>
    <x v="1"/>
    <s v="0B9BDE44789D4B41806521FB39C12468"/>
    <n v="32.267000000000003"/>
    <n v="4.5"/>
    <n v="31.912660854402784"/>
    <n v="4.6294175975068628"/>
    <n v="3.9162224934612029"/>
    <n v="1.1499528005502413"/>
  </r>
  <r>
    <n v="42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377017"/>
    <n v="1"/>
    <s v="BHHEPS1534377017"/>
    <s v="4635032157"/>
    <s v="NEIL A"/>
    <s v="KLUG"/>
    <m/>
    <s v="824 W MAIN ST"/>
    <s v="LEAD"/>
    <s v="SD"/>
    <s v="57754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886"/>
    <n v="42886.432321527798"/>
    <x v="1"/>
    <s v="A75B513E52EA4EC492C7A77D6919EB04"/>
    <n v="33.78"/>
    <n v="5.6"/>
    <n v="31.912660854402784"/>
    <n v="4.6294175975068628"/>
    <n v="3.9162224934612029"/>
    <n v="1.1499528005502413"/>
  </r>
  <r>
    <n v="43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377984"/>
    <n v="1"/>
    <s v="BHHEPS1534377984"/>
    <s v="3567909410"/>
    <s v="DARREL"/>
    <s v="BURCH"/>
    <m/>
    <s v="1013 KINGSBURY ST"/>
    <s v="BELLE FOURCHE"/>
    <s v="SD"/>
    <s v="57717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4000000000000003E-3"/>
    <m/>
    <n v="46.384"/>
    <m/>
    <m/>
    <m/>
    <m/>
    <m/>
    <n v="0"/>
    <n v="8"/>
    <n v="42886"/>
    <n v="42886.6966791667"/>
    <x v="1"/>
    <s v="989A94F497334F87A59767D12E096E76"/>
    <n v="23.192"/>
    <n v="4"/>
    <n v="31.912660854402784"/>
    <n v="4.6294175975068628"/>
    <n v="3.9162224934612029"/>
    <n v="1.1499528005502413"/>
  </r>
  <r>
    <n v="43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426000"/>
    <n v="1"/>
    <s v="BHHEPS1534426000"/>
    <s v="0752005724"/>
    <s v="WILLIAM G"/>
    <s v="SCHLEINING"/>
    <m/>
    <s v="221 S 11TH ST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898"/>
    <n v="42898.653564039298"/>
    <x v="1"/>
    <s v="786EF8E57D9C4EF0A66313F9FD979752"/>
    <n v="32.267000000000003"/>
    <n v="4.5"/>
    <n v="31.912660854402784"/>
    <n v="4.6294175975068628"/>
    <n v="3.9162224934612029"/>
    <n v="1.1499528005502413"/>
  </r>
  <r>
    <n v="43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426003"/>
    <n v="1"/>
    <s v="BHHEPS1534426003"/>
    <s v="5461790617"/>
    <s v="MARK C"/>
    <s v="FREDERICK"/>
    <m/>
    <s v="3808 MEADOWBROOK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11.2"/>
    <n v="42898"/>
    <n v="42898.6552542477"/>
    <x v="1"/>
    <s v="952B9E22B769466B88DCDDE76D459D44"/>
    <n v="33.78"/>
    <n v="5.6"/>
    <n v="31.912660854402784"/>
    <n v="4.6294175975068628"/>
    <n v="3.9162224934612029"/>
    <n v="1.1499528005502413"/>
  </r>
  <r>
    <n v="433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9.706465331805364E-2"/>
    <n v="0.4214787522569125"/>
    <b v="0"/>
    <b v="0"/>
    <s v=""/>
    <s v="BHHEPS1534426046"/>
    <n v="1"/>
    <s v="BHHEPS1534426046"/>
    <s v="4658943298"/>
    <s v="JAMES R"/>
    <s v="BUCHHOLZ"/>
    <m/>
    <s v="546 ENCHANTED PINES DR"/>
    <s v="RAPID CITY"/>
    <s v="SD"/>
    <s v="57701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RL560W9830"/>
    <m/>
    <n v="56"/>
    <n v="0"/>
    <n v="0.26319999999999999"/>
    <m/>
    <n v="2230.48"/>
    <m/>
    <m/>
    <m/>
    <m/>
    <m/>
    <n v="0"/>
    <n v="560"/>
    <n v="42898"/>
    <n v="42898.673445057902"/>
    <x v="1"/>
    <s v="F308234C95024C699E7FC2B0FF12902E"/>
    <n v="39.83"/>
    <n v="10"/>
    <n v="35.519370843989762"/>
    <n v="44.409875363027503"/>
    <n v="9.3048337595907924"/>
    <n v="1.6493506177636894"/>
  </r>
  <r>
    <n v="43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463393"/>
    <n v="1"/>
    <s v="BHHEPS1534463393"/>
    <s v="0773094880"/>
    <s v="CHUCK C"/>
    <s v="SHUE"/>
    <m/>
    <s v="5570 NUGGET GULCH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14E-2"/>
    <m/>
    <n v="96.801000000000002"/>
    <m/>
    <m/>
    <m/>
    <m/>
    <m/>
    <n v="0"/>
    <n v="13.5"/>
    <n v="42909"/>
    <n v="42909.648393206"/>
    <x v="1"/>
    <s v="6D8EAF34A1874B4783332438C77FA1EE"/>
    <n v="32.267000000000003"/>
    <n v="4.5"/>
    <n v="31.912660854402784"/>
    <n v="4.6294175975068628"/>
    <n v="3.9162224934612029"/>
    <n v="1.1499528005502413"/>
  </r>
  <r>
    <n v="43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463393"/>
    <n v="0"/>
    <s v="BHHEPS1534463393"/>
    <s v="0773094880"/>
    <s v="CHUCK C"/>
    <s v="SHUE"/>
    <m/>
    <s v="5570 NUGGET GULCH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7"/>
    <n v="0"/>
    <n v="1.89E-2"/>
    <m/>
    <n v="162.34399999999999"/>
    <m/>
    <m/>
    <m/>
    <m/>
    <m/>
    <n v="0"/>
    <n v="28"/>
    <n v="42909"/>
    <n v="42909.648393206"/>
    <x v="1"/>
    <s v="E37A965629A44877B7CAB1FFF38F1E0B"/>
    <n v="23.192"/>
    <n v="4"/>
    <n v="31.912660854402784"/>
    <n v="4.6294175975068628"/>
    <n v="3.9162224934612029"/>
    <n v="1.1499528005502413"/>
  </r>
  <r>
    <n v="43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497444"/>
    <n v="1"/>
    <s v="BHHEPS1534497444"/>
    <s v="2536781811"/>
    <s v="ERNESTO A"/>
    <s v="PADILLA"/>
    <m/>
    <s v="516 SAINT JAMES ST                                APT 2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52E-2"/>
    <m/>
    <n v="129.06800000000001"/>
    <m/>
    <m/>
    <m/>
    <m/>
    <m/>
    <n v="0"/>
    <n v="18"/>
    <n v="42914"/>
    <n v="42921.6053982292"/>
    <x v="1"/>
    <s v="D98AA03118374BF1BC97D772CC6354B3"/>
    <n v="32.267000000000003"/>
    <n v="4.5"/>
    <n v="31.912660854402784"/>
    <n v="4.6294175975068628"/>
    <n v="3.9162224934612029"/>
    <n v="1.1499528005502413"/>
  </r>
  <r>
    <n v="43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35419"/>
    <n v="1"/>
    <s v="BHHEPS1534535419"/>
    <s v="5079633753"/>
    <s v="DOROTHY E"/>
    <s v="OLDENKAMP"/>
    <m/>
    <s v="23137 PACTOLA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9E-2"/>
    <m/>
    <n v="161.33500000000001"/>
    <m/>
    <m/>
    <m/>
    <m/>
    <m/>
    <n v="0"/>
    <n v="22.5"/>
    <n v="42927"/>
    <n v="42927.601135879602"/>
    <x v="1"/>
    <s v="9169267A9EFE49AF9911278F528169A7"/>
    <n v="32.267000000000003"/>
    <n v="4.5"/>
    <n v="31.912660854402784"/>
    <n v="4.6294175975068628"/>
    <n v="3.9162224934612029"/>
    <n v="1.1499528005502413"/>
  </r>
  <r>
    <n v="43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42851"/>
    <n v="1"/>
    <s v="BHHEPS1534542851"/>
    <s v="0752005724"/>
    <s v="WILLIAM G"/>
    <s v="SCHLEINING"/>
    <m/>
    <s v="221 S 11TH ST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929"/>
    <n v="42929.759636724499"/>
    <x v="1"/>
    <s v="C5B2D026091742C3943B5866FD9C1C3A"/>
    <n v="32.267000000000003"/>
    <n v="4.5"/>
    <n v="31.912660854402784"/>
    <n v="4.6294175975068628"/>
    <n v="3.9162224934612029"/>
    <n v="1.1499528005502413"/>
  </r>
  <r>
    <n v="43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50896"/>
    <n v="1"/>
    <s v="BHHEPS1534550896"/>
    <s v="5271807013"/>
    <s v="JESSICA C"/>
    <s v="LEGARDA"/>
    <m/>
    <s v="837 ADAMS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14E-2"/>
    <m/>
    <n v="96.801000000000002"/>
    <m/>
    <m/>
    <m/>
    <m/>
    <m/>
    <n v="0"/>
    <n v="13.5"/>
    <n v="42933"/>
    <n v="42933.560542164298"/>
    <x v="1"/>
    <s v="B6F2BDACC2BF4311A202CFBC4975B448"/>
    <n v="32.267000000000003"/>
    <n v="4.5"/>
    <n v="31.912660854402784"/>
    <n v="4.6294175975068628"/>
    <n v="3.9162224934612029"/>
    <n v="1.1499528005502413"/>
  </r>
  <r>
    <n v="44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1.4642144492653311"/>
    <b v="0"/>
    <b v="0"/>
    <s v=""/>
    <s v="BHHEPS1534550896"/>
    <n v="0"/>
    <s v="BHHEPS1534550896"/>
    <s v="5271807013"/>
    <s v="JESSICA C"/>
    <s v="LEGARDA"/>
    <m/>
    <s v="837 ADAMS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5.6"/>
    <n v="42933"/>
    <n v="42933.560542164298"/>
    <x v="1"/>
    <s v="0012779FDDFC417C964D9D7E6223ACF4"/>
    <n v="33.78"/>
    <n v="5.6"/>
    <n v="31.912660854402784"/>
    <n v="4.6294175975068628"/>
    <n v="3.9162224934612029"/>
    <n v="1.1499528005502413"/>
  </r>
  <r>
    <n v="44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54634"/>
    <n v="1"/>
    <s v="BHHEPS1534554634"/>
    <s v="3743279711"/>
    <s v="DAVID G"/>
    <s v="PARKER"/>
    <m/>
    <s v="327 SAN MARCO BLVD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0"/>
    <n v="0"/>
    <n v="7.5999999999999998E-2"/>
    <m/>
    <n v="645.34"/>
    <m/>
    <m/>
    <m/>
    <m/>
    <m/>
    <n v="0"/>
    <n v="90"/>
    <n v="42934"/>
    <n v="42934.512228969899"/>
    <x v="1"/>
    <s v="B6384D94A67D4D1DA24985993A84BD28"/>
    <n v="32.267000000000003"/>
    <n v="4.5"/>
    <n v="31.912660854402784"/>
    <n v="4.6294175975068628"/>
    <n v="3.9162224934612029"/>
    <n v="1.1499528005502413"/>
  </r>
  <r>
    <n v="44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7.2852995791401517E-2"/>
    <b v="0"/>
    <b v="0"/>
    <s v=""/>
    <s v="BHHEPS1534554634"/>
    <n v="0"/>
    <s v="BHHEPS1534554634"/>
    <s v="3743279711"/>
    <s v="DAVID G"/>
    <s v="PARKER"/>
    <m/>
    <s v="327 SAN MARCO BLVD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9"/>
    <n v="0"/>
    <n v="2.4299999999999999E-2"/>
    <m/>
    <n v="208.72800000000001"/>
    <m/>
    <m/>
    <m/>
    <m/>
    <m/>
    <n v="0"/>
    <n v="36"/>
    <n v="42934"/>
    <n v="42934.512228969899"/>
    <x v="1"/>
    <s v="B30ECD63635742379654D54738B54543"/>
    <n v="23.192"/>
    <n v="4"/>
    <n v="31.912660854402784"/>
    <n v="4.6294175975068628"/>
    <n v="3.9162224934612029"/>
    <n v="1.1499528005502413"/>
  </r>
  <r>
    <n v="44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7793969391457676"/>
    <b v="0"/>
    <b v="0"/>
    <s v=""/>
    <s v="BHHEPS1534569186"/>
    <n v="1"/>
    <s v="BHHEPS1534569186"/>
    <s v="5773829573"/>
    <s v="SHANNON K"/>
    <s v="HOLSTEIN"/>
    <m/>
    <s v="3013 MOTHERLODE DR"/>
    <s v="RAPID CITY"/>
    <s v="SD"/>
    <s v="57702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8"/>
    <n v="0"/>
    <n v="3.2000000000000001E-2"/>
    <m/>
    <n v="274.27199999999999"/>
    <m/>
    <m/>
    <m/>
    <m/>
    <m/>
    <n v="0"/>
    <n v="14.96"/>
    <n v="42937"/>
    <n v="42937.778202083296"/>
    <x v="1"/>
    <s v="DBC30244870749AFB6EEE741498AF240"/>
    <n v="34.283999999999999"/>
    <n v="1.87"/>
    <n v="31.912660854402784"/>
    <n v="4.6294175975068628"/>
    <n v="3.9162224934612029"/>
    <n v="1.1499528005502413"/>
  </r>
  <r>
    <n v="44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12"/>
    <n v="0.94245390421260777"/>
    <b v="0"/>
    <b v="0"/>
    <s v=""/>
    <s v="BHHEPS1534569194"/>
    <n v="1"/>
    <s v="BHHEPS1534569194"/>
    <s v="3341566170"/>
    <s v="DEBRA D"/>
    <s v="BISGAARD"/>
    <m/>
    <s v="8537 STABLES DR"/>
    <s v="PIEDMONT"/>
    <s v="SD"/>
    <s v="57769"/>
    <s v="LOWES - Rapid City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8"/>
    <m/>
    <n v="4"/>
    <n v="0"/>
    <n v="1.7600000000000001E-2"/>
    <m/>
    <n v="149.23599999999999"/>
    <m/>
    <m/>
    <m/>
    <m/>
    <m/>
    <n v="0"/>
    <n v="20"/>
    <n v="42937"/>
    <n v="42937.805287384297"/>
    <x v="1"/>
    <s v="122DAB358416497E8EBB574E9959A529"/>
    <n v="37.308999999999997"/>
    <n v="5"/>
    <n v="31.912660854402784"/>
    <n v="4.6294175975068628"/>
    <n v="3.9162224934612029"/>
    <n v="1.1499528005502413"/>
  </r>
  <r>
    <n v="44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0.49895744091779276"/>
    <b v="0"/>
    <b v="0"/>
    <s v=""/>
    <s v="BHHEPS1534569194"/>
    <n v="0"/>
    <s v="BHHEPS1534569194"/>
    <s v="3341566170"/>
    <s v="DEBRA D"/>
    <s v="BISGAARD"/>
    <m/>
    <s v="8537 STABLES DR"/>
    <s v="PIEDMONT"/>
    <s v="SD"/>
    <s v="57769"/>
    <s v="LOWES - Rapid City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6"/>
    <m/>
    <n v="4"/>
    <n v="0"/>
    <n v="1.4800000000000001E-2"/>
    <m/>
    <n v="125.036"/>
    <m/>
    <m/>
    <m/>
    <m/>
    <m/>
    <n v="0"/>
    <n v="17.96"/>
    <n v="42937"/>
    <n v="42937.805287384297"/>
    <x v="1"/>
    <s v="5A936476456B42D399E404047E78A182"/>
    <n v="31.259"/>
    <n v="4.49"/>
    <n v="31.912660854402784"/>
    <n v="4.6294175975068628"/>
    <n v="3.9162224934612029"/>
    <n v="1.1499528005502413"/>
  </r>
  <r>
    <n v="44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28"/>
    <n v="0.94245390421260777"/>
    <b v="0"/>
    <b v="0"/>
    <s v=""/>
    <s v="BHHEPS1534569197"/>
    <n v="1"/>
    <s v="BHHEPS1534569197"/>
    <s v="1169205080"/>
    <s v="PATRICK J"/>
    <s v="OCONNOR"/>
    <m/>
    <s v="7280 CASTLEWOOD DR"/>
    <s v="SUMMERSET"/>
    <s v="SD"/>
    <s v="57718"/>
    <s v="LOWES - Rapid City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9"/>
    <m/>
    <n v="3"/>
    <n v="0"/>
    <n v="1.32E-2"/>
    <m/>
    <n v="111.92700000000001"/>
    <m/>
    <m/>
    <m/>
    <m/>
    <m/>
    <n v="0"/>
    <n v="15"/>
    <n v="42937"/>
    <n v="42937.811945798603"/>
    <x v="1"/>
    <s v="7195CB8CC7BF47DFB25A4206B6964659"/>
    <n v="37.309000000000005"/>
    <n v="5"/>
    <n v="31.912660854402784"/>
    <n v="4.6294175975068628"/>
    <n v="3.9162224934612029"/>
    <n v="1.1499528005502413"/>
  </r>
  <r>
    <n v="447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2.7817480546640867E-2"/>
    <n v="-0.79718268840468876"/>
    <b v="0"/>
    <b v="0"/>
    <s v=""/>
    <s v="BHHEPS1534569199"/>
    <n v="1"/>
    <s v="BHHEPS1534569199"/>
    <s v="6791985603"/>
    <s v="KELLY"/>
    <s v="VORACHEK"/>
    <m/>
    <s v="9191 N EMERALD RIDGE RD"/>
    <s v="RAPID CITY"/>
    <s v="SD"/>
    <s v="57702"/>
    <s v="HOME DEPOT"/>
    <s v="5660 E WOODMAN ROAD"/>
    <s v="COLORADO SPRINGS"/>
    <s v="CO"/>
    <s v="80920"/>
    <s v="719-495-2400"/>
    <m/>
    <s v="Residential Lighting &amp; Appliances :- ES Star Fixture :- Customer Incentives"/>
    <s v="ENERGY STAR LED Fixture"/>
    <m/>
    <m/>
    <m/>
    <m/>
    <m/>
    <m/>
    <m/>
    <m/>
    <m/>
    <m/>
    <m/>
    <m/>
    <m/>
    <s v="cer4730my27"/>
    <m/>
    <n v="1"/>
    <n v="0"/>
    <n v="4.0000000000000001E-3"/>
    <m/>
    <n v="34.283999999999999"/>
    <m/>
    <m/>
    <m/>
    <m/>
    <m/>
    <n v="0"/>
    <n v="7.99"/>
    <n v="42937"/>
    <n v="42937.816817476902"/>
    <x v="1"/>
    <s v="D09EDCB7E32C4B67AF8E773B418C5851"/>
    <n v="34.283999999999999"/>
    <n v="7.99"/>
    <n v="35.519370843989762"/>
    <n v="44.409875363027503"/>
    <n v="9.3048337595907924"/>
    <n v="1.6493506177636894"/>
  </r>
  <r>
    <n v="448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6.1886479561657562E-2"/>
    <n v="-3.5194662051064753"/>
    <b v="0"/>
    <b v="1"/>
    <s v=""/>
    <s v="BHHEPS1534569199"/>
    <n v="0"/>
    <s v="BHHEPS1534569199"/>
    <s v="6791985603"/>
    <s v="KELLY"/>
    <s v="VORACHEK"/>
    <m/>
    <s v="9191 N EMERALD RIDGE RD"/>
    <s v="RAPID CITY"/>
    <s v="SD"/>
    <s v="57702"/>
    <s v="HOME DEPOT"/>
    <s v="5660 E WOODMAN ROAD"/>
    <s v="COLORADO SPRINGS"/>
    <s v="CO"/>
    <s v="80920"/>
    <s v="719-495-2400"/>
    <m/>
    <s v="Residential Lighting &amp; Appliances :- ES Star Fixture :- Customer Incentives"/>
    <s v="ENERGY STAR LED Fixture"/>
    <m/>
    <m/>
    <m/>
    <m/>
    <m/>
    <m/>
    <m/>
    <m/>
    <m/>
    <m/>
    <m/>
    <m/>
    <m/>
    <s v="dl-n18a10fr1-27"/>
    <m/>
    <n v="20"/>
    <n v="0"/>
    <n v="7.8E-2"/>
    <m/>
    <n v="655.42"/>
    <m/>
    <m/>
    <m/>
    <m/>
    <m/>
    <n v="0"/>
    <n v="70"/>
    <n v="42937"/>
    <n v="42937.816817476902"/>
    <x v="1"/>
    <s v="0BEC6ECB91AB41B08547751E969601D1"/>
    <n v="32.771000000000001"/>
    <n v="3.5"/>
    <n v="35.519370843989762"/>
    <n v="44.409875363027503"/>
    <n v="9.3048337595907924"/>
    <n v="1.6493506177636894"/>
  </r>
  <r>
    <n v="44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12"/>
    <n v="0.72505367710730617"/>
    <b v="0"/>
    <b v="0"/>
    <s v=""/>
    <s v="BHHEPS1534575413"/>
    <n v="1"/>
    <s v="BHHEPS1534575413"/>
    <s v="2895217110"/>
    <s v="RICHARD E"/>
    <s v="SCOTT"/>
    <m/>
    <s v="7904 WOODLAND DR"/>
    <s v="BLACK HAWK"/>
    <s v="SD"/>
    <s v="57718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3190"/>
    <m/>
    <n v="8"/>
    <n v="0"/>
    <n v="3.5200000000000002E-2"/>
    <m/>
    <n v="298.47199999999998"/>
    <m/>
    <m/>
    <m/>
    <m/>
    <m/>
    <n v="0"/>
    <n v="38"/>
    <n v="42940"/>
    <n v="42940.726356250001"/>
    <x v="1"/>
    <s v="ACBED4D0855B4F659922C665DE6DF132"/>
    <n v="37.308999999999997"/>
    <n v="4.75"/>
    <n v="31.912660854402784"/>
    <n v="4.6294175975068628"/>
    <n v="3.9162224934612029"/>
    <n v="1.1499528005502413"/>
  </r>
  <r>
    <n v="45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2.1014869904244713"/>
    <n v="-0.37064346750341348"/>
    <b v="1"/>
    <b v="0"/>
    <s v=""/>
    <s v="BHHEPS1534575413"/>
    <n v="0"/>
    <s v="BHHEPS1534575413"/>
    <s v="2895217110"/>
    <s v="RICHARD E"/>
    <s v="SCOTT"/>
    <m/>
    <s v="7904 WOODLAND DR"/>
    <s v="BLACK HAWK"/>
    <s v="SD"/>
    <s v="57718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50W PAR 20 D LED"/>
    <m/>
    <n v="4"/>
    <n v="0"/>
    <n v="1.04E-2"/>
    <m/>
    <n v="88.736000000000004"/>
    <m/>
    <m/>
    <m/>
    <m/>
    <m/>
    <n v="0"/>
    <n v="13.96"/>
    <n v="42940"/>
    <n v="42940.726356250001"/>
    <x v="1"/>
    <s v="0B6B48FE585E437583B876FFA452330D"/>
    <n v="22.184000000000001"/>
    <n v="3.49"/>
    <n v="31.912660854402784"/>
    <n v="4.6294175975068628"/>
    <n v="3.9162224934612029"/>
    <n v="1.1499528005502413"/>
  </r>
  <r>
    <n v="45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7793969391457676"/>
    <b v="0"/>
    <b v="0"/>
    <s v=""/>
    <s v="BHHEPS1534575413"/>
    <n v="0"/>
    <s v="BHHEPS1534575413"/>
    <s v="2895217110"/>
    <s v="RICHARD E"/>
    <s v="SCOTT"/>
    <m/>
    <s v="7904 WOODLAND DR"/>
    <s v="BLACK HAWK"/>
    <s v="SD"/>
    <s v="57718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16"/>
    <n v="0"/>
    <n v="6.4000000000000001E-2"/>
    <m/>
    <n v="548.54399999999998"/>
    <m/>
    <m/>
    <m/>
    <m/>
    <m/>
    <n v="0"/>
    <n v="29.92"/>
    <n v="42940"/>
    <n v="42940.726356250001"/>
    <x v="1"/>
    <s v="989A3CE240004B72A97F97B25D646DC3"/>
    <n v="34.283999999999999"/>
    <n v="1.87"/>
    <n v="31.912660854402784"/>
    <n v="4.6294175975068628"/>
    <n v="3.9162224934612029"/>
    <n v="1.1499528005502413"/>
  </r>
  <r>
    <n v="45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77280"/>
    <n v="1"/>
    <s v="BHHEPS1534577280"/>
    <s v="1594299001"/>
    <s v="SAMUEL J"/>
    <s v="FOX"/>
    <m/>
    <s v="1306 ELM ST"/>
    <s v="WHITEWOOD"/>
    <s v="SD"/>
    <s v="57793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3.8E-3"/>
    <m/>
    <n v="32.267000000000003"/>
    <m/>
    <m/>
    <m/>
    <m/>
    <m/>
    <n v="0"/>
    <n v="4.5"/>
    <n v="42941"/>
    <n v="42941.428206169003"/>
    <x v="1"/>
    <s v="3ABFB6150E3C448DB246E48C3471A4A1"/>
    <n v="32.267000000000003"/>
    <n v="4.5"/>
    <n v="31.912660854402784"/>
    <n v="4.6294175975068628"/>
    <n v="3.9162224934612029"/>
    <n v="1.1499528005502413"/>
  </r>
  <r>
    <n v="45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77329"/>
    <n v="1"/>
    <s v="BHHEPS1534577329"/>
    <s v="9084269538"/>
    <s v="CHANDLER B"/>
    <s v="SUTHERLAND"/>
    <m/>
    <s v="501 CITY SPRINGS RD                               APT 11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2800000000000001E-2"/>
    <m/>
    <n v="193.602"/>
    <m/>
    <m/>
    <m/>
    <m/>
    <m/>
    <n v="0"/>
    <n v="27"/>
    <n v="42941"/>
    <n v="42941.443959837998"/>
    <x v="1"/>
    <s v="A6FF3BB9CEF543A1934AABE6F8BCA4B1"/>
    <n v="32.267000000000003"/>
    <n v="4.5"/>
    <n v="31.912660854402784"/>
    <n v="4.6294175975068628"/>
    <n v="3.9162224934612029"/>
    <n v="1.1499528005502413"/>
  </r>
  <r>
    <n v="45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77571"/>
    <n v="1"/>
    <s v="BHHEPS1534577571"/>
    <s v="5271807013"/>
    <s v="JESSICA C"/>
    <s v="LEGARDA"/>
    <m/>
    <s v="837 ADAMS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1.9E-2"/>
    <m/>
    <n v="161.33500000000001"/>
    <m/>
    <m/>
    <m/>
    <m/>
    <m/>
    <n v="0"/>
    <n v="22.5"/>
    <n v="42941"/>
    <n v="42941.515431979198"/>
    <x v="1"/>
    <s v="E10FF516339C4E5A9986FC8D6F42DA3A"/>
    <n v="32.267000000000003"/>
    <n v="4.5"/>
    <n v="31.912660854402784"/>
    <n v="4.6294175975068628"/>
    <n v="3.9162224934612029"/>
    <n v="1.1499528005502413"/>
  </r>
  <r>
    <n v="45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0.94245390421260777"/>
    <b v="0"/>
    <b v="0"/>
    <s v=""/>
    <s v="BHHEPS1534580376"/>
    <n v="1"/>
    <s v="BHHEPS1534580376"/>
    <s v="7573021142"/>
    <s v="JULIE"/>
    <s v="WOOD"/>
    <m/>
    <s v="510 COLUMBUS ST"/>
    <s v="RAPID CITY"/>
    <s v="SD"/>
    <s v="57701"/>
    <s v="DAKOTA SUPPLY GROUP"/>
    <s v="1936 MARLIN DR"/>
    <s v="RAPID CITY"/>
    <s v="SD"/>
    <s v="57703"/>
    <s v="605-348-7100"/>
    <s v="jwood@dsginc.biz"/>
    <s v="Residential Lighting &amp; Appliances :- LED :- Customer Incentives"/>
    <s v="LED"/>
    <m/>
    <m/>
    <m/>
    <m/>
    <m/>
    <m/>
    <m/>
    <m/>
    <m/>
    <m/>
    <m/>
    <m/>
    <m/>
    <m/>
    <m/>
    <n v="16"/>
    <n v="0"/>
    <n v="6.4000000000000001E-2"/>
    <m/>
    <n v="548.54399999999998"/>
    <m/>
    <m/>
    <m/>
    <m/>
    <m/>
    <n v="0"/>
    <n v="80"/>
    <n v="42949"/>
    <n v="42942.486203472203"/>
    <x v="1"/>
    <s v="97B9993BA1B9455C91171E85E0AEB60A"/>
    <n v="34.283999999999999"/>
    <n v="5"/>
    <n v="31.912660854402784"/>
    <n v="4.6294175975068628"/>
    <n v="3.9162224934612029"/>
    <n v="1.1499528005502413"/>
  </r>
  <r>
    <n v="45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0.27498736757708087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s v="DAKOTA SUPPLY GROUP"/>
    <s v="1936 MARLIN DR"/>
    <s v="RAPID CITY"/>
    <s v="SD"/>
    <s v="57703"/>
    <s v="605-348-7100"/>
    <s v="jwood@dsginc.biz"/>
    <s v="Residential Lighting &amp; Appliances :- LED :- Customer Incentives"/>
    <s v="LED"/>
    <m/>
    <m/>
    <m/>
    <m/>
    <m/>
    <m/>
    <m/>
    <m/>
    <m/>
    <m/>
    <m/>
    <m/>
    <m/>
    <s v="9A19G4DIM/827"/>
    <m/>
    <n v="6"/>
    <n v="0"/>
    <n v="2.4E-2"/>
    <m/>
    <n v="205.70400000000001"/>
    <m/>
    <m/>
    <m/>
    <m/>
    <m/>
    <n v="0"/>
    <n v="21.6"/>
    <n v="42949"/>
    <n v="42942.486203472203"/>
    <x v="1"/>
    <s v="0107ECE13A50454897B7D9B1B9A5EB39"/>
    <n v="34.283999999999999"/>
    <n v="3.6"/>
    <n v="31.912660854402784"/>
    <n v="4.6294175975068628"/>
    <n v="3.9162224934612029"/>
    <n v="1.1499528005502413"/>
  </r>
  <r>
    <n v="457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6.2995654303036955E-2"/>
    <n v="-0.24545039437381444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s v="DAKOTA SUPPLY GROUP"/>
    <s v="1936 MARLIN DR"/>
    <s v="RAPID CITY"/>
    <s v="SD"/>
    <s v="57703"/>
    <s v="605-348-7100"/>
    <s v="jwood@dsginc.biz"/>
    <s v="Residential Lighting &amp; Appliances :- ES Star Fixture :- Customer Incentives"/>
    <s v="ENERGY STAR LED Fixture"/>
    <m/>
    <m/>
    <m/>
    <m/>
    <m/>
    <m/>
    <m/>
    <m/>
    <m/>
    <m/>
    <m/>
    <m/>
    <m/>
    <s v="FM306930BZ"/>
    <m/>
    <n v="1"/>
    <n v="0"/>
    <n v="4.4999999999999997E-3"/>
    <m/>
    <n v="38.317"/>
    <m/>
    <m/>
    <m/>
    <m/>
    <m/>
    <n v="0"/>
    <n v="8.9"/>
    <n v="42949"/>
    <n v="42942.486203472203"/>
    <x v="1"/>
    <s v="E3E678D61AB34810B28C120A4DE6879B"/>
    <n v="38.317"/>
    <n v="8.9"/>
    <n v="35.519370843989762"/>
    <n v="44.409875363027503"/>
    <n v="9.3048337595907924"/>
    <n v="1.6493506177636894"/>
  </r>
  <r>
    <n v="458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7.4344481469969109E-2"/>
    <n v="-8.7812596079279062E-2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s v="DAKOTA SUPPLY GROUP"/>
    <s v="1936 MARLIN DR"/>
    <s v="RAPID CITY"/>
    <s v="SD"/>
    <s v="57703"/>
    <s v="605-348-7100"/>
    <s v="jwood@dsginc.biz"/>
    <s v="Residential Lighting &amp; Appliances :- ES Star Fixture :- Customer Incentives"/>
    <s v="ENERGY STAR LED Fixture"/>
    <m/>
    <m/>
    <m/>
    <m/>
    <m/>
    <m/>
    <m/>
    <m/>
    <m/>
    <m/>
    <m/>
    <m/>
    <m/>
    <s v="14.5SMDL6DIM/927"/>
    <m/>
    <n v="2"/>
    <n v="0"/>
    <n v="9.1999999999999998E-3"/>
    <m/>
    <n v="77.641999999999996"/>
    <m/>
    <m/>
    <m/>
    <m/>
    <m/>
    <n v="0"/>
    <n v="18.32"/>
    <n v="42949"/>
    <n v="42942.486203472203"/>
    <x v="1"/>
    <s v="D0D6E6C8F08C4CD3ABFB1CBCBACA2CB7"/>
    <n v="38.820999999999998"/>
    <n v="9.16"/>
    <n v="35.519370843989762"/>
    <n v="44.409875363027503"/>
    <n v="9.3048337595907924"/>
    <n v="1.6493506177636894"/>
  </r>
  <r>
    <n v="459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7.4344481469969109E-2"/>
    <n v="0.4214787522569125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s v="DAKOTA SUPPLY GROUP"/>
    <s v="1936 MARLIN DR"/>
    <s v="RAPID CITY"/>
    <s v="SD"/>
    <s v="57703"/>
    <s v="605-348-7100"/>
    <s v="jwood@dsginc.biz"/>
    <s v="Residential Lighting &amp; Appliances :- ES Star Fixture :- Customer Incentives"/>
    <s v="ENERGY STAR LED Fixture"/>
    <m/>
    <m/>
    <m/>
    <m/>
    <m/>
    <m/>
    <m/>
    <m/>
    <m/>
    <m/>
    <m/>
    <m/>
    <m/>
    <s v="14.5SMDL6G4DIM/930"/>
    <m/>
    <n v="1"/>
    <n v="0"/>
    <n v="4.5999999999999999E-3"/>
    <m/>
    <n v="38.820999999999998"/>
    <m/>
    <m/>
    <m/>
    <m/>
    <m/>
    <n v="0"/>
    <n v="10"/>
    <n v="42949"/>
    <n v="42942.486203472203"/>
    <x v="1"/>
    <s v="679DB5DAA96E4FF2AC8EAE4DA1AFF6CC"/>
    <n v="38.820999999999998"/>
    <n v="10"/>
    <n v="35.519370843989762"/>
    <n v="44.409875363027503"/>
    <n v="9.3048337595907924"/>
    <n v="1.6493506177636894"/>
  </r>
  <r>
    <n v="460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9.5932961062454206E-2"/>
    <n v="-0.42734016163674043"/>
    <b v="0"/>
    <b v="0"/>
    <s v=""/>
    <s v="BHHEPS1534580376"/>
    <n v="0"/>
    <s v="BHHEPS1534580376"/>
    <s v="7573021142"/>
    <s v="JULIE"/>
    <s v="WOOD"/>
    <m/>
    <s v="510 COLUMBUS ST"/>
    <s v="RAPID CITY"/>
    <s v="SD"/>
    <s v="57701"/>
    <s v="DAKOTA SUPPLY GROUP"/>
    <s v="1936 MARLIN DR"/>
    <s v="RAPID CITY"/>
    <s v="SD"/>
    <s v="57703"/>
    <s v="605-348-7100"/>
    <s v="jwood@dsginc.biz"/>
    <s v="Residential Lighting &amp; Appliances :- ES Star Fixture :- Customer Incentives"/>
    <s v="ENERGY STAR LED Fixture"/>
    <m/>
    <m/>
    <m/>
    <m/>
    <m/>
    <m/>
    <m/>
    <m/>
    <m/>
    <m/>
    <m/>
    <m/>
    <m/>
    <s v="12DLSDIM/927"/>
    <m/>
    <n v="1"/>
    <n v="0"/>
    <n v="3.7000000000000002E-3"/>
    <m/>
    <n v="31.259"/>
    <m/>
    <m/>
    <m/>
    <m/>
    <m/>
    <n v="0"/>
    <n v="8.6"/>
    <n v="42949"/>
    <n v="42942.486203472203"/>
    <x v="1"/>
    <s v="175FC5C6E34642079447454967FA684B"/>
    <n v="31.259"/>
    <n v="8.6"/>
    <n v="35.519370843989762"/>
    <n v="44.409875363027503"/>
    <n v="9.3048337595907924"/>
    <n v="1.6493506177636894"/>
  </r>
  <r>
    <n v="46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0.50765345000200468"/>
    <b v="0"/>
    <b v="0"/>
    <s v=""/>
    <s v="BHHEPS1534594095"/>
    <n v="1"/>
    <s v="BHHEPS1534594095"/>
    <s v="9084269538"/>
    <s v="CHANDLER B"/>
    <s v="SUTHERLAND"/>
    <m/>
    <s v="501 CITY SPRINGS RD                               APT 11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8"/>
    <n v="0"/>
    <n v="3.04E-2"/>
    <m/>
    <n v="258.13600000000002"/>
    <m/>
    <m/>
    <m/>
    <m/>
    <m/>
    <n v="0"/>
    <n v="36"/>
    <n v="42944"/>
    <n v="42944.685320451397"/>
    <x v="1"/>
    <s v="D7AD82BB191542D5A1500322B928CFE7"/>
    <n v="32.267000000000003"/>
    <n v="4.5"/>
    <n v="31.912660854402784"/>
    <n v="4.6294175975068628"/>
    <n v="3.9162224934612029"/>
    <n v="1.1499528005502413"/>
  </r>
  <r>
    <n v="46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3.3122772436817591E-2"/>
    <n v="0.82070977703363912"/>
    <b v="0"/>
    <b v="0"/>
    <s v=""/>
    <s v="BHHEPS1534609507"/>
    <n v="1"/>
    <s v="BHHEPS1534609507"/>
    <s v="9471995400"/>
    <s v="MICHAEL D"/>
    <s v="BRAND"/>
    <m/>
    <s v="4515 LAHINCH ST"/>
    <s v="RAPID CITY"/>
    <s v="SD"/>
    <s v="57701"/>
    <s v="AMAZON.COM"/>
    <s v="WEBSITE"/>
    <s v="WEBSITE"/>
    <s v="SD"/>
    <s v="57701"/>
    <m/>
    <m/>
    <s v="Residential Lighting &amp; Appliances :- LED :- Customer Incentives"/>
    <s v="LED"/>
    <m/>
    <m/>
    <m/>
    <m/>
    <m/>
    <m/>
    <m/>
    <m/>
    <m/>
    <m/>
    <m/>
    <m/>
    <m/>
    <s v="SA19-11027MDFD-12DE26-1-11"/>
    <m/>
    <n v="1"/>
    <n v="0"/>
    <n v="3.8E-3"/>
    <m/>
    <n v="32.066000000000003"/>
    <m/>
    <m/>
    <m/>
    <m/>
    <m/>
    <n v="0"/>
    <n v="4.8600000000000003"/>
    <n v="42949"/>
    <n v="42949.573773958298"/>
    <x v="1"/>
    <s v="FE1882CDCBD14CB6A196E9BC2D8812BC"/>
    <n v="32.066000000000003"/>
    <n v="4.8600000000000003"/>
    <n v="31.912660854402784"/>
    <n v="4.6294175975068628"/>
    <n v="3.9162224934612029"/>
    <n v="1.1499528005502413"/>
  </r>
  <r>
    <n v="46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25086074460481689"/>
    <n v="6.4156986707189251E-2"/>
    <b v="0"/>
    <b v="0"/>
    <s v=""/>
    <s v="BHHEPS1534609507"/>
    <n v="0"/>
    <s v="BHHEPS1534609507"/>
    <s v="9471995400"/>
    <s v="MICHAEL D"/>
    <s v="BRAND"/>
    <m/>
    <s v="4515 LAHINCH ST"/>
    <s v="RAPID CITY"/>
    <s v="SD"/>
    <s v="57701"/>
    <s v="AMAZON.COM"/>
    <s v="WEBSITE"/>
    <s v="WEBSITE"/>
    <s v="SD"/>
    <s v="57701"/>
    <m/>
    <m/>
    <s v="Residential Lighting &amp; Appliances :- LED :- Customer Incentives"/>
    <s v="LED"/>
    <m/>
    <m/>
    <m/>
    <m/>
    <m/>
    <m/>
    <m/>
    <m/>
    <m/>
    <m/>
    <m/>
    <m/>
    <m/>
    <s v="SA1911050MDFD-12DE26-1-11"/>
    <m/>
    <n v="14"/>
    <n v="0"/>
    <n v="5.4600000000000003E-2"/>
    <m/>
    <n v="463.036"/>
    <m/>
    <m/>
    <m/>
    <m/>
    <m/>
    <n v="0"/>
    <n v="55.86"/>
    <n v="42949"/>
    <n v="42949.573773958298"/>
    <x v="1"/>
    <s v="323324079384438BB73B94C6A12629E9"/>
    <n v="33.073999999999998"/>
    <n v="3.9899999999999998"/>
    <n v="31.912660854402784"/>
    <n v="4.6294175975068628"/>
    <n v="3.9162224934612029"/>
    <n v="1.1499528005502413"/>
  </r>
  <r>
    <n v="46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3.3122772436816057E-2"/>
    <n v="3.2849231177049599E-3"/>
    <b v="0"/>
    <b v="0"/>
    <s v=""/>
    <s v="BHHEPS1534609507"/>
    <n v="0"/>
    <s v="BHHEPS1534609507"/>
    <s v="9471995400"/>
    <s v="MICHAEL D"/>
    <s v="BRAND"/>
    <m/>
    <s v="4515 LAHINCH ST"/>
    <s v="RAPID CITY"/>
    <s v="SD"/>
    <s v="57701"/>
    <s v="AMAZON.COM"/>
    <s v="WEBSITE"/>
    <s v="WEBSITE"/>
    <s v="SD"/>
    <s v="57701"/>
    <m/>
    <m/>
    <s v="Residential Lighting &amp; Appliances :- LED :- Customer Incentives"/>
    <s v="LED"/>
    <m/>
    <m/>
    <m/>
    <m/>
    <m/>
    <m/>
    <m/>
    <m/>
    <m/>
    <m/>
    <m/>
    <m/>
    <m/>
    <s v="SA1911027MDFD-12DE26-1-11"/>
    <m/>
    <n v="24"/>
    <n v="0"/>
    <n v="9.1200000000000003E-2"/>
    <m/>
    <n v="769.58399999999995"/>
    <m/>
    <m/>
    <m/>
    <m/>
    <m/>
    <n v="0"/>
    <n v="94.08"/>
    <n v="42949"/>
    <n v="42949.573773958298"/>
    <x v="1"/>
    <s v="83418D3431324A2AB47776EE5115EAE7"/>
    <n v="32.065999999999995"/>
    <n v="3.92"/>
    <n v="31.912660854402784"/>
    <n v="4.6294175975068628"/>
    <n v="3.9162224934612029"/>
    <n v="1.1499528005502413"/>
  </r>
  <r>
    <n v="46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7707009300615557"/>
    <b v="0"/>
    <b v="0"/>
    <s v=""/>
    <s v="BHHEPS1534661516"/>
    <n v="1"/>
    <s v="BHHEPS1534661516"/>
    <s v="5511178400"/>
    <s v="ANN J"/>
    <s v="HERRERA"/>
    <m/>
    <s v="3426 GRAY FOX CT"/>
    <s v="RAPID CITY"/>
    <s v="SD"/>
    <s v="57701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OM60 830 LED 4"/>
    <m/>
    <n v="4"/>
    <n v="0"/>
    <n v="1.6E-2"/>
    <m/>
    <n v="135.12"/>
    <m/>
    <m/>
    <m/>
    <m/>
    <m/>
    <n v="0"/>
    <n v="7.52"/>
    <n v="42954"/>
    <n v="42954.5407716435"/>
    <x v="1"/>
    <s v="C5B791C9FA5440CC939084A1A2B67118"/>
    <n v="33.78"/>
    <n v="1.88"/>
    <n v="31.912660854402784"/>
    <n v="4.6294175975068628"/>
    <n v="3.9162224934612029"/>
    <n v="1.1499528005502413"/>
  </r>
  <r>
    <n v="46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7793969391457676"/>
    <b v="0"/>
    <b v="0"/>
    <s v=""/>
    <s v="BHHEPS1534661516"/>
    <n v="0"/>
    <s v="BHHEPS1534661516"/>
    <s v="5511178400"/>
    <s v="ANN J"/>
    <s v="HERRERA"/>
    <m/>
    <s v="3426 GRAY FOX CT"/>
    <s v="RAPID CITY"/>
    <s v="SD"/>
    <s v="57701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8"/>
    <n v="0"/>
    <n v="3.2000000000000001E-2"/>
    <m/>
    <n v="274.27199999999999"/>
    <m/>
    <m/>
    <m/>
    <m/>
    <m/>
    <n v="0"/>
    <n v="14.96"/>
    <n v="42954"/>
    <n v="42954.5407716435"/>
    <x v="1"/>
    <s v="81D1E7B946544043B31DD9CED89369B1"/>
    <n v="34.283999999999999"/>
    <n v="1.87"/>
    <n v="31.912660854402784"/>
    <n v="4.6294175975068628"/>
    <n v="3.9162224934612029"/>
    <n v="1.1499528005502413"/>
  </r>
  <r>
    <n v="46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-0.36194745841920162"/>
    <b v="0"/>
    <b v="0"/>
    <s v=""/>
    <s v="BHHEPS1534661516"/>
    <n v="0"/>
    <s v="BHHEPS1534661516"/>
    <s v="5511178400"/>
    <s v="ANN J"/>
    <s v="HERRERA"/>
    <m/>
    <s v="3426 GRAY FOX CT"/>
    <s v="RAPID CITY"/>
    <s v="SD"/>
    <s v="57701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427"/>
    <m/>
    <n v="8"/>
    <n v="0"/>
    <n v="2.9600000000000001E-2"/>
    <m/>
    <n v="250.072"/>
    <m/>
    <m/>
    <m/>
    <m/>
    <m/>
    <n v="0"/>
    <n v="28"/>
    <n v="42954"/>
    <n v="42954.5407716435"/>
    <x v="1"/>
    <s v="18EDD590E52749A490BA41D3236343FC"/>
    <n v="31.259"/>
    <n v="3.5"/>
    <n v="31.912660854402784"/>
    <n v="4.6294175975068628"/>
    <n v="3.9162224934612029"/>
    <n v="1.1499528005502413"/>
  </r>
  <r>
    <n v="46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8837490182564711"/>
    <n v="-2.2141973933563706"/>
    <b v="0"/>
    <b v="1"/>
    <s v=""/>
    <s v="BHHEPS1534661516"/>
    <n v="0"/>
    <s v="BHHEPS1534661516"/>
    <s v="5511178400"/>
    <s v="ANN J"/>
    <s v="HERRERA"/>
    <m/>
    <s v="3426 GRAY FOX CT"/>
    <s v="RAPID CITY"/>
    <s v="SD"/>
    <s v="57701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OM40 830 LED 4"/>
    <m/>
    <n v="4"/>
    <n v="0"/>
    <n v="1.0800000000000001E-2"/>
    <m/>
    <n v="92.768000000000001"/>
    <m/>
    <m/>
    <m/>
    <m/>
    <m/>
    <n v="0"/>
    <n v="5.48"/>
    <n v="42954"/>
    <n v="42954.5407716435"/>
    <x v="1"/>
    <s v="D3B3EEF132C94AC1AE74F2520532CB70"/>
    <n v="23.192"/>
    <n v="1.37"/>
    <n v="31.912660854402784"/>
    <n v="4.6294175975068628"/>
    <n v="3.9162224934612029"/>
    <n v="1.1499528005502413"/>
  </r>
  <r>
    <n v="46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3834006137286521"/>
    <n v="0.94245390421260777"/>
    <b v="0"/>
    <b v="0"/>
    <s v=""/>
    <s v="BHHEPS1534661516"/>
    <n v="0"/>
    <s v="BHHEPS1534661516"/>
    <s v="5511178400"/>
    <s v="ANN J"/>
    <s v="HERRERA"/>
    <m/>
    <s v="3426 GRAY FOX CT"/>
    <s v="RAPID CITY"/>
    <s v="SD"/>
    <s v="57701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021"/>
    <m/>
    <n v="1"/>
    <n v="0"/>
    <n v="4.4999999999999997E-3"/>
    <m/>
    <n v="38.317"/>
    <m/>
    <m/>
    <m/>
    <m/>
    <m/>
    <n v="0"/>
    <n v="5"/>
    <n v="42954"/>
    <n v="42954.5407716435"/>
    <x v="1"/>
    <s v="8CCEEEE287DA4B08B8F27C9CA135AD2A"/>
    <n v="38.317"/>
    <n v="5"/>
    <n v="31.912660854402784"/>
    <n v="4.6294175975068628"/>
    <n v="3.9162224934612029"/>
    <n v="1.1499528005502413"/>
  </r>
  <r>
    <n v="47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525"/>
    <b v="0"/>
    <b v="0"/>
    <s v=""/>
    <s v="BHHEPS1534675191"/>
    <n v="1"/>
    <s v="BHHEPS1534675191"/>
    <s v="2515833760"/>
    <s v="JIM"/>
    <s v="DITTON"/>
    <m/>
    <s v="12033 SEVERSON LOOP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8000000000000001E-2"/>
    <m/>
    <n v="405.36"/>
    <m/>
    <m/>
    <m/>
    <m/>
    <m/>
    <n v="0"/>
    <n v="35.4"/>
    <n v="42954"/>
    <n v="42954.781707754599"/>
    <x v="1"/>
    <s v="97A5CDA227314FE1AA1FF03975471032"/>
    <n v="33.78"/>
    <n v="2.9499999999999997"/>
    <n v="31.912660854402784"/>
    <n v="4.6294175975068628"/>
    <n v="3.9162224934612029"/>
    <n v="1.1499528005502413"/>
  </r>
  <r>
    <n v="47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12"/>
    <n v="-0.57934768552450311"/>
    <b v="0"/>
    <b v="0"/>
    <s v=""/>
    <s v="BHHEPS1534681436"/>
    <n v="1"/>
    <s v="BHHEPS1534681436"/>
    <s v="5087154507"/>
    <s v="KARL"/>
    <s v="JEGERIS"/>
    <m/>
    <s v="1620 N GRAND VISTA CT"/>
    <s v="RAPID CITY"/>
    <s v="SD"/>
    <s v="57701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3188"/>
    <m/>
    <n v="8"/>
    <n v="0"/>
    <n v="3.5200000000000002E-2"/>
    <m/>
    <n v="298.47199999999998"/>
    <m/>
    <m/>
    <m/>
    <m/>
    <m/>
    <n v="0"/>
    <n v="26"/>
    <n v="42956"/>
    <n v="42956.671230057902"/>
    <x v="1"/>
    <s v="1191B2FA89344B60889EECE1833D70B2"/>
    <n v="37.308999999999997"/>
    <n v="3.25"/>
    <n v="31.912660854402784"/>
    <n v="4.6294175975068628"/>
    <n v="3.9162224934612029"/>
    <n v="1.1499528005502413"/>
  </r>
  <r>
    <n v="47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2141973933563706"/>
    <b v="0"/>
    <b v="1"/>
    <s v=""/>
    <s v="BHHEPS1534681436"/>
    <n v="0"/>
    <s v="BHHEPS1534681436"/>
    <s v="5087154507"/>
    <s v="KARL"/>
    <s v="JEGERIS"/>
    <m/>
    <s v="1620 N GRAND VISTA CT"/>
    <s v="RAPID CITY"/>
    <s v="SD"/>
    <s v="57701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8"/>
    <n v="0"/>
    <n v="3.2000000000000001E-2"/>
    <m/>
    <n v="274.27199999999999"/>
    <m/>
    <m/>
    <m/>
    <m/>
    <m/>
    <n v="0"/>
    <n v="10.96"/>
    <n v="42956"/>
    <n v="42956.671230057902"/>
    <x v="1"/>
    <s v="1FF6030B403E4A87B96C5E9D17EB5B80"/>
    <n v="34.283999999999999"/>
    <n v="1.37"/>
    <n v="31.912660854402784"/>
    <n v="4.6294175975068628"/>
    <n v="3.9162224934612029"/>
    <n v="1.1499528005502413"/>
  </r>
  <r>
    <n v="47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5.0862421999428005"/>
    <n v="0.94245390421260777"/>
    <b v="1"/>
    <b v="0"/>
    <s v=""/>
    <s v="BHHEPS1534681477"/>
    <n v="1"/>
    <s v="BHHEPS1534681477"/>
    <s v="2126322875"/>
    <s v="CURTIS L"/>
    <s v="PUDWILL"/>
    <m/>
    <s v="2661 CAVERN RD"/>
    <s v="RAPID CITY"/>
    <s v="SD"/>
    <s v="57702"/>
    <s v="Batteries Plus - Rapid City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2181"/>
    <m/>
    <n v="1"/>
    <n v="0"/>
    <n v="6.4999999999999997E-3"/>
    <m/>
    <n v="55.459000000000003"/>
    <m/>
    <m/>
    <m/>
    <m/>
    <m/>
    <n v="0"/>
    <n v="5"/>
    <n v="42956"/>
    <n v="42956.683269097201"/>
    <x v="1"/>
    <s v="4F5A62B68C4E4DCE8FD3BE51AB5CE08C"/>
    <n v="55.459000000000003"/>
    <n v="5"/>
    <n v="31.912660854402784"/>
    <n v="4.6294175975068628"/>
    <n v="3.9162224934612029"/>
    <n v="1.1499528005502413"/>
  </r>
  <r>
    <n v="47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4489485939457094"/>
    <b v="0"/>
    <b v="0"/>
    <s v=""/>
    <s v="BHHEPS1534681477"/>
    <n v="0"/>
    <s v="BHHEPS1534681477"/>
    <s v="2126322875"/>
    <s v="CURTIS L"/>
    <s v="PUDWILL"/>
    <m/>
    <s v="2661 CAVERN RD"/>
    <s v="RAPID CITY"/>
    <s v="SD"/>
    <s v="57702"/>
    <s v="Batteries Plus - Rapid City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824"/>
    <m/>
    <n v="4"/>
    <n v="0"/>
    <n v="1.6E-2"/>
    <m/>
    <n v="135.12"/>
    <m/>
    <m/>
    <m/>
    <m/>
    <m/>
    <n v="0"/>
    <n v="9"/>
    <n v="42956"/>
    <n v="42956.683269097201"/>
    <x v="1"/>
    <s v="41FC8770F7A84BE791F1A9884111E412"/>
    <n v="33.78"/>
    <n v="2.25"/>
    <n v="31.912660854402784"/>
    <n v="4.6294175975068628"/>
    <n v="3.9162224934612029"/>
    <n v="1.1499528005502413"/>
  </r>
  <r>
    <n v="47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0.6989656498546698"/>
    <b v="0"/>
    <b v="0"/>
    <s v=""/>
    <s v="BHHEPS1534681526"/>
    <n v="1"/>
    <s v="BHHEPS1534681526"/>
    <s v="3743279711"/>
    <s v="DAVID G"/>
    <s v="PARKER"/>
    <m/>
    <s v="327 SAN MARCO BLVD"/>
    <s v="RAPID CITY"/>
    <s v="SD"/>
    <s v="57702"/>
    <s v="Batteries Plus - Rapid City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373"/>
    <m/>
    <n v="2"/>
    <n v="0"/>
    <n v="7.4000000000000003E-3"/>
    <m/>
    <n v="62.518000000000001"/>
    <m/>
    <m/>
    <m/>
    <m/>
    <m/>
    <n v="0"/>
    <n v="9.44"/>
    <n v="42956"/>
    <n v="42956.699713576403"/>
    <x v="1"/>
    <s v="84DC49FC4606411C9ECEFCA680CF6637"/>
    <n v="31.259"/>
    <n v="4.72"/>
    <n v="31.912660854402784"/>
    <n v="4.6294175975068628"/>
    <n v="3.9162224934612029"/>
    <n v="1.1499528005502413"/>
  </r>
  <r>
    <n v="47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6660110460884709"/>
    <n v="-0.66630777636662386"/>
    <b v="0"/>
    <b v="0"/>
    <s v=""/>
    <s v="BHHEPS1534681526"/>
    <n v="0"/>
    <s v="BHHEPS1534681526"/>
    <s v="3743279711"/>
    <s v="DAVID G"/>
    <s v="PARKER"/>
    <m/>
    <s v="327 SAN MARCO BLVD"/>
    <s v="RAPID CITY"/>
    <s v="SD"/>
    <s v="57702"/>
    <s v="Batteries Plus - Rapid City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813"/>
    <m/>
    <n v="6"/>
    <n v="0"/>
    <n v="1.6799999999999999E-2"/>
    <m/>
    <n v="145.19999999999999"/>
    <m/>
    <m/>
    <m/>
    <m/>
    <m/>
    <n v="0"/>
    <n v="18.899999999999999"/>
    <n v="42956"/>
    <n v="42956.699713576403"/>
    <x v="1"/>
    <s v="B7835AC67A444ACDAC27DE0B70F0BE28"/>
    <n v="24.2"/>
    <n v="3.15"/>
    <n v="31.912660854402784"/>
    <n v="4.6294175975068628"/>
    <n v="3.9162224934612029"/>
    <n v="1.1499528005502413"/>
  </r>
  <r>
    <n v="477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4.3714845586033911E-2"/>
    <n v="8.195118669945109E-2"/>
    <b v="0"/>
    <b v="0"/>
    <s v=""/>
    <s v="BHHEPS1534681779"/>
    <n v="1"/>
    <s v="BHHEPS1534681779"/>
    <s v="6574632249"/>
    <s v="EDWARD G"/>
    <s v="UGLAND"/>
    <m/>
    <s v="334 E CUSTER ST"/>
    <s v="RAPID CITY"/>
    <s v="SD"/>
    <s v="57701"/>
    <s v="LOWES - Rapid City"/>
    <s v="2550 HAINES AVE"/>
    <s v="RAPID CITY"/>
    <s v="SD"/>
    <s v="57701"/>
    <s v="605-341-4815"/>
    <m/>
    <s v="Residential Lighting &amp; Appliances :- ES Star Fixture :- Customer Incentives"/>
    <s v="ENERGY STAR LED Fixture"/>
    <m/>
    <m/>
    <m/>
    <m/>
    <m/>
    <m/>
    <m/>
    <m/>
    <m/>
    <m/>
    <m/>
    <m/>
    <m/>
    <s v="18290-004"/>
    <m/>
    <n v="1"/>
    <n v="0"/>
    <n v="3.8999999999999998E-3"/>
    <m/>
    <n v="33.578000000000003"/>
    <m/>
    <m/>
    <m/>
    <m/>
    <m/>
    <n v="0"/>
    <n v="9.44"/>
    <n v="42956"/>
    <n v="42956.764294247703"/>
    <x v="1"/>
    <s v="51ED1D26A4CE450F94482C39CB07E1A2"/>
    <n v="33.578000000000003"/>
    <n v="9.44"/>
    <n v="35.519370843989762"/>
    <n v="44.409875363027503"/>
    <n v="9.3048337595907924"/>
    <n v="1.6493506177636894"/>
  </r>
  <r>
    <n v="478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4.3770586511900245"/>
    <n v="0.4214787522569125"/>
    <b v="1"/>
    <b v="0"/>
    <s v=""/>
    <s v="BHHEPS1534681779"/>
    <n v="0"/>
    <s v="BHHEPS1534681779"/>
    <s v="6574632249"/>
    <s v="EDWARD G"/>
    <s v="UGLAND"/>
    <m/>
    <s v="334 E CUSTER ST"/>
    <s v="RAPID CITY"/>
    <s v="SD"/>
    <s v="57701"/>
    <s v="LOWES - Rapid City"/>
    <s v="2550 HAINES AVE"/>
    <s v="RAPID CITY"/>
    <s v="SD"/>
    <s v="57701"/>
    <s v="605-341-4815"/>
    <m/>
    <s v="Residential Lighting &amp; Appliances :- ES Star Fixture :- Customer Incentives"/>
    <s v="ENERGY STAR LED Fixture"/>
    <m/>
    <m/>
    <m/>
    <m/>
    <m/>
    <m/>
    <m/>
    <m/>
    <m/>
    <m/>
    <m/>
    <m/>
    <m/>
    <s v="LF1087-NK7"/>
    <m/>
    <n v="1"/>
    <n v="0"/>
    <n v="2.7E-2"/>
    <m/>
    <n v="229.904"/>
    <m/>
    <m/>
    <m/>
    <m/>
    <m/>
    <n v="0"/>
    <n v="10"/>
    <n v="42956"/>
    <n v="42956.764294247703"/>
    <x v="1"/>
    <s v="E0F7CBE5C5C144DDAC3AF3C0EA126FE5"/>
    <n v="229.904"/>
    <n v="10"/>
    <n v="35.519370843989762"/>
    <n v="44.409875363027503"/>
    <n v="9.3048337595907924"/>
    <n v="1.6493506177636894"/>
  </r>
  <r>
    <n v="47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3834006137286521"/>
    <n v="-1.5098206575351936"/>
    <b v="0"/>
    <b v="0"/>
    <s v=""/>
    <s v="BHHEPS1534681779"/>
    <n v="0"/>
    <s v="BHHEPS1534681779"/>
    <s v="6574632249"/>
    <s v="EDWARD G"/>
    <s v="UGLAND"/>
    <m/>
    <s v="334 E CUSTER ST"/>
    <s v="RAPID CITY"/>
    <s v="SD"/>
    <s v="57701"/>
    <s v="LOWES - Rapid City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C5A19A100WESD08"/>
    <m/>
    <n v="2"/>
    <n v="0"/>
    <n v="8.9999999999999993E-3"/>
    <m/>
    <n v="76.634"/>
    <m/>
    <m/>
    <m/>
    <m/>
    <m/>
    <n v="0"/>
    <n v="4.3600000000000003"/>
    <n v="42956"/>
    <n v="42956.764294247703"/>
    <x v="1"/>
    <s v="32CAB71898AF4672884EC197C8B421F8"/>
    <n v="38.317"/>
    <n v="2.1800000000000002"/>
    <n v="31.912660854402784"/>
    <n v="4.6294175975068628"/>
    <n v="3.9162224934612029"/>
    <n v="1.1499528005502413"/>
  </r>
  <r>
    <n v="48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4.4328122735457747"/>
    <n v="0.94245390421260777"/>
    <b v="1"/>
    <b v="0"/>
    <s v=""/>
    <s v="BHHEPS1534681779"/>
    <n v="0"/>
    <s v="BHHEPS1534681779"/>
    <s v="6574632249"/>
    <s v="EDWARD G"/>
    <s v="UGLAND"/>
    <m/>
    <s v="334 E CUSTER ST"/>
    <s v="RAPID CITY"/>
    <s v="SD"/>
    <s v="57701"/>
    <s v="LOWES - Rapid City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A21152215-27"/>
    <m/>
    <n v="1"/>
    <n v="0"/>
    <n v="6.1999999999999998E-3"/>
    <m/>
    <n v="52.433999999999997"/>
    <m/>
    <m/>
    <m/>
    <m/>
    <m/>
    <n v="0"/>
    <n v="5"/>
    <n v="42956"/>
    <n v="42956.764294247703"/>
    <x v="1"/>
    <s v="96190ACD7EA941D5B74704C2AFC24092"/>
    <n v="52.433999999999997"/>
    <n v="5"/>
    <n v="31.912660854402784"/>
    <n v="4.6294175975068628"/>
    <n v="3.9162224934612029"/>
    <n v="1.1499528005502413"/>
  </r>
  <r>
    <n v="48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62110170124762665"/>
    <n v="-2.7533499565775186"/>
    <b v="0"/>
    <b v="1"/>
    <s v=""/>
    <s v="BHHEPS1534681779"/>
    <n v="0"/>
    <s v="BHHEPS1534681779"/>
    <s v="6574632249"/>
    <s v="EDWARD G"/>
    <s v="UGLAND"/>
    <m/>
    <s v="334 E CUSTER ST"/>
    <s v="RAPID CITY"/>
    <s v="SD"/>
    <s v="57701"/>
    <s v="LOWES - Rapid City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C5A19A60WESD06/C5A19A60WESD05"/>
    <m/>
    <n v="8"/>
    <n v="0"/>
    <n v="3.2800000000000003E-2"/>
    <m/>
    <n v="278.30399999999997"/>
    <m/>
    <m/>
    <m/>
    <m/>
    <m/>
    <n v="0"/>
    <n v="6"/>
    <n v="42956"/>
    <n v="42956.764294247703"/>
    <x v="1"/>
    <s v="D66B50C98C584D4481CCF40439A8727E"/>
    <n v="34.787999999999997"/>
    <n v="0.75"/>
    <n v="31.912660854402784"/>
    <n v="4.6294175975068628"/>
    <n v="3.9162224934612029"/>
    <n v="1.1499528005502413"/>
  </r>
  <r>
    <n v="48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6660110460884709"/>
    <n v="-0.36194745841920162"/>
    <b v="0"/>
    <b v="0"/>
    <s v=""/>
    <s v="BHHEPS1534685538"/>
    <n v="1"/>
    <s v="BHHEPS1534685538"/>
    <s v="4865420270"/>
    <s v="GEOFFREY J"/>
    <s v="SLINGSBY"/>
    <m/>
    <s v="5445 CARRIAGE HILLS DR"/>
    <s v="RAPID CITY"/>
    <s v="SD"/>
    <s v="57702"/>
    <s v="Batteries Plus - Rapid City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813"/>
    <m/>
    <n v="4"/>
    <n v="0"/>
    <n v="1.12E-2"/>
    <m/>
    <n v="96.8"/>
    <m/>
    <m/>
    <m/>
    <m/>
    <m/>
    <n v="0"/>
    <n v="14"/>
    <n v="42957"/>
    <n v="42957.798842129603"/>
    <x v="1"/>
    <s v="344D1C21E0DF414C8EBBB0AAF6069550"/>
    <n v="24.2"/>
    <n v="3.5"/>
    <n v="31.912660854402784"/>
    <n v="4.6294175975068628"/>
    <n v="3.9162224934612029"/>
    <n v="1.1499528005502413"/>
  </r>
  <r>
    <n v="48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525"/>
    <b v="0"/>
    <b v="0"/>
    <s v=""/>
    <s v="BHHEPS1534694569"/>
    <n v="1"/>
    <s v="BHHEPS1534694569"/>
    <s v="5271807013"/>
    <s v="JESSICA C"/>
    <s v="LEGARDA"/>
    <m/>
    <s v="837 ADAMS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2.4E-2"/>
    <m/>
    <n v="202.68"/>
    <m/>
    <m/>
    <m/>
    <m/>
    <m/>
    <n v="0"/>
    <n v="17.7"/>
    <n v="42961"/>
    <n v="42961.635425844899"/>
    <x v="1"/>
    <s v="E1D2D9BEA4E74E6186B5B5F90589A613"/>
    <n v="33.78"/>
    <n v="2.9499999999999997"/>
    <n v="31.912660854402784"/>
    <n v="4.6294175975068628"/>
    <n v="3.9162224934612029"/>
    <n v="1.1499528005502413"/>
  </r>
  <r>
    <n v="48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694573"/>
    <n v="1"/>
    <s v="BHHEPS1534694573"/>
    <s v="0011953278"/>
    <s v="KATHLEEN P"/>
    <s v="BURR"/>
    <m/>
    <s v="2554 SMITH AVE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0.04"/>
    <m/>
    <n v="337.8"/>
    <m/>
    <m/>
    <m/>
    <m/>
    <m/>
    <n v="0"/>
    <n v="29.5"/>
    <n v="42961"/>
    <n v="42961.6363909375"/>
    <x v="1"/>
    <s v="68DA1BFE445D4B1A9A0C30C9290F4C12"/>
    <n v="33.78"/>
    <n v="2.95"/>
    <n v="31.912660854402784"/>
    <n v="4.6294175975068628"/>
    <n v="3.9162224934612029"/>
    <n v="1.1499528005502413"/>
  </r>
  <r>
    <n v="48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18540974701860313"/>
    <n v="7.2852995791401517E-2"/>
    <b v="0"/>
    <b v="0"/>
    <s v=""/>
    <s v="BHHEPS1534694573"/>
    <n v="0"/>
    <s v="BHHEPS1534694573"/>
    <s v="0011953278"/>
    <s v="KATHLEEN P"/>
    <s v="BURR"/>
    <m/>
    <s v="2554 SMITH AVE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8"/>
    <n v="0"/>
    <n v="3.1199999999999999E-2"/>
    <m/>
    <n v="262.16800000000001"/>
    <m/>
    <m/>
    <m/>
    <m/>
    <m/>
    <n v="0"/>
    <n v="32"/>
    <n v="42961"/>
    <n v="42961.6363909375"/>
    <x v="1"/>
    <s v="623D1C5E26FA48E1858EB69F7AAB93C5"/>
    <n v="32.771000000000001"/>
    <n v="4"/>
    <n v="31.912660854402784"/>
    <n v="4.6294175975068628"/>
    <n v="3.9162224934612029"/>
    <n v="1.1499528005502413"/>
  </r>
  <r>
    <n v="48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0.58369569006660904"/>
    <b v="0"/>
    <b v="0"/>
    <s v=""/>
    <s v="BHHEPS1534699427"/>
    <n v="1"/>
    <s v="BHHEPS1534699427"/>
    <s v="1423783196"/>
    <s v="DEAN"/>
    <s v="FLAGE"/>
    <m/>
    <s v="330 TOPAZ LN"/>
    <s v="RAPID CITY"/>
    <s v="SD"/>
    <s v="57701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679"/>
    <m/>
    <n v="8"/>
    <n v="0"/>
    <n v="3.2000000000000001E-2"/>
    <m/>
    <n v="274.27199999999999"/>
    <m/>
    <m/>
    <m/>
    <m/>
    <m/>
    <n v="0"/>
    <n v="25.96"/>
    <n v="42962"/>
    <n v="42962.620611458296"/>
    <x v="1"/>
    <s v="8FF6EA32CC26439BB1BDC865FCA6A80F"/>
    <n v="34.283999999999999"/>
    <n v="3.2450000000000001"/>
    <n v="31.912660854402784"/>
    <n v="4.6294175975068628"/>
    <n v="3.9162224934612029"/>
    <n v="1.1499528005502413"/>
  </r>
  <r>
    <n v="48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0.49895744091779276"/>
    <b v="0"/>
    <b v="0"/>
    <s v=""/>
    <s v="BHHEPS1534699488"/>
    <n v="1"/>
    <s v="BHHEPS1534699488"/>
    <s v="3465242781"/>
    <s v="LYLE L"/>
    <s v="KETTERLING"/>
    <m/>
    <s v="4612 CAMBRIA CIR"/>
    <s v="RAPID CITY"/>
    <s v="SD"/>
    <s v="57701"/>
    <s v="LOWES - Rapid City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96593"/>
    <m/>
    <n v="12"/>
    <n v="0"/>
    <n v="4.4400000000000002E-2"/>
    <m/>
    <n v="375.108"/>
    <m/>
    <m/>
    <m/>
    <m/>
    <m/>
    <n v="0"/>
    <n v="53.88"/>
    <n v="42962"/>
    <n v="42962.632401932897"/>
    <x v="1"/>
    <s v="DD310CBBEA54427B92A870A10688410B"/>
    <n v="31.259"/>
    <n v="4.49"/>
    <n v="31.912660854402784"/>
    <n v="4.6294175975068628"/>
    <n v="3.9162224934612029"/>
    <n v="1.1499528005502413"/>
  </r>
  <r>
    <n v="48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29449474299562761"/>
    <n v="-0.79674791262980471"/>
    <b v="0"/>
    <b v="0"/>
    <s v=""/>
    <s v="BHHEPS1534699522"/>
    <n v="1"/>
    <s v="BHHEPS1534699522"/>
    <s v="9677022229"/>
    <s v="DIANE"/>
    <s v="KNUTSON"/>
    <m/>
    <s v="919 SAINT FRANCIS ST"/>
    <s v="RAPID CITY"/>
    <s v="SD"/>
    <s v="57701"/>
    <s v="DAKOTA SUPPLY GROUP"/>
    <s v="1936 MARLIN DR"/>
    <s v="RAPID CITY"/>
    <s v="SD"/>
    <s v="57703"/>
    <s v="605-348-7100"/>
    <s v="jwood@dsginc.biz"/>
    <s v="Residential Lighting &amp; Appliances :- LED :- Customer Incentives"/>
    <s v="LED"/>
    <m/>
    <m/>
    <m/>
    <m/>
    <m/>
    <m/>
    <m/>
    <m/>
    <m/>
    <m/>
    <m/>
    <m/>
    <m/>
    <s v="68160   LED10DR30V/827W"/>
    <m/>
    <n v="3"/>
    <n v="0"/>
    <n v="1.17E-2"/>
    <m/>
    <n v="99.828000000000003"/>
    <m/>
    <m/>
    <m/>
    <m/>
    <m/>
    <n v="0"/>
    <n v="9"/>
    <n v="42962"/>
    <n v="42962.641889120401"/>
    <x v="1"/>
    <s v="5F29476284754071876094415C38FD75"/>
    <n v="33.276000000000003"/>
    <n v="3"/>
    <n v="31.912660854402784"/>
    <n v="4.6294175975068628"/>
    <n v="3.9162224934612029"/>
    <n v="1.1499528005502413"/>
  </r>
  <r>
    <n v="48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0.2076411365966887"/>
    <b v="0"/>
    <b v="0"/>
    <s v=""/>
    <s v="BHHEPS1534699522"/>
    <n v="0"/>
    <s v="BHHEPS1534699522"/>
    <s v="9677022229"/>
    <s v="DIANE"/>
    <s v="KNUTSON"/>
    <m/>
    <s v="919 SAINT FRANCIS ST"/>
    <s v="RAPID CITY"/>
    <s v="SD"/>
    <s v="57701"/>
    <s v="DAKOTA SUPPLY GROUP"/>
    <s v="1936 MARLIN DR"/>
    <s v="RAPID CITY"/>
    <s v="SD"/>
    <s v="57703"/>
    <s v="605-348-7100"/>
    <s v="jwood@dsginc.biz"/>
    <s v="Residential Lighting &amp; Appliances :- LED :- Customer Incentives"/>
    <s v="LED"/>
    <m/>
    <m/>
    <m/>
    <m/>
    <m/>
    <m/>
    <m/>
    <m/>
    <m/>
    <m/>
    <m/>
    <m/>
    <m/>
    <s v="9A19DIM/827"/>
    <m/>
    <n v="18"/>
    <n v="0"/>
    <n v="7.1999999999999995E-2"/>
    <m/>
    <n v="617.11199999999997"/>
    <m/>
    <m/>
    <m/>
    <m/>
    <m/>
    <n v="0"/>
    <n v="74.790000000000006"/>
    <n v="42962"/>
    <n v="42962.641889120401"/>
    <x v="1"/>
    <s v="07E194CF617A472F9532D1CFFC86B4FE"/>
    <n v="34.283999999999999"/>
    <n v="4.1550000000000002"/>
    <n v="31.912660854402784"/>
    <n v="4.6294175975068628"/>
    <n v="3.9162224934612029"/>
    <n v="1.1499528005502413"/>
  </r>
  <r>
    <n v="49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699730"/>
    <n v="1"/>
    <s v="BHHEPS1534699730"/>
    <s v="0752005724"/>
    <s v="WILLIAM G"/>
    <s v="SCHLEINING"/>
    <m/>
    <s v="221 S 11TH ST"/>
    <s v="CUSTER"/>
    <s v="SD"/>
    <s v="57730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2.95"/>
    <n v="42962"/>
    <n v="42962.690121990701"/>
    <x v="1"/>
    <s v="A387EE9FFA0745FF9299163232F204D2"/>
    <n v="33.78"/>
    <n v="2.95"/>
    <n v="31.912660854402784"/>
    <n v="4.6294175975068628"/>
    <n v="3.9162224934612029"/>
    <n v="1.1499528005502413"/>
  </r>
  <r>
    <n v="49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0184961442772127"/>
    <b v="0"/>
    <b v="0"/>
    <s v=""/>
    <s v="BHHEPS1534761120"/>
    <n v="1"/>
    <s v="BHHEPS1534761120"/>
    <s v="2377300152"/>
    <s v="JANET L"/>
    <s v="OERTLY"/>
    <m/>
    <s v="7347 CASTLEWOOD DR"/>
    <s v="SUMMERSET"/>
    <s v="SD"/>
    <s v="57718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9179"/>
    <m/>
    <n v="6"/>
    <n v="0"/>
    <n v="2.4E-2"/>
    <m/>
    <n v="205.70400000000001"/>
    <m/>
    <m/>
    <m/>
    <m/>
    <m/>
    <n v="0"/>
    <n v="16.47"/>
    <n v="42968"/>
    <n v="42968.679168090297"/>
    <x v="1"/>
    <s v="F5EAFAB0131D4FD1839E44937E7A16B5"/>
    <n v="34.283999999999999"/>
    <n v="2.7449999999999997"/>
    <n v="31.912660854402784"/>
    <n v="4.6294175975068628"/>
    <n v="3.9162224934612029"/>
    <n v="1.1499528005502413"/>
  </r>
  <r>
    <n v="49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3834006137286521"/>
    <n v="0.94245390421260777"/>
    <b v="0"/>
    <b v="0"/>
    <s v=""/>
    <s v="BHHEPS1534761120"/>
    <n v="0"/>
    <s v="BHHEPS1534761120"/>
    <s v="2377300152"/>
    <s v="JANET L"/>
    <s v="OERTLY"/>
    <m/>
    <s v="7347 CASTLEWOOD DR"/>
    <s v="SUMMERSET"/>
    <s v="SD"/>
    <s v="57718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021"/>
    <m/>
    <n v="1"/>
    <n v="0"/>
    <n v="4.4999999999999997E-3"/>
    <m/>
    <n v="38.317"/>
    <m/>
    <m/>
    <m/>
    <m/>
    <m/>
    <n v="0"/>
    <n v="5"/>
    <n v="42968"/>
    <n v="42968.679168090297"/>
    <x v="1"/>
    <s v="8E531ED0D54645328CE1BC981BE7E6B6"/>
    <n v="38.317"/>
    <n v="5"/>
    <n v="31.912660854402784"/>
    <n v="4.6294175975068628"/>
    <n v="3.9162224934612029"/>
    <n v="1.1499528005502413"/>
  </r>
  <r>
    <n v="49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-0.90649154727256076"/>
    <b v="0"/>
    <b v="0"/>
    <s v=""/>
    <s v="BHHEPS1534761145"/>
    <n v="1"/>
    <s v="BHHEPS1534761145"/>
    <s v="6040154741"/>
    <s v="PHILIP E"/>
    <s v="PEARSON"/>
    <m/>
    <s v="625 CITY SPRINGS CT"/>
    <s v="RAPID CITY"/>
    <s v="SD"/>
    <s v="57702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425"/>
    <m/>
    <n v="4"/>
    <n v="0"/>
    <n v="1.4800000000000001E-2"/>
    <m/>
    <n v="125.036"/>
    <m/>
    <m/>
    <m/>
    <m/>
    <m/>
    <n v="0"/>
    <n v="11.495200000000001"/>
    <n v="42968"/>
    <n v="42968.688930289398"/>
    <x v="1"/>
    <s v="8B690AB828AE42C29DAEBF139D7200AB"/>
    <n v="31.259"/>
    <n v="2.8738000000000001"/>
    <n v="31.912660854402784"/>
    <n v="4.6294175975068628"/>
    <n v="3.9162224934612029"/>
    <n v="1.1499528005502413"/>
  </r>
  <r>
    <n v="49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3207235046379684"/>
    <b v="0"/>
    <b v="1"/>
    <s v=""/>
    <s v="BHHEPS1534761145"/>
    <n v="0"/>
    <s v="BHHEPS1534761145"/>
    <s v="6040154741"/>
    <s v="PHILIP E"/>
    <s v="PEARSON"/>
    <m/>
    <s v="625 CITY SPRINGS CT"/>
    <s v="RAPID CITY"/>
    <s v="SD"/>
    <s v="57702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6"/>
    <m/>
    <n v="4"/>
    <n v="0"/>
    <n v="1.6E-2"/>
    <m/>
    <n v="137.136"/>
    <m/>
    <m/>
    <m/>
    <m/>
    <m/>
    <n v="0"/>
    <n v="4.99"/>
    <n v="42968"/>
    <n v="42968.688930289398"/>
    <x v="1"/>
    <s v="909BCB9C5A73400D807ECCA176D5F9C8"/>
    <n v="34.283999999999999"/>
    <n v="1.2475000000000001"/>
    <n v="31.912660854402784"/>
    <n v="4.6294175975068628"/>
    <n v="3.9162224934612029"/>
    <n v="1.1499528005502413"/>
  </r>
  <r>
    <n v="495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1.947553971926167"/>
    <n v="0.4214787522569125"/>
    <b v="0"/>
    <b v="0"/>
    <s v=""/>
    <s v="BHHEPS1534761161"/>
    <n v="1"/>
    <s v="BHHEPS1534761161"/>
    <s v="1475531453"/>
    <s v="DAVID"/>
    <s v="JANOVY"/>
    <m/>
    <s v="13080 PLEASANT VALLEY RD"/>
    <s v="STURGIS"/>
    <s v="SD"/>
    <s v="57785"/>
    <s v="MENARDS"/>
    <s v="710 N CREEK DR"/>
    <s v="RAPID CITY"/>
    <s v="SD"/>
    <s v="57703"/>
    <s v="605-399-3922"/>
    <m/>
    <s v="Residential Lighting &amp; Appliances :- ES Star Fixture :- Customer Incentives"/>
    <s v="ENERGY STAR LED Fixture"/>
    <m/>
    <m/>
    <m/>
    <m/>
    <m/>
    <m/>
    <m/>
    <m/>
    <m/>
    <m/>
    <m/>
    <m/>
    <m/>
    <s v="FMLSDL1521840"/>
    <m/>
    <n v="2"/>
    <n v="0"/>
    <n v="2.86E-2"/>
    <m/>
    <n v="244.02"/>
    <m/>
    <m/>
    <m/>
    <m/>
    <m/>
    <n v="0"/>
    <n v="20"/>
    <n v="42968"/>
    <n v="42968.694654085702"/>
    <x v="1"/>
    <s v="ED20219601164E10B61937D7669EF0AB"/>
    <n v="122.01"/>
    <n v="10"/>
    <n v="35.519370843989762"/>
    <n v="44.409875363027503"/>
    <n v="9.3048337595907924"/>
    <n v="1.6493506177636894"/>
  </r>
  <r>
    <n v="496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0.38087540254823932"/>
    <n v="0.4214787522569125"/>
    <b v="0"/>
    <b v="0"/>
    <s v=""/>
    <s v="BHHEPS1534761161"/>
    <n v="0"/>
    <s v="BHHEPS1534761161"/>
    <s v="1475531453"/>
    <s v="DAVID"/>
    <s v="JANOVY"/>
    <m/>
    <s v="13080 PLEASANT VALLEY RD"/>
    <s v="STURGIS"/>
    <s v="SD"/>
    <s v="57785"/>
    <s v="MENARDS"/>
    <s v="710 N CREEK DR"/>
    <s v="RAPID CITY"/>
    <s v="SD"/>
    <s v="57703"/>
    <s v="605-399-3922"/>
    <m/>
    <s v="Residential Lighting &amp; Appliances :- ES Star Fixture :- Customer Incentives"/>
    <s v="ENERGY STAR LED Fixture"/>
    <m/>
    <m/>
    <m/>
    <m/>
    <m/>
    <m/>
    <m/>
    <m/>
    <m/>
    <m/>
    <m/>
    <m/>
    <m/>
    <s v="FMLSDL1214840"/>
    <m/>
    <n v="3"/>
    <n v="0"/>
    <n v="1.8599999999999998E-2"/>
    <m/>
    <n v="157.30199999999999"/>
    <m/>
    <m/>
    <m/>
    <m/>
    <m/>
    <n v="0"/>
    <n v="30"/>
    <n v="42968"/>
    <n v="42968.694654085702"/>
    <x v="1"/>
    <s v="4E82E37CE0F54D5DA567FDD78A66BE09"/>
    <n v="52.433999999999997"/>
    <n v="10"/>
    <n v="35.519370843989762"/>
    <n v="44.409875363027503"/>
    <n v="9.3048337595907924"/>
    <n v="1.6493506177636894"/>
  </r>
  <r>
    <n v="49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2120233910853178"/>
    <b v="0"/>
    <b v="1"/>
    <s v=""/>
    <s v="BHHEPS1534761161"/>
    <n v="0"/>
    <s v="BHHEPS1534761161"/>
    <s v="1475531453"/>
    <s v="DAVID"/>
    <s v="JANOVY"/>
    <m/>
    <s v="13080 PLEASANT VALLEY RD"/>
    <s v="STURGIS"/>
    <s v="SD"/>
    <s v="57785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8"/>
    <m/>
    <n v="32"/>
    <n v="0"/>
    <n v="0.128"/>
    <m/>
    <n v="1097.088"/>
    <m/>
    <m/>
    <m/>
    <m/>
    <m/>
    <n v="0"/>
    <n v="43.92"/>
    <n v="42968"/>
    <n v="42968.694654085702"/>
    <x v="1"/>
    <s v="53678C0FE16843E0A694F6F517946E83"/>
    <n v="34.283999999999999"/>
    <n v="1.3725000000000001"/>
    <n v="31.912660854402784"/>
    <n v="4.6294175975068628"/>
    <n v="3.9162224934612029"/>
    <n v="1.1499528005502413"/>
  </r>
  <r>
    <n v="49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14"/>
    <n v="-1.4489485939457094"/>
    <b v="0"/>
    <b v="0"/>
    <s v=""/>
    <s v="BHHEPS1534761216"/>
    <n v="1"/>
    <s v="BHHEPS1534761216"/>
    <s v="6098916584"/>
    <s v="ANA"/>
    <s v="ROBBINS"/>
    <m/>
    <s v="457 GEMSTONE DR"/>
    <s v="RAPID CITY"/>
    <s v="SD"/>
    <s v="57701"/>
    <s v="Batteries Plus - Rapid City"/>
    <s v="2060 W Main Street"/>
    <s v="RAPID CITY"/>
    <s v="SD"/>
    <s v="57702"/>
    <m/>
    <s v="jon.brue@batteriesplus.net"/>
    <s v="Residential Lighting &amp; Appliances :- LED :- Customer Incentives"/>
    <s v="LED"/>
    <m/>
    <m/>
    <m/>
    <m/>
    <m/>
    <m/>
    <m/>
    <m/>
    <m/>
    <m/>
    <m/>
    <m/>
    <m/>
    <s v="LED11820"/>
    <m/>
    <n v="6"/>
    <n v="0"/>
    <n v="1.6799999999999999E-2"/>
    <m/>
    <n v="142.17599999999999"/>
    <m/>
    <m/>
    <m/>
    <m/>
    <m/>
    <n v="0"/>
    <n v="13.5"/>
    <n v="42968"/>
    <n v="42968.714913425902"/>
    <x v="1"/>
    <s v="5B2382A9AD4640D0A0E0ED5124D24D4E"/>
    <n v="23.695999999999998"/>
    <n v="2.25"/>
    <n v="31.912660854402784"/>
    <n v="4.6294175975068628"/>
    <n v="3.9162224934612029"/>
    <n v="1.1499528005502413"/>
  </r>
  <r>
    <n v="499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-6.1886479561657562E-2"/>
    <n v="-2.3080803551353908"/>
    <b v="0"/>
    <b v="1"/>
    <s v=""/>
    <s v="BHHEPS1534761229"/>
    <n v="1"/>
    <s v="BHHEPS1534761229"/>
    <s v="4357276105"/>
    <s v="SHERYL"/>
    <s v="WERMAGER"/>
    <m/>
    <s v="247 ENCHANTMENT RD"/>
    <s v="RAPID CITY"/>
    <s v="SD"/>
    <s v="57701"/>
    <s v="LOWES - Rapid City"/>
    <s v="2550 HAINES AVE"/>
    <s v="RAPID CITY"/>
    <s v="SD"/>
    <s v="57701"/>
    <s v="605-341-4815"/>
    <m/>
    <s v="Residential Lighting &amp; Appliances :- ES Star Fixture :- Customer Incentives"/>
    <s v="ENERGY STAR LED Fixture"/>
    <m/>
    <m/>
    <m/>
    <m/>
    <m/>
    <m/>
    <m/>
    <m/>
    <m/>
    <m/>
    <m/>
    <m/>
    <m/>
    <s v="DLS30-06M27D1EWH-6"/>
    <m/>
    <n v="30"/>
    <n v="0"/>
    <n v="0.11700000000000001"/>
    <m/>
    <n v="983.13"/>
    <m/>
    <m/>
    <m/>
    <m/>
    <m/>
    <n v="0"/>
    <n v="164.94"/>
    <n v="42968"/>
    <n v="42968.7197914352"/>
    <x v="1"/>
    <s v="0405906542CB423888ED1CCDA061ECBB"/>
    <n v="32.771000000000001"/>
    <n v="5.4980000000000002"/>
    <n v="35.519370843989762"/>
    <n v="44.409875363027503"/>
    <n v="9.3048337595907924"/>
    <n v="1.6493506177636894"/>
  </r>
  <r>
    <n v="50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0.49895744091779276"/>
    <b v="0"/>
    <b v="0"/>
    <s v=""/>
    <s v="BHHEPS1534761279"/>
    <n v="1"/>
    <s v="BHHEPS1534761279"/>
    <s v="2163480770"/>
    <s v="SEAN"/>
    <s v="BAILEY"/>
    <m/>
    <s v="811 MALLOW ST                                     APT 2"/>
    <s v="RAPID CITY"/>
    <s v="SD"/>
    <s v="57701"/>
    <s v="LOWES - Rapid City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5"/>
    <m/>
    <n v="2"/>
    <n v="0"/>
    <n v="8.0000000000000002E-3"/>
    <m/>
    <n v="68.567999999999998"/>
    <m/>
    <m/>
    <m/>
    <m/>
    <m/>
    <n v="0"/>
    <n v="8.98"/>
    <n v="42968"/>
    <n v="42968.738223611101"/>
    <x v="1"/>
    <s v="92F01EF4AA774496AB33287AC70666C1"/>
    <n v="34.283999999999999"/>
    <n v="4.49"/>
    <n v="31.912660854402784"/>
    <n v="4.6294175975068628"/>
    <n v="3.9162224934612029"/>
    <n v="1.1499528005502413"/>
  </r>
  <r>
    <n v="50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0.93375789512839591"/>
    <b v="0"/>
    <b v="0"/>
    <s v=""/>
    <s v="BHHEPS1534761279"/>
    <n v="0"/>
    <s v="BHHEPS1534761279"/>
    <s v="2163480770"/>
    <s v="SEAN"/>
    <s v="BAILEY"/>
    <m/>
    <s v="811 MALLOW ST                                     APT 2"/>
    <s v="RAPID CITY"/>
    <s v="SD"/>
    <s v="57701"/>
    <s v="LOWES - Rapid City"/>
    <s v="2550 HAINES AVE"/>
    <s v="RAPID CITY"/>
    <s v="SD"/>
    <s v="57701"/>
    <s v="605-341-4815"/>
    <m/>
    <s v="Residential Lighting &amp; Appliances :- LED :- Customer Incentives"/>
    <s v="LED"/>
    <m/>
    <m/>
    <m/>
    <m/>
    <m/>
    <m/>
    <m/>
    <m/>
    <m/>
    <m/>
    <m/>
    <m/>
    <m/>
    <s v="74317"/>
    <m/>
    <n v="3"/>
    <n v="0"/>
    <n v="1.11E-2"/>
    <m/>
    <n v="93.777000000000001"/>
    <m/>
    <m/>
    <m/>
    <m/>
    <m/>
    <n v="0"/>
    <n v="14.97"/>
    <n v="42968"/>
    <n v="42968.738223611101"/>
    <x v="1"/>
    <s v="5E412E4871934023B0D6F3584021F018"/>
    <n v="31.259"/>
    <n v="4.99"/>
    <n v="31.912660854402784"/>
    <n v="4.6294175975068628"/>
    <n v="3.9162224934612029"/>
    <n v="1.1499528005502413"/>
  </r>
  <r>
    <n v="50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9926180043404715"/>
    <n v="-0.58804369460871497"/>
    <b v="0"/>
    <b v="0"/>
    <s v=""/>
    <s v="BHHEPS1534761396"/>
    <n v="1"/>
    <s v="BHHEPS1534761396"/>
    <s v="2331434835"/>
    <s v="MICHAEL R"/>
    <s v="HILTON"/>
    <m/>
    <s v="25133 GRANITE HEIGHTS DR"/>
    <s v="CUSTER"/>
    <s v="SD"/>
    <s v="57730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PLYC2933U"/>
    <m/>
    <n v="4"/>
    <n v="0"/>
    <n v="1.0800000000000001E-2"/>
    <m/>
    <n v="90.751999999999995"/>
    <m/>
    <m/>
    <m/>
    <m/>
    <m/>
    <n v="0"/>
    <n v="12.96"/>
    <n v="42968"/>
    <n v="42968.789404166702"/>
    <x v="1"/>
    <s v="E8BDFEFDDE6144D99A660EF14771E18E"/>
    <n v="22.687999999999999"/>
    <n v="3.24"/>
    <n v="31.912660854402784"/>
    <n v="4.6294175975068628"/>
    <n v="3.9162224934612029"/>
    <n v="1.1499528005502413"/>
  </r>
  <r>
    <n v="50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4922695998126518"/>
    <n v="0.51634945908621654"/>
    <b v="0"/>
    <b v="0"/>
    <s v=""/>
    <s v="BHHEPS1534761419"/>
    <n v="1"/>
    <s v="BHHEPS1534761419"/>
    <s v="4547551498"/>
    <s v="RANDY R"/>
    <s v="TURBAK"/>
    <m/>
    <s v="805 SAINT JAMES ST"/>
    <s v="RAPID CITY"/>
    <s v="SD"/>
    <s v="57701"/>
    <s v="HARDWARE HANK OF RAPID CITY"/>
    <s v="770 MT VIEW RD"/>
    <s v="RAPID CITY"/>
    <s v="SD"/>
    <s v="57702"/>
    <s v="605-343-5150"/>
    <m/>
    <s v="Residential Lighting &amp; Appliances :- LED :- Customer Incentives"/>
    <s v="LED"/>
    <m/>
    <m/>
    <m/>
    <m/>
    <m/>
    <m/>
    <m/>
    <m/>
    <m/>
    <m/>
    <m/>
    <m/>
    <m/>
    <s v="BPOM100/830/LED"/>
    <m/>
    <n v="1"/>
    <n v="0"/>
    <n v="4.5999999999999999E-3"/>
    <m/>
    <n v="38.820999999999998"/>
    <m/>
    <m/>
    <m/>
    <m/>
    <m/>
    <n v="0"/>
    <n v="4.51"/>
    <n v="42968"/>
    <n v="42968.799432488398"/>
    <x v="1"/>
    <s v="623AF7F17FC44337A31B2E8ED85C37C3"/>
    <n v="38.820999999999998"/>
    <n v="4.51"/>
    <n v="31.912660854402784"/>
    <n v="4.6294175975068628"/>
    <n v="3.9162224934612029"/>
    <n v="1.1499528005502413"/>
  </r>
  <r>
    <n v="50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8228769845668278"/>
    <b v="0"/>
    <b v="0"/>
    <s v=""/>
    <s v="BHHEPS1534761419"/>
    <n v="0"/>
    <s v="BHHEPS1534761419"/>
    <s v="4547551498"/>
    <s v="RANDY R"/>
    <s v="TURBAK"/>
    <m/>
    <s v="805 SAINT JAMES ST"/>
    <s v="RAPID CITY"/>
    <s v="SD"/>
    <s v="57701"/>
    <s v="HARDWARE HANK OF RAPID CITY"/>
    <s v="770 MT VIEW RD"/>
    <s v="RAPID CITY"/>
    <s v="SD"/>
    <s v="57702"/>
    <s v="605-343-5150"/>
    <m/>
    <s v="Residential Lighting &amp; Appliances :- LED :- Customer Incentives"/>
    <s v="LED"/>
    <m/>
    <m/>
    <m/>
    <m/>
    <m/>
    <m/>
    <m/>
    <m/>
    <m/>
    <m/>
    <m/>
    <m/>
    <m/>
    <s v="OM60/850/LED/4"/>
    <m/>
    <n v="4"/>
    <n v="0"/>
    <n v="1.6E-2"/>
    <m/>
    <n v="135.12"/>
    <m/>
    <m/>
    <m/>
    <m/>
    <m/>
    <n v="0"/>
    <n v="7.28"/>
    <n v="42968"/>
    <n v="42968.799432488398"/>
    <x v="1"/>
    <s v="27030B8DFD164365A65B565EBC005E7A"/>
    <n v="33.78"/>
    <n v="1.82"/>
    <n v="31.912660854402784"/>
    <n v="4.6294175975068628"/>
    <n v="3.9162224934612029"/>
    <n v="1.1499528005502413"/>
  </r>
  <r>
    <n v="50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8228769845668278"/>
    <b v="0"/>
    <b v="0"/>
    <s v=""/>
    <s v="BHHEPS1534761419"/>
    <n v="0"/>
    <s v="BHHEPS1534761419"/>
    <s v="4547551498"/>
    <s v="RANDY R"/>
    <s v="TURBAK"/>
    <m/>
    <s v="805 SAINT JAMES ST"/>
    <s v="RAPID CITY"/>
    <s v="SD"/>
    <s v="57701"/>
    <s v="HARDWARE HANK OF RAPID CITY"/>
    <s v="770 MT VIEW RD"/>
    <s v="RAPID CITY"/>
    <s v="SD"/>
    <s v="57702"/>
    <s v="605-343-5150"/>
    <m/>
    <s v="Residential Lighting &amp; Appliances :- LED :- Customer Incentives"/>
    <s v="LED"/>
    <m/>
    <m/>
    <m/>
    <m/>
    <m/>
    <m/>
    <m/>
    <m/>
    <m/>
    <m/>
    <m/>
    <m/>
    <m/>
    <s v="OM60/830/LED/4"/>
    <m/>
    <n v="16"/>
    <n v="0"/>
    <n v="6.4000000000000001E-2"/>
    <m/>
    <n v="540.48"/>
    <m/>
    <m/>
    <m/>
    <m/>
    <m/>
    <n v="0"/>
    <n v="29.12"/>
    <n v="42968"/>
    <n v="42968.799432488398"/>
    <x v="1"/>
    <s v="56BF73C3BCCC4F57B5FCCAA061A62459"/>
    <n v="33.78"/>
    <n v="1.82"/>
    <n v="31.912660854402784"/>
    <n v="4.6294175975068628"/>
    <n v="3.9162224934612029"/>
    <n v="1.1499528005502413"/>
  </r>
  <r>
    <n v="50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61440"/>
    <n v="1"/>
    <s v="BHHEPS1534761440"/>
    <s v="2377300152"/>
    <s v="JANET L"/>
    <s v="OERTLY"/>
    <m/>
    <s v="7347 CASTLEWOOD DR"/>
    <s v="SUMMERSET"/>
    <s v="SD"/>
    <s v="57718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0.02"/>
    <m/>
    <n v="168.9"/>
    <m/>
    <m/>
    <m/>
    <m/>
    <m/>
    <n v="0"/>
    <n v="14.75"/>
    <n v="42968"/>
    <n v="42968.812648923602"/>
    <x v="1"/>
    <s v="BD311D7DB5704B0487464C01CC4FEA3A"/>
    <n v="33.78"/>
    <n v="2.95"/>
    <n v="31.912660854402784"/>
    <n v="4.6294175975068628"/>
    <n v="3.9162224934612029"/>
    <n v="1.1499528005502413"/>
  </r>
  <r>
    <n v="50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61442"/>
    <n v="1"/>
    <s v="BHHEPS1534761442"/>
    <s v="0053013471"/>
    <s v="SHEILA"/>
    <s v="SHELDEN"/>
    <m/>
    <s v="4721 E ELMWOOD DR"/>
    <s v="BLACK HAWK"/>
    <s v="SD"/>
    <s v="57718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8.0000000000000002E-3"/>
    <m/>
    <n v="67.56"/>
    <m/>
    <m/>
    <m/>
    <m/>
    <m/>
    <n v="0"/>
    <n v="5.9"/>
    <n v="42968"/>
    <n v="42968.8143569444"/>
    <x v="1"/>
    <s v="9C1562156ECD41AAB05391C3379CED49"/>
    <n v="33.78"/>
    <n v="2.95"/>
    <n v="31.912660854402784"/>
    <n v="4.6294175975068628"/>
    <n v="3.9162224934612029"/>
    <n v="1.1499528005502413"/>
  </r>
  <r>
    <n v="50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14"/>
    <n v="-1.1880683214193473"/>
    <b v="0"/>
    <b v="0"/>
    <s v=""/>
    <s v="BHHEPS1534761442"/>
    <n v="0"/>
    <s v="BHHEPS1534761442"/>
    <s v="0053013471"/>
    <s v="SHEILA"/>
    <s v="SHELDEN"/>
    <m/>
    <s v="4721 E ELMWOOD DR"/>
    <s v="BLACK HAWK"/>
    <s v="SD"/>
    <s v="57718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6"/>
    <n v="0"/>
    <n v="1.6799999999999999E-2"/>
    <m/>
    <n v="142.17599999999999"/>
    <m/>
    <m/>
    <m/>
    <m/>
    <m/>
    <n v="0"/>
    <n v="15.3"/>
    <n v="42968"/>
    <n v="42968.8143569444"/>
    <x v="1"/>
    <s v="F99F81C356C14D1B8BC34047AEE2DC78"/>
    <n v="23.695999999999998"/>
    <n v="2.5500000000000003"/>
    <n v="31.912660854402784"/>
    <n v="4.6294175975068628"/>
    <n v="3.9162224934612029"/>
    <n v="1.1499528005502413"/>
  </r>
  <r>
    <n v="50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3834006137286521"/>
    <n v="0.94245390421260777"/>
    <b v="0"/>
    <b v="0"/>
    <s v=""/>
    <s v="BHHEPS1534761459"/>
    <n v="1"/>
    <s v="BHHEPS1534761459"/>
    <s v="3951063854"/>
    <s v="GRAYDON L"/>
    <s v="ELVERUD"/>
    <m/>
    <s v="3605 MAPLE AVE"/>
    <s v="RAPID CITY"/>
    <s v="SD"/>
    <s v="57701"/>
    <s v="MICKS ELECTRIC"/>
    <s v="1304 OREGON ST"/>
    <s v="RAPID CITY"/>
    <s v="SD"/>
    <s v="57701"/>
    <s v="605-348-2335"/>
    <m/>
    <s v="Residential Lighting &amp; Appliances :- LED :- Customer Incentives"/>
    <s v="LED"/>
    <m/>
    <m/>
    <m/>
    <m/>
    <m/>
    <m/>
    <m/>
    <m/>
    <m/>
    <m/>
    <m/>
    <m/>
    <m/>
    <s v="GELED15LS2827"/>
    <m/>
    <n v="5"/>
    <n v="0"/>
    <n v="2.2499999999999999E-2"/>
    <m/>
    <n v="191.58500000000001"/>
    <m/>
    <m/>
    <m/>
    <m/>
    <m/>
    <n v="0"/>
    <n v="25"/>
    <n v="42968"/>
    <n v="42968.821885451398"/>
    <x v="1"/>
    <s v="DB0DD17004AE4800AC29AE89CC580D2F"/>
    <n v="38.317"/>
    <n v="5"/>
    <n v="31.912660854402784"/>
    <n v="4.6294175975068628"/>
    <n v="3.9162224934612029"/>
    <n v="1.1499528005502413"/>
  </r>
  <r>
    <n v="51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6660110460884709"/>
    <n v="-1.8663570299878887"/>
    <b v="0"/>
    <b v="0"/>
    <s v=""/>
    <s v="BHHEPS1534763692"/>
    <n v="1"/>
    <s v="BHHEPS1534763692"/>
    <s v="5104785648"/>
    <s v="MARTIN A"/>
    <s v="HOUSTON"/>
    <m/>
    <s v="326 N MEIER ST"/>
    <s v="SPEARFISH"/>
    <s v="SD"/>
    <s v="57783"/>
    <m/>
    <s v="2825 1ST AVE"/>
    <s v="SPEARFISH"/>
    <s v="SD"/>
    <s v="57783"/>
    <m/>
    <m/>
    <s v="Residential Lighting &amp; Appliances :- LED :- Customer Incentives"/>
    <s v="LED"/>
    <m/>
    <m/>
    <m/>
    <m/>
    <m/>
    <m/>
    <m/>
    <m/>
    <m/>
    <m/>
    <m/>
    <m/>
    <m/>
    <s v="CAD2.5W27-3P"/>
    <m/>
    <n v="6"/>
    <n v="0"/>
    <n v="1.6799999999999999E-2"/>
    <m/>
    <n v="145.19999999999999"/>
    <m/>
    <m/>
    <m/>
    <m/>
    <m/>
    <n v="0"/>
    <n v="10.62"/>
    <n v="42969"/>
    <n v="42969.619902048602"/>
    <x v="1"/>
    <s v="6560053784D74F86A744835166B01685"/>
    <n v="24.2"/>
    <n v="1.7699999999999998"/>
    <n v="31.912660854402784"/>
    <n v="4.6294175975068628"/>
    <n v="3.9162224934612029"/>
    <n v="1.1499528005502413"/>
  </r>
  <r>
    <n v="511"/>
    <s v="Residential - BHPSD - Residential Lighting &amp; Appliances"/>
    <b v="1"/>
    <s v="Residential - BHPSD - Residential Lighting &amp; Appliances_Residential Lighting &amp; Appliances :- ES Star Fixture :- Customer Incentives_ENERGY STAR LED Fixture"/>
    <s v="Residential_Residential Lighting_Lighting_ENERGY STAR Fixture"/>
    <x v="1"/>
    <x v="5"/>
    <x v="3"/>
    <x v="20"/>
    <n v="5.1646827136104793E-2"/>
    <n v="0.4214787522569125"/>
    <b v="0"/>
    <b v="0"/>
    <s v=""/>
    <s v="BHHEPS1534767763"/>
    <n v="1"/>
    <s v="BHHEPS1534767763"/>
    <s v="0083845781"/>
    <s v="ANDREA J"/>
    <s v="SCHARTZ"/>
    <s v="ANDREA SCHARTZ"/>
    <s v="325 RACINE ST"/>
    <s v="RAPID CITY"/>
    <s v="SD"/>
    <s v="57701"/>
    <s v="BHE"/>
    <s v="PO BOX 1400"/>
    <s v="RAPID CITY"/>
    <s v="SD"/>
    <s v="57709"/>
    <s v="605-721-2687"/>
    <m/>
    <s v="Residential Lighting &amp; Appliances :- ES Star Fixture :- Customer Incentives"/>
    <s v="ENERGY STAR LED Fixture"/>
    <m/>
    <m/>
    <m/>
    <m/>
    <m/>
    <m/>
    <m/>
    <m/>
    <m/>
    <m/>
    <m/>
    <m/>
    <m/>
    <s v="FM-306-930-WT"/>
    <m/>
    <n v="5"/>
    <n v="0"/>
    <n v="2.1999999999999999E-2"/>
    <m/>
    <n v="189.065"/>
    <m/>
    <m/>
    <m/>
    <m/>
    <m/>
    <n v="0"/>
    <n v="50"/>
    <n v="42970"/>
    <n v="42970.719258680598"/>
    <x v="1"/>
    <s v="F3BE932E051D46D68E44C72A1801FA6B"/>
    <n v="37.813000000000002"/>
    <n v="10"/>
    <n v="35.519370843989762"/>
    <n v="44.409875363027503"/>
    <n v="9.3048337595907924"/>
    <n v="1.6493506177636894"/>
  </r>
  <r>
    <n v="51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69692"/>
    <n v="1"/>
    <s v="BHHEPS1534769692"/>
    <s v="7747576836"/>
    <s v="ROBIN L"/>
    <s v="CLAYMORE"/>
    <m/>
    <s v="5120 STONEY CREEK C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11.8"/>
    <n v="42971"/>
    <n v="42971.450761608801"/>
    <x v="1"/>
    <s v="1C89741D4B1C4B808911CDC9E6FDCF97"/>
    <n v="33.78"/>
    <n v="2.95"/>
    <n v="31.912660854402784"/>
    <n v="4.6294175975068628"/>
    <n v="3.9162224934612029"/>
    <n v="1.1499528005502413"/>
  </r>
  <r>
    <n v="51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1880683214193477"/>
    <b v="0"/>
    <b v="0"/>
    <s v=""/>
    <s v="BHHEPS1534769692"/>
    <n v="0"/>
    <s v="BHHEPS1534769692"/>
    <s v="7747576836"/>
    <s v="ROBIN L"/>
    <s v="CLAYMORE"/>
    <m/>
    <s v="5120 STONEY CREEK C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5999999999999999E-3"/>
    <m/>
    <n v="47.392000000000003"/>
    <m/>
    <m/>
    <m/>
    <m/>
    <m/>
    <n v="0"/>
    <n v="5.0999999999999996"/>
    <n v="42971"/>
    <n v="42971.450761608801"/>
    <x v="1"/>
    <s v="AF21177527BA4380939A8E32D18C9FCE"/>
    <n v="23.696000000000002"/>
    <n v="2.5499999999999998"/>
    <n v="31.912660854402784"/>
    <n v="4.6294175975068628"/>
    <n v="3.9162224934612029"/>
    <n v="1.1499528005502413"/>
  </r>
  <r>
    <n v="51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6211017012476282"/>
    <n v="7.2852995791401517E-2"/>
    <b v="0"/>
    <b v="0"/>
    <s v=""/>
    <s v="BHHEPS1534769692"/>
    <n v="0"/>
    <s v="BHHEPS1534769692"/>
    <s v="7747576836"/>
    <s v="ROBIN L"/>
    <s v="CLAYMORE"/>
    <m/>
    <s v="5120 STONEY CREEK CT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2"/>
    <n v="0"/>
    <n v="4.9200000000000001E-2"/>
    <m/>
    <n v="417.45600000000002"/>
    <m/>
    <m/>
    <m/>
    <m/>
    <m/>
    <n v="0"/>
    <n v="48"/>
    <n v="42971"/>
    <n v="42971.450761608801"/>
    <x v="1"/>
    <s v="28845BACA4E04D4491F2346A2D832FC5"/>
    <n v="34.788000000000004"/>
    <n v="4"/>
    <n v="31.912660854402784"/>
    <n v="4.6294175975068628"/>
    <n v="3.9162224934612029"/>
    <n v="1.1499528005502413"/>
  </r>
  <r>
    <n v="51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109845284345826"/>
    <b v="0"/>
    <b v="1"/>
    <s v=""/>
    <s v="BHHEPS1534770032"/>
    <n v="1"/>
    <s v="BHHEPS1534770032"/>
    <s v="5103408968"/>
    <s v="LOREN C"/>
    <s v="SKJERVEM"/>
    <m/>
    <s v="4910 COPPERHILL CT"/>
    <s v="RAPID CITY"/>
    <s v="SD"/>
    <s v="57702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L9BR30D27K"/>
    <m/>
    <n v="6"/>
    <n v="0"/>
    <n v="2.4E-2"/>
    <m/>
    <n v="205.70400000000001"/>
    <m/>
    <m/>
    <m/>
    <m/>
    <m/>
    <n v="0"/>
    <n v="8.94"/>
    <n v="42971"/>
    <n v="42971.557341747699"/>
    <x v="1"/>
    <s v="A7262E23CBF24931B07E2AD80E89A2A5"/>
    <n v="34.283999999999999"/>
    <n v="1.49"/>
    <n v="31.912660854402784"/>
    <n v="4.6294175975068628"/>
    <n v="3.9162224934612029"/>
    <n v="1.1499528005502413"/>
  </r>
  <r>
    <n v="51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675044830135223"/>
    <b v="0"/>
    <b v="0"/>
    <s v=""/>
    <s v="BHHEPS1534770032"/>
    <n v="0"/>
    <s v="BHHEPS1534770032"/>
    <s v="5103408968"/>
    <s v="LOREN C"/>
    <s v="SKJERVEM"/>
    <m/>
    <s v="4910 COPPERHILL CT"/>
    <s v="RAPID CITY"/>
    <s v="SD"/>
    <s v="57702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PLYC11622U"/>
    <m/>
    <n v="2"/>
    <n v="0"/>
    <n v="5.5999999999999999E-3"/>
    <m/>
    <n v="47.392000000000003"/>
    <m/>
    <m/>
    <m/>
    <m/>
    <m/>
    <n v="0"/>
    <n v="3.98"/>
    <n v="42971"/>
    <n v="42971.557341747699"/>
    <x v="1"/>
    <s v="FF5F662D49BE4A04AD05F4090C79279E"/>
    <n v="23.696000000000002"/>
    <n v="1.99"/>
    <n v="31.912660854402784"/>
    <n v="4.6294175975068628"/>
    <n v="3.9162224934612029"/>
    <n v="1.1499528005502413"/>
  </r>
  <r>
    <n v="51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5619967120404661"/>
    <b v="0"/>
    <b v="0"/>
    <s v=""/>
    <s v="BHHEPS1534774480"/>
    <n v="1"/>
    <s v="BHHEPS1534774480"/>
    <s v="2392026174"/>
    <s v="ROGER A"/>
    <s v="THOMAS"/>
    <m/>
    <s v="338 W MCCLELLAN ST"/>
    <s v="LEAD"/>
    <s v="SD"/>
    <s v="57754"/>
    <s v=""/>
    <s v="310 26TH ST"/>
    <s v="SPEARFISH"/>
    <s v="SD"/>
    <s v="57783"/>
    <m/>
    <m/>
    <s v="Residential Lighting &amp; Appliances :- LED :- Customer Incentives"/>
    <s v="LED"/>
    <m/>
    <m/>
    <m/>
    <m/>
    <m/>
    <m/>
    <m/>
    <m/>
    <m/>
    <m/>
    <m/>
    <m/>
    <m/>
    <s v="017801145519"/>
    <m/>
    <n v="16"/>
    <n v="0"/>
    <n v="6.4000000000000001E-2"/>
    <m/>
    <n v="540.48"/>
    <m/>
    <m/>
    <m/>
    <m/>
    <m/>
    <n v="0"/>
    <n v="33.92"/>
    <n v="42972"/>
    <n v="42972.534156713002"/>
    <x v="1"/>
    <s v="C39D71F8D0C543C7B9F7F760CBAA10A8"/>
    <n v="33.78"/>
    <n v="2.12"/>
    <n v="31.912660854402784"/>
    <n v="4.6294175975068628"/>
    <n v="3.9162224934612029"/>
    <n v="1.1499528005502413"/>
  </r>
  <r>
    <n v="51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1.5619967120404661"/>
    <b v="0"/>
    <b v="0"/>
    <s v=""/>
    <s v="BHHEPS1534774480"/>
    <n v="0"/>
    <s v="BHHEPS1534774480"/>
    <s v="2392026174"/>
    <s v="ROGER A"/>
    <s v="THOMAS"/>
    <m/>
    <s v="338 W MCCLELLAN ST"/>
    <s v="LEAD"/>
    <s v="SD"/>
    <s v="57754"/>
    <s v=""/>
    <s v="310 26TH ST"/>
    <s v="SPEARFISH"/>
    <s v="SD"/>
    <s v="57783"/>
    <m/>
    <m/>
    <s v="Residential Lighting &amp; Appliances :- LED :- Customer Incentives"/>
    <s v="LED"/>
    <m/>
    <m/>
    <m/>
    <m/>
    <m/>
    <m/>
    <m/>
    <m/>
    <m/>
    <m/>
    <m/>
    <m/>
    <m/>
    <s v="17801145526"/>
    <m/>
    <n v="4"/>
    <n v="0"/>
    <n v="1.6E-2"/>
    <m/>
    <n v="135.12"/>
    <m/>
    <m/>
    <m/>
    <m/>
    <m/>
    <n v="0"/>
    <n v="8.48"/>
    <n v="42972"/>
    <n v="42972.534156713002"/>
    <x v="1"/>
    <s v="25FCE926C24E4B1988DE697EE92C671B"/>
    <n v="33.78"/>
    <n v="2.12"/>
    <n v="31.912660854402784"/>
    <n v="4.6294175975068628"/>
    <n v="3.9162224934612029"/>
    <n v="1.1499528005502413"/>
  </r>
  <r>
    <n v="51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18540974701860313"/>
    <n v="-0.37064346750341348"/>
    <b v="0"/>
    <b v="0"/>
    <s v=""/>
    <s v="BHHEPS1534774480"/>
    <n v="0"/>
    <s v="BHHEPS1534774480"/>
    <s v="2392026174"/>
    <s v="ROGER A"/>
    <s v="THOMAS"/>
    <m/>
    <s v="338 W MCCLELLAN ST"/>
    <s v="LEAD"/>
    <s v="SD"/>
    <s v="57754"/>
    <s v=""/>
    <s v="310 26TH ST"/>
    <s v="SPEARFISH"/>
    <s v="SD"/>
    <s v="57783"/>
    <m/>
    <m/>
    <s v="Residential Lighting &amp; Appliances :- LED :- Customer Incentives"/>
    <s v="LED"/>
    <m/>
    <m/>
    <m/>
    <m/>
    <m/>
    <m/>
    <m/>
    <m/>
    <m/>
    <m/>
    <m/>
    <m/>
    <m/>
    <s v="017801435191"/>
    <m/>
    <n v="6"/>
    <n v="0"/>
    <n v="2.3400000000000001E-2"/>
    <m/>
    <n v="196.626"/>
    <m/>
    <m/>
    <m/>
    <m/>
    <m/>
    <n v="0"/>
    <n v="20.94"/>
    <n v="42972"/>
    <n v="42972.534156713002"/>
    <x v="1"/>
    <s v="9DEE64269FA24236A7216242E3E10B21"/>
    <n v="32.771000000000001"/>
    <n v="3.49"/>
    <n v="31.912660854402784"/>
    <n v="4.6294175975068628"/>
    <n v="3.9162224934612029"/>
    <n v="1.1499528005502413"/>
  </r>
  <r>
    <n v="52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7.6540760934603463E-2"/>
    <n v="-1.4489485939457094"/>
    <b v="0"/>
    <b v="0"/>
    <s v=""/>
    <s v="BHHEPS1534774499"/>
    <n v="1"/>
    <s v="BHHEPS1534774499"/>
    <s v="3609485944"/>
    <s v="BOB C"/>
    <s v="STADLER"/>
    <m/>
    <s v="1916 COWBOY LN"/>
    <s v="SPEARFISH"/>
    <s v="SD"/>
    <s v="57783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9510"/>
    <m/>
    <n v="6"/>
    <n v="0"/>
    <n v="2.2800000000000001E-2"/>
    <m/>
    <n v="193.602"/>
    <m/>
    <m/>
    <m/>
    <m/>
    <m/>
    <n v="0"/>
    <n v="13.5"/>
    <n v="42972"/>
    <n v="42972.541581481499"/>
    <x v="1"/>
    <s v="E1BE8596FA39412C97DE65783C903D5D"/>
    <n v="32.267000000000003"/>
    <n v="2.25"/>
    <n v="31.912660854402784"/>
    <n v="4.6294175975068628"/>
    <n v="3.9162224934612029"/>
    <n v="1.1499528005502413"/>
  </r>
  <r>
    <n v="52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1.4576446030299217"/>
    <b v="0"/>
    <b v="0"/>
    <s v=""/>
    <s v="BHHEPS1534774499"/>
    <n v="0"/>
    <s v="BHHEPS1534774499"/>
    <s v="3609485944"/>
    <s v="BOB C"/>
    <s v="STADLER"/>
    <m/>
    <s v="1916 COWBOY LN"/>
    <s v="SPEARFISH"/>
    <s v="SD"/>
    <s v="57783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9179"/>
    <m/>
    <n v="10"/>
    <n v="0"/>
    <n v="0.04"/>
    <m/>
    <n v="342.84"/>
    <m/>
    <m/>
    <m/>
    <m/>
    <m/>
    <n v="0"/>
    <n v="22.4"/>
    <n v="42972"/>
    <n v="42972.541581481499"/>
    <x v="1"/>
    <s v="DD9C6F1E24604060BA6B75EF3A3CD00A"/>
    <n v="34.283999999999999"/>
    <n v="2.2399999999999998"/>
    <n v="31.912660854402784"/>
    <n v="4.6294175975068628"/>
    <n v="3.9162224934612029"/>
    <n v="1.1499528005502413"/>
  </r>
  <r>
    <n v="52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0.14119721123339737"/>
    <n v="-1.118500248745651"/>
    <b v="0"/>
    <b v="0"/>
    <s v=""/>
    <s v="BHHEPS1534774499"/>
    <n v="0"/>
    <s v="BHHEPS1534774499"/>
    <s v="3609485944"/>
    <s v="BOB C"/>
    <s v="STADLER"/>
    <m/>
    <s v="1916 COWBOY LN"/>
    <s v="SPEARFISH"/>
    <s v="SD"/>
    <s v="57783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4425"/>
    <m/>
    <n v="4"/>
    <n v="0"/>
    <n v="1.4800000000000001E-2"/>
    <m/>
    <n v="125.036"/>
    <m/>
    <m/>
    <m/>
    <m/>
    <m/>
    <n v="0"/>
    <n v="10.52"/>
    <n v="42972"/>
    <n v="42972.541581481499"/>
    <x v="1"/>
    <s v="48F20BB75FA545C0B0E27D3A4317198D"/>
    <n v="31.259"/>
    <n v="2.63"/>
    <n v="31.912660854402784"/>
    <n v="4.6294175975068628"/>
    <n v="3.9162224934612029"/>
    <n v="1.1499528005502413"/>
  </r>
  <r>
    <n v="52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51223271516362701"/>
    <n v="-2.5363845299264276"/>
    <b v="0"/>
    <b v="1"/>
    <s v=""/>
    <s v="BHHEPS1534774499"/>
    <n v="0"/>
    <s v="BHHEPS1534774499"/>
    <s v="3609485944"/>
    <s v="BOB C"/>
    <s v="STADLER"/>
    <m/>
    <s v="1916 COWBOY LN"/>
    <s v="SPEARFISH"/>
    <s v="SD"/>
    <s v="57783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8036"/>
    <m/>
    <n v="16"/>
    <n v="0"/>
    <n v="6.4000000000000001E-2"/>
    <m/>
    <n v="548.54399999999998"/>
    <m/>
    <m/>
    <m/>
    <m/>
    <m/>
    <n v="0"/>
    <n v="15.992000000000001"/>
    <n v="42972"/>
    <n v="42972.541581481499"/>
    <x v="1"/>
    <s v="27FC064FB72A4528BEA5D715A5922F0A"/>
    <n v="34.283999999999999"/>
    <n v="0.99950000000000006"/>
    <n v="31.912660854402784"/>
    <n v="4.6294175975068628"/>
    <n v="3.9162224934612029"/>
    <n v="1.1499528005502413"/>
  </r>
  <r>
    <n v="52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1.1656626415606512"/>
    <n v="-0.79674791262980471"/>
    <b v="0"/>
    <b v="0"/>
    <s v=""/>
    <s v="BHHEPS1534774499"/>
    <n v="0"/>
    <s v="BHHEPS1534774499"/>
    <s v="3609485944"/>
    <s v="BOB C"/>
    <s v="STADLER"/>
    <m/>
    <s v="1916 COWBOY LN"/>
    <s v="SPEARFISH"/>
    <s v="SD"/>
    <s v="57783"/>
    <s v="MENARDS"/>
    <s v="710 N CREEK DR"/>
    <s v="RAPID CITY"/>
    <s v="SD"/>
    <s v="57703"/>
    <s v="605-399-3922"/>
    <m/>
    <s v="Residential Lighting &amp; Appliances :- LED :- Customer Incentives"/>
    <s v="LED"/>
    <m/>
    <m/>
    <m/>
    <m/>
    <m/>
    <m/>
    <m/>
    <m/>
    <m/>
    <m/>
    <m/>
    <m/>
    <m/>
    <s v="73188"/>
    <m/>
    <n v="4"/>
    <n v="0"/>
    <n v="1.7600000000000001E-2"/>
    <m/>
    <n v="149.23599999999999"/>
    <m/>
    <m/>
    <m/>
    <m/>
    <m/>
    <n v="0"/>
    <n v="12"/>
    <n v="42972"/>
    <n v="42972.541581481499"/>
    <x v="1"/>
    <s v="E29FCC3F96A245D3A43BF44190203345"/>
    <n v="37.308999999999997"/>
    <n v="3"/>
    <n v="31.912660854402784"/>
    <n v="4.6294175975068628"/>
    <n v="3.9162224934612029"/>
    <n v="1.1499528005502413"/>
  </r>
  <r>
    <n v="52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3.2328225149396955E-2"/>
    <n v="0.93375789512839591"/>
    <b v="0"/>
    <b v="0"/>
    <s v=""/>
    <s v="BHHEPS1534775161"/>
    <n v="1"/>
    <s v="BHHEPS1534775161"/>
    <s v="6782096619"/>
    <s v="JERROLD L"/>
    <s v="BROWN"/>
    <m/>
    <s v="4712 EDGEWOOD DR"/>
    <s v="RAPID CITY"/>
    <s v="SD"/>
    <s v="57702"/>
    <s v="BES LIGHTING"/>
    <s v="333 OMAHA ST"/>
    <s v="RAPID CITY"/>
    <s v="SD"/>
    <s v="57701"/>
    <s v="605-348-3393"/>
    <s v="CURT@BESLIGHTING.COM"/>
    <s v="Residential Lighting &amp; Appliances :- LED :- Customer Incentives"/>
    <s v="LED"/>
    <m/>
    <m/>
    <m/>
    <m/>
    <m/>
    <m/>
    <m/>
    <m/>
    <m/>
    <m/>
    <m/>
    <m/>
    <m/>
    <s v="S9811"/>
    <m/>
    <n v="4"/>
    <n v="0"/>
    <n v="1.4800000000000001E-2"/>
    <m/>
    <n v="127.05200000000001"/>
    <m/>
    <m/>
    <m/>
    <m/>
    <m/>
    <n v="0"/>
    <n v="19.96"/>
    <n v="42972"/>
    <n v="42972.787207673602"/>
    <x v="1"/>
    <s v="988842FF580A4127A9CDAEB9AFA68511"/>
    <n v="31.763000000000002"/>
    <n v="4.99"/>
    <n v="31.912660854402784"/>
    <n v="4.6294175975068628"/>
    <n v="3.9162224934612029"/>
    <n v="1.1499528005502413"/>
  </r>
  <r>
    <n v="52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45760355834553418"/>
    <b v="0"/>
    <b v="0"/>
    <s v=""/>
    <s v="BHHEPS1534775161"/>
    <n v="0"/>
    <s v="BHHEPS1534775161"/>
    <s v="6782096619"/>
    <s v="JERROLD L"/>
    <s v="BROWN"/>
    <m/>
    <s v="4712 EDGEWOOD DR"/>
    <s v="RAPID CITY"/>
    <s v="SD"/>
    <s v="57702"/>
    <s v="BES LIGHTING"/>
    <s v="333 OMAHA ST"/>
    <s v="RAPID CITY"/>
    <s v="SD"/>
    <s v="57701"/>
    <s v="605-348-3393"/>
    <s v="CURT@BESLIGHTING.COM"/>
    <s v="Residential Lighting &amp; Appliances :- LED :- Customer Incentives"/>
    <s v="LED"/>
    <m/>
    <m/>
    <m/>
    <m/>
    <m/>
    <m/>
    <m/>
    <m/>
    <m/>
    <m/>
    <m/>
    <m/>
    <m/>
    <s v="S9836"/>
    <m/>
    <n v="4"/>
    <n v="0"/>
    <n v="1.6E-2"/>
    <m/>
    <n v="135.12"/>
    <m/>
    <m/>
    <m/>
    <m/>
    <m/>
    <n v="0"/>
    <n v="13.56"/>
    <n v="42972"/>
    <n v="42972.787207673602"/>
    <x v="1"/>
    <s v="971AAB7523A544CCBA709FD2ECEB1D37"/>
    <n v="33.78"/>
    <n v="3.39"/>
    <n v="31.912660854402784"/>
    <n v="4.6294175975068628"/>
    <n v="3.9162224934612029"/>
    <n v="1.1499528005502413"/>
  </r>
  <r>
    <n v="52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80550"/>
    <n v="1"/>
    <s v="BHHEPS1534780550"/>
    <s v="1363085017"/>
    <s v="KEN A"/>
    <s v="SCHALLENKAMP"/>
    <m/>
    <s v="1918 COUNTRY OAK LN"/>
    <s v="SPEARFISH"/>
    <s v="SD"/>
    <s v="57783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0"/>
    <n v="0"/>
    <n v="0.04"/>
    <m/>
    <n v="337.8"/>
    <m/>
    <m/>
    <m/>
    <m/>
    <m/>
    <n v="0"/>
    <n v="29.5"/>
    <n v="42975"/>
    <n v="42975.577299305602"/>
    <x v="1"/>
    <s v="5AC22E91796949ADAF80582401B20C6A"/>
    <n v="33.78"/>
    <n v="2.95"/>
    <n v="31.912660854402784"/>
    <n v="4.6294175975068628"/>
    <n v="3.9162224934612029"/>
    <n v="1.1499528005502413"/>
  </r>
  <r>
    <n v="528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7.2852995791401517E-2"/>
    <b v="0"/>
    <b v="0"/>
    <s v=""/>
    <s v="BHHEPS1534780555"/>
    <n v="1"/>
    <s v="BHHEPS1534780555"/>
    <s v="1972954029"/>
    <s v="JAMES"/>
    <s v="KAMMERT"/>
    <m/>
    <s v="4050 CARRIAGE HILLS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16"/>
    <n v="42975"/>
    <n v="42975.578472569403"/>
    <x v="1"/>
    <s v="610BA225AC914A779F9C916B976CE2A0"/>
    <n v="33.78"/>
    <n v="4"/>
    <n v="31.912660854402784"/>
    <n v="4.6294175975068628"/>
    <n v="3.9162224934612029"/>
    <n v="1.1499528005502413"/>
  </r>
  <r>
    <n v="529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1880683214193477"/>
    <b v="0"/>
    <b v="0"/>
    <s v=""/>
    <s v="BHHEPS1534780555"/>
    <n v="0"/>
    <s v="BHHEPS1534780555"/>
    <s v="1972954029"/>
    <s v="JAMES"/>
    <s v="KAMMERT"/>
    <m/>
    <s v="4050 CARRIAGE HILLS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2.8E-3"/>
    <m/>
    <n v="23.696000000000002"/>
    <m/>
    <m/>
    <m/>
    <m/>
    <m/>
    <n v="0"/>
    <n v="2.5499999999999998"/>
    <n v="42975"/>
    <n v="42975.578472569403"/>
    <x v="1"/>
    <s v="E0DF1EEB8E7046589CD2909FFCE52F9F"/>
    <n v="23.696000000000002"/>
    <n v="2.5499999999999998"/>
    <n v="31.912660854402784"/>
    <n v="4.6294175975068628"/>
    <n v="3.9162224934612029"/>
    <n v="1.1499528005502413"/>
  </r>
  <r>
    <n v="530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80555"/>
    <n v="0"/>
    <s v="BHHEPS1534780555"/>
    <s v="1972954029"/>
    <s v="JAMES"/>
    <s v="KAMMERT"/>
    <m/>
    <s v="4050 CARRIAGE HILLS DR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1"/>
    <n v="0"/>
    <n v="4.0000000000000001E-3"/>
    <m/>
    <n v="33.78"/>
    <m/>
    <m/>
    <m/>
    <m/>
    <m/>
    <n v="0"/>
    <n v="2.95"/>
    <n v="42975"/>
    <n v="42975.578472569403"/>
    <x v="1"/>
    <s v="5C64B51115E44EE3A35B85A4D81F48A9"/>
    <n v="33.78"/>
    <n v="2.95"/>
    <n v="31.912660854402784"/>
    <n v="4.6294175975068628"/>
    <n v="3.9162224934612029"/>
    <n v="1.1499528005502413"/>
  </r>
  <r>
    <n v="531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525"/>
    <b v="0"/>
    <b v="0"/>
    <s v=""/>
    <s v="BHHEPS1534783524"/>
    <n v="1"/>
    <s v="BHHEPS1534783524"/>
    <s v="0047623002"/>
    <s v="DEAN C"/>
    <s v="FOUCAULT"/>
    <m/>
    <s v="7284 SUTTON DR                                    APT 101"/>
    <s v="BLACK HAWK"/>
    <s v="SD"/>
    <s v="57718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1.2E-2"/>
    <m/>
    <n v="101.34"/>
    <m/>
    <m/>
    <m/>
    <m/>
    <m/>
    <n v="0"/>
    <n v="8.85"/>
    <n v="42976"/>
    <n v="42976.530683252298"/>
    <x v="1"/>
    <s v="6D349DF220A94CD39DFED0A69187D73C"/>
    <n v="33.78"/>
    <n v="2.9499999999999997"/>
    <n v="31.912660854402784"/>
    <n v="4.6294175975068628"/>
    <n v="3.9162224934612029"/>
    <n v="1.1499528005502413"/>
  </r>
  <r>
    <n v="532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14"/>
    <n v="-1.1880683214193473"/>
    <b v="0"/>
    <b v="0"/>
    <s v=""/>
    <s v="BHHEPS1534783524"/>
    <n v="0"/>
    <s v="BHHEPS1534783524"/>
    <s v="0047623002"/>
    <s v="DEAN C"/>
    <s v="FOUCAULT"/>
    <m/>
    <s v="7284 SUTTON DR                                    APT 101"/>
    <s v="BLACK HAWK"/>
    <s v="SD"/>
    <s v="57718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3"/>
    <n v="0"/>
    <n v="8.3999999999999995E-3"/>
    <m/>
    <n v="71.087999999999994"/>
    <m/>
    <m/>
    <m/>
    <m/>
    <m/>
    <n v="0"/>
    <n v="7.65"/>
    <n v="42976"/>
    <n v="42976.530683252298"/>
    <x v="1"/>
    <s v="AB224141574440ABBCB38A9D37F8C844"/>
    <n v="23.695999999999998"/>
    <n v="2.5500000000000003"/>
    <n v="31.912660854402784"/>
    <n v="4.6294175975068628"/>
    <n v="3.9162224934612029"/>
    <n v="1.1499528005502413"/>
  </r>
  <r>
    <n v="533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783529"/>
    <n v="1"/>
    <s v="BHHEPS1534783529"/>
    <s v="5067203630"/>
    <s v="RENEE M"/>
    <s v="FOLTZ"/>
    <m/>
    <s v="701 E INDIANA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11.8"/>
    <n v="42976"/>
    <n v="42976.532596643498"/>
    <x v="1"/>
    <s v="1C441676F4754B09A0B2933775E15E84"/>
    <n v="33.78"/>
    <n v="2.95"/>
    <n v="31.912660854402784"/>
    <n v="4.6294175975068628"/>
    <n v="3.9162224934612029"/>
    <n v="1.1499528005502413"/>
  </r>
  <r>
    <n v="534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1880683214193477"/>
    <b v="0"/>
    <b v="0"/>
    <s v=""/>
    <s v="BHHEPS1534783529"/>
    <n v="0"/>
    <s v="BHHEPS1534783529"/>
    <s v="5067203630"/>
    <s v="RENEE M"/>
    <s v="FOLTZ"/>
    <m/>
    <s v="701 E INDIANA ST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2"/>
    <n v="0"/>
    <n v="5.5999999999999999E-3"/>
    <m/>
    <n v="47.392000000000003"/>
    <m/>
    <m/>
    <m/>
    <m/>
    <m/>
    <n v="0"/>
    <n v="5.0999999999999996"/>
    <n v="42976"/>
    <n v="42976.532596643498"/>
    <x v="1"/>
    <s v="9CA448B51DA04CE69789A71BD103CC10"/>
    <n v="23.696000000000002"/>
    <n v="2.5499999999999998"/>
    <n v="31.912660854402784"/>
    <n v="4.6294175975068628"/>
    <n v="3.9162224934612029"/>
    <n v="1.1499528005502413"/>
  </r>
  <r>
    <n v="535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-1.7748800321724707"/>
    <n v="-1.1880683214193477"/>
    <b v="0"/>
    <b v="0"/>
    <s v=""/>
    <s v="BHHEPS1534804926"/>
    <n v="1"/>
    <s v="BHHEPS1534804926"/>
    <s v="4829018905"/>
    <s v="CHRIS P"/>
    <s v="SCHMID"/>
    <m/>
    <s v="2008 ROOSEVELT AVE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12E-2"/>
    <m/>
    <n v="94.784000000000006"/>
    <m/>
    <m/>
    <m/>
    <m/>
    <m/>
    <n v="0"/>
    <n v="10.199999999999999"/>
    <n v="42977"/>
    <n v="42983.453410104201"/>
    <x v="1"/>
    <s v="366C0B584D8E42BBA25E4F6E7D9899B5"/>
    <n v="23.696000000000002"/>
    <n v="2.5499999999999998"/>
    <n v="31.912660854402784"/>
    <n v="4.6294175975068628"/>
    <n v="3.9162224934612029"/>
    <n v="1.1499528005502413"/>
  </r>
  <r>
    <n v="536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804926"/>
    <n v="0"/>
    <s v="BHHEPS1534804926"/>
    <s v="4829018905"/>
    <s v="CHRIS P"/>
    <s v="SCHMID"/>
    <m/>
    <s v="2008 ROOSEVELT AVE"/>
    <s v="RAPID CITY"/>
    <s v="SD"/>
    <s v="57701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4"/>
    <n v="0"/>
    <n v="1.6E-2"/>
    <m/>
    <n v="135.12"/>
    <m/>
    <m/>
    <m/>
    <m/>
    <m/>
    <n v="0"/>
    <n v="11.8"/>
    <n v="42977"/>
    <n v="42983.453410104201"/>
    <x v="1"/>
    <s v="C964882ED54346E2807BBD6B56BD5E98"/>
    <n v="33.78"/>
    <n v="2.95"/>
    <n v="31.912660854402784"/>
    <n v="4.6294175975068628"/>
    <n v="3.9162224934612029"/>
    <n v="1.1499528005502413"/>
  </r>
  <r>
    <n v="537"/>
    <s v="Residential - BHPSD - Residential Lighting &amp; Appliances"/>
    <b v="1"/>
    <s v="Residential - BHPSD - Residential Lighting &amp; Appliances_Residential Lighting &amp; Appliances :- LED :- Customer Incentives_LED"/>
    <s v="Residential_Residential Lighting_Lighting_LED"/>
    <x v="1"/>
    <x v="5"/>
    <x v="3"/>
    <x v="19"/>
    <n v="0.40336372907962731"/>
    <n v="-0.84022795805086481"/>
    <b v="0"/>
    <b v="0"/>
    <s v=""/>
    <s v="BHHEPS1534804937"/>
    <n v="1"/>
    <s v="BHHEPS1534804937"/>
    <s v="5860645833"/>
    <s v="VALERIE"/>
    <s v="BRANT"/>
    <m/>
    <s v="1702 MOUNTAIN VIEW RD"/>
    <s v="RAPID CITY"/>
    <s v="SD"/>
    <s v="57702"/>
    <s v="BHE"/>
    <s v="PO BOX 1400"/>
    <s v="RAPID CITY"/>
    <s v="SD"/>
    <s v="57709"/>
    <s v="605-721-2687"/>
    <m/>
    <s v="Residential Lighting &amp; Appliances :- LED :- Customer Incentives"/>
    <s v="LED"/>
    <m/>
    <m/>
    <m/>
    <m/>
    <m/>
    <m/>
    <m/>
    <m/>
    <m/>
    <m/>
    <m/>
    <m/>
    <m/>
    <m/>
    <m/>
    <n v="5"/>
    <n v="0"/>
    <n v="0.02"/>
    <m/>
    <n v="168.9"/>
    <m/>
    <m/>
    <m/>
    <m/>
    <m/>
    <n v="0"/>
    <n v="14.75"/>
    <n v="42976"/>
    <n v="42983.457309919002"/>
    <x v="1"/>
    <s v="A3C23FBA52C145A9A3E9911B767BBED1"/>
    <n v="33.78"/>
    <n v="2.95"/>
    <n v="31.912660854402784"/>
    <n v="4.6294175975068628"/>
    <n v="3.9162224934612029"/>
    <n v="1.1499528005502413"/>
  </r>
  <r>
    <n v="538"/>
    <s v="Residential - BHPSD - Residential Online Audit"/>
    <b v="0"/>
    <s v="Residential - BHPSD - Residential Online Audit__"/>
    <n v="0"/>
    <x v="0"/>
    <x v="0"/>
    <x v="0"/>
    <x v="0"/>
    <s v=""/>
    <s v=""/>
    <b v="0"/>
    <b v="0"/>
    <s v="Residential - BHPSD - Residential Online Audit"/>
    <n v="12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1"/>
    <n v="0"/>
    <n v="10.802"/>
    <m/>
    <n v="102619"/>
    <m/>
    <m/>
    <m/>
    <m/>
    <m/>
    <n v="0"/>
    <n v="0"/>
    <s v=""/>
    <m/>
    <x v="0"/>
    <s v=""/>
    <n v="209"/>
    <n v="0"/>
    <e v="#N/A"/>
    <e v="#N/A"/>
    <e v="#N/A"/>
    <e v="#N/A"/>
  </r>
  <r>
    <n v="539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2965022"/>
    <n v="1"/>
    <s v="BHOAPS1532965022"/>
    <m/>
    <s v="Online"/>
    <s v="Audit"/>
    <s v="Online Audit"/>
    <s v="409 Deadwood Ave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211"/>
    <n v="0"/>
    <n v="4.6420000000000003"/>
    <m/>
    <n v="44099"/>
    <m/>
    <m/>
    <m/>
    <m/>
    <m/>
    <n v="0"/>
    <n v="0"/>
    <n v="42641"/>
    <n v="42643.6538484954"/>
    <x v="1"/>
    <s v="CB55ED7EF53F44F6859DF78E761857E1"/>
    <n v="209"/>
    <n v="0"/>
    <n v="209"/>
    <n v="0"/>
    <n v="0"/>
    <n v="0"/>
  </r>
  <r>
    <n v="540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2965057"/>
    <n v="1"/>
    <s v="BHOAPS1532965057"/>
    <s v="10000000001"/>
    <s v="ONLINE"/>
    <s v="AUDIT"/>
    <m/>
    <s v="409 Deadwood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33"/>
    <n v="0"/>
    <n v="0.72599999999999998"/>
    <m/>
    <n v="6897"/>
    <m/>
    <m/>
    <m/>
    <m/>
    <m/>
    <n v="0"/>
    <n v="0"/>
    <n v="42669"/>
    <n v="42643.665785648103"/>
    <x v="1"/>
    <s v="3C2366F45EB847A0AD2275902E340CAF"/>
    <n v="209"/>
    <n v="0"/>
    <n v="209"/>
    <n v="0"/>
    <n v="0"/>
    <n v="0"/>
  </r>
  <r>
    <n v="541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2965060"/>
    <n v="1"/>
    <s v="BHOAPS1532965060"/>
    <s v="10000000001"/>
    <s v="ONLINE"/>
    <s v="AUDIT"/>
    <m/>
    <s v="409 Deadwood ave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41"/>
    <n v="0"/>
    <n v="0.90200000000000002"/>
    <m/>
    <n v="8569"/>
    <m/>
    <m/>
    <m/>
    <m/>
    <m/>
    <n v="0"/>
    <n v="0"/>
    <n v="42702"/>
    <n v="42643.667205937498"/>
    <x v="1"/>
    <s v="0753AD2DC787429BB456FD6F6CE719D9"/>
    <n v="209"/>
    <n v="0"/>
    <n v="209"/>
    <n v="0"/>
    <n v="0"/>
    <n v="0"/>
  </r>
  <r>
    <n v="542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177893"/>
    <n v="1"/>
    <s v="BHOAPS1533177893"/>
    <s v="10000000001"/>
    <s v="ONLINE"/>
    <s v="AUDIT"/>
    <m/>
    <s v="409 DEADWOOD AVE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17"/>
    <n v="0"/>
    <n v="0.374"/>
    <m/>
    <n v="3553"/>
    <m/>
    <m/>
    <m/>
    <m/>
    <m/>
    <n v="0"/>
    <n v="0"/>
    <n v="42731"/>
    <n v="42702.682953240699"/>
    <x v="1"/>
    <s v="4557C21B5D3746FDBA2647D91111E351"/>
    <n v="209"/>
    <n v="0"/>
    <n v="209"/>
    <n v="0"/>
    <n v="0"/>
    <n v="0"/>
  </r>
  <r>
    <n v="543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177897"/>
    <n v="1"/>
    <s v="BHOAPS1533177897"/>
    <s v="10000000001"/>
    <s v="ONLINE"/>
    <s v="AUDIT"/>
    <m/>
    <s v="409 Deadwood Ave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35"/>
    <n v="0"/>
    <n v="0.77"/>
    <m/>
    <n v="7315"/>
    <m/>
    <m/>
    <m/>
    <m/>
    <m/>
    <n v="0"/>
    <n v="0"/>
    <n v="42759"/>
    <n v="42702.7160105324"/>
    <x v="1"/>
    <s v="ED5B66A97F204C04A525E4010264FA17"/>
    <n v="209"/>
    <n v="0"/>
    <n v="209"/>
    <n v="0"/>
    <n v="0"/>
    <n v="0"/>
  </r>
  <r>
    <n v="544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177998"/>
    <n v="1"/>
    <s v="BHOAPS1533177998"/>
    <s v="10000000001"/>
    <s v="ONLINE"/>
    <s v="AUDIT"/>
    <m/>
    <s v="409 Deadwood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29"/>
    <n v="0"/>
    <n v="0.63800000000000001"/>
    <m/>
    <n v="6061"/>
    <m/>
    <m/>
    <m/>
    <m/>
    <m/>
    <n v="0"/>
    <n v="0"/>
    <n v="42787"/>
    <n v="42702.716987419"/>
    <x v="1"/>
    <s v="74140D8207AB4480A6B5786DA00A9A67"/>
    <n v="209"/>
    <n v="0"/>
    <n v="209"/>
    <n v="0"/>
    <n v="0"/>
    <n v="0"/>
  </r>
  <r>
    <n v="545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2989"/>
    <n v="1"/>
    <s v="BHOAPS1533982989"/>
    <s v="10000000001"/>
    <s v="ONLINE"/>
    <s v="AUDIT"/>
    <m/>
    <s v="409 Deadwood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27"/>
    <n v="0"/>
    <n v="0.59399999999999997"/>
    <m/>
    <n v="5643"/>
    <m/>
    <m/>
    <m/>
    <m/>
    <m/>
    <n v="0"/>
    <n v="0"/>
    <n v="42800"/>
    <n v="42775.661667673601"/>
    <x v="1"/>
    <s v="B950F09DC48A4537AFB521D7833E05E4"/>
    <n v="209"/>
    <n v="0"/>
    <n v="209"/>
    <n v="0"/>
    <n v="0"/>
    <n v="0"/>
  </r>
  <r>
    <n v="546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2999"/>
    <n v="1"/>
    <s v="BHOAPS1533982999"/>
    <s v="10000000001"/>
    <s v="ONLINE"/>
    <s v="AUDIT"/>
    <m/>
    <s v="409 Deadwood Ave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13"/>
    <n v="0"/>
    <n v="0.28599999999999998"/>
    <m/>
    <n v="2717"/>
    <m/>
    <m/>
    <m/>
    <m/>
    <m/>
    <n v="0"/>
    <n v="0"/>
    <n v="42844"/>
    <n v="42775.666023495403"/>
    <x v="1"/>
    <s v="639FD09EFA474B5CBBEB1766A62E7051"/>
    <n v="209"/>
    <n v="0"/>
    <n v="209"/>
    <n v="0"/>
    <n v="0"/>
    <n v="0"/>
  </r>
  <r>
    <n v="547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3002"/>
    <n v="1"/>
    <s v="BHOAPS1533983002"/>
    <s v="10000000001"/>
    <s v="ONLINE"/>
    <s v="AUDIT"/>
    <m/>
    <s v="409 Deadwood Ave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23"/>
    <n v="0"/>
    <n v="0.50600000000000001"/>
    <m/>
    <n v="4807"/>
    <m/>
    <m/>
    <m/>
    <m/>
    <m/>
    <n v="0"/>
    <n v="0"/>
    <n v="42880"/>
    <n v="42775.666610567103"/>
    <x v="1"/>
    <s v="AF67B1785E9841488E3FA217D50D535B"/>
    <n v="209"/>
    <n v="0"/>
    <n v="209"/>
    <n v="0"/>
    <n v="0"/>
    <n v="0"/>
  </r>
  <r>
    <n v="548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3004"/>
    <n v="1"/>
    <s v="BHOAPS1533983004"/>
    <s v="10000000001"/>
    <s v="ONLINE"/>
    <s v="AUDIT"/>
    <m/>
    <s v="409 Deadwood Ave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16"/>
    <n v="0"/>
    <n v="0.35199999999999998"/>
    <m/>
    <n v="3344"/>
    <m/>
    <m/>
    <m/>
    <m/>
    <m/>
    <n v="0"/>
    <n v="0"/>
    <n v="42901"/>
    <n v="42775.667385648201"/>
    <x v="1"/>
    <s v="1CA439966772429197EA975CF6CADB5B"/>
    <n v="209"/>
    <n v="0"/>
    <n v="209"/>
    <n v="0"/>
    <n v="0"/>
    <n v="0"/>
  </r>
  <r>
    <n v="549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3009"/>
    <n v="1"/>
    <s v="BHOAPS1533983009"/>
    <s v="10000000001"/>
    <s v="ONLINE"/>
    <s v="AUDIT"/>
    <m/>
    <s v="409 Deadwood&lt;br&gt;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26"/>
    <n v="0"/>
    <n v="0.57199999999999995"/>
    <m/>
    <n v="5434"/>
    <m/>
    <m/>
    <m/>
    <m/>
    <m/>
    <n v="0"/>
    <n v="0"/>
    <n v="42936"/>
    <n v="42775.668760729197"/>
    <x v="1"/>
    <s v="9F7D0E919752466AA8E2B4BDB5507652"/>
    <n v="209"/>
    <n v="0"/>
    <n v="209"/>
    <n v="0"/>
    <n v="0"/>
    <n v="0"/>
  </r>
  <r>
    <n v="550"/>
    <s v="Residential - BHPSD - Residential Online Audit"/>
    <b v="1"/>
    <s v="Residential - BHPSD - Residential Online Audit_Residential Energy Evaluation_Online Evaluation"/>
    <s v="Residential_Residential Audit_Various_Residential Audit"/>
    <x v="1"/>
    <x v="6"/>
    <x v="2"/>
    <x v="21"/>
    <s v=""/>
    <s v=""/>
    <b v="0"/>
    <b v="0"/>
    <s v=""/>
    <s v="BHOAPS1533983011"/>
    <n v="1"/>
    <s v="BHOAPS1533983011"/>
    <s v="10000000001"/>
    <s v="ONLINE"/>
    <s v="AUDIT"/>
    <m/>
    <s v="409 Deadwwod"/>
    <s v="RAPID CITY"/>
    <s v="SD"/>
    <s v="57702"/>
    <m/>
    <m/>
    <m/>
    <m/>
    <m/>
    <m/>
    <m/>
    <s v="Residential Energy Evaluation"/>
    <s v="Online Evaluation"/>
    <m/>
    <m/>
    <m/>
    <m/>
    <m/>
    <m/>
    <m/>
    <m/>
    <m/>
    <m/>
    <m/>
    <m/>
    <m/>
    <m/>
    <m/>
    <n v="20"/>
    <n v="0"/>
    <n v="0.44"/>
    <m/>
    <n v="4180"/>
    <m/>
    <m/>
    <m/>
    <m/>
    <m/>
    <n v="0"/>
    <n v="0"/>
    <n v="42775"/>
    <n v="42775.6694263889"/>
    <x v="1"/>
    <s v="462B495520A24E0C81AB4807336148CD"/>
    <n v="209"/>
    <n v="0"/>
    <n v="209"/>
    <n v="0"/>
    <n v="0"/>
    <n v="0"/>
  </r>
  <r>
    <n v="551"/>
    <s v="Special - BHPSD - School Based Energy Education"/>
    <b v="0"/>
    <s v="Special - BHPSD - School Based Energy Education__"/>
    <n v="0"/>
    <x v="0"/>
    <x v="0"/>
    <x v="0"/>
    <x v="0"/>
    <s v=""/>
    <s v=""/>
    <b v="0"/>
    <b v="0"/>
    <s v="Special - BHPSD - School Based Energy Education"/>
    <n v="20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2"/>
    <n v="0"/>
    <n v="48.08"/>
    <m/>
    <n v="477194"/>
    <m/>
    <m/>
    <m/>
    <m/>
    <m/>
    <n v="0"/>
    <n v="0"/>
    <s v=""/>
    <m/>
    <x v="0"/>
    <s v=""/>
    <n v="397"/>
    <n v="0"/>
    <e v="#N/A"/>
    <e v="#N/A"/>
    <e v="#N/A"/>
    <e v="#N/A"/>
  </r>
  <r>
    <n v="552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02"/>
    <n v="1"/>
    <s v="BHBLPS1534071902"/>
    <s v="6783202118"/>
    <s v="RCAS BUSINESS OFFICE"/>
    <s v="RCAS BUSINESS OFFICE"/>
    <s v="RCAS BUSINESS OFFICE"/>
    <s v="207 FLORMANN ST"/>
    <s v="RAPID CITY"/>
    <s v="SD"/>
    <s v="57701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83"/>
    <n v="0"/>
    <n v="3.32"/>
    <m/>
    <n v="32951"/>
    <m/>
    <m/>
    <m/>
    <m/>
    <m/>
    <n v="0"/>
    <n v="0"/>
    <n v="42804"/>
    <n v="42804.622698263898"/>
    <x v="1"/>
    <s v="855F6C48DD7C492AB91CA6726247185F"/>
    <n v="397"/>
    <n v="0"/>
    <n v="397"/>
    <n v="0"/>
    <n v="0"/>
    <n v="0"/>
  </r>
  <r>
    <n v="553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07"/>
    <n v="1"/>
    <s v="BHBLPS1534071907"/>
    <s v="0934689050"/>
    <s v="NEWELL IDP SCHOOL"/>
    <s v="NEWELL IDP SCHOOL"/>
    <s v="NEWELL IDP SCHOOL"/>
    <s v="501 DARTMOUTH AVE"/>
    <s v="NEWELL"/>
    <s v="SD"/>
    <s v="57760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5"/>
    <n v="0"/>
    <n v="1"/>
    <m/>
    <n v="9925"/>
    <m/>
    <m/>
    <m/>
    <m/>
    <m/>
    <n v="0"/>
    <n v="0"/>
    <n v="42804"/>
    <n v="42804.6244997338"/>
    <x v="1"/>
    <s v="979D31CF56EE43039ACAD4CE5CCCF18E"/>
    <n v="397"/>
    <n v="0"/>
    <n v="397"/>
    <n v="0"/>
    <n v="0"/>
    <n v="0"/>
  </r>
  <r>
    <n v="554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15"/>
    <n v="1"/>
    <s v="BHBLPS1534071915"/>
    <s v="4765894355"/>
    <s v="TERRA SANCTA"/>
    <s v="TERRA SANCTA"/>
    <s v="TERRA SANCTA"/>
    <s v="2101 CITY SPRINGS RD"/>
    <s v="RAPID CITY"/>
    <s v="SD"/>
    <s v="57702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0"/>
    <n v="0"/>
    <n v="0.8"/>
    <m/>
    <n v="7940"/>
    <m/>
    <m/>
    <m/>
    <m/>
    <m/>
    <n v="0"/>
    <n v="0"/>
    <n v="42804"/>
    <n v="42804.627474189801"/>
    <x v="1"/>
    <s v="50DBEAC187FD4459BFF87E008550F053"/>
    <n v="397"/>
    <n v="0"/>
    <n v="397"/>
    <n v="0"/>
    <n v="0"/>
    <n v="0"/>
  </r>
  <r>
    <n v="555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21"/>
    <n v="1"/>
    <s v="BHBLPS1534071921"/>
    <s v="5883243902"/>
    <s v="EDGEMONT SCHOOLS"/>
    <s v="EDGEMONT SCHOOLS"/>
    <s v="EDGEMONT SCHOOLS"/>
    <s v="715 MOGUL WAY                                      MAIN BLDG"/>
    <s v="EDGEMONT"/>
    <s v="SD"/>
    <s v="57735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16"/>
    <n v="0"/>
    <n v="0.64"/>
    <m/>
    <n v="6352"/>
    <m/>
    <m/>
    <m/>
    <m/>
    <m/>
    <n v="0"/>
    <n v="0"/>
    <n v="42804"/>
    <n v="42804.631206168997"/>
    <x v="1"/>
    <s v="83F47294E01A4CF68569646F23E83E13"/>
    <n v="397"/>
    <n v="0"/>
    <n v="397"/>
    <n v="0"/>
    <n v="0"/>
    <n v="0"/>
  </r>
  <r>
    <n v="556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22"/>
    <n v="1"/>
    <s v="BHBLPS1534071922"/>
    <s v="2606450720"/>
    <s v="RCAS BUSINESS OFFICE"/>
    <s v="RCAS BUSINESS OFFICE"/>
    <s v="RCAS BUSINESS OFFICE"/>
    <s v="3125 W FLORMANN ST"/>
    <s v="RAPID CITY"/>
    <s v="SD"/>
    <s v="57702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78"/>
    <n v="0"/>
    <n v="3.12"/>
    <m/>
    <n v="30966"/>
    <m/>
    <m/>
    <m/>
    <m/>
    <m/>
    <n v="0"/>
    <n v="0"/>
    <n v="42804"/>
    <n v="42804.633571874998"/>
    <x v="1"/>
    <s v="A82485CCFC7C40F39C80EF19F31628CA"/>
    <n v="397"/>
    <n v="0"/>
    <n v="397"/>
    <n v="0"/>
    <n v="0"/>
    <n v="0"/>
  </r>
  <r>
    <n v="557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29"/>
    <n v="1"/>
    <s v="BHBLPS1534071929"/>
    <s v="5955835343"/>
    <s v="PIEDMONT VALLEY"/>
    <s v="MEADE BOARD OF EDUCATION"/>
    <s v="MEADE BOARD OF ED"/>
    <s v="16159 2ND ST"/>
    <s v="PIEDMONT"/>
    <s v="SD"/>
    <s v="57769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84"/>
    <n v="0"/>
    <n v="3.36"/>
    <m/>
    <n v="33348"/>
    <m/>
    <m/>
    <m/>
    <m/>
    <m/>
    <n v="0"/>
    <n v="0"/>
    <n v="42804"/>
    <n v="42804.6360208681"/>
    <x v="1"/>
    <s v="FEF2E9DF56DC42EE9A84633C63284831"/>
    <n v="397"/>
    <n v="0"/>
    <n v="397"/>
    <n v="0"/>
    <n v="0"/>
    <n v="0"/>
  </r>
  <r>
    <n v="558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34"/>
    <n v="1"/>
    <s v="BHBLPS1534071934"/>
    <s v="3374349830"/>
    <s v="CHRISTIAN SCHOOL"/>
    <s v="ZION LUTHERAN CHURCH"/>
    <s v="ZION LUTHERAN CHURCH"/>
    <s v="4550 S HIGHWAY 16"/>
    <s v="RAPID CITY"/>
    <s v="SD"/>
    <s v="57701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0"/>
    <n v="0"/>
    <n v="0.8"/>
    <m/>
    <n v="7940"/>
    <m/>
    <m/>
    <m/>
    <m/>
    <m/>
    <n v="0"/>
    <n v="0"/>
    <n v="42804"/>
    <n v="42804.639085185197"/>
    <x v="1"/>
    <s v="83DA03ED5D4F47EB8E161F33DA7DC603"/>
    <n v="397"/>
    <n v="0"/>
    <n v="397"/>
    <n v="0"/>
    <n v="0"/>
    <n v="0"/>
  </r>
  <r>
    <n v="559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38"/>
    <n v="1"/>
    <s v="BHBLPS1534071938"/>
    <s v="5045772714"/>
    <s v="STURGIS ELEMENTARY"/>
    <s v="MEADE BOARD OF ED"/>
    <s v="MEADE BOARD OF ED"/>
    <s v="1121 BALLPARK RD"/>
    <s v="STURGIS"/>
    <s v="SD"/>
    <s v="57785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102"/>
    <n v="0"/>
    <n v="4.08"/>
    <m/>
    <n v="40494"/>
    <m/>
    <m/>
    <m/>
    <m/>
    <m/>
    <n v="0"/>
    <n v="0"/>
    <n v="42804"/>
    <n v="42804.6410861111"/>
    <x v="1"/>
    <s v="CDB026AD22134582B8C025E5D9FDAE44"/>
    <n v="397"/>
    <n v="0"/>
    <n v="397"/>
    <n v="0"/>
    <n v="0"/>
    <n v="0"/>
  </r>
  <r>
    <n v="560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51"/>
    <n v="1"/>
    <s v="BHBLPS1534071951"/>
    <s v="5119773180"/>
    <s v="HILL CITY SCHOOL"/>
    <s v="HILL CITY SCHOOL"/>
    <s v="HILL CITY SCHOOL"/>
    <s v="302 MAIN ST"/>
    <s v="HILL CITY"/>
    <s v="SD"/>
    <s v="57745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43"/>
    <n v="0"/>
    <n v="1.72"/>
    <m/>
    <n v="17071"/>
    <m/>
    <m/>
    <m/>
    <m/>
    <m/>
    <n v="0"/>
    <n v="0"/>
    <n v="42804"/>
    <n v="42804.645049537001"/>
    <x v="1"/>
    <s v="06A5A6718C284B9CA71067EDF99A6A12"/>
    <n v="397"/>
    <n v="0"/>
    <n v="397"/>
    <n v="0"/>
    <n v="0"/>
    <n v="0"/>
  </r>
  <r>
    <n v="561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62"/>
    <n v="1"/>
    <s v="BHBLPS1534071962"/>
    <s v="2853481500"/>
    <s v="DOUGLAS SCHOOL"/>
    <s v="DOUGLAS SCHOOL"/>
    <s v="DOUGLAS SCHOOL"/>
    <s v="561 BRIGGS ST                                      SCHOOL"/>
    <s v="BOX ELDER"/>
    <s v="SD"/>
    <s v="57719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37"/>
    <n v="0"/>
    <n v="9.48"/>
    <m/>
    <n v="94089"/>
    <m/>
    <m/>
    <m/>
    <m/>
    <m/>
    <n v="0"/>
    <n v="0"/>
    <n v="42804"/>
    <n v="42804.649298067103"/>
    <x v="1"/>
    <s v="52F5A9A00E45436EB842AF776EF56CA7"/>
    <n v="397"/>
    <n v="0"/>
    <n v="397"/>
    <n v="0"/>
    <n v="0"/>
    <n v="0"/>
  </r>
  <r>
    <n v="562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70"/>
    <n v="1"/>
    <s v="BHBLPS1534071970"/>
    <s v="6013746720"/>
    <s v="HOT SPRINGS"/>
    <s v="SCHOOL DISTRICT"/>
    <s v="HOT SPRINGS SCHOOL DIST"/>
    <s v="278 N 19TH ST"/>
    <s v="HOT SPRINGS"/>
    <s v="SD"/>
    <s v="57747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68"/>
    <n v="0"/>
    <n v="2.72"/>
    <m/>
    <n v="26996"/>
    <m/>
    <m/>
    <m/>
    <m/>
    <m/>
    <n v="0"/>
    <n v="0"/>
    <n v="42804"/>
    <n v="42804.652416203702"/>
    <x v="1"/>
    <s v="4D2AC27929A24C7D9227C3A3D714DA30"/>
    <n v="397"/>
    <n v="0"/>
    <n v="397"/>
    <n v="0"/>
    <n v="0"/>
    <n v="0"/>
  </r>
  <r>
    <n v="563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76"/>
    <n v="1"/>
    <s v="BHBLPS1534071976"/>
    <s v="4765894355"/>
    <s v="ST ELIZABETH SEATON"/>
    <s v="TERRA SANCTA"/>
    <s v="TERRA SANCTA"/>
    <s v="2101 CITY SPRINGS RD"/>
    <s v="RAPID CITY"/>
    <s v="SD"/>
    <s v="57702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1"/>
    <n v="0"/>
    <n v="0.84"/>
    <m/>
    <n v="8337"/>
    <m/>
    <m/>
    <m/>
    <m/>
    <m/>
    <n v="0"/>
    <n v="0"/>
    <n v="42804"/>
    <n v="42804.6542392708"/>
    <x v="1"/>
    <s v="0FBD3C3F0F1046C68005B248756916D6"/>
    <n v="397"/>
    <n v="0"/>
    <n v="397"/>
    <n v="0"/>
    <n v="0"/>
    <n v="0"/>
  </r>
  <r>
    <n v="564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86"/>
    <n v="1"/>
    <s v="BHBLPS1534071986"/>
    <s v="4665440133"/>
    <s v="ST PAULS EV LUTH CH"/>
    <s v="ST PAULS EV LUTH CH"/>
    <s v="ST PAULS EV LUTH CH"/>
    <s v="835 E FAIRMONT BLVD"/>
    <s v="RAPID CITY"/>
    <s v="SD"/>
    <s v="57701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11"/>
    <n v="0"/>
    <n v="0.44"/>
    <m/>
    <n v="4367"/>
    <m/>
    <m/>
    <m/>
    <m/>
    <m/>
    <n v="0"/>
    <n v="0"/>
    <n v="42804"/>
    <n v="42804.657562268498"/>
    <x v="1"/>
    <s v="35BB302AA5234B63A0A47939E504D608"/>
    <n v="397"/>
    <n v="0"/>
    <n v="397"/>
    <n v="0"/>
    <n v="0"/>
    <n v="0"/>
  </r>
  <r>
    <n v="565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89"/>
    <n v="1"/>
    <s v="BHBLPS1534071989"/>
    <s v="3514001916"/>
    <s v="SDA CHURCH SCHOOL"/>
    <s v="SDA CHURCH SCHOOL"/>
    <s v="SDA CHURCH SCHOOL"/>
    <s v="305 N 39TH ST"/>
    <s v="RAPID CITY"/>
    <s v="SD"/>
    <s v="57702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2"/>
    <n v="0"/>
    <n v="0.08"/>
    <m/>
    <n v="794"/>
    <m/>
    <m/>
    <m/>
    <m/>
    <m/>
    <n v="0"/>
    <n v="0"/>
    <n v="42804"/>
    <n v="42804.659286342598"/>
    <x v="1"/>
    <s v="34AC32F37CAA41F8844D4BA6DB7CBCC2"/>
    <n v="397"/>
    <n v="0"/>
    <n v="397"/>
    <n v="0"/>
    <n v="0"/>
    <n v="0"/>
  </r>
  <r>
    <n v="566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94"/>
    <n v="1"/>
    <s v="BHBLPS1534071994"/>
    <s v="1949946745"/>
    <s v="BLACK HAWK ELEMENTARY"/>
    <s v="RCAS BUSINESS OFFICE"/>
    <s v="RCAS BUSINESS OFFICE"/>
    <s v="7108 SEEAIRE ST"/>
    <s v="BLACK HAWK"/>
    <s v="SD"/>
    <s v="57718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70"/>
    <n v="0"/>
    <n v="2.8"/>
    <m/>
    <n v="27790"/>
    <m/>
    <m/>
    <m/>
    <m/>
    <m/>
    <n v="0"/>
    <n v="0"/>
    <n v="42804"/>
    <n v="42804.660429629599"/>
    <x v="1"/>
    <s v="2270C548F7214A199B0A9AD0782DCA3A"/>
    <n v="397"/>
    <n v="0"/>
    <n v="397"/>
    <n v="0"/>
    <n v="0"/>
    <n v="0"/>
  </r>
  <r>
    <n v="567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1998"/>
    <n v="1"/>
    <s v="BHBLPS1534071998"/>
    <s v="1198002784"/>
    <s v="KNOLLWOOD"/>
    <s v="RCAS BUSINESS OFFICE"/>
    <s v="RCAS BUSINESS OFFICE"/>
    <s v="1701 DOWNING ST"/>
    <s v="RAPID CITY"/>
    <s v="SD"/>
    <s v="57701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69"/>
    <n v="0"/>
    <n v="2.76"/>
    <m/>
    <n v="27393"/>
    <m/>
    <m/>
    <m/>
    <m/>
    <m/>
    <n v="0"/>
    <n v="0"/>
    <n v="42804"/>
    <n v="42804.661982175901"/>
    <x v="1"/>
    <s v="E66DA412350F42288C90483E26DBC92E"/>
    <n v="397"/>
    <n v="0"/>
    <n v="397"/>
    <n v="0"/>
    <n v="0"/>
    <n v="0"/>
  </r>
  <r>
    <n v="568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2007"/>
    <n v="1"/>
    <s v="BHBLPS1534072007"/>
    <s v="3681599520"/>
    <s v="ROBBINSDALE"/>
    <s v="RCAS BUSINESS OFFICE"/>
    <s v="RCAS BUSINESS OFFICE"/>
    <s v="424 E INDIANA ST"/>
    <s v="RAPID CITY"/>
    <s v="SD"/>
    <s v="57701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57"/>
    <n v="0"/>
    <n v="2.2799999999999998"/>
    <m/>
    <n v="22629"/>
    <m/>
    <m/>
    <m/>
    <m/>
    <m/>
    <n v="0"/>
    <n v="0"/>
    <n v="42804"/>
    <n v="42804.664031250002"/>
    <x v="1"/>
    <s v="B770C5DB781A4E63BD66015807DFA581"/>
    <n v="397"/>
    <n v="0"/>
    <n v="397"/>
    <n v="0"/>
    <n v="0"/>
    <n v="0"/>
  </r>
  <r>
    <n v="569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072010"/>
    <n v="1"/>
    <s v="BHBLPS1534072010"/>
    <s v="5045772714"/>
    <s v="STURGIS ELEMETARY"/>
    <s v="MEADE BOARD OF ED"/>
    <s v="MEADE BOARD OF ED"/>
    <s v="1121 BALLPARK RD"/>
    <s v="STURGIS"/>
    <s v="SD"/>
    <s v="57785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59"/>
    <n v="0"/>
    <n v="2.36"/>
    <m/>
    <n v="23423"/>
    <m/>
    <m/>
    <m/>
    <m/>
    <m/>
    <n v="0"/>
    <n v="0"/>
    <n v="42804"/>
    <n v="42804.665459606498"/>
    <x v="1"/>
    <s v="72183F6F635249A4AA40039F0415283E"/>
    <n v="397"/>
    <n v="0"/>
    <n v="397"/>
    <n v="0"/>
    <n v="0"/>
    <n v="0"/>
  </r>
  <r>
    <n v="570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205586"/>
    <n v="1"/>
    <s v="BHBLPS1534205586"/>
    <s v="5275041365"/>
    <s v="CUSTER SCHOOL ADMIN"/>
    <s v="CUSTER SCHOOL ADMIN"/>
    <s v="CUSTER SCHOOL ADMIN"/>
    <s v="1415 WILDCAT LN                                    G SVC MTR"/>
    <s v="CUSTER"/>
    <s v="SD"/>
    <s v="57730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58"/>
    <n v="0"/>
    <n v="2.3199999999999998"/>
    <m/>
    <n v="23026"/>
    <m/>
    <m/>
    <m/>
    <m/>
    <m/>
    <n v="0"/>
    <n v="0"/>
    <n v="42837"/>
    <n v="42837.682094363401"/>
    <x v="1"/>
    <s v="BDF37082F2894B9F8DBC46CC287FA9F5"/>
    <n v="397"/>
    <n v="0"/>
    <n v="397"/>
    <n v="0"/>
    <n v="0"/>
    <n v="0"/>
  </r>
  <r>
    <n v="571"/>
    <s v="Special - BHPSD - School Based Energy Education"/>
    <b v="1"/>
    <s v="Special - BHPSD - School Based Energy Education_School Based Education_School Based Energy Education"/>
    <s v="Residential_School-Based Education_Various_EE Kit/Education Materials"/>
    <x v="1"/>
    <x v="7"/>
    <x v="2"/>
    <x v="22"/>
    <s v=""/>
    <s v=""/>
    <b v="0"/>
    <b v="0"/>
    <s v=""/>
    <s v="BHBLPS1534315754"/>
    <n v="1"/>
    <s v="BHBLPS1534315754"/>
    <s v="1230125967"/>
    <s v="PINEDALE ELEMENTARY"/>
    <s v="RCAS BUSINESS OFFICE"/>
    <s v="PINEDALE ELEMENTARY"/>
    <s v="4901 W CHICAGO ST"/>
    <s v="RAPID CITY"/>
    <s v="SD"/>
    <s v="57702"/>
    <s v="BHE"/>
    <s v="PO BOX 1400"/>
    <s v="RAPID CITY"/>
    <s v="SD"/>
    <s v="57709"/>
    <s v="605-721-2687"/>
    <m/>
    <s v="School Based Education"/>
    <s v="School Based Energy Education"/>
    <m/>
    <m/>
    <m/>
    <m/>
    <m/>
    <m/>
    <m/>
    <m/>
    <m/>
    <m/>
    <m/>
    <m/>
    <m/>
    <m/>
    <m/>
    <n v="79"/>
    <n v="0"/>
    <n v="3.16"/>
    <m/>
    <n v="31363"/>
    <m/>
    <m/>
    <m/>
    <m/>
    <m/>
    <n v="0"/>
    <n v="0"/>
    <n v="42863"/>
    <n v="42863.725444479198"/>
    <x v="1"/>
    <s v="760DC70E5ADA4E3D9A71F1C931E5C1A6"/>
    <n v="397"/>
    <n v="0"/>
    <n v="397"/>
    <n v="0"/>
    <n v="0"/>
    <n v="0"/>
  </r>
  <r>
    <n v="572"/>
    <s v="Special - BHPSD - Weatherization Team"/>
    <b v="0"/>
    <s v="Special - BHPSD - Weatherization Team__"/>
    <n v="0"/>
    <x v="0"/>
    <x v="0"/>
    <x v="0"/>
    <x v="0"/>
    <s v=""/>
    <s v=""/>
    <b v="0"/>
    <b v="0"/>
    <s v="Special - BHPSD - Weatherization Team"/>
    <n v="6"/>
    <n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0"/>
    <n v="1.194"/>
    <m/>
    <n v="7692"/>
    <m/>
    <m/>
    <m/>
    <m/>
    <m/>
    <n v="0"/>
    <n v="0"/>
    <s v=""/>
    <m/>
    <x v="0"/>
    <s v=""/>
    <n v="641"/>
    <n v="0"/>
    <e v="#N/A"/>
    <e v="#N/A"/>
    <e v="#N/A"/>
    <e v="#N/A"/>
  </r>
  <r>
    <n v="573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2316"/>
    <n v="1"/>
    <s v="BHHTPS1533172316"/>
    <s v="1657559093"/>
    <s v="MELANIE S"/>
    <s v="MORGAN"/>
    <m/>
    <s v="349 E SAINT ANNE ST"/>
    <s v="RAPID CITY"/>
    <s v="SD"/>
    <s v="57701"/>
    <s v="BHE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468356747697"/>
    <x v="1"/>
    <s v="40146A945E844FECB5466CC0AA0D40FB"/>
    <n v="417"/>
    <n v="0"/>
    <n v="417"/>
    <n v="0"/>
    <n v="0"/>
    <n v="0"/>
  </r>
  <r>
    <n v="574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2316"/>
    <n v="0"/>
    <s v="BHHTPS1533172316"/>
    <s v="1657559093"/>
    <s v="MELANIE S"/>
    <s v="MORGAN"/>
    <m/>
    <s v="349 E SAINT ANNE ST"/>
    <s v="RAPID CITY"/>
    <s v="SD"/>
    <s v="57701"/>
    <s v="BHE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468356747697"/>
    <x v="1"/>
    <s v="618AAC03CF02420BA07D218C60545B63"/>
    <n v="865"/>
    <n v="0"/>
    <n v="865"/>
    <n v="0"/>
    <n v="0"/>
    <n v="0"/>
  </r>
  <r>
    <n v="575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2321"/>
    <n v="1"/>
    <s v="BHHTPS1533172321"/>
    <s v="1411605512"/>
    <s v="RALPH"/>
    <s v="SCHWAB"/>
    <m/>
    <s v="134 MONTANA ST"/>
    <s v="RAPID CITY"/>
    <s v="SD"/>
    <s v="57701"/>
    <s v="BHE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469788888899"/>
    <x v="1"/>
    <s v="81F6CBB9C68045AC98DAFF2054CA645A"/>
    <n v="417"/>
    <n v="0"/>
    <n v="417"/>
    <n v="0"/>
    <n v="0"/>
    <n v="0"/>
  </r>
  <r>
    <n v="576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2321"/>
    <n v="0"/>
    <s v="BHHTPS1533172321"/>
    <s v="1411605512"/>
    <s v="RALPH"/>
    <s v="SCHWAB"/>
    <m/>
    <s v="134 MONTANA ST"/>
    <s v="RAPID CITY"/>
    <s v="SD"/>
    <s v="57701"/>
    <s v="BHE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469788888899"/>
    <x v="1"/>
    <s v="E603B2108DC14D319C03D903FF5729A3"/>
    <n v="865"/>
    <n v="0"/>
    <n v="865"/>
    <n v="0"/>
    <n v="0"/>
    <n v="0"/>
  </r>
  <r>
    <n v="577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8044"/>
    <n v="1"/>
    <s v="BHHTPS1533178044"/>
    <s v="2945592301"/>
    <s v="DEBRA L"/>
    <s v="DAUER"/>
    <m/>
    <s v="2345 S BALDWIN ST"/>
    <s v="STURGIS"/>
    <s v="SD"/>
    <s v="57785"/>
    <s v="BHE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733003819398"/>
    <x v="1"/>
    <s v="CE9019E206EF4A1998F4C1D0D6922252"/>
    <n v="417"/>
    <n v="0"/>
    <n v="417"/>
    <n v="0"/>
    <n v="0"/>
    <n v="0"/>
  </r>
  <r>
    <n v="578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8044"/>
    <n v="0"/>
    <s v="BHHTPS1533178044"/>
    <s v="2945592301"/>
    <s v="DEBRA L"/>
    <s v="DAUER"/>
    <m/>
    <s v="2345 S BALDWIN ST"/>
    <s v="STURGIS"/>
    <s v="SD"/>
    <s v="57785"/>
    <s v="BHE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733003819398"/>
    <x v="1"/>
    <s v="D341AF298BAB431786CDAA465AF65FA0"/>
    <n v="865"/>
    <n v="0"/>
    <n v="865"/>
    <n v="0"/>
    <n v="0"/>
    <n v="0"/>
  </r>
  <r>
    <n v="579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8049"/>
    <n v="1"/>
    <s v="BHHTPS1533178049"/>
    <s v="5840208221"/>
    <s v="GARY L"/>
    <s v="WILKINSON"/>
    <m/>
    <s v="3908 MARATHON CT"/>
    <s v="RAPID CITY"/>
    <s v="SD"/>
    <s v="57701"/>
    <s v="BHE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734074571803"/>
    <x v="1"/>
    <s v="003A994CE5674E6492E818582F799A95"/>
    <n v="417"/>
    <n v="0"/>
    <n v="417"/>
    <n v="0"/>
    <n v="0"/>
    <n v="0"/>
  </r>
  <r>
    <n v="580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8049"/>
    <n v="0"/>
    <s v="BHHTPS1533178049"/>
    <s v="5840208221"/>
    <s v="GARY L"/>
    <s v="WILKINSON"/>
    <m/>
    <s v="3908 MARATHON CT"/>
    <s v="RAPID CITY"/>
    <s v="SD"/>
    <s v="57701"/>
    <s v="BHE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734074571803"/>
    <x v="1"/>
    <s v="579C02136C404D199087E3F30FE171DB"/>
    <n v="865"/>
    <n v="0"/>
    <n v="865"/>
    <n v="0"/>
    <n v="0"/>
    <n v="0"/>
  </r>
  <r>
    <n v="581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8147"/>
    <n v="1"/>
    <s v="BHHTPS1533178147"/>
    <s v="2489584873"/>
    <s v="MARIETTA"/>
    <s v="CADY"/>
    <m/>
    <s v="1533 SPRUCE ST"/>
    <s v="STURGIS"/>
    <s v="SD"/>
    <s v="57785"/>
    <s v="BHE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778251620402"/>
    <x v="1"/>
    <s v="CE865DAD13E943218616DCCD0EC5F6D5"/>
    <n v="417"/>
    <n v="0"/>
    <n v="417"/>
    <n v="0"/>
    <n v="0"/>
    <n v="0"/>
  </r>
  <r>
    <n v="582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8147"/>
    <n v="0"/>
    <s v="BHHTPS1533178147"/>
    <s v="2489584873"/>
    <s v="MARIETTA"/>
    <s v="CADY"/>
    <m/>
    <s v="1533 SPRUCE ST"/>
    <s v="STURGIS"/>
    <s v="SD"/>
    <s v="57785"/>
    <s v="BHE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778251620402"/>
    <x v="1"/>
    <s v="568AA905C0C14E4B918D865CEC4EFC68"/>
    <n v="865"/>
    <n v="0"/>
    <n v="865"/>
    <n v="0"/>
    <n v="0"/>
    <n v="0"/>
  </r>
  <r>
    <n v="583"/>
    <s v="Special - BHPSD - Weatherization Team"/>
    <b v="1"/>
    <s v="Special - BHPSD - Weatherization Team_Weatherization_Recommended Audit Measures"/>
    <s v="Residential_Weatherization_Various_Measures"/>
    <x v="1"/>
    <x v="8"/>
    <x v="2"/>
    <x v="24"/>
    <s v=""/>
    <s v=""/>
    <b v="0"/>
    <b v="0"/>
    <s v=""/>
    <s v="BHHTPS1533178148"/>
    <n v="1"/>
    <s v="BHHTPS1533178148"/>
    <s v="2120657575"/>
    <s v="ESTHER"/>
    <s v="MULDOON"/>
    <m/>
    <s v="2124 4TH AVE"/>
    <s v="RAPID CITY"/>
    <s v="SD"/>
    <s v="57702"/>
    <s v="BHE"/>
    <s v="PO BOX 1400"/>
    <s v="RAPID CITY"/>
    <s v="SD"/>
    <s v="57709"/>
    <s v="605-721-2687"/>
    <m/>
    <s v="Weatherization"/>
    <s v="Recommended Audit Measures"/>
    <m/>
    <m/>
    <m/>
    <m/>
    <m/>
    <m/>
    <m/>
    <m/>
    <m/>
    <m/>
    <m/>
    <m/>
    <m/>
    <m/>
    <m/>
    <n v="1"/>
    <n v="0"/>
    <n v="0.155"/>
    <m/>
    <n v="865"/>
    <m/>
    <m/>
    <m/>
    <m/>
    <m/>
    <n v="0"/>
    <n v="0"/>
    <n v="42702"/>
    <n v="42702.779735763899"/>
    <x v="1"/>
    <s v="F9141D68DF4442768520506718A7AB72"/>
    <n v="865"/>
    <n v="0"/>
    <n v="865"/>
    <n v="0"/>
    <n v="0"/>
    <n v="0"/>
  </r>
  <r>
    <n v="584"/>
    <s v="Special - BHPSD - Weatherization Team"/>
    <b v="1"/>
    <s v="Special - BHPSD - Weatherization Team_Weatherization_Residential EE Kit"/>
    <s v="Residential_Weatherization_Various_Residential Kit"/>
    <x v="1"/>
    <x v="8"/>
    <x v="2"/>
    <x v="23"/>
    <s v=""/>
    <s v=""/>
    <b v="0"/>
    <b v="0"/>
    <s v=""/>
    <s v="BHHTPS1533178148"/>
    <n v="0"/>
    <s v="BHHTPS1533178148"/>
    <s v="2120657575"/>
    <s v="ESTHER"/>
    <s v="MULDOON"/>
    <m/>
    <s v="2124 4TH AVE"/>
    <s v="RAPID CITY"/>
    <s v="SD"/>
    <s v="57702"/>
    <s v="BHE"/>
    <s v="PO BOX 1400"/>
    <s v="RAPID CITY"/>
    <s v="SD"/>
    <s v="57709"/>
    <s v="605-721-2687"/>
    <m/>
    <s v="Weatherization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02"/>
    <n v="42702.779735763899"/>
    <x v="1"/>
    <s v="AEB60D5CAC844FE6811C8D0ED1B3DEAC"/>
    <n v="417"/>
    <n v="0"/>
    <n v="417"/>
    <n v="0"/>
    <n v="0"/>
    <n v="0"/>
  </r>
  <r>
    <n v="585"/>
    <s v="Residential - BHPSD - Whole House Efficiency"/>
    <b v="0"/>
    <s v="Residential - BHPSD - Whole House Efficiency__"/>
    <n v="0"/>
    <x v="0"/>
    <x v="0"/>
    <x v="0"/>
    <x v="0"/>
    <s v=""/>
    <s v=""/>
    <b v="0"/>
    <b v="0"/>
    <s v="Residential - BHPSD - Whole House Efficiency"/>
    <n v="40"/>
    <n v="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8"/>
    <n v="0"/>
    <n v="9.4179999999999993"/>
    <m/>
    <n v="36257"/>
    <m/>
    <m/>
    <m/>
    <m/>
    <m/>
    <n v="0"/>
    <n v="0"/>
    <s v=""/>
    <m/>
    <x v="0"/>
    <s v=""/>
    <n v="464.83333333333331"/>
    <n v="0"/>
    <e v="#N/A"/>
    <e v="#N/A"/>
    <e v="#N/A"/>
    <e v="#N/A"/>
  </r>
  <r>
    <n v="586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54"/>
    <n v="1"/>
    <s v="BHHAPS1532958654"/>
    <s v="3031965092"/>
    <s v="REID E"/>
    <s v="MCCOY"/>
    <m/>
    <s v="4320 CIRCLE DR"/>
    <s v="RAPID CITY"/>
    <s v="SD"/>
    <s v="57702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599619791697"/>
    <x v="1"/>
    <s v="6201AAAEBA7A42A6844D845944CC6018"/>
    <n v="417"/>
    <n v="0"/>
    <n v="417"/>
    <n v="0"/>
    <n v="0"/>
    <n v="0"/>
  </r>
  <r>
    <n v="587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54"/>
    <n v="0"/>
    <s v="BHHAPS1532958654"/>
    <s v="3031965092"/>
    <s v="REID E"/>
    <s v="MCCOY"/>
    <m/>
    <s v="4320 CIRCLE DR"/>
    <s v="RAPID CITY"/>
    <s v="SD"/>
    <s v="57702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599619791697"/>
    <x v="1"/>
    <s v="45509FDD77464583A0214155D418DB1F"/>
    <n v="508"/>
    <n v="0"/>
    <n v="508"/>
    <n v="0"/>
    <n v="0"/>
    <n v="0"/>
  </r>
  <r>
    <n v="58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61"/>
    <n v="1"/>
    <s v="BHHAPS1532958661"/>
    <s v="0135168736"/>
    <s v="LISA"/>
    <s v="SHOEMAKER"/>
    <m/>
    <s v="2809 IVY AVE"/>
    <s v="RAPID CITY"/>
    <s v="SD"/>
    <s v="57701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1229895801"/>
    <x v="1"/>
    <s v="F011A0B80E12442B998632C9756C53DB"/>
    <n v="417"/>
    <n v="0"/>
    <n v="417"/>
    <n v="0"/>
    <n v="0"/>
    <n v="0"/>
  </r>
  <r>
    <n v="58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61"/>
    <n v="0"/>
    <s v="BHHAPS1532958661"/>
    <s v="0135168736"/>
    <s v="LISA"/>
    <s v="SHOEMAKER"/>
    <m/>
    <s v="2809 IVY AVE"/>
    <s v="RAPID CITY"/>
    <s v="SD"/>
    <s v="57701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1229895801"/>
    <x v="1"/>
    <s v="6BC26F9E536C46768B34622B6CE7902C"/>
    <n v="508"/>
    <n v="0"/>
    <n v="508"/>
    <n v="0"/>
    <n v="0"/>
    <n v="0"/>
  </r>
  <r>
    <n v="590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65"/>
    <n v="1"/>
    <s v="BHHAPS1532958665"/>
    <s v="2686429643"/>
    <s v="KATHLEEN A"/>
    <s v="PARROW"/>
    <m/>
    <s v="822 PINEDALE DR"/>
    <s v="SPEARFISH"/>
    <s v="SD"/>
    <s v="57783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2389583299"/>
    <x v="1"/>
    <s v="06123CB25A2244BCA933B147085DEF2A"/>
    <n v="417"/>
    <n v="0"/>
    <n v="417"/>
    <n v="0"/>
    <n v="0"/>
    <n v="0"/>
  </r>
  <r>
    <n v="591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65"/>
    <n v="0"/>
    <s v="BHHAPS1532958665"/>
    <s v="2686429643"/>
    <s v="KATHLEEN A"/>
    <s v="PARROW"/>
    <m/>
    <s v="822 PINEDALE DR"/>
    <s v="SPEARFISH"/>
    <s v="SD"/>
    <s v="57783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2389583299"/>
    <x v="1"/>
    <s v="91B9513BBBED4ECE8C59F9C614E0B9D8"/>
    <n v="508"/>
    <n v="0"/>
    <n v="508"/>
    <n v="0"/>
    <n v="0"/>
    <n v="0"/>
  </r>
  <r>
    <n v="592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68"/>
    <n v="1"/>
    <s v="BHHAPS1532958668"/>
    <s v="1190911554"/>
    <s v="CLYDE D"/>
    <s v="SCHWARTING"/>
    <m/>
    <s v="1117 CUSTER ST"/>
    <s v="WHITEWOOD"/>
    <s v="SD"/>
    <s v="57793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3726238398"/>
    <x v="1"/>
    <s v="57B5877D659F4AB1AD0B522F7F098E9A"/>
    <n v="508"/>
    <n v="0"/>
    <n v="508"/>
    <n v="0"/>
    <n v="0"/>
    <n v="0"/>
  </r>
  <r>
    <n v="593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68"/>
    <n v="0"/>
    <s v="BHHAPS1532958668"/>
    <s v="1190911554"/>
    <s v="CLYDE D"/>
    <s v="SCHWARTING"/>
    <m/>
    <s v="1117 CUSTER ST"/>
    <s v="WHITEWOOD"/>
    <s v="SD"/>
    <s v="57793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3726238398"/>
    <x v="1"/>
    <s v="70B4C14C05E64A209795EAAA04336D6E"/>
    <n v="417"/>
    <n v="0"/>
    <n v="417"/>
    <n v="0"/>
    <n v="0"/>
    <n v="0"/>
  </r>
  <r>
    <n v="594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74"/>
    <n v="1"/>
    <s v="BHHAPS1532958674"/>
    <s v="2379083918"/>
    <s v="LYLE"/>
    <s v="BERRY"/>
    <m/>
    <s v="1120 N AMES ST"/>
    <s v="SPEARFISH"/>
    <s v="SD"/>
    <s v="57783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4733368098"/>
    <x v="1"/>
    <s v="31919501EC3C4FC8BAA14A595BC19DA6"/>
    <n v="508"/>
    <n v="0"/>
    <n v="508"/>
    <n v="0"/>
    <n v="0"/>
    <n v="0"/>
  </r>
  <r>
    <n v="595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74"/>
    <n v="0"/>
    <s v="BHHAPS1532958674"/>
    <s v="2379083918"/>
    <s v="LYLE"/>
    <s v="BERRY"/>
    <m/>
    <s v="1120 N AMES ST"/>
    <s v="SPEARFISH"/>
    <s v="SD"/>
    <s v="57783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4733368098"/>
    <x v="1"/>
    <s v="E55BBF70FD5842FFB613D606D87D7C51"/>
    <n v="417"/>
    <n v="0"/>
    <n v="417"/>
    <n v="0"/>
    <n v="0"/>
    <n v="0"/>
  </r>
  <r>
    <n v="596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83"/>
    <n v="1"/>
    <s v="BHHAPS1532958683"/>
    <s v="1607412849"/>
    <s v="REX T"/>
    <s v="HARRIS"/>
    <m/>
    <s v="3341 BROADMOOR DR"/>
    <s v="RAPID CITY"/>
    <s v="SD"/>
    <s v="57702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6220451402"/>
    <x v="1"/>
    <s v="0EC680616F58461A97771D8FC428FD39"/>
    <n v="508"/>
    <n v="0"/>
    <n v="508"/>
    <n v="0"/>
    <n v="0"/>
    <n v="0"/>
  </r>
  <r>
    <n v="597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83"/>
    <n v="0"/>
    <s v="BHHAPS1532958683"/>
    <s v="1607412849"/>
    <s v="REX T"/>
    <s v="HARRIS"/>
    <m/>
    <s v="3341 BROADMOOR DR"/>
    <s v="RAPID CITY"/>
    <s v="SD"/>
    <s v="57702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6220451402"/>
    <x v="1"/>
    <s v="133FC19FC6834ACB8119D509123D692B"/>
    <n v="417"/>
    <n v="0"/>
    <n v="417"/>
    <n v="0"/>
    <n v="0"/>
    <n v="0"/>
  </r>
  <r>
    <n v="59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58687"/>
    <n v="1"/>
    <s v="BHHAPS1532958687"/>
    <s v="6546788684"/>
    <s v="TIM"/>
    <s v="CUMMINGS"/>
    <m/>
    <s v="1415 MINUTEMAN DR"/>
    <s v="RAPID CITY"/>
    <s v="SD"/>
    <s v="57701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1"/>
    <n v="42641.607361574097"/>
    <x v="1"/>
    <s v="4471E52D230C4DB981E2D44C9F432EC4"/>
    <n v="417"/>
    <n v="0"/>
    <n v="417"/>
    <n v="0"/>
    <n v="0"/>
    <n v="0"/>
  </r>
  <r>
    <n v="59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58687"/>
    <n v="0"/>
    <s v="BHHAPS1532958687"/>
    <s v="6546788684"/>
    <s v="TIM"/>
    <s v="CUMMINGS"/>
    <m/>
    <s v="1415 MINUTEMAN DR"/>
    <s v="RAPID CITY"/>
    <s v="SD"/>
    <s v="57701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1"/>
    <n v="42641.607361574097"/>
    <x v="1"/>
    <s v="5BD152305FED4949833F9623976FC609"/>
    <n v="508"/>
    <n v="0"/>
    <n v="508"/>
    <n v="0"/>
    <n v="0"/>
    <n v="0"/>
  </r>
  <r>
    <n v="600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71403"/>
    <n v="1"/>
    <s v="BHHAPS1532971403"/>
    <s v="6455598798"/>
    <s v="JOHN"/>
    <s v="EDWARDS"/>
    <m/>
    <s v="4707 POWDERHORN CIR"/>
    <s v="RAPID CITY"/>
    <s v="SD"/>
    <s v="57702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2"/>
    <n v="42646.699253275503"/>
    <x v="1"/>
    <s v="8FFA683BA5E04ED9B7830282D2C6C0F7"/>
    <n v="508"/>
    <n v="0"/>
    <n v="508"/>
    <n v="0"/>
    <n v="0"/>
    <n v="0"/>
  </r>
  <r>
    <n v="601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71403"/>
    <n v="0"/>
    <s v="BHHAPS1532971403"/>
    <s v="6455598798"/>
    <s v="JOHN"/>
    <s v="EDWARDS"/>
    <m/>
    <s v="4707 POWDERHORN CIR"/>
    <s v="RAPID CITY"/>
    <s v="SD"/>
    <s v="57702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2"/>
    <n v="42646.699253275503"/>
    <x v="1"/>
    <s v="8F7483CBE81F446D893F29DD5E8A0D4E"/>
    <n v="417"/>
    <n v="0"/>
    <n v="417"/>
    <n v="0"/>
    <n v="0"/>
    <n v="0"/>
  </r>
  <r>
    <n v="602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2971507"/>
    <n v="1"/>
    <s v="BHHAPS1532971507"/>
    <s v="6204711030"/>
    <s v="JASON C"/>
    <s v="RATH"/>
    <m/>
    <s v="1440 DAVENPORT ST"/>
    <s v="STURGIS"/>
    <s v="SD"/>
    <s v="57785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46"/>
    <n v="42646.766559259297"/>
    <x v="1"/>
    <s v="11BF70AAB87448B08169B3ACC256F2B1"/>
    <n v="508"/>
    <n v="0"/>
    <n v="508"/>
    <n v="0"/>
    <n v="0"/>
    <n v="0"/>
  </r>
  <r>
    <n v="603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2971507"/>
    <n v="0"/>
    <s v="BHHAPS1532971507"/>
    <s v="6204711030"/>
    <s v="JASON C"/>
    <s v="RATH"/>
    <m/>
    <s v="1440 DAVENPORT ST"/>
    <s v="STURGIS"/>
    <s v="SD"/>
    <s v="57785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46"/>
    <n v="42646.766559259297"/>
    <x v="1"/>
    <s v="B2F08F0A25E9423DAC3906C2847D7B66"/>
    <n v="417"/>
    <n v="0"/>
    <n v="417"/>
    <n v="0"/>
    <n v="0"/>
    <n v="0"/>
  </r>
  <r>
    <n v="604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031705"/>
    <n v="1"/>
    <s v="BHHAPS1533031705"/>
    <s v="0663782970"/>
    <s v="J S"/>
    <s v="PETERS"/>
    <m/>
    <s v="398 UPPER VALLEY RD"/>
    <s v="SPEARFISH"/>
    <s v="SD"/>
    <s v="57783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56"/>
    <n v="42656.622656979198"/>
    <x v="1"/>
    <s v="5AA349771920429AB657455957B2D6CF"/>
    <n v="417"/>
    <n v="0"/>
    <n v="417"/>
    <n v="0"/>
    <n v="0"/>
    <n v="0"/>
  </r>
  <r>
    <n v="605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031705"/>
    <n v="0"/>
    <s v="BHHAPS1533031705"/>
    <s v="0663782970"/>
    <s v="J S"/>
    <s v="PETERS"/>
    <m/>
    <s v="398 UPPER VALLEY RD"/>
    <s v="SPEARFISH"/>
    <s v="SD"/>
    <s v="57783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56"/>
    <n v="42656.622656979198"/>
    <x v="1"/>
    <s v="736F6FE6589347C7B8E832F8F42C5D14"/>
    <n v="508"/>
    <n v="0"/>
    <n v="508"/>
    <n v="0"/>
    <n v="0"/>
    <n v="0"/>
  </r>
  <r>
    <n v="606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072056"/>
    <n v="1"/>
    <s v="BHHAPS1533072056"/>
    <s v="4797470572"/>
    <s v="TIFANIE C"/>
    <s v="HAMMOND"/>
    <m/>
    <s v="1009 PARK HILL DR"/>
    <s v="RAPID CITY"/>
    <s v="SD"/>
    <s v="57701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74"/>
    <n v="42674.783725775502"/>
    <x v="1"/>
    <s v="0AC1A2E2563A4D84944AF04A1448A7A4"/>
    <n v="417"/>
    <n v="0"/>
    <n v="417"/>
    <n v="0"/>
    <n v="0"/>
    <n v="0"/>
  </r>
  <r>
    <n v="607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072056"/>
    <n v="0"/>
    <s v="BHHAPS1533072056"/>
    <s v="4797470572"/>
    <s v="TIFANIE C"/>
    <s v="HAMMOND"/>
    <m/>
    <s v="1009 PARK HILL DR"/>
    <s v="RAPID CITY"/>
    <s v="SD"/>
    <s v="57701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74"/>
    <n v="42674.783725775502"/>
    <x v="1"/>
    <s v="F1F460345B6C48A4A2C4E6C35504C0AA"/>
    <n v="508"/>
    <n v="0"/>
    <n v="508"/>
    <n v="0"/>
    <n v="0"/>
    <n v="0"/>
  </r>
  <r>
    <n v="608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072057"/>
    <n v="1"/>
    <s v="BHHAPS1533072057"/>
    <s v="3523630411"/>
    <s v="TANYA L"/>
    <s v="ABY"/>
    <m/>
    <s v="221 E SAINT CHARLES ST"/>
    <s v="RAPID CITY"/>
    <s v="SD"/>
    <s v="57701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74"/>
    <n v="42674.784882256899"/>
    <x v="1"/>
    <s v="48A121C2494C4ADDA42410859FB5BCBF"/>
    <n v="508"/>
    <n v="0"/>
    <n v="508"/>
    <n v="0"/>
    <n v="0"/>
    <n v="0"/>
  </r>
  <r>
    <n v="609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072057"/>
    <n v="0"/>
    <s v="BHHAPS1533072057"/>
    <s v="3523630411"/>
    <s v="TANYA L"/>
    <s v="ABY"/>
    <m/>
    <s v="221 E SAINT CHARLES ST"/>
    <s v="RAPID CITY"/>
    <s v="SD"/>
    <s v="57701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74"/>
    <n v="42674.784882256899"/>
    <x v="1"/>
    <s v="B8CF4760B7E04806BFEF7B34B9139C8E"/>
    <n v="417"/>
    <n v="0"/>
    <n v="417"/>
    <n v="0"/>
    <n v="0"/>
    <n v="0"/>
  </r>
  <r>
    <n v="610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072061"/>
    <n v="1"/>
    <s v="BHHAPS1533072061"/>
    <s v="0761934741"/>
    <s v="JAIME L"/>
    <s v="RITCHIE"/>
    <m/>
    <s v="5296 RED CLIFF LN"/>
    <s v="BLACK HAWK"/>
    <s v="SD"/>
    <s v="57718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674"/>
    <n v="42674.787687615702"/>
    <x v="1"/>
    <s v="A9EEAFCE4FD74A2BB8024B84ED8EA50D"/>
    <n v="417"/>
    <n v="0"/>
    <n v="417"/>
    <n v="0"/>
    <n v="0"/>
    <n v="0"/>
  </r>
  <r>
    <n v="611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072061"/>
    <n v="0"/>
    <s v="BHHAPS1533072061"/>
    <s v="0761934741"/>
    <s v="JAIME L"/>
    <s v="RITCHIE"/>
    <m/>
    <s v="5296 RED CLIFF LN"/>
    <s v="BLACK HAWK"/>
    <s v="SD"/>
    <s v="57718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674"/>
    <n v="42674.787687615702"/>
    <x v="1"/>
    <s v="005C4A725DD2455F8DDC496E5634CADF"/>
    <n v="508"/>
    <n v="0"/>
    <n v="508"/>
    <n v="0"/>
    <n v="0"/>
    <n v="0"/>
  </r>
  <r>
    <n v="612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794127"/>
    <n v="1"/>
    <s v="BHHAPS1533794127"/>
    <s v="4612953918"/>
    <s v="PATRICK"/>
    <s v="MATTESON"/>
    <m/>
    <s v="921 N AMES ST"/>
    <s v="SPEARFISH"/>
    <s v="SD"/>
    <s v="57783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19"/>
    <n v="42719.764051967599"/>
    <x v="1"/>
    <s v="708C9DC394A04742ACA5BE723524458C"/>
    <n v="508"/>
    <n v="0"/>
    <n v="508"/>
    <n v="0"/>
    <n v="0"/>
    <n v="0"/>
  </r>
  <r>
    <n v="613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794127"/>
    <n v="0"/>
    <s v="BHHAPS1533794127"/>
    <s v="4612953918"/>
    <s v="PATRICK"/>
    <s v="MATTESON"/>
    <m/>
    <s v="921 N AMES ST"/>
    <s v="SPEARFISH"/>
    <s v="SD"/>
    <s v="57783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19"/>
    <n v="42719.764051967599"/>
    <x v="1"/>
    <s v="6C2A518A1374430CB73E12B44F76CFB7"/>
    <n v="417"/>
    <n v="0"/>
    <n v="417"/>
    <n v="0"/>
    <n v="0"/>
    <n v="0"/>
  </r>
  <r>
    <n v="614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988211"/>
    <n v="1"/>
    <s v="BHHAPS1533988211"/>
    <s v="0770295976"/>
    <s v="TRAVIS J"/>
    <s v="FOSTER"/>
    <m/>
    <s v="7308 WONDERLAND CT"/>
    <s v="BLACK HAWK"/>
    <s v="SD"/>
    <s v="57718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79"/>
    <n v="42779.607879826399"/>
    <x v="1"/>
    <s v="DFB7AC951C0049C3B86B4D920FCE8557"/>
    <n v="417"/>
    <n v="0"/>
    <n v="417"/>
    <n v="0"/>
    <n v="0"/>
    <n v="0"/>
  </r>
  <r>
    <n v="615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988211"/>
    <n v="0"/>
    <s v="BHHAPS1533988211"/>
    <s v="0770295976"/>
    <s v="TRAVIS J"/>
    <s v="FOSTER"/>
    <m/>
    <s v="7308 WONDERLAND CT"/>
    <s v="BLACK HAWK"/>
    <s v="SD"/>
    <s v="57718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79"/>
    <n v="42779.607879826399"/>
    <x v="1"/>
    <s v="4DE20A851E0B47D48DDAE39CFD733B6A"/>
    <n v="508"/>
    <n v="0"/>
    <n v="508"/>
    <n v="0"/>
    <n v="0"/>
    <n v="0"/>
  </r>
  <r>
    <n v="616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988437"/>
    <n v="1"/>
    <s v="BHHAPS1533988437"/>
    <s v="0790112642"/>
    <s v="MARGARET E"/>
    <s v="SULENTIC"/>
    <m/>
    <s v="23 VAN BUREN ST"/>
    <s v="DEADWOOD"/>
    <s v="SD"/>
    <s v="57732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79"/>
    <n v="42779.6297190162"/>
    <x v="1"/>
    <s v="1649F85B22E8459286621AF66BBFE586"/>
    <n v="508"/>
    <n v="0"/>
    <n v="508"/>
    <n v="0"/>
    <n v="0"/>
    <n v="0"/>
  </r>
  <r>
    <n v="617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988437"/>
    <n v="0"/>
    <s v="BHHAPS1533988437"/>
    <s v="0790112642"/>
    <s v="MARGARET E"/>
    <s v="SULENTIC"/>
    <m/>
    <s v="23 VAN BUREN ST"/>
    <s v="DEADWOOD"/>
    <s v="SD"/>
    <s v="57732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79"/>
    <n v="42779.6297190162"/>
    <x v="1"/>
    <s v="40579B98965D4DFCA4A15485B5D190FF"/>
    <n v="417"/>
    <n v="0"/>
    <n v="417"/>
    <n v="0"/>
    <n v="0"/>
    <n v="0"/>
  </r>
  <r>
    <n v="61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988443"/>
    <n v="1"/>
    <s v="BHHAPS1533988443"/>
    <s v="7232013499"/>
    <s v="TAMMY K"/>
    <s v="STYMIEST"/>
    <m/>
    <s v="4 SPOKE LN"/>
    <s v="BOX ELDER"/>
    <s v="SD"/>
    <s v="57719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79"/>
    <n v="42779.6326913542"/>
    <x v="1"/>
    <s v="5CBBBD8ECC064B2B8DCC2ED4F5DAF6A5"/>
    <n v="417"/>
    <n v="0"/>
    <n v="417"/>
    <n v="0"/>
    <n v="0"/>
    <n v="0"/>
  </r>
  <r>
    <n v="61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988443"/>
    <n v="0"/>
    <s v="BHHAPS1533988443"/>
    <s v="7232013499"/>
    <s v="TAMMY K"/>
    <s v="STYMIEST"/>
    <m/>
    <s v="4 SPOKE LN"/>
    <s v="BOX ELDER"/>
    <s v="SD"/>
    <s v="57719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79"/>
    <n v="42779.6326913542"/>
    <x v="1"/>
    <s v="60055A3A17E84EC1B986ED603C76A1A8"/>
    <n v="508"/>
    <n v="0"/>
    <n v="508"/>
    <n v="0"/>
    <n v="0"/>
    <n v="0"/>
  </r>
  <r>
    <n v="620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3988454"/>
    <n v="1"/>
    <s v="BHHAPS1533988454"/>
    <s v="0886054971"/>
    <s v="JASON A"/>
    <s v="GRIMES"/>
    <m/>
    <s v="1221 N AMES ST"/>
    <s v="SPEARFISH"/>
    <s v="SD"/>
    <s v="57783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79"/>
    <n v="42779.634779664397"/>
    <x v="1"/>
    <s v="800959F0561D48FAA67DF5017FC3C030"/>
    <n v="508"/>
    <n v="0"/>
    <n v="508"/>
    <n v="0"/>
    <n v="0"/>
    <n v="0"/>
  </r>
  <r>
    <n v="621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3988454"/>
    <n v="0"/>
    <s v="BHHAPS1533988454"/>
    <s v="0886054971"/>
    <s v="JASON A"/>
    <s v="GRIMES"/>
    <m/>
    <s v="1221 N AMES ST"/>
    <s v="SPEARFISH"/>
    <s v="SD"/>
    <s v="57783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79"/>
    <n v="42779.634779664397"/>
    <x v="1"/>
    <s v="6AA56F6494484D1BBEE19ACA6A2856A5"/>
    <n v="417"/>
    <n v="0"/>
    <n v="417"/>
    <n v="0"/>
    <n v="0"/>
    <n v="0"/>
  </r>
  <r>
    <n v="622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32961"/>
    <n v="1"/>
    <s v="BHHAPS1534032961"/>
    <s v="6194654443"/>
    <s v="JEROME"/>
    <s v="BUTTON"/>
    <m/>
    <s v="3849 S LORETTA DR"/>
    <s v="RAPID CITY"/>
    <s v="SD"/>
    <s v="57702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94"/>
    <n v="42794.5689748843"/>
    <x v="1"/>
    <s v="833CD71263F64958B2007270CF0B78A5"/>
    <n v="417"/>
    <n v="0"/>
    <n v="417"/>
    <n v="0"/>
    <n v="0"/>
    <n v="0"/>
  </r>
  <r>
    <n v="62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32961"/>
    <n v="0"/>
    <s v="BHHAPS1534032961"/>
    <s v="6194654443"/>
    <s v="JEROME"/>
    <s v="BUTTON"/>
    <m/>
    <s v="3849 S LORETTA DR"/>
    <s v="RAPID CITY"/>
    <s v="SD"/>
    <s v="57702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94"/>
    <n v="42794.5689748843"/>
    <x v="1"/>
    <s v="17CABBC7D1A943A0BB556A1CEA6734D2"/>
    <n v="508"/>
    <n v="0"/>
    <n v="508"/>
    <n v="0"/>
    <n v="0"/>
    <n v="0"/>
  </r>
  <r>
    <n v="624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33037"/>
    <n v="1"/>
    <s v="BHHAPS1534033037"/>
    <s v="5170797141"/>
    <s v="PATRICK B"/>
    <s v="HALEY"/>
    <m/>
    <s v="110 MINOR LAKE CIRCLE"/>
    <s v="HILL CITY"/>
    <s v="SD"/>
    <s v="57745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794"/>
    <n v="42794.578149340297"/>
    <x v="1"/>
    <s v="652B25D9BEF84FC7B105A31DA1FCE5C2"/>
    <n v="417"/>
    <n v="0"/>
    <n v="417"/>
    <n v="0"/>
    <n v="0"/>
    <n v="0"/>
  </r>
  <r>
    <n v="625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33037"/>
    <n v="0"/>
    <s v="BHHAPS1534033037"/>
    <s v="5170797141"/>
    <s v="PATRICK B"/>
    <s v="HALEY"/>
    <m/>
    <s v="110 MINOR LAKE CIRCLE"/>
    <s v="HILL CITY"/>
    <s v="SD"/>
    <s v="57745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794"/>
    <n v="42794.578149340297"/>
    <x v="1"/>
    <s v="10C05FE8B0E34654BCEFFA80BB9133FA"/>
    <n v="508"/>
    <n v="0"/>
    <n v="508"/>
    <n v="0"/>
    <n v="0"/>
    <n v="0"/>
  </r>
  <r>
    <n v="626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66523"/>
    <n v="1"/>
    <s v="BHHAPS1534066523"/>
    <s v="2802407731"/>
    <s v="MELANIE"/>
    <s v="LARRANAGA"/>
    <m/>
    <s v="1741 ALBANY AVE"/>
    <s v="HOT SPRINGS"/>
    <s v="SD"/>
    <s v="57747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02"/>
    <n v="42802.646110185196"/>
    <x v="1"/>
    <s v="680B61836F3E40D79A9E40A760F2C241"/>
    <n v="417"/>
    <n v="0"/>
    <n v="417"/>
    <n v="0"/>
    <n v="0"/>
    <n v="0"/>
  </r>
  <r>
    <n v="627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66523"/>
    <n v="0"/>
    <s v="BHHAPS1534066523"/>
    <s v="2802407731"/>
    <s v="MELANIE"/>
    <s v="LARRANAGA"/>
    <m/>
    <s v="1741 ALBANY AVE"/>
    <s v="HOT SPRINGS"/>
    <s v="SD"/>
    <s v="57747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02"/>
    <n v="42802.646110185196"/>
    <x v="1"/>
    <s v="F8FE1E6B9F5945439F9CF3E567C87458"/>
    <n v="508"/>
    <n v="0"/>
    <n v="508"/>
    <n v="0"/>
    <n v="0"/>
    <n v="0"/>
  </r>
  <r>
    <n v="628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71757"/>
    <n v="1"/>
    <s v="BHHAPS1534071757"/>
    <s v="1204361757"/>
    <s v="BRIDGET"/>
    <s v="MCGIBBON"/>
    <m/>
    <s v="12795 TAYLOR RANCH RD"/>
    <s v="RAPID CITY"/>
    <s v="SD"/>
    <s v="57702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04"/>
    <n v="42804.560725578704"/>
    <x v="1"/>
    <s v="1820C79BC5E24CD3A24BFDD1608865F9"/>
    <n v="508"/>
    <n v="0"/>
    <n v="508"/>
    <n v="0"/>
    <n v="0"/>
    <n v="0"/>
  </r>
  <r>
    <n v="629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71757"/>
    <n v="0"/>
    <s v="BHHAPS1534071757"/>
    <s v="1204361757"/>
    <s v="BRIDGET"/>
    <s v="MCGIBBON"/>
    <m/>
    <s v="12795 TAYLOR RANCH RD"/>
    <s v="RAPID CITY"/>
    <s v="SD"/>
    <s v="57702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04"/>
    <n v="42804.560725578704"/>
    <x v="1"/>
    <s v="FF8425050D9E4DC3ACD2350206B4224D"/>
    <n v="417"/>
    <n v="0"/>
    <n v="417"/>
    <n v="0"/>
    <n v="0"/>
    <n v="0"/>
  </r>
  <r>
    <n v="630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71767"/>
    <n v="1"/>
    <s v="BHHAPS1534071767"/>
    <s v="3715846437"/>
    <s v="MILLARD E"/>
    <s v="MCGUIRE"/>
    <m/>
    <s v="821 HARNEY ST"/>
    <s v="CUSTER"/>
    <s v="SD"/>
    <s v="57730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04"/>
    <n v="42804.564351041699"/>
    <x v="1"/>
    <s v="A243F2156B97447F84A2F2D964E485AA"/>
    <n v="508"/>
    <n v="0"/>
    <n v="508"/>
    <n v="0"/>
    <n v="0"/>
    <n v="0"/>
  </r>
  <r>
    <n v="631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71767"/>
    <n v="0"/>
    <s v="BHHAPS1534071767"/>
    <s v="3715846437"/>
    <s v="MILLARD E"/>
    <s v="MCGUIRE"/>
    <m/>
    <s v="821 HARNEY ST"/>
    <s v="CUSTER"/>
    <s v="SD"/>
    <s v="57730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04"/>
    <n v="42804.564351041699"/>
    <x v="1"/>
    <s v="F98F4407516A42BCB8C07526134BCC7A"/>
    <n v="417"/>
    <n v="0"/>
    <n v="417"/>
    <n v="0"/>
    <n v="0"/>
    <n v="0"/>
  </r>
  <r>
    <n v="632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71775"/>
    <n v="1"/>
    <s v="BHHAPS1534071775"/>
    <s v="3167878916"/>
    <s v="CORWYN"/>
    <s v="WERNER"/>
    <m/>
    <s v="4526 LOOKOUT MTN"/>
    <s v="RAPID CITY"/>
    <s v="SD"/>
    <s v="57702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04"/>
    <n v="42804.574054942103"/>
    <x v="1"/>
    <s v="C8EB4FD2A54B45CCA38BDD2741CE1B8B"/>
    <n v="417"/>
    <n v="0"/>
    <n v="417"/>
    <n v="0"/>
    <n v="0"/>
    <n v="0"/>
  </r>
  <r>
    <n v="63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71775"/>
    <n v="0"/>
    <s v="BHHAPS1534071775"/>
    <s v="3167878916"/>
    <s v="CORWYN"/>
    <s v="WERNER"/>
    <m/>
    <s v="4526 LOOKOUT MTN"/>
    <s v="RAPID CITY"/>
    <s v="SD"/>
    <s v="57702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04"/>
    <n v="42804.574054942103"/>
    <x v="1"/>
    <s v="91C3AFCD2CB647D1B7FD043E75081C81"/>
    <n v="508"/>
    <n v="0"/>
    <n v="508"/>
    <n v="0"/>
    <n v="0"/>
    <n v="0"/>
  </r>
  <r>
    <n v="634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98235"/>
    <n v="1"/>
    <s v="BHHAPS1534098235"/>
    <s v="0482316651"/>
    <s v="JOHN L"/>
    <s v="CHAMBERS"/>
    <m/>
    <s v="6201 W ELMWOOD DR"/>
    <s v="BLACK HAWK"/>
    <s v="SD"/>
    <s v="57718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15"/>
    <n v="42815.742467557902"/>
    <x v="1"/>
    <s v="52E4D3C3533849D2B0CA913BC6557988"/>
    <n v="508"/>
    <n v="0"/>
    <n v="508"/>
    <n v="0"/>
    <n v="0"/>
    <n v="0"/>
  </r>
  <r>
    <n v="635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98235"/>
    <n v="0"/>
    <s v="BHHAPS1534098235"/>
    <s v="0482316651"/>
    <s v="JOHN L"/>
    <s v="CHAMBERS"/>
    <m/>
    <s v="6201 W ELMWOOD DR"/>
    <s v="BLACK HAWK"/>
    <s v="SD"/>
    <s v="57718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15"/>
    <n v="42815.742467557902"/>
    <x v="1"/>
    <s v="48B12A6637114D38AA52EF01B0860C6C"/>
    <n v="417"/>
    <n v="0"/>
    <n v="417"/>
    <n v="0"/>
    <n v="0"/>
    <n v="0"/>
  </r>
  <r>
    <n v="636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098450"/>
    <n v="1"/>
    <s v="BHHAPS1534098450"/>
    <s v="9242367261"/>
    <s v="SCOTT"/>
    <s v="LEE"/>
    <m/>
    <s v="5548 SIERRA CT"/>
    <s v="RAPID CITY"/>
    <s v="SD"/>
    <s v="57702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15"/>
    <n v="42815.771673495401"/>
    <x v="1"/>
    <s v="49D3E23D0DB54992829DBE2BCEAE68C6"/>
    <n v="508"/>
    <n v="0"/>
    <n v="508"/>
    <n v="0"/>
    <n v="0"/>
    <n v="0"/>
  </r>
  <r>
    <n v="637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098450"/>
    <n v="0"/>
    <s v="BHHAPS1534098450"/>
    <s v="9242367261"/>
    <s v="SCOTT"/>
    <s v="LEE"/>
    <m/>
    <s v="5548 SIERRA CT"/>
    <s v="RAPID CITY"/>
    <s v="SD"/>
    <s v="57702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15"/>
    <n v="42815.771673495401"/>
    <x v="1"/>
    <s v="6416C43CFA154D17B07F033EC863EEFB"/>
    <n v="417"/>
    <n v="0"/>
    <n v="417"/>
    <n v="0"/>
    <n v="0"/>
    <n v="0"/>
  </r>
  <r>
    <n v="63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112094"/>
    <n v="1"/>
    <s v="BHHAPS1534112094"/>
    <s v="4554032089"/>
    <s v="JACK"/>
    <s v="LA ROCCA"/>
    <m/>
    <s v="1124 WOODRIDGE DR"/>
    <s v="RAPID CITY"/>
    <s v="SD"/>
    <s v="57701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21"/>
    <n v="42821.687218553197"/>
    <x v="1"/>
    <s v="4B9232B0029648D9B622EA5EF9BFFAF4"/>
    <n v="417"/>
    <n v="0"/>
    <n v="417"/>
    <n v="0"/>
    <n v="0"/>
    <n v="0"/>
  </r>
  <r>
    <n v="63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112094"/>
    <n v="0"/>
    <s v="BHHAPS1534112094"/>
    <s v="4554032089"/>
    <s v="JACK"/>
    <s v="LA ROCCA"/>
    <m/>
    <s v="1124 WOODRIDGE DR"/>
    <s v="RAPID CITY"/>
    <s v="SD"/>
    <s v="57701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21"/>
    <n v="42821.687218553197"/>
    <x v="1"/>
    <s v="10839C54EA0D482D8BE1AD0270173614"/>
    <n v="508"/>
    <n v="0"/>
    <n v="508"/>
    <n v="0"/>
    <n v="0"/>
    <n v="0"/>
  </r>
  <r>
    <n v="640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196262"/>
    <n v="1"/>
    <s v="BHHAPS1534196262"/>
    <s v="6163350116"/>
    <s v="TODD J"/>
    <s v="HYRONIMUS"/>
    <m/>
    <s v="4402 RIDGEWOOD ST"/>
    <s v="RAPID CITY"/>
    <s v="SD"/>
    <s v="57702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32"/>
    <n v="42832.5187526968"/>
    <x v="1"/>
    <s v="BEB4EFE817324055B0DA927C0B92D1D6"/>
    <n v="417"/>
    <n v="0"/>
    <n v="417"/>
    <n v="0"/>
    <n v="0"/>
    <n v="0"/>
  </r>
  <r>
    <n v="641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196262"/>
    <n v="0"/>
    <s v="BHHAPS1534196262"/>
    <s v="6163350116"/>
    <s v="TODD J"/>
    <s v="HYRONIMUS"/>
    <m/>
    <s v="4402 RIDGEWOOD ST"/>
    <s v="RAPID CITY"/>
    <s v="SD"/>
    <s v="57702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32"/>
    <n v="42832.5187526968"/>
    <x v="1"/>
    <s v="AA50B64F4745427D8C15A0AAFD02D006"/>
    <n v="508"/>
    <n v="0"/>
    <n v="508"/>
    <n v="0"/>
    <n v="0"/>
    <n v="0"/>
  </r>
  <r>
    <n v="642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223371"/>
    <n v="1"/>
    <s v="BHHAPS1534223371"/>
    <s v="6386883495"/>
    <s v="KATHLEEN"/>
    <s v="HRUBY"/>
    <m/>
    <s v="20745 DYNASTY RD"/>
    <s v="LEAD"/>
    <s v="SD"/>
    <s v="57754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44"/>
    <n v="42844.467479710598"/>
    <x v="1"/>
    <s v="C4243799699349E1B9AFCC0B11FC928C"/>
    <n v="417"/>
    <n v="0"/>
    <n v="417"/>
    <n v="0"/>
    <n v="0"/>
    <n v="0"/>
  </r>
  <r>
    <n v="64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223371"/>
    <n v="0"/>
    <s v="BHHAPS1534223371"/>
    <s v="6386883495"/>
    <s v="KATHLEEN"/>
    <s v="HRUBY"/>
    <m/>
    <s v="20745 DYNASTY RD"/>
    <s v="LEAD"/>
    <s v="SD"/>
    <s v="57754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44"/>
    <n v="42844.467479710598"/>
    <x v="1"/>
    <s v="340645980D86467AABB509FE8944D70F"/>
    <n v="508"/>
    <n v="0"/>
    <n v="508"/>
    <n v="0"/>
    <n v="0"/>
    <n v="0"/>
  </r>
  <r>
    <n v="644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223387"/>
    <n v="1"/>
    <s v="BHHAPS1534223387"/>
    <s v="7652363484"/>
    <s v="JANE E"/>
    <s v="LOCKWOOD"/>
    <m/>
    <s v="3734 MAITLAND RD"/>
    <s v="SPEARFISH"/>
    <s v="SD"/>
    <s v="57783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44"/>
    <n v="42844.473528159702"/>
    <x v="1"/>
    <s v="6BB94B55493E465BA3B3F04029B366BD"/>
    <n v="508"/>
    <n v="0"/>
    <n v="508"/>
    <n v="0"/>
    <n v="0"/>
    <n v="0"/>
  </r>
  <r>
    <n v="645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223387"/>
    <n v="0"/>
    <s v="BHHAPS1534223387"/>
    <s v="7652363484"/>
    <s v="JANE E"/>
    <s v="LOCKWOOD"/>
    <m/>
    <s v="3734 MAITLAND RD"/>
    <s v="SPEARFISH"/>
    <s v="SD"/>
    <s v="57783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44"/>
    <n v="42844.473528159702"/>
    <x v="1"/>
    <s v="1CE7A8BB2C814EDDBB829DBC57BAAB79"/>
    <n v="417"/>
    <n v="0"/>
    <n v="417"/>
    <n v="0"/>
    <n v="0"/>
    <n v="0"/>
  </r>
  <r>
    <n v="646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223402"/>
    <n v="1"/>
    <s v="BHHAPS1534223402"/>
    <s v="7133765514"/>
    <s v="DALE"/>
    <s v="CHRISTENSEN"/>
    <m/>
    <s v="25341 MCCURRAN RANCH RD"/>
    <s v="CUSTER"/>
    <s v="SD"/>
    <s v="57730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44"/>
    <n v="42844.535247453699"/>
    <x v="1"/>
    <s v="2F222582568D4012BAA8C3F80C655FF1"/>
    <n v="508"/>
    <n v="0"/>
    <n v="508"/>
    <n v="0"/>
    <n v="0"/>
    <n v="0"/>
  </r>
  <r>
    <n v="647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223402"/>
    <n v="0"/>
    <s v="BHHAPS1534223402"/>
    <s v="7133765514"/>
    <s v="DALE"/>
    <s v="CHRISTENSEN"/>
    <m/>
    <s v="25341 MCCURRAN RANCH RD"/>
    <s v="CUSTER"/>
    <s v="SD"/>
    <s v="57730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44"/>
    <n v="42844.535247453699"/>
    <x v="1"/>
    <s v="BF45952B1394478E94EFE322CEC9C7F4"/>
    <n v="417"/>
    <n v="0"/>
    <n v="417"/>
    <n v="0"/>
    <n v="0"/>
    <n v="0"/>
  </r>
  <r>
    <n v="648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374980"/>
    <n v="1"/>
    <s v="BHHAPS1534374980"/>
    <s v="0117100059"/>
    <s v="CAROLYN"/>
    <s v="WALDO"/>
    <m/>
    <s v="11387 BIG HORN LOOP"/>
    <s v="PIEDMONT"/>
    <s v="SD"/>
    <s v="57769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85"/>
    <n v="42885.786298032399"/>
    <x v="1"/>
    <s v="322E3677CD234BBD976FE8FAB98EBF6D"/>
    <n v="508"/>
    <n v="0"/>
    <n v="508"/>
    <n v="0"/>
    <n v="0"/>
    <n v="0"/>
  </r>
  <r>
    <n v="649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374980"/>
    <n v="0"/>
    <s v="BHHAPS1534374980"/>
    <s v="0117100059"/>
    <s v="CAROLYN"/>
    <s v="WALDO"/>
    <m/>
    <s v="11387 BIG HORN LOOP"/>
    <s v="PIEDMONT"/>
    <s v="SD"/>
    <s v="57769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85"/>
    <n v="42885.786298032399"/>
    <x v="1"/>
    <s v="1B2FC37B705C475C953F97F996277C1D"/>
    <n v="417"/>
    <n v="0"/>
    <n v="417"/>
    <n v="0"/>
    <n v="0"/>
    <n v="0"/>
  </r>
  <r>
    <n v="650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377969"/>
    <n v="1"/>
    <s v="BHHAPS1534377969"/>
    <s v="9366709507"/>
    <s v="JEAN"/>
    <s v="ALLEN"/>
    <m/>
    <s v="13145 DEER MEADOW RD"/>
    <s v="PIEDMONT"/>
    <s v="SD"/>
    <s v="57769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886"/>
    <n v="42886.694545486098"/>
    <x v="1"/>
    <s v="D7273AFD42AF44B88170FB14D938B6C7"/>
    <n v="508"/>
    <n v="0"/>
    <n v="508"/>
    <n v="0"/>
    <n v="0"/>
    <n v="0"/>
  </r>
  <r>
    <n v="651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377969"/>
    <n v="0"/>
    <s v="BHHAPS1534377969"/>
    <s v="9366709507"/>
    <s v="JEAN"/>
    <s v="ALLEN"/>
    <m/>
    <s v="13145 DEER MEADOW RD"/>
    <s v="PIEDMONT"/>
    <s v="SD"/>
    <s v="57769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886"/>
    <n v="42886.694545486098"/>
    <x v="1"/>
    <s v="77D204E5EB374ED58985D0D791EDB868"/>
    <n v="417"/>
    <n v="0"/>
    <n v="417"/>
    <n v="0"/>
    <n v="0"/>
    <n v="0"/>
  </r>
  <r>
    <n v="652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535410"/>
    <n v="1"/>
    <s v="BHHAPS1534535410"/>
    <s v="3083415336"/>
    <s v="GERALD L"/>
    <s v="WHEELER"/>
    <m/>
    <s v="12246 EAGLE RIDGE DR"/>
    <s v="CUSTER"/>
    <s v="SD"/>
    <s v="57730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27"/>
    <n v="42927.597792789398"/>
    <x v="1"/>
    <s v="7C109410C0D841CBAB325E7FB6D2AB38"/>
    <n v="508"/>
    <n v="0"/>
    <n v="508"/>
    <n v="0"/>
    <n v="0"/>
    <n v="0"/>
  </r>
  <r>
    <n v="65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535410"/>
    <n v="0"/>
    <s v="BHHAPS1534535410"/>
    <s v="3083415336"/>
    <s v="GERALD L"/>
    <s v="WHEELER"/>
    <m/>
    <s v="12246 EAGLE RIDGE DR"/>
    <s v="CUSTER"/>
    <s v="SD"/>
    <s v="57730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27"/>
    <n v="42927.597792789398"/>
    <x v="1"/>
    <s v="B2B89237400241919CF206F2461B7F18"/>
    <n v="508"/>
    <n v="0"/>
    <n v="508"/>
    <n v="0"/>
    <n v="0"/>
    <n v="0"/>
  </r>
  <r>
    <n v="654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674823"/>
    <n v="1"/>
    <s v="BHHAPS1534674823"/>
    <s v="2437789709"/>
    <s v="CHRISTY"/>
    <s v="FINKBEINER"/>
    <m/>
    <s v="4213 PARTRIDGE PL"/>
    <s v="SPEARFISH"/>
    <s v="SD"/>
    <s v="57783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54"/>
    <n v="42954.676392442103"/>
    <x v="1"/>
    <s v="532EFA12848B468EB7677124EBD24209"/>
    <n v="508"/>
    <n v="0"/>
    <n v="508"/>
    <n v="0"/>
    <n v="0"/>
    <n v="0"/>
  </r>
  <r>
    <n v="655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674834"/>
    <n v="1"/>
    <s v="BHHAPS1534674834"/>
    <s v="5301295834"/>
    <s v="SYLVIA"/>
    <s v="CONRAD"/>
    <m/>
    <s v="3600 SHERIDAN LAKE RD                             APT 201"/>
    <s v="RAPID CITY"/>
    <s v="SD"/>
    <s v="57702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54"/>
    <n v="42954.6789623843"/>
    <x v="1"/>
    <s v="0EC20D2C72A64636956BAF63EBAD8FD0"/>
    <n v="508"/>
    <n v="0"/>
    <n v="508"/>
    <n v="0"/>
    <n v="0"/>
    <n v="0"/>
  </r>
  <r>
    <n v="656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694821"/>
    <n v="1"/>
    <s v="BHHAPS1534694821"/>
    <s v="6748065107"/>
    <s v="JOHN C"/>
    <s v="RAYMER"/>
    <m/>
    <s v="13060 EAGLE CT"/>
    <s v="HOT SPRINGS"/>
    <s v="SD"/>
    <s v="57747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961"/>
    <n v="42961.698382951399"/>
    <x v="1"/>
    <s v="FC3FC121F280499CAEEAD8B2EB533C93"/>
    <n v="417"/>
    <n v="0"/>
    <n v="417"/>
    <n v="0"/>
    <n v="0"/>
    <n v="0"/>
  </r>
  <r>
    <n v="657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694821"/>
    <n v="0"/>
    <s v="BHHAPS1534694821"/>
    <s v="6748065107"/>
    <s v="JOHN C"/>
    <s v="RAYMER"/>
    <m/>
    <s v="13060 EAGLE CT"/>
    <s v="HOT SPRINGS"/>
    <s v="SD"/>
    <s v="57747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61"/>
    <n v="42961.698382951399"/>
    <x v="1"/>
    <s v="BBF4F50F9E3A44D194D5AB16E7362A58"/>
    <n v="508"/>
    <n v="0"/>
    <n v="508"/>
    <n v="0"/>
    <n v="0"/>
    <n v="0"/>
  </r>
  <r>
    <n v="658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761478"/>
    <n v="1"/>
    <s v="BHHAPS1534761478"/>
    <s v="2697985323"/>
    <s v="RUSSELL"/>
    <s v="FRANKENFELD"/>
    <m/>
    <s v="12746 HAPPY TRAILS RD"/>
    <s v="HILL CITY"/>
    <s v="SD"/>
    <s v="57745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968"/>
    <n v="42968.833325891203"/>
    <x v="1"/>
    <s v="957DD4B9420D424A9EF8B762CC6FA8B4"/>
    <n v="417"/>
    <n v="0"/>
    <n v="417"/>
    <n v="0"/>
    <n v="0"/>
    <n v="0"/>
  </r>
  <r>
    <n v="659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761478"/>
    <n v="0"/>
    <s v="BHHAPS1534761478"/>
    <s v="2697985323"/>
    <s v="RUSSELL"/>
    <s v="FRANKENFELD"/>
    <m/>
    <s v="12746 HAPPY TRAILS RD"/>
    <s v="HILL CITY"/>
    <s v="SD"/>
    <s v="57745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68"/>
    <n v="42968.833325891203"/>
    <x v="1"/>
    <s v="262CFD7E5F4842DD93094D7F1F1705FA"/>
    <n v="508"/>
    <n v="0"/>
    <n v="508"/>
    <n v="0"/>
    <n v="0"/>
    <n v="0"/>
  </r>
  <r>
    <n v="660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761480"/>
    <n v="1"/>
    <s v="BHHAPS1534761480"/>
    <s v="2697985323"/>
    <s v="RUSSELL"/>
    <s v="FRANKENFELD"/>
    <m/>
    <s v="12746 HAPPY TRAILS RD"/>
    <s v="HILL CITY"/>
    <s v="SD"/>
    <s v="57745"/>
    <m/>
    <m/>
    <m/>
    <m/>
    <m/>
    <m/>
    <m/>
    <s v="Whole House :- Utility Direct Costs"/>
    <s v="Residential EE Kit"/>
    <m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968"/>
    <n v="42968.838196909703"/>
    <x v="1"/>
    <s v="726633E717BD4176927D082FB592D540"/>
    <n v="417"/>
    <n v="0"/>
    <n v="417"/>
    <n v="0"/>
    <n v="0"/>
    <n v="0"/>
  </r>
  <r>
    <n v="661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761480"/>
    <n v="0"/>
    <s v="BHHAPS1534761480"/>
    <s v="2697985323"/>
    <s v="RUSSELL"/>
    <s v="FRANKENFELD"/>
    <m/>
    <s v="12746 HAPPY TRAILS RD"/>
    <s v="HILL CITY"/>
    <s v="SD"/>
    <s v="57745"/>
    <m/>
    <m/>
    <m/>
    <m/>
    <m/>
    <m/>
    <m/>
    <s v="Whole House :- Utility Direct Costs"/>
    <s v="Recommended Audit Measures"/>
    <m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68"/>
    <n v="42968.838196909703"/>
    <x v="1"/>
    <s v="0FA857365741430BBE24EC56EBC51B41"/>
    <n v="508"/>
    <n v="0"/>
    <n v="508"/>
    <n v="0"/>
    <n v="0"/>
    <n v="0"/>
  </r>
  <r>
    <n v="662"/>
    <s v="Residential - BHPSD - Whole House Efficiency"/>
    <b v="1"/>
    <s v="Residential - BHPSD - Whole House Efficiency_Whole House :- Utility Direct Costs_Residential EE Kit"/>
    <s v="Residential_Whole House Efficiency_Various_Residential Kit"/>
    <x v="1"/>
    <x v="9"/>
    <x v="2"/>
    <x v="23"/>
    <s v=""/>
    <s v=""/>
    <b v="0"/>
    <b v="0"/>
    <s v=""/>
    <s v="BHHAPS1534761482"/>
    <n v="1"/>
    <s v="BHHAPS1534761482"/>
    <s v="3418864460"/>
    <s v="MELANI"/>
    <s v="CROSSE"/>
    <m/>
    <s v="11469 PIEDMONT MEADOWS RD"/>
    <s v="PIEDMONT"/>
    <s v="SD"/>
    <s v="57769"/>
    <m/>
    <m/>
    <m/>
    <m/>
    <m/>
    <m/>
    <m/>
    <s v="Whole House :- Utility Direct Costs"/>
    <s v="Residential EE Kit"/>
    <s v="Single Family"/>
    <m/>
    <m/>
    <m/>
    <m/>
    <m/>
    <m/>
    <m/>
    <m/>
    <m/>
    <m/>
    <m/>
    <m/>
    <m/>
    <m/>
    <n v="1"/>
    <n v="0"/>
    <n v="4.3999999999999997E-2"/>
    <m/>
    <n v="417"/>
    <m/>
    <m/>
    <m/>
    <m/>
    <m/>
    <n v="0"/>
    <n v="0"/>
    <n v="42968"/>
    <n v="42968.841239502297"/>
    <x v="1"/>
    <s v="6FFC39D3276F42129D71343B33EA4754"/>
    <n v="417"/>
    <n v="0"/>
    <n v="417"/>
    <n v="0"/>
    <n v="0"/>
    <n v="0"/>
  </r>
  <r>
    <n v="663"/>
    <s v="Residential - BHPSD - Whole House Efficiency"/>
    <b v="1"/>
    <s v="Residential - BHPSD - Whole House Efficiency_Whole House :- Utility Direct Costs_Recommended Audit Measures"/>
    <s v="Residential_Whole House Efficiency_Various_Measures"/>
    <x v="1"/>
    <x v="9"/>
    <x v="2"/>
    <x v="24"/>
    <s v=""/>
    <s v=""/>
    <b v="0"/>
    <b v="0"/>
    <s v=""/>
    <s v="BHHAPS1534761482"/>
    <n v="0"/>
    <s v="BHHAPS1534761482"/>
    <s v="3418864460"/>
    <s v="MELANI"/>
    <s v="CROSSE"/>
    <m/>
    <s v="11469 PIEDMONT MEADOWS RD"/>
    <s v="PIEDMONT"/>
    <s v="SD"/>
    <s v="57769"/>
    <m/>
    <m/>
    <m/>
    <m/>
    <m/>
    <m/>
    <m/>
    <s v="Whole House :- Utility Direct Costs"/>
    <s v="Recommended Audit Measures"/>
    <s v="Single Family"/>
    <m/>
    <m/>
    <m/>
    <m/>
    <m/>
    <m/>
    <m/>
    <m/>
    <m/>
    <m/>
    <m/>
    <m/>
    <m/>
    <m/>
    <n v="1"/>
    <n v="0"/>
    <n v="0.19"/>
    <m/>
    <n v="508"/>
    <m/>
    <m/>
    <m/>
    <m/>
    <m/>
    <n v="0"/>
    <n v="0"/>
    <n v="42968"/>
    <n v="42968.841239502297"/>
    <x v="1"/>
    <s v="7CB762333F8E4A0E993C3DC248D09BAC"/>
    <n v="508"/>
    <n v="0"/>
    <n v="508"/>
    <n v="0"/>
    <n v="0"/>
    <n v="0"/>
  </r>
  <r>
    <m/>
    <m/>
    <m/>
    <m/>
    <m/>
    <x v="3"/>
    <x v="10"/>
    <x v="6"/>
    <x v="25"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</r>
  <r>
    <m/>
    <m/>
    <m/>
    <m/>
    <m/>
    <x v="3"/>
    <x v="10"/>
    <x v="6"/>
    <x v="25"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</r>
  <r>
    <m/>
    <m/>
    <m/>
    <m/>
    <m/>
    <x v="3"/>
    <x v="10"/>
    <x v="6"/>
    <x v="25"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compact="0" compactData="0" multipleFieldFilters="0">
  <location ref="B4:K30" firstHeaderRow="0" firstDataRow="1" firstDataCol="4" rowPageCount="1" colPageCount="1"/>
  <pivotFields count="71"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0">
        <item x="6"/>
        <item x="5"/>
        <item x="8"/>
        <item x="9"/>
        <item x="0"/>
        <item x="1"/>
        <item x="2"/>
        <item x="3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1"/>
        <item x="4"/>
        <item x="3"/>
        <item x="2"/>
        <item x="5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5">
        <item x="22"/>
        <item x="19"/>
        <item x="1"/>
        <item x="0"/>
        <item x="2"/>
        <item x="3"/>
        <item x="4"/>
        <item x="7"/>
        <item x="9"/>
        <item x="12"/>
        <item x="5"/>
        <item x="6"/>
        <item x="8"/>
        <item x="10"/>
        <item x="11"/>
        <item x="13"/>
        <item x="14"/>
        <item x="15"/>
        <item x="16"/>
        <item x="17"/>
        <item x="18"/>
        <item x="20"/>
        <item x="21"/>
        <item x="23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5"/>
    <field x="6"/>
    <field x="7"/>
    <field x="8"/>
  </rowFields>
  <rowItems count="26">
    <i>
      <x/>
      <x/>
      <x v="3"/>
      <x v="22"/>
    </i>
    <i r="1">
      <x v="1"/>
      <x v="2"/>
      <x v="1"/>
    </i>
    <i r="3">
      <x v="21"/>
    </i>
    <i r="1">
      <x v="2"/>
      <x v="3"/>
      <x v="23"/>
    </i>
    <i r="3">
      <x v="24"/>
    </i>
    <i r="1">
      <x v="3"/>
      <x v="3"/>
      <x v="23"/>
    </i>
    <i r="3">
      <x v="24"/>
    </i>
    <i r="1">
      <x v="5"/>
      <x/>
      <x v="2"/>
    </i>
    <i r="3">
      <x v="4"/>
    </i>
    <i r="1">
      <x v="8"/>
      <x v="1"/>
      <x v="15"/>
    </i>
    <i r="3">
      <x v="16"/>
    </i>
    <i r="3">
      <x v="20"/>
    </i>
    <i r="2">
      <x v="4"/>
      <x v="17"/>
    </i>
    <i r="3">
      <x v="18"/>
    </i>
    <i r="3">
      <x v="19"/>
    </i>
    <i r="1">
      <x v="9"/>
      <x v="3"/>
      <x/>
    </i>
    <i>
      <x v="1"/>
      <x v="6"/>
      <x v="3"/>
      <x v="5"/>
    </i>
    <i r="1">
      <x v="7"/>
      <x v="2"/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63" item="0" hier="-1"/>
  </pageFields>
  <dataFields count="6">
    <dataField name="Count of Index" fld="0" subtotal="count" baseField="1" baseItem="10"/>
    <dataField name="Sum of Quantity" fld="49" baseField="1" baseItem="4"/>
    <dataField name="Sum of Incentive Amount" fld="60" baseField="1" baseItem="4"/>
    <dataField name="Sum of Total Gross kWh" fld="53" baseField="1" baseItem="4"/>
    <dataField name="Sum of Total Gross kW" fld="51" baseField="1" baseItem="4"/>
    <dataField name="Sum of Unique Project" fld="15" baseField="0" baseItem="0"/>
  </dataFields>
  <formats count="15">
    <format dxfId="44">
      <pivotArea collapsedLevelsAreSubtotals="1" fieldPosition="0">
        <references count="1">
          <reference field="63" count="1">
            <x v="0"/>
          </reference>
        </references>
      </pivotArea>
    </format>
    <format dxfId="43">
      <pivotArea collapsedLevelsAreSubtotals="1" fieldPosition="0">
        <references count="1">
          <reference field="63" count="1" defaultSubtotal="1">
            <x v="0"/>
          </reference>
        </references>
      </pivotArea>
    </format>
    <format dxfId="42">
      <pivotArea collapsedLevelsAreSubtotals="1" fieldPosition="0">
        <references count="1">
          <reference field="63" count="1">
            <x v="1"/>
          </reference>
        </references>
      </pivotArea>
    </format>
    <format dxfId="41">
      <pivotArea collapsedLevelsAreSubtotals="1" fieldPosition="0">
        <references count="1">
          <reference field="63" count="1" defaultSubtotal="1">
            <x v="1"/>
          </reference>
        </references>
      </pivotArea>
    </format>
    <format dxfId="40">
      <pivotArea grandRow="1" outline="0" collapsedLevelsAreSubtotals="1" fieldPosition="0"/>
    </format>
    <format dxfId="39">
      <pivotArea collapsedLevelsAreSubtotals="1" fieldPosition="0">
        <references count="1">
          <reference field="63" count="1">
            <x v="0"/>
          </reference>
        </references>
      </pivotArea>
    </format>
    <format dxfId="38">
      <pivotArea collapsedLevelsAreSubtotals="1" fieldPosition="0">
        <references count="1">
          <reference field="63" count="1" defaultSubtotal="1">
            <x v="0"/>
          </reference>
        </references>
      </pivotArea>
    </format>
    <format dxfId="37">
      <pivotArea collapsedLevelsAreSubtotals="1" fieldPosition="0">
        <references count="1">
          <reference field="63" count="1">
            <x v="1"/>
          </reference>
        </references>
      </pivotArea>
    </format>
    <format dxfId="36">
      <pivotArea collapsedLevelsAreSubtotals="1" fieldPosition="0">
        <references count="1">
          <reference field="63" count="1" defaultSubtotal="1">
            <x v="1"/>
          </reference>
        </references>
      </pivotArea>
    </format>
    <format dxfId="35">
      <pivotArea grandRow="1" outline="0" collapsedLevelsAreSubtotals="1" fieldPosition="0"/>
    </format>
    <format dxfId="34">
      <pivotArea collapsedLevelsAreSubtotals="1" fieldPosition="0">
        <references count="1">
          <reference field="63" count="1">
            <x v="0"/>
          </reference>
        </references>
      </pivotArea>
    </format>
    <format dxfId="33">
      <pivotArea collapsedLevelsAreSubtotals="1" fieldPosition="0">
        <references count="1">
          <reference field="63" count="1" defaultSubtotal="1">
            <x v="0"/>
          </reference>
        </references>
      </pivotArea>
    </format>
    <format dxfId="32">
      <pivotArea collapsedLevelsAreSubtotals="1" fieldPosition="0">
        <references count="1">
          <reference field="63" count="1">
            <x v="1"/>
          </reference>
        </references>
      </pivotArea>
    </format>
    <format dxfId="31">
      <pivotArea collapsedLevelsAreSubtotals="1" fieldPosition="0">
        <references count="1">
          <reference field="63" count="1" defaultSubtotal="1">
            <x v="1"/>
          </reference>
        </references>
      </pivotArea>
    </format>
    <format dxfId="3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compact="0" compactData="0" multipleFieldFilters="0">
  <location ref="B4:H16" firstHeaderRow="0" firstDataRow="1" firstDataCol="2" rowPageCount="1" colPageCount="1"/>
  <pivotFields count="71"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0">
        <item h="1" x="6"/>
        <item x="5"/>
        <item h="1" x="8"/>
        <item h="1" x="9"/>
        <item h="1" x="0"/>
        <item h="1" x="1"/>
        <item h="1" x="2"/>
        <item h="1" x="3"/>
        <item h="1" x="4"/>
        <item h="1"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60">
        <item x="0"/>
        <item x="43"/>
        <item x="37"/>
        <item x="19"/>
        <item x="49"/>
        <item x="3"/>
        <item x="55"/>
        <item x="16"/>
        <item x="56"/>
        <item x="59"/>
        <item x="14"/>
        <item x="28"/>
        <item x="22"/>
        <item x="17"/>
        <item x="9"/>
        <item x="5"/>
        <item x="47"/>
        <item x="12"/>
        <item x="10"/>
        <item x="6"/>
        <item x="8"/>
        <item x="2"/>
        <item x="44"/>
        <item x="23"/>
        <item x="4"/>
        <item x="27"/>
        <item x="57"/>
        <item x="24"/>
        <item x="54"/>
        <item x="30"/>
        <item x="31"/>
        <item x="42"/>
        <item x="1"/>
        <item x="32"/>
        <item x="35"/>
        <item x="39"/>
        <item x="53"/>
        <item x="25"/>
        <item x="20"/>
        <item x="41"/>
        <item x="34"/>
        <item x="18"/>
        <item x="38"/>
        <item x="13"/>
        <item x="45"/>
        <item x="15"/>
        <item x="46"/>
        <item x="36"/>
        <item x="29"/>
        <item x="11"/>
        <item x="33"/>
        <item x="50"/>
        <item x="52"/>
        <item x="26"/>
        <item x="40"/>
        <item x="21"/>
        <item x="51"/>
        <item x="7"/>
        <item x="48"/>
        <item x="5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6"/>
    <field x="25"/>
  </rowFields>
  <rowItems count="12">
    <i>
      <x v="1"/>
      <x/>
    </i>
    <i r="1">
      <x v="5"/>
    </i>
    <i r="1">
      <x v="6"/>
    </i>
    <i r="1">
      <x v="8"/>
    </i>
    <i r="1">
      <x v="9"/>
    </i>
    <i r="1">
      <x v="18"/>
    </i>
    <i r="1">
      <x v="26"/>
    </i>
    <i r="1">
      <x v="28"/>
    </i>
    <i r="1">
      <x v="36"/>
    </i>
    <i r="1">
      <x v="37"/>
    </i>
    <i r="1">
      <x v="38"/>
    </i>
    <i r="1">
      <x v="59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63" item="0" hier="-1"/>
  </pageFields>
  <dataFields count="5">
    <dataField name="Count of Index" fld="0" subtotal="count" baseField="1" baseItem="10"/>
    <dataField name="Sum of Quantity" fld="49" baseField="1" baseItem="4"/>
    <dataField name="Sum of Incentive Amount" fld="60" baseField="1" baseItem="4"/>
    <dataField name="Sum of Total Gross kWh" fld="53" baseField="1" baseItem="4"/>
    <dataField name="Sum of Total Gross kW" fld="51" baseField="1" baseItem="4"/>
  </dataFields>
  <formats count="15">
    <format dxfId="29">
      <pivotArea collapsedLevelsAreSubtotals="1" fieldPosition="0">
        <references count="1">
          <reference field="63" count="1">
            <x v="0"/>
          </reference>
        </references>
      </pivotArea>
    </format>
    <format dxfId="28">
      <pivotArea collapsedLevelsAreSubtotals="1" fieldPosition="0">
        <references count="1">
          <reference field="63" count="1" defaultSubtotal="1">
            <x v="0"/>
          </reference>
        </references>
      </pivotArea>
    </format>
    <format dxfId="27">
      <pivotArea collapsedLevelsAreSubtotals="1" fieldPosition="0">
        <references count="1">
          <reference field="63" count="1">
            <x v="1"/>
          </reference>
        </references>
      </pivotArea>
    </format>
    <format dxfId="26">
      <pivotArea collapsedLevelsAreSubtotals="1" fieldPosition="0">
        <references count="1">
          <reference field="63" count="1" defaultSubtotal="1">
            <x v="1"/>
          </reference>
        </references>
      </pivotArea>
    </format>
    <format dxfId="25">
      <pivotArea grandRow="1" outline="0" collapsedLevelsAreSubtotals="1" fieldPosition="0"/>
    </format>
    <format dxfId="24">
      <pivotArea collapsedLevelsAreSubtotals="1" fieldPosition="0">
        <references count="1">
          <reference field="63" count="1">
            <x v="0"/>
          </reference>
        </references>
      </pivotArea>
    </format>
    <format dxfId="23">
      <pivotArea collapsedLevelsAreSubtotals="1" fieldPosition="0">
        <references count="1">
          <reference field="63" count="1" defaultSubtotal="1">
            <x v="0"/>
          </reference>
        </references>
      </pivotArea>
    </format>
    <format dxfId="22">
      <pivotArea collapsedLevelsAreSubtotals="1" fieldPosition="0">
        <references count="1">
          <reference field="63" count="1">
            <x v="1"/>
          </reference>
        </references>
      </pivotArea>
    </format>
    <format dxfId="21">
      <pivotArea collapsedLevelsAreSubtotals="1" fieldPosition="0">
        <references count="1">
          <reference field="63" count="1" defaultSubtotal="1">
            <x v="1"/>
          </reference>
        </references>
      </pivotArea>
    </format>
    <format dxfId="20">
      <pivotArea grandRow="1" outline="0" collapsedLevelsAreSubtotals="1" fieldPosition="0"/>
    </format>
    <format dxfId="19">
      <pivotArea collapsedLevelsAreSubtotals="1" fieldPosition="0">
        <references count="1">
          <reference field="63" count="1">
            <x v="0"/>
          </reference>
        </references>
      </pivotArea>
    </format>
    <format dxfId="18">
      <pivotArea collapsedLevelsAreSubtotals="1" fieldPosition="0">
        <references count="1">
          <reference field="63" count="1" defaultSubtotal="1">
            <x v="0"/>
          </reference>
        </references>
      </pivotArea>
    </format>
    <format dxfId="17">
      <pivotArea collapsedLevelsAreSubtotals="1" fieldPosition="0">
        <references count="1">
          <reference field="63" count="1">
            <x v="1"/>
          </reference>
        </references>
      </pivotArea>
    </format>
    <format dxfId="16">
      <pivotArea collapsedLevelsAreSubtotals="1" fieldPosition="0">
        <references count="1">
          <reference field="63" count="1" defaultSubtotal="1">
            <x v="1"/>
          </reference>
        </references>
      </pivotArea>
    </format>
    <format dxfId="15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3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compact="0" compactData="0" multipleFieldFilters="0">
  <location ref="B4:J30" firstHeaderRow="0" firstDataRow="1" firstDataCol="4" rowPageCount="1" colPageCount="1"/>
  <pivotFields count="71"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1"/>
        <item x="2"/>
        <item x="0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1">
        <item x="6"/>
        <item x="5"/>
        <item x="8"/>
        <item x="9"/>
        <item x="0"/>
        <item x="1"/>
        <item x="2"/>
        <item x="3"/>
        <item x="4"/>
        <item x="7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1"/>
        <item x="4"/>
        <item x="3"/>
        <item x="2"/>
        <item x="5"/>
        <item x="0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6">
        <item x="22"/>
        <item x="19"/>
        <item x="1"/>
        <item x="0"/>
        <item x="2"/>
        <item x="3"/>
        <item x="4"/>
        <item x="7"/>
        <item x="9"/>
        <item x="12"/>
        <item x="5"/>
        <item x="6"/>
        <item x="8"/>
        <item x="10"/>
        <item x="11"/>
        <item x="13"/>
        <item x="14"/>
        <item x="15"/>
        <item x="16"/>
        <item x="17"/>
        <item x="18"/>
        <item x="20"/>
        <item x="21"/>
        <item x="23"/>
        <item x="24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5"/>
    <field x="6"/>
    <field x="7"/>
    <field x="8"/>
  </rowFields>
  <rowItems count="26">
    <i>
      <x/>
      <x/>
      <x v="3"/>
      <x v="22"/>
    </i>
    <i r="1">
      <x v="1"/>
      <x v="2"/>
      <x v="1"/>
    </i>
    <i r="3">
      <x v="21"/>
    </i>
    <i r="1">
      <x v="2"/>
      <x v="3"/>
      <x v="23"/>
    </i>
    <i r="3">
      <x v="24"/>
    </i>
    <i r="1">
      <x v="3"/>
      <x v="3"/>
      <x v="23"/>
    </i>
    <i r="3">
      <x v="24"/>
    </i>
    <i r="1">
      <x v="5"/>
      <x/>
      <x v="2"/>
    </i>
    <i r="3">
      <x v="4"/>
    </i>
    <i r="1">
      <x v="8"/>
      <x v="1"/>
      <x v="15"/>
    </i>
    <i r="3">
      <x v="16"/>
    </i>
    <i r="3">
      <x v="20"/>
    </i>
    <i r="2">
      <x v="4"/>
      <x v="17"/>
    </i>
    <i r="3">
      <x v="18"/>
    </i>
    <i r="3">
      <x v="19"/>
    </i>
    <i r="1">
      <x v="9"/>
      <x v="3"/>
      <x/>
    </i>
    <i>
      <x v="1"/>
      <x v="6"/>
      <x v="3"/>
      <x v="5"/>
    </i>
    <i r="1">
      <x v="7"/>
      <x v="2"/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63" item="0" hier="-1"/>
  </pageFields>
  <dataFields count="5">
    <dataField name="Count of Index" fld="0" subtotal="count" baseField="1" baseItem="10"/>
    <dataField name="Sum of Quantity" fld="49" baseField="1" baseItem="4"/>
    <dataField name="Sum of Incentive Amount" fld="60" baseField="1" baseItem="4"/>
    <dataField name="Sum of Total Gross kWh" fld="53" baseField="1" baseItem="4"/>
    <dataField name="Sum of Total Gross kW" fld="51" baseField="1" baseItem="4"/>
  </dataFields>
  <formats count="15">
    <format dxfId="14">
      <pivotArea collapsedLevelsAreSubtotals="1" fieldPosition="0">
        <references count="1">
          <reference field="63" count="1">
            <x v="0"/>
          </reference>
        </references>
      </pivotArea>
    </format>
    <format dxfId="13">
      <pivotArea collapsedLevelsAreSubtotals="1" fieldPosition="0">
        <references count="1">
          <reference field="63" count="1" defaultSubtotal="1">
            <x v="0"/>
          </reference>
        </references>
      </pivotArea>
    </format>
    <format dxfId="12">
      <pivotArea collapsedLevelsAreSubtotals="1" fieldPosition="0">
        <references count="1">
          <reference field="63" count="1">
            <x v="1"/>
          </reference>
        </references>
      </pivotArea>
    </format>
    <format dxfId="11">
      <pivotArea collapsedLevelsAreSubtotals="1" fieldPosition="0">
        <references count="1">
          <reference field="63" count="1" defaultSubtotal="1">
            <x v="1"/>
          </reference>
        </references>
      </pivotArea>
    </format>
    <format dxfId="10">
      <pivotArea grandRow="1" outline="0" collapsedLevelsAreSubtotals="1" fieldPosition="0"/>
    </format>
    <format dxfId="9">
      <pivotArea collapsedLevelsAreSubtotals="1" fieldPosition="0">
        <references count="1">
          <reference field="63" count="1">
            <x v="0"/>
          </reference>
        </references>
      </pivotArea>
    </format>
    <format dxfId="8">
      <pivotArea collapsedLevelsAreSubtotals="1" fieldPosition="0">
        <references count="1">
          <reference field="63" count="1" defaultSubtotal="1">
            <x v="0"/>
          </reference>
        </references>
      </pivotArea>
    </format>
    <format dxfId="7">
      <pivotArea collapsedLevelsAreSubtotals="1" fieldPosition="0">
        <references count="1">
          <reference field="63" count="1">
            <x v="1"/>
          </reference>
        </references>
      </pivotArea>
    </format>
    <format dxfId="6">
      <pivotArea collapsedLevelsAreSubtotals="1" fieldPosition="0">
        <references count="1">
          <reference field="63" count="1" defaultSubtotal="1">
            <x v="1"/>
          </reference>
        </references>
      </pivotArea>
    </format>
    <format dxfId="5">
      <pivotArea grandRow="1" outline="0" collapsedLevelsAreSubtotals="1" fieldPosition="0"/>
    </format>
    <format dxfId="4">
      <pivotArea collapsedLevelsAreSubtotals="1" fieldPosition="0">
        <references count="1">
          <reference field="63" count="1">
            <x v="0"/>
          </reference>
        </references>
      </pivotArea>
    </format>
    <format dxfId="3">
      <pivotArea collapsedLevelsAreSubtotals="1" fieldPosition="0">
        <references count="1">
          <reference field="63" count="1" defaultSubtotal="1">
            <x v="0"/>
          </reference>
        </references>
      </pivotArea>
    </format>
    <format dxfId="2">
      <pivotArea collapsedLevelsAreSubtotals="1" fieldPosition="0">
        <references count="1">
          <reference field="63" count="1">
            <x v="1"/>
          </reference>
        </references>
      </pivotArea>
    </format>
    <format dxfId="1">
      <pivotArea collapsedLevelsAreSubtotals="1" fieldPosition="0">
        <references count="1">
          <reference field="63" count="1" defaultSubtotal="1">
            <x v="1"/>
          </reference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C00000"/>
  </sheetPr>
  <dimension ref="A1:U17"/>
  <sheetViews>
    <sheetView showGridLines="0" tabSelected="1" zoomScaleNormal="100" workbookViewId="0">
      <selection activeCell="AR16" sqref="AR16"/>
    </sheetView>
  </sheetViews>
  <sheetFormatPr defaultColWidth="2.44140625" defaultRowHeight="14.4"/>
  <cols>
    <col min="1" max="1" width="3.109375" customWidth="1"/>
    <col min="2" max="2" width="12.6640625" customWidth="1"/>
    <col min="3" max="3" width="29.6640625" customWidth="1"/>
    <col min="4" max="4" width="58.5546875" bestFit="1" customWidth="1"/>
    <col min="5" max="5" width="4.33203125" customWidth="1"/>
    <col min="6" max="6" width="2.44140625" customWidth="1"/>
    <col min="7" max="20" width="2.44140625" hidden="1" customWidth="1"/>
    <col min="21" max="21" width="5.5546875" hidden="1" customWidth="1"/>
    <col min="22" max="31" width="0" hidden="1" customWidth="1"/>
  </cols>
  <sheetData>
    <row r="1" spans="1:21">
      <c r="A1" s="10" t="s">
        <v>3337</v>
      </c>
    </row>
    <row r="2" spans="1:21">
      <c r="A2" s="55" t="s">
        <v>3381</v>
      </c>
    </row>
    <row r="3" spans="1:21">
      <c r="A3" s="55"/>
    </row>
    <row r="4" spans="1:21">
      <c r="A4" s="55"/>
    </row>
    <row r="5" spans="1:21">
      <c r="B5" s="23" t="s">
        <v>18</v>
      </c>
      <c r="C5" s="23" t="s">
        <v>21</v>
      </c>
      <c r="D5" s="23" t="s">
        <v>17</v>
      </c>
    </row>
    <row r="6" spans="1:21" ht="37.950000000000003" customHeight="1">
      <c r="B6" s="95" t="s">
        <v>76</v>
      </c>
      <c r="C6" s="56" t="str">
        <f>HYPERLINK("#'"&amp;U6&amp;"'!a1",U6)</f>
        <v>Tables</v>
      </c>
      <c r="D6" s="275" t="s">
        <v>3382</v>
      </c>
      <c r="U6" s="14" t="s">
        <v>127</v>
      </c>
    </row>
    <row r="7" spans="1:21" ht="37.950000000000003" customHeight="1">
      <c r="B7" s="598" t="s">
        <v>19</v>
      </c>
      <c r="C7" s="56" t="str">
        <f t="shared" ref="C7:C17" si="0">HYPERLINK("#'"&amp;U7&amp;"'!a1",U7)</f>
        <v>Program Inputs</v>
      </c>
      <c r="D7" s="275" t="s">
        <v>64</v>
      </c>
      <c r="U7" s="14" t="s">
        <v>53</v>
      </c>
    </row>
    <row r="8" spans="1:21" ht="37.950000000000003" customHeight="1">
      <c r="B8" s="598"/>
      <c r="C8" s="56" t="str">
        <f t="shared" si="0"/>
        <v>Measure Inputs</v>
      </c>
      <c r="D8" s="275" t="s">
        <v>22</v>
      </c>
      <c r="U8" s="14" t="s">
        <v>52</v>
      </c>
    </row>
    <row r="9" spans="1:21" ht="37.950000000000003" customHeight="1">
      <c r="B9" s="598"/>
      <c r="C9" s="56" t="str">
        <f t="shared" si="0"/>
        <v>General Inputs</v>
      </c>
      <c r="D9" s="275" t="s">
        <v>56</v>
      </c>
      <c r="U9" s="14" t="s">
        <v>74</v>
      </c>
    </row>
    <row r="10" spans="1:21" ht="37.950000000000003" customHeight="1">
      <c r="B10" s="46" t="s">
        <v>20</v>
      </c>
      <c r="C10" s="56" t="str">
        <f t="shared" si="0"/>
        <v>Analysis</v>
      </c>
      <c r="D10" s="275" t="s">
        <v>51</v>
      </c>
      <c r="U10" s="14" t="s">
        <v>20</v>
      </c>
    </row>
    <row r="11" spans="1:21" ht="37.950000000000003" customHeight="1">
      <c r="B11" s="599" t="s">
        <v>75</v>
      </c>
      <c r="C11" s="56" t="str">
        <f t="shared" si="0"/>
        <v>Plan Data</v>
      </c>
      <c r="D11" s="275" t="s">
        <v>3368</v>
      </c>
      <c r="U11" s="14" t="s">
        <v>3338</v>
      </c>
    </row>
    <row r="12" spans="1:21" ht="37.950000000000003" customHeight="1">
      <c r="B12" s="600"/>
      <c r="C12" s="56" t="str">
        <f t="shared" si="0"/>
        <v>VDSM Executive Summary</v>
      </c>
      <c r="D12" s="275" t="s">
        <v>3380</v>
      </c>
      <c r="U12" s="14" t="s">
        <v>3379</v>
      </c>
    </row>
    <row r="13" spans="1:21" ht="37.950000000000003" customHeight="1">
      <c r="B13" s="600"/>
      <c r="C13" s="56" t="str">
        <f t="shared" si="0"/>
        <v>VDSM App Details</v>
      </c>
      <c r="D13" s="275" t="s">
        <v>3377</v>
      </c>
      <c r="U13" s="14" t="s">
        <v>3369</v>
      </c>
    </row>
    <row r="14" spans="1:21" ht="37.950000000000003" customHeight="1">
      <c r="B14" s="600"/>
      <c r="C14" s="56" t="str">
        <f t="shared" si="0"/>
        <v>App Data</v>
      </c>
      <c r="D14" s="275" t="s">
        <v>3378</v>
      </c>
      <c r="U14" s="14" t="s">
        <v>3376</v>
      </c>
    </row>
    <row r="15" spans="1:21" ht="37.950000000000003" customHeight="1">
      <c r="B15" s="600"/>
      <c r="C15" s="56" t="str">
        <f t="shared" si="0"/>
        <v>VDSM Mapping</v>
      </c>
      <c r="D15" s="275" t="s">
        <v>3371</v>
      </c>
      <c r="U15" s="14" t="s">
        <v>3370</v>
      </c>
    </row>
    <row r="16" spans="1:21" ht="37.950000000000003" customHeight="1">
      <c r="B16" s="600"/>
      <c r="C16" s="56" t="str">
        <f t="shared" si="0"/>
        <v>App Data Outliers</v>
      </c>
      <c r="D16" s="275" t="s">
        <v>3373</v>
      </c>
      <c r="U16" s="14" t="s">
        <v>3372</v>
      </c>
    </row>
    <row r="17" spans="2:21" ht="37.950000000000003" customHeight="1">
      <c r="B17" s="600"/>
      <c r="C17" s="56" t="str">
        <f t="shared" si="0"/>
        <v>VDSM to BenCost Inputs</v>
      </c>
      <c r="D17" s="275" t="s">
        <v>3375</v>
      </c>
      <c r="U17" s="14" t="s">
        <v>3374</v>
      </c>
    </row>
  </sheetData>
  <mergeCells count="2">
    <mergeCell ref="B7:B9"/>
    <mergeCell ref="B11:B17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/>
    <outlinePr summaryBelow="0" summaryRight="0"/>
  </sheetPr>
  <dimension ref="A1:AY669"/>
  <sheetViews>
    <sheetView showGridLines="0" zoomScaleNormal="100" workbookViewId="0"/>
  </sheetViews>
  <sheetFormatPr defaultColWidth="8.88671875" defaultRowHeight="14.4" outlineLevelRow="1"/>
  <cols>
    <col min="1" max="1" width="48" style="281" customWidth="1"/>
    <col min="2" max="3" width="22.33203125" style="281" customWidth="1"/>
    <col min="4" max="4" width="17.109375" style="281" customWidth="1"/>
    <col min="5" max="5" width="22.33203125" style="281" customWidth="1"/>
    <col min="6" max="6" width="25.6640625" style="281" customWidth="1"/>
    <col min="7" max="7" width="30.88671875" style="281" customWidth="1"/>
    <col min="8" max="8" width="25.6640625" style="281" customWidth="1"/>
    <col min="9" max="9" width="17.109375" style="281" customWidth="1"/>
    <col min="10" max="10" width="6.88671875" style="281" customWidth="1"/>
    <col min="11" max="11" width="12" style="281" customWidth="1"/>
    <col min="12" max="12" width="34.33203125" style="281" customWidth="1"/>
    <col min="13" max="13" width="22.33203125" style="281" customWidth="1"/>
    <col min="14" max="14" width="15.44140625" style="281" customWidth="1"/>
    <col min="15" max="15" width="6.88671875" style="281" customWidth="1"/>
    <col min="16" max="16" width="10.33203125" style="281" customWidth="1"/>
    <col min="17" max="17" width="17.109375" style="281" customWidth="1"/>
    <col min="18" max="18" width="29.109375" style="281" customWidth="1"/>
    <col min="19" max="19" width="54.88671875" style="281" customWidth="1"/>
    <col min="20" max="20" width="39.44140625" style="281" customWidth="1"/>
    <col min="21" max="21" width="20.5546875" style="281" customWidth="1"/>
    <col min="22" max="22" width="25.6640625" style="281" customWidth="1"/>
    <col min="23" max="23" width="27.44140625" style="281" customWidth="1"/>
    <col min="24" max="24" width="25.6640625" style="281" customWidth="1"/>
    <col min="25" max="34" width="12" style="281" customWidth="1"/>
    <col min="35" max="35" width="15.44140625" style="281" customWidth="1"/>
    <col min="36" max="36" width="10.33203125" style="281" customWidth="1"/>
    <col min="37" max="43" width="13.6640625" style="281" customWidth="1"/>
    <col min="44" max="44" width="20.5546875" style="281" customWidth="1"/>
    <col min="45" max="45" width="15.44140625" style="281" customWidth="1"/>
    <col min="46" max="46" width="17.109375" style="281" customWidth="1"/>
    <col min="47" max="49" width="13.6640625" style="281" customWidth="1"/>
    <col min="50" max="50" width="22.33203125" style="281" customWidth="1"/>
    <col min="51" max="51" width="36" style="281" customWidth="1"/>
    <col min="52" max="16384" width="8.88671875" style="281"/>
  </cols>
  <sheetData>
    <row r="1" spans="1:51" ht="9" customHeight="1"/>
    <row r="2" spans="1:51" ht="16.2" customHeight="1">
      <c r="A2" s="668" t="s">
        <v>3252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  <c r="AD2" s="669"/>
      <c r="AE2" s="669"/>
      <c r="AF2" s="669"/>
      <c r="AG2" s="669"/>
      <c r="AH2" s="669"/>
      <c r="AI2" s="669"/>
      <c r="AJ2" s="669"/>
      <c r="AK2" s="669"/>
      <c r="AL2" s="669"/>
      <c r="AM2" s="669"/>
      <c r="AN2" s="669"/>
      <c r="AO2" s="669"/>
      <c r="AP2" s="669"/>
      <c r="AQ2" s="669"/>
      <c r="AR2" s="669"/>
      <c r="AS2" s="669"/>
      <c r="AT2" s="669"/>
      <c r="AU2" s="669"/>
      <c r="AV2" s="669"/>
      <c r="AW2" s="669"/>
      <c r="AX2" s="669"/>
      <c r="AY2" s="670"/>
    </row>
    <row r="3" spans="1:51" ht="20.399999999999999">
      <c r="A3" s="239" t="s">
        <v>3251</v>
      </c>
      <c r="B3" s="282" t="s">
        <v>3250</v>
      </c>
      <c r="C3" s="282" t="s">
        <v>3249</v>
      </c>
      <c r="D3" s="282" t="s">
        <v>3248</v>
      </c>
      <c r="E3" s="282" t="s">
        <v>3247</v>
      </c>
      <c r="F3" s="282" t="s">
        <v>3246</v>
      </c>
      <c r="G3" s="282" t="s">
        <v>3245</v>
      </c>
      <c r="H3" s="282" t="s">
        <v>3244</v>
      </c>
      <c r="I3" s="282" t="s">
        <v>3243</v>
      </c>
      <c r="J3" s="282" t="s">
        <v>3242</v>
      </c>
      <c r="K3" s="282" t="s">
        <v>3241</v>
      </c>
      <c r="L3" s="282" t="s">
        <v>3240</v>
      </c>
      <c r="M3" s="282" t="s">
        <v>3239</v>
      </c>
      <c r="N3" s="282" t="s">
        <v>3238</v>
      </c>
      <c r="O3" s="282" t="s">
        <v>3237</v>
      </c>
      <c r="P3" s="282" t="s">
        <v>3236</v>
      </c>
      <c r="Q3" s="282" t="s">
        <v>3235</v>
      </c>
      <c r="R3" s="282" t="s">
        <v>3234</v>
      </c>
      <c r="S3" s="282" t="s">
        <v>3233</v>
      </c>
      <c r="T3" s="282" t="s">
        <v>3232</v>
      </c>
      <c r="U3" s="282" t="s">
        <v>3231</v>
      </c>
      <c r="V3" s="282" t="s">
        <v>3230</v>
      </c>
      <c r="W3" s="282" t="s">
        <v>3229</v>
      </c>
      <c r="X3" s="282" t="s">
        <v>3228</v>
      </c>
      <c r="Y3" s="238" t="s">
        <v>3227</v>
      </c>
      <c r="Z3" s="237" t="s">
        <v>3226</v>
      </c>
      <c r="AA3" s="238" t="s">
        <v>3225</v>
      </c>
      <c r="AB3" s="237" t="s">
        <v>3224</v>
      </c>
      <c r="AC3" s="237" t="s">
        <v>3223</v>
      </c>
      <c r="AD3" s="237" t="s">
        <v>3222</v>
      </c>
      <c r="AE3" s="238" t="s">
        <v>3221</v>
      </c>
      <c r="AF3" s="238" t="s">
        <v>3220</v>
      </c>
      <c r="AG3" s="237" t="s">
        <v>3219</v>
      </c>
      <c r="AH3" s="237" t="s">
        <v>3218</v>
      </c>
      <c r="AI3" s="237" t="s">
        <v>3217</v>
      </c>
      <c r="AJ3" s="238" t="s">
        <v>3216</v>
      </c>
      <c r="AK3" s="238" t="s">
        <v>3215</v>
      </c>
      <c r="AL3" s="238" t="s">
        <v>3214</v>
      </c>
      <c r="AM3" s="238" t="s">
        <v>3213</v>
      </c>
      <c r="AN3" s="238" t="s">
        <v>3212</v>
      </c>
      <c r="AO3" s="238" t="s">
        <v>3211</v>
      </c>
      <c r="AP3" s="238" t="s">
        <v>3210</v>
      </c>
      <c r="AQ3" s="238" t="s">
        <v>3209</v>
      </c>
      <c r="AR3" s="238" t="s">
        <v>3208</v>
      </c>
      <c r="AS3" s="238" t="s">
        <v>3207</v>
      </c>
      <c r="AT3" s="238" t="s">
        <v>3206</v>
      </c>
      <c r="AU3" s="238" t="s">
        <v>3205</v>
      </c>
      <c r="AV3" s="238" t="s">
        <v>3204</v>
      </c>
      <c r="AW3" s="238" t="s">
        <v>3203</v>
      </c>
      <c r="AX3" s="237" t="s">
        <v>3202</v>
      </c>
      <c r="AY3" s="236" t="s">
        <v>3201</v>
      </c>
    </row>
    <row r="4" spans="1:51" collapsed="1">
      <c r="A4" s="235" t="s">
        <v>3200</v>
      </c>
      <c r="B4" s="234">
        <v>40</v>
      </c>
      <c r="C4" s="279" t="s">
        <v>289</v>
      </c>
      <c r="D4" s="279" t="s">
        <v>289</v>
      </c>
      <c r="E4" s="279" t="s">
        <v>289</v>
      </c>
      <c r="F4" s="279" t="s">
        <v>289</v>
      </c>
      <c r="G4" s="279" t="s">
        <v>289</v>
      </c>
      <c r="H4" s="279" t="s">
        <v>289</v>
      </c>
      <c r="I4" s="279" t="s">
        <v>289</v>
      </c>
      <c r="J4" s="279" t="s">
        <v>289</v>
      </c>
      <c r="K4" s="279" t="s">
        <v>289</v>
      </c>
      <c r="L4" s="279" t="s">
        <v>289</v>
      </c>
      <c r="M4" s="279" t="s">
        <v>289</v>
      </c>
      <c r="N4" s="279" t="s">
        <v>289</v>
      </c>
      <c r="O4" s="279" t="s">
        <v>289</v>
      </c>
      <c r="P4" s="279" t="s">
        <v>289</v>
      </c>
      <c r="Q4" s="279" t="s">
        <v>289</v>
      </c>
      <c r="R4" s="279" t="s">
        <v>289</v>
      </c>
      <c r="S4" s="279" t="s">
        <v>289</v>
      </c>
      <c r="T4" s="279" t="s">
        <v>289</v>
      </c>
      <c r="U4" s="279" t="s">
        <v>289</v>
      </c>
      <c r="V4" s="279" t="s">
        <v>289</v>
      </c>
      <c r="W4" s="279" t="s">
        <v>289</v>
      </c>
      <c r="X4" s="279" t="s">
        <v>289</v>
      </c>
      <c r="Y4" s="231" t="s">
        <v>289</v>
      </c>
      <c r="Z4" s="231" t="s">
        <v>289</v>
      </c>
      <c r="AA4" s="231" t="s">
        <v>289</v>
      </c>
      <c r="AB4" s="231" t="s">
        <v>289</v>
      </c>
      <c r="AC4" s="231" t="s">
        <v>289</v>
      </c>
      <c r="AD4" s="231" t="s">
        <v>289</v>
      </c>
      <c r="AE4" s="231" t="s">
        <v>289</v>
      </c>
      <c r="AF4" s="231" t="s">
        <v>289</v>
      </c>
      <c r="AG4" s="231" t="s">
        <v>289</v>
      </c>
      <c r="AH4" s="231" t="s">
        <v>289</v>
      </c>
      <c r="AI4" s="231" t="s">
        <v>289</v>
      </c>
      <c r="AJ4" s="233">
        <v>44</v>
      </c>
      <c r="AK4" s="233">
        <v>0</v>
      </c>
      <c r="AL4" s="232">
        <v>6.3209999999999997</v>
      </c>
      <c r="AM4" s="279"/>
      <c r="AN4" s="232">
        <v>55428</v>
      </c>
      <c r="AO4" s="279"/>
      <c r="AP4" s="279"/>
      <c r="AQ4" s="231"/>
      <c r="AR4" s="231"/>
      <c r="AS4" s="231"/>
      <c r="AT4" s="230">
        <v>0</v>
      </c>
      <c r="AU4" s="229">
        <v>2200</v>
      </c>
      <c r="AV4" s="663" t="s">
        <v>289</v>
      </c>
      <c r="AW4" s="658"/>
      <c r="AX4" s="664"/>
      <c r="AY4" s="228" t="s">
        <v>289</v>
      </c>
    </row>
    <row r="5" spans="1:51" ht="20.399999999999999" hidden="1" outlineLevel="1" collapsed="1">
      <c r="A5" s="227" t="s">
        <v>289</v>
      </c>
      <c r="B5" s="220" t="s">
        <v>3199</v>
      </c>
      <c r="C5" s="220" t="s">
        <v>3199</v>
      </c>
      <c r="D5" s="220" t="s">
        <v>3198</v>
      </c>
      <c r="E5" s="220" t="s">
        <v>3197</v>
      </c>
      <c r="F5" s="220" t="s">
        <v>3196</v>
      </c>
      <c r="G5" s="220"/>
      <c r="H5" s="220" t="s">
        <v>3195</v>
      </c>
      <c r="I5" s="220" t="s">
        <v>329</v>
      </c>
      <c r="J5" s="220" t="s">
        <v>297</v>
      </c>
      <c r="K5" s="220" t="s">
        <v>397</v>
      </c>
      <c r="L5" s="220" t="s">
        <v>1820</v>
      </c>
      <c r="M5" s="220" t="s">
        <v>1819</v>
      </c>
      <c r="N5" s="220" t="s">
        <v>329</v>
      </c>
      <c r="O5" s="220" t="s">
        <v>297</v>
      </c>
      <c r="P5" s="220" t="s">
        <v>599</v>
      </c>
      <c r="Q5" s="220" t="s">
        <v>1818</v>
      </c>
      <c r="R5" s="220"/>
      <c r="S5" s="220" t="s">
        <v>2917</v>
      </c>
      <c r="T5" s="220" t="s">
        <v>2916</v>
      </c>
      <c r="U5" s="220"/>
      <c r="V5" s="220"/>
      <c r="W5" s="220"/>
      <c r="X5" s="220"/>
      <c r="Y5" s="283"/>
      <c r="Z5" s="220"/>
      <c r="AA5" s="220"/>
      <c r="AB5" s="220"/>
      <c r="AC5" s="220"/>
      <c r="AD5" s="220"/>
      <c r="AE5" s="283"/>
      <c r="AF5" s="220"/>
      <c r="AG5" s="220"/>
      <c r="AH5" s="220" t="s">
        <v>3194</v>
      </c>
      <c r="AI5" s="220"/>
      <c r="AJ5" s="226">
        <v>1</v>
      </c>
      <c r="AK5" s="226">
        <v>0</v>
      </c>
      <c r="AL5" s="225">
        <v>0.14699999999999999</v>
      </c>
      <c r="AM5" s="220"/>
      <c r="AN5" s="225">
        <v>1289</v>
      </c>
      <c r="AO5" s="220"/>
      <c r="AP5" s="220"/>
      <c r="AQ5" s="283"/>
      <c r="AR5" s="283"/>
      <c r="AS5" s="283"/>
      <c r="AT5" s="223">
        <v>0</v>
      </c>
      <c r="AU5" s="284">
        <v>50</v>
      </c>
      <c r="AV5" s="221">
        <v>42795</v>
      </c>
      <c r="AW5" s="221">
        <v>42611.6753068287</v>
      </c>
      <c r="AX5" s="220" t="s">
        <v>293</v>
      </c>
      <c r="AY5" s="219" t="s">
        <v>3193</v>
      </c>
    </row>
    <row r="6" spans="1:51" hidden="1" outlineLevel="1" collapsed="1">
      <c r="A6" s="227" t="s">
        <v>289</v>
      </c>
      <c r="B6" s="220" t="s">
        <v>3192</v>
      </c>
      <c r="C6" s="220" t="s">
        <v>3192</v>
      </c>
      <c r="D6" s="220" t="s">
        <v>3191</v>
      </c>
      <c r="E6" s="220" t="s">
        <v>3190</v>
      </c>
      <c r="F6" s="220" t="s">
        <v>3189</v>
      </c>
      <c r="G6" s="220"/>
      <c r="H6" s="220" t="s">
        <v>3188</v>
      </c>
      <c r="I6" s="220" t="s">
        <v>329</v>
      </c>
      <c r="J6" s="220" t="s">
        <v>297</v>
      </c>
      <c r="K6" s="220" t="s">
        <v>328</v>
      </c>
      <c r="L6" s="220" t="s">
        <v>1820</v>
      </c>
      <c r="M6" s="220" t="s">
        <v>1819</v>
      </c>
      <c r="N6" s="220" t="s">
        <v>329</v>
      </c>
      <c r="O6" s="220" t="s">
        <v>297</v>
      </c>
      <c r="P6" s="220" t="s">
        <v>599</v>
      </c>
      <c r="Q6" s="220" t="s">
        <v>1818</v>
      </c>
      <c r="R6" s="220"/>
      <c r="S6" s="220" t="s">
        <v>2917</v>
      </c>
      <c r="T6" s="220" t="s">
        <v>2916</v>
      </c>
      <c r="U6" s="220"/>
      <c r="V6" s="220"/>
      <c r="W6" s="220"/>
      <c r="X6" s="220"/>
      <c r="Y6" s="283"/>
      <c r="Z6" s="220"/>
      <c r="AA6" s="220"/>
      <c r="AB6" s="220"/>
      <c r="AC6" s="220"/>
      <c r="AD6" s="220"/>
      <c r="AE6" s="283"/>
      <c r="AF6" s="220"/>
      <c r="AG6" s="220"/>
      <c r="AH6" s="220" t="s">
        <v>3187</v>
      </c>
      <c r="AI6" s="220"/>
      <c r="AJ6" s="226">
        <v>1</v>
      </c>
      <c r="AK6" s="226">
        <v>0</v>
      </c>
      <c r="AL6" s="225">
        <v>0.14699999999999999</v>
      </c>
      <c r="AM6" s="220"/>
      <c r="AN6" s="225">
        <v>1289</v>
      </c>
      <c r="AO6" s="220"/>
      <c r="AP6" s="220"/>
      <c r="AQ6" s="283"/>
      <c r="AR6" s="283"/>
      <c r="AS6" s="283"/>
      <c r="AT6" s="223">
        <v>0</v>
      </c>
      <c r="AU6" s="284">
        <v>50</v>
      </c>
      <c r="AV6" s="221">
        <v>42621</v>
      </c>
      <c r="AW6" s="221">
        <v>42621.686162118101</v>
      </c>
      <c r="AX6" s="220" t="s">
        <v>293</v>
      </c>
      <c r="AY6" s="219" t="s">
        <v>3186</v>
      </c>
    </row>
    <row r="7" spans="1:51" ht="20.399999999999999" hidden="1" outlineLevel="1" collapsed="1">
      <c r="A7" s="227" t="s">
        <v>289</v>
      </c>
      <c r="B7" s="220" t="s">
        <v>3185</v>
      </c>
      <c r="C7" s="220" t="s">
        <v>3185</v>
      </c>
      <c r="D7" s="220" t="s">
        <v>3184</v>
      </c>
      <c r="E7" s="220" t="s">
        <v>3183</v>
      </c>
      <c r="F7" s="220" t="s">
        <v>3182</v>
      </c>
      <c r="G7" s="220"/>
      <c r="H7" s="220" t="s">
        <v>3181</v>
      </c>
      <c r="I7" s="220" t="s">
        <v>329</v>
      </c>
      <c r="J7" s="220" t="s">
        <v>297</v>
      </c>
      <c r="K7" s="220" t="s">
        <v>397</v>
      </c>
      <c r="L7" s="220" t="s">
        <v>1820</v>
      </c>
      <c r="M7" s="220" t="s">
        <v>1819</v>
      </c>
      <c r="N7" s="220" t="s">
        <v>329</v>
      </c>
      <c r="O7" s="220" t="s">
        <v>297</v>
      </c>
      <c r="P7" s="220" t="s">
        <v>599</v>
      </c>
      <c r="Q7" s="220" t="s">
        <v>1818</v>
      </c>
      <c r="R7" s="220"/>
      <c r="S7" s="220" t="s">
        <v>2917</v>
      </c>
      <c r="T7" s="220" t="s">
        <v>2916</v>
      </c>
      <c r="U7" s="220"/>
      <c r="V7" s="220"/>
      <c r="W7" s="220"/>
      <c r="X7" s="220"/>
      <c r="Y7" s="283"/>
      <c r="Z7" s="220"/>
      <c r="AA7" s="220"/>
      <c r="AB7" s="220"/>
      <c r="AC7" s="220"/>
      <c r="AD7" s="220"/>
      <c r="AE7" s="283"/>
      <c r="AF7" s="220"/>
      <c r="AG7" s="220"/>
      <c r="AH7" s="220" t="s">
        <v>3180</v>
      </c>
      <c r="AI7" s="220"/>
      <c r="AJ7" s="226">
        <v>1</v>
      </c>
      <c r="AK7" s="226">
        <v>0</v>
      </c>
      <c r="AL7" s="225">
        <v>0.14699999999999999</v>
      </c>
      <c r="AM7" s="220"/>
      <c r="AN7" s="225">
        <v>1289</v>
      </c>
      <c r="AO7" s="220"/>
      <c r="AP7" s="220"/>
      <c r="AQ7" s="283"/>
      <c r="AR7" s="283"/>
      <c r="AS7" s="283"/>
      <c r="AT7" s="223">
        <v>0</v>
      </c>
      <c r="AU7" s="284">
        <v>50</v>
      </c>
      <c r="AV7" s="221">
        <v>42632</v>
      </c>
      <c r="AW7" s="221">
        <v>42632.497293055603</v>
      </c>
      <c r="AX7" s="220" t="s">
        <v>293</v>
      </c>
      <c r="AY7" s="219" t="s">
        <v>3179</v>
      </c>
    </row>
    <row r="8" spans="1:51" hidden="1" outlineLevel="1" collapsed="1">
      <c r="A8" s="227" t="s">
        <v>289</v>
      </c>
      <c r="B8" s="220" t="s">
        <v>3178</v>
      </c>
      <c r="C8" s="220" t="s">
        <v>3178</v>
      </c>
      <c r="D8" s="220" t="s">
        <v>3177</v>
      </c>
      <c r="E8" s="220" t="s">
        <v>3176</v>
      </c>
      <c r="F8" s="220" t="s">
        <v>3175</v>
      </c>
      <c r="G8" s="220"/>
      <c r="H8" s="220" t="s">
        <v>3174</v>
      </c>
      <c r="I8" s="220" t="s">
        <v>1252</v>
      </c>
      <c r="J8" s="220" t="s">
        <v>297</v>
      </c>
      <c r="K8" s="220" t="s">
        <v>1251</v>
      </c>
      <c r="L8" s="220" t="s">
        <v>1820</v>
      </c>
      <c r="M8" s="220" t="s">
        <v>1819</v>
      </c>
      <c r="N8" s="220" t="s">
        <v>329</v>
      </c>
      <c r="O8" s="220" t="s">
        <v>297</v>
      </c>
      <c r="P8" s="220" t="s">
        <v>599</v>
      </c>
      <c r="Q8" s="220" t="s">
        <v>1818</v>
      </c>
      <c r="R8" s="220"/>
      <c r="S8" s="220" t="s">
        <v>2917</v>
      </c>
      <c r="T8" s="220" t="s">
        <v>2916</v>
      </c>
      <c r="U8" s="220"/>
      <c r="V8" s="220"/>
      <c r="W8" s="220"/>
      <c r="X8" s="220"/>
      <c r="Y8" s="283"/>
      <c r="Z8" s="220"/>
      <c r="AA8" s="220"/>
      <c r="AB8" s="220"/>
      <c r="AC8" s="220"/>
      <c r="AD8" s="220"/>
      <c r="AE8" s="283"/>
      <c r="AF8" s="220"/>
      <c r="AG8" s="220"/>
      <c r="AH8" s="220" t="s">
        <v>3173</v>
      </c>
      <c r="AI8" s="220"/>
      <c r="AJ8" s="226">
        <v>1</v>
      </c>
      <c r="AK8" s="226">
        <v>0</v>
      </c>
      <c r="AL8" s="225">
        <v>0.14699999999999999</v>
      </c>
      <c r="AM8" s="220"/>
      <c r="AN8" s="225">
        <v>1289</v>
      </c>
      <c r="AO8" s="220"/>
      <c r="AP8" s="220"/>
      <c r="AQ8" s="283"/>
      <c r="AR8" s="283"/>
      <c r="AS8" s="283"/>
      <c r="AT8" s="223">
        <v>0</v>
      </c>
      <c r="AU8" s="284">
        <v>50</v>
      </c>
      <c r="AV8" s="221">
        <v>42654</v>
      </c>
      <c r="AW8" s="221">
        <v>42654.784208483798</v>
      </c>
      <c r="AX8" s="220" t="s">
        <v>293</v>
      </c>
      <c r="AY8" s="219" t="s">
        <v>3172</v>
      </c>
    </row>
    <row r="9" spans="1:51" hidden="1" outlineLevel="1" collapsed="1">
      <c r="A9" s="227" t="s">
        <v>289</v>
      </c>
      <c r="B9" s="220" t="s">
        <v>3171</v>
      </c>
      <c r="C9" s="220" t="s">
        <v>3171</v>
      </c>
      <c r="D9" s="220" t="s">
        <v>3170</v>
      </c>
      <c r="E9" s="220" t="s">
        <v>3169</v>
      </c>
      <c r="F9" s="220" t="s">
        <v>3168</v>
      </c>
      <c r="G9" s="220"/>
      <c r="H9" s="220" t="s">
        <v>3167</v>
      </c>
      <c r="I9" s="220" t="s">
        <v>345</v>
      </c>
      <c r="J9" s="220" t="s">
        <v>297</v>
      </c>
      <c r="K9" s="220" t="s">
        <v>344</v>
      </c>
      <c r="L9" s="220" t="s">
        <v>1820</v>
      </c>
      <c r="M9" s="220" t="s">
        <v>1819</v>
      </c>
      <c r="N9" s="220" t="s">
        <v>329</v>
      </c>
      <c r="O9" s="220" t="s">
        <v>297</v>
      </c>
      <c r="P9" s="220" t="s">
        <v>599</v>
      </c>
      <c r="Q9" s="220" t="s">
        <v>1818</v>
      </c>
      <c r="R9" s="220"/>
      <c r="S9" s="220" t="s">
        <v>2917</v>
      </c>
      <c r="T9" s="220" t="s">
        <v>2916</v>
      </c>
      <c r="U9" s="220"/>
      <c r="V9" s="220"/>
      <c r="W9" s="220"/>
      <c r="X9" s="220"/>
      <c r="Y9" s="283"/>
      <c r="Z9" s="220"/>
      <c r="AA9" s="220"/>
      <c r="AB9" s="220"/>
      <c r="AC9" s="220"/>
      <c r="AD9" s="220"/>
      <c r="AE9" s="283"/>
      <c r="AF9" s="220"/>
      <c r="AG9" s="220"/>
      <c r="AH9" s="220" t="s">
        <v>3166</v>
      </c>
      <c r="AI9" s="220"/>
      <c r="AJ9" s="226">
        <v>1</v>
      </c>
      <c r="AK9" s="226">
        <v>0</v>
      </c>
      <c r="AL9" s="225">
        <v>0.14699999999999999</v>
      </c>
      <c r="AM9" s="220"/>
      <c r="AN9" s="225">
        <v>1289</v>
      </c>
      <c r="AO9" s="220"/>
      <c r="AP9" s="220"/>
      <c r="AQ9" s="283"/>
      <c r="AR9" s="283"/>
      <c r="AS9" s="283"/>
      <c r="AT9" s="223">
        <v>0</v>
      </c>
      <c r="AU9" s="284">
        <v>50</v>
      </c>
      <c r="AV9" s="221">
        <v>42795</v>
      </c>
      <c r="AW9" s="221">
        <v>42669.514234918999</v>
      </c>
      <c r="AX9" s="220" t="s">
        <v>293</v>
      </c>
      <c r="AY9" s="219" t="s">
        <v>3165</v>
      </c>
    </row>
    <row r="10" spans="1:51" hidden="1" outlineLevel="1" collapsed="1">
      <c r="A10" s="227" t="s">
        <v>289</v>
      </c>
      <c r="B10" s="220" t="s">
        <v>3164</v>
      </c>
      <c r="C10" s="220" t="s">
        <v>3164</v>
      </c>
      <c r="D10" s="220" t="s">
        <v>3163</v>
      </c>
      <c r="E10" s="220" t="s">
        <v>3162</v>
      </c>
      <c r="F10" s="220" t="s">
        <v>3161</v>
      </c>
      <c r="G10" s="220"/>
      <c r="H10" s="220" t="s">
        <v>3160</v>
      </c>
      <c r="I10" s="220" t="s">
        <v>329</v>
      </c>
      <c r="J10" s="220" t="s">
        <v>297</v>
      </c>
      <c r="K10" s="220" t="s">
        <v>328</v>
      </c>
      <c r="L10" s="220" t="s">
        <v>1820</v>
      </c>
      <c r="M10" s="220" t="s">
        <v>1819</v>
      </c>
      <c r="N10" s="220" t="s">
        <v>329</v>
      </c>
      <c r="O10" s="220" t="s">
        <v>297</v>
      </c>
      <c r="P10" s="220" t="s">
        <v>599</v>
      </c>
      <c r="Q10" s="220" t="s">
        <v>1818</v>
      </c>
      <c r="R10" s="220"/>
      <c r="S10" s="220" t="s">
        <v>2917</v>
      </c>
      <c r="T10" s="220" t="s">
        <v>2916</v>
      </c>
      <c r="U10" s="220"/>
      <c r="V10" s="220"/>
      <c r="W10" s="220"/>
      <c r="X10" s="220"/>
      <c r="Y10" s="283"/>
      <c r="Z10" s="220"/>
      <c r="AA10" s="220"/>
      <c r="AB10" s="220"/>
      <c r="AC10" s="220"/>
      <c r="AD10" s="220"/>
      <c r="AE10" s="283"/>
      <c r="AF10" s="220"/>
      <c r="AG10" s="220"/>
      <c r="AH10" s="220" t="s">
        <v>3159</v>
      </c>
      <c r="AI10" s="220"/>
      <c r="AJ10" s="226">
        <v>1</v>
      </c>
      <c r="AK10" s="226">
        <v>0</v>
      </c>
      <c r="AL10" s="225">
        <v>0.14699999999999999</v>
      </c>
      <c r="AM10" s="220"/>
      <c r="AN10" s="225">
        <v>1289</v>
      </c>
      <c r="AO10" s="220"/>
      <c r="AP10" s="220"/>
      <c r="AQ10" s="283"/>
      <c r="AR10" s="283"/>
      <c r="AS10" s="283"/>
      <c r="AT10" s="223">
        <v>0</v>
      </c>
      <c r="AU10" s="284">
        <v>50</v>
      </c>
      <c r="AV10" s="221">
        <v>42738</v>
      </c>
      <c r="AW10" s="221">
        <v>42688.537395601903</v>
      </c>
      <c r="AX10" s="220" t="s">
        <v>293</v>
      </c>
      <c r="AY10" s="219" t="s">
        <v>3158</v>
      </c>
    </row>
    <row r="11" spans="1:51" hidden="1" outlineLevel="1" collapsed="1">
      <c r="A11" s="227" t="s">
        <v>289</v>
      </c>
      <c r="B11" s="220" t="s">
        <v>3157</v>
      </c>
      <c r="C11" s="220" t="s">
        <v>3157</v>
      </c>
      <c r="D11" s="220" t="s">
        <v>3156</v>
      </c>
      <c r="E11" s="220" t="s">
        <v>3155</v>
      </c>
      <c r="F11" s="220" t="s">
        <v>3154</v>
      </c>
      <c r="G11" s="220"/>
      <c r="H11" s="220" t="s">
        <v>3153</v>
      </c>
      <c r="I11" s="220" t="s">
        <v>329</v>
      </c>
      <c r="J11" s="220" t="s">
        <v>297</v>
      </c>
      <c r="K11" s="220" t="s">
        <v>328</v>
      </c>
      <c r="L11" s="220" t="s">
        <v>1820</v>
      </c>
      <c r="M11" s="220" t="s">
        <v>1819</v>
      </c>
      <c r="N11" s="220" t="s">
        <v>329</v>
      </c>
      <c r="O11" s="220" t="s">
        <v>297</v>
      </c>
      <c r="P11" s="220" t="s">
        <v>599</v>
      </c>
      <c r="Q11" s="220" t="s">
        <v>1818</v>
      </c>
      <c r="R11" s="220"/>
      <c r="S11" s="220" t="s">
        <v>2917</v>
      </c>
      <c r="T11" s="220" t="s">
        <v>2916</v>
      </c>
      <c r="U11" s="220"/>
      <c r="V11" s="220"/>
      <c r="W11" s="220"/>
      <c r="X11" s="220"/>
      <c r="Y11" s="283"/>
      <c r="Z11" s="220"/>
      <c r="AA11" s="220"/>
      <c r="AB11" s="220"/>
      <c r="AC11" s="220"/>
      <c r="AD11" s="220"/>
      <c r="AE11" s="283"/>
      <c r="AF11" s="220"/>
      <c r="AG11" s="220"/>
      <c r="AH11" s="220" t="s">
        <v>3152</v>
      </c>
      <c r="AI11" s="220"/>
      <c r="AJ11" s="226">
        <v>1</v>
      </c>
      <c r="AK11" s="226">
        <v>0</v>
      </c>
      <c r="AL11" s="225">
        <v>0.14699999999999999</v>
      </c>
      <c r="AM11" s="220"/>
      <c r="AN11" s="225">
        <v>1289</v>
      </c>
      <c r="AO11" s="220"/>
      <c r="AP11" s="220"/>
      <c r="AQ11" s="283"/>
      <c r="AR11" s="283"/>
      <c r="AS11" s="283"/>
      <c r="AT11" s="223">
        <v>0</v>
      </c>
      <c r="AU11" s="284">
        <v>50</v>
      </c>
      <c r="AV11" s="221">
        <v>42738</v>
      </c>
      <c r="AW11" s="221">
        <v>42689.509298379598</v>
      </c>
      <c r="AX11" s="220" t="s">
        <v>293</v>
      </c>
      <c r="AY11" s="219" t="s">
        <v>3151</v>
      </c>
    </row>
    <row r="12" spans="1:51" hidden="1" outlineLevel="1" collapsed="1">
      <c r="A12" s="227" t="s">
        <v>289</v>
      </c>
      <c r="B12" s="220" t="s">
        <v>3150</v>
      </c>
      <c r="C12" s="220" t="s">
        <v>3150</v>
      </c>
      <c r="D12" s="220" t="s">
        <v>3149</v>
      </c>
      <c r="E12" s="220" t="s">
        <v>2988</v>
      </c>
      <c r="F12" s="220" t="s">
        <v>1545</v>
      </c>
      <c r="G12" s="220"/>
      <c r="H12" s="220" t="s">
        <v>3148</v>
      </c>
      <c r="I12" s="220" t="s">
        <v>329</v>
      </c>
      <c r="J12" s="220" t="s">
        <v>297</v>
      </c>
      <c r="K12" s="220" t="s">
        <v>397</v>
      </c>
      <c r="L12" s="220" t="s">
        <v>1820</v>
      </c>
      <c r="M12" s="220" t="s">
        <v>1819</v>
      </c>
      <c r="N12" s="220" t="s">
        <v>329</v>
      </c>
      <c r="O12" s="220" t="s">
        <v>297</v>
      </c>
      <c r="P12" s="220" t="s">
        <v>599</v>
      </c>
      <c r="Q12" s="220" t="s">
        <v>1818</v>
      </c>
      <c r="R12" s="220"/>
      <c r="S12" s="220" t="s">
        <v>2917</v>
      </c>
      <c r="T12" s="220" t="s">
        <v>2916</v>
      </c>
      <c r="U12" s="220"/>
      <c r="V12" s="220"/>
      <c r="W12" s="220"/>
      <c r="X12" s="220"/>
      <c r="Y12" s="283"/>
      <c r="Z12" s="220"/>
      <c r="AA12" s="220"/>
      <c r="AB12" s="220"/>
      <c r="AC12" s="220"/>
      <c r="AD12" s="220"/>
      <c r="AE12" s="283"/>
      <c r="AF12" s="220"/>
      <c r="AG12" s="220"/>
      <c r="AH12" s="220" t="s">
        <v>3147</v>
      </c>
      <c r="AI12" s="220"/>
      <c r="AJ12" s="226">
        <v>1</v>
      </c>
      <c r="AK12" s="226">
        <v>0</v>
      </c>
      <c r="AL12" s="225">
        <v>0.14699999999999999</v>
      </c>
      <c r="AM12" s="220"/>
      <c r="AN12" s="225">
        <v>1289</v>
      </c>
      <c r="AO12" s="220"/>
      <c r="AP12" s="220"/>
      <c r="AQ12" s="283"/>
      <c r="AR12" s="283"/>
      <c r="AS12" s="283"/>
      <c r="AT12" s="223">
        <v>0</v>
      </c>
      <c r="AU12" s="284">
        <v>50</v>
      </c>
      <c r="AV12" s="221">
        <v>42738</v>
      </c>
      <c r="AW12" s="221">
        <v>42689.647468368101</v>
      </c>
      <c r="AX12" s="220" t="s">
        <v>293</v>
      </c>
      <c r="AY12" s="219" t="s">
        <v>3146</v>
      </c>
    </row>
    <row r="13" spans="1:51" hidden="1" outlineLevel="1" collapsed="1">
      <c r="A13" s="227" t="s">
        <v>289</v>
      </c>
      <c r="B13" s="220" t="s">
        <v>3145</v>
      </c>
      <c r="C13" s="220" t="s">
        <v>3145</v>
      </c>
      <c r="D13" s="220" t="s">
        <v>3144</v>
      </c>
      <c r="E13" s="220" t="s">
        <v>1749</v>
      </c>
      <c r="F13" s="220" t="s">
        <v>3143</v>
      </c>
      <c r="G13" s="220"/>
      <c r="H13" s="220" t="s">
        <v>3142</v>
      </c>
      <c r="I13" s="220" t="s">
        <v>329</v>
      </c>
      <c r="J13" s="220" t="s">
        <v>297</v>
      </c>
      <c r="K13" s="220" t="s">
        <v>328</v>
      </c>
      <c r="L13" s="220" t="s">
        <v>1820</v>
      </c>
      <c r="M13" s="220" t="s">
        <v>1819</v>
      </c>
      <c r="N13" s="220" t="s">
        <v>329</v>
      </c>
      <c r="O13" s="220" t="s">
        <v>297</v>
      </c>
      <c r="P13" s="220" t="s">
        <v>599</v>
      </c>
      <c r="Q13" s="220" t="s">
        <v>1818</v>
      </c>
      <c r="R13" s="220"/>
      <c r="S13" s="220" t="s">
        <v>2917</v>
      </c>
      <c r="T13" s="220" t="s">
        <v>2916</v>
      </c>
      <c r="U13" s="220"/>
      <c r="V13" s="220"/>
      <c r="W13" s="220"/>
      <c r="X13" s="220"/>
      <c r="Y13" s="283"/>
      <c r="Z13" s="220"/>
      <c r="AA13" s="220"/>
      <c r="AB13" s="220"/>
      <c r="AC13" s="220"/>
      <c r="AD13" s="220"/>
      <c r="AE13" s="283"/>
      <c r="AF13" s="220"/>
      <c r="AG13" s="220"/>
      <c r="AH13" s="220"/>
      <c r="AI13" s="220"/>
      <c r="AJ13" s="226">
        <v>1</v>
      </c>
      <c r="AK13" s="226">
        <v>0</v>
      </c>
      <c r="AL13" s="225">
        <v>0.14699999999999999</v>
      </c>
      <c r="AM13" s="220"/>
      <c r="AN13" s="225">
        <v>1289</v>
      </c>
      <c r="AO13" s="220"/>
      <c r="AP13" s="220"/>
      <c r="AQ13" s="283"/>
      <c r="AR13" s="283"/>
      <c r="AS13" s="283"/>
      <c r="AT13" s="223">
        <v>0</v>
      </c>
      <c r="AU13" s="284">
        <v>50</v>
      </c>
      <c r="AV13" s="221">
        <v>42738</v>
      </c>
      <c r="AW13" s="221">
        <v>42695.756104398097</v>
      </c>
      <c r="AX13" s="220" t="s">
        <v>293</v>
      </c>
      <c r="AY13" s="219" t="s">
        <v>3141</v>
      </c>
    </row>
    <row r="14" spans="1:51" hidden="1" outlineLevel="1" collapsed="1">
      <c r="A14" s="227" t="s">
        <v>289</v>
      </c>
      <c r="B14" s="220" t="s">
        <v>3140</v>
      </c>
      <c r="C14" s="220" t="s">
        <v>3140</v>
      </c>
      <c r="D14" s="220" t="s">
        <v>3139</v>
      </c>
      <c r="E14" s="220" t="s">
        <v>3138</v>
      </c>
      <c r="F14" s="220" t="s">
        <v>3137</v>
      </c>
      <c r="G14" s="220"/>
      <c r="H14" s="220" t="s">
        <v>3136</v>
      </c>
      <c r="I14" s="220" t="s">
        <v>329</v>
      </c>
      <c r="J14" s="220" t="s">
        <v>297</v>
      </c>
      <c r="K14" s="220" t="s">
        <v>848</v>
      </c>
      <c r="L14" s="220" t="s">
        <v>1820</v>
      </c>
      <c r="M14" s="220" t="s">
        <v>1819</v>
      </c>
      <c r="N14" s="220" t="s">
        <v>329</v>
      </c>
      <c r="O14" s="220" t="s">
        <v>297</v>
      </c>
      <c r="P14" s="220" t="s">
        <v>599</v>
      </c>
      <c r="Q14" s="220" t="s">
        <v>1818</v>
      </c>
      <c r="R14" s="220"/>
      <c r="S14" s="220" t="s">
        <v>2917</v>
      </c>
      <c r="T14" s="220" t="s">
        <v>2934</v>
      </c>
      <c r="U14" s="220"/>
      <c r="V14" s="220"/>
      <c r="W14" s="220"/>
      <c r="X14" s="220"/>
      <c r="Y14" s="283"/>
      <c r="Z14" s="220"/>
      <c r="AA14" s="220"/>
      <c r="AB14" s="220"/>
      <c r="AC14" s="220"/>
      <c r="AD14" s="220"/>
      <c r="AE14" s="283"/>
      <c r="AF14" s="220"/>
      <c r="AG14" s="220"/>
      <c r="AH14" s="220" t="s">
        <v>3135</v>
      </c>
      <c r="AI14" s="220"/>
      <c r="AJ14" s="226">
        <v>1</v>
      </c>
      <c r="AK14" s="226">
        <v>0</v>
      </c>
      <c r="AL14" s="225">
        <v>0.126</v>
      </c>
      <c r="AM14" s="220"/>
      <c r="AN14" s="225">
        <v>1105</v>
      </c>
      <c r="AO14" s="220"/>
      <c r="AP14" s="220"/>
      <c r="AQ14" s="283"/>
      <c r="AR14" s="283"/>
      <c r="AS14" s="283"/>
      <c r="AT14" s="223">
        <v>0</v>
      </c>
      <c r="AU14" s="284">
        <v>50</v>
      </c>
      <c r="AV14" s="221">
        <v>42738</v>
      </c>
      <c r="AW14" s="221">
        <v>42703.547365509301</v>
      </c>
      <c r="AX14" s="220" t="s">
        <v>293</v>
      </c>
      <c r="AY14" s="219" t="s">
        <v>3134</v>
      </c>
    </row>
    <row r="15" spans="1:51" hidden="1" outlineLevel="1" collapsed="1">
      <c r="A15" s="227" t="s">
        <v>289</v>
      </c>
      <c r="B15" s="220" t="s">
        <v>3133</v>
      </c>
      <c r="C15" s="220" t="s">
        <v>3133</v>
      </c>
      <c r="D15" s="220" t="s">
        <v>3132</v>
      </c>
      <c r="E15" s="220" t="s">
        <v>2937</v>
      </c>
      <c r="F15" s="220" t="s">
        <v>3131</v>
      </c>
      <c r="G15" s="220"/>
      <c r="H15" s="220" t="s">
        <v>3130</v>
      </c>
      <c r="I15" s="220" t="s">
        <v>337</v>
      </c>
      <c r="J15" s="220" t="s">
        <v>297</v>
      </c>
      <c r="K15" s="220" t="s">
        <v>336</v>
      </c>
      <c r="L15" s="220" t="s">
        <v>1820</v>
      </c>
      <c r="M15" s="220" t="s">
        <v>1819</v>
      </c>
      <c r="N15" s="220" t="s">
        <v>329</v>
      </c>
      <c r="O15" s="220" t="s">
        <v>297</v>
      </c>
      <c r="P15" s="220" t="s">
        <v>599</v>
      </c>
      <c r="Q15" s="220" t="s">
        <v>1818</v>
      </c>
      <c r="R15" s="220"/>
      <c r="S15" s="220" t="s">
        <v>2917</v>
      </c>
      <c r="T15" s="220" t="s">
        <v>2916</v>
      </c>
      <c r="U15" s="220"/>
      <c r="V15" s="220"/>
      <c r="W15" s="220"/>
      <c r="X15" s="220"/>
      <c r="Y15" s="283"/>
      <c r="Z15" s="220"/>
      <c r="AA15" s="220"/>
      <c r="AB15" s="220"/>
      <c r="AC15" s="220"/>
      <c r="AD15" s="220"/>
      <c r="AE15" s="283"/>
      <c r="AF15" s="220"/>
      <c r="AG15" s="220"/>
      <c r="AH15" s="220" t="s">
        <v>3129</v>
      </c>
      <c r="AI15" s="220"/>
      <c r="AJ15" s="226">
        <v>1</v>
      </c>
      <c r="AK15" s="226">
        <v>0</v>
      </c>
      <c r="AL15" s="225">
        <v>0.14699999999999999</v>
      </c>
      <c r="AM15" s="220"/>
      <c r="AN15" s="225">
        <v>1289</v>
      </c>
      <c r="AO15" s="220"/>
      <c r="AP15" s="220"/>
      <c r="AQ15" s="283"/>
      <c r="AR15" s="283"/>
      <c r="AS15" s="283"/>
      <c r="AT15" s="223">
        <v>0</v>
      </c>
      <c r="AU15" s="284">
        <v>50</v>
      </c>
      <c r="AV15" s="221">
        <v>42795</v>
      </c>
      <c r="AW15" s="221">
        <v>42709.651740509304</v>
      </c>
      <c r="AX15" s="220" t="s">
        <v>293</v>
      </c>
      <c r="AY15" s="219" t="s">
        <v>3128</v>
      </c>
    </row>
    <row r="16" spans="1:51" hidden="1" outlineLevel="1" collapsed="1">
      <c r="A16" s="227" t="s">
        <v>289</v>
      </c>
      <c r="B16" s="220" t="s">
        <v>3127</v>
      </c>
      <c r="C16" s="220" t="s">
        <v>3127</v>
      </c>
      <c r="D16" s="220" t="s">
        <v>3126</v>
      </c>
      <c r="E16" s="220" t="s">
        <v>3125</v>
      </c>
      <c r="F16" s="220" t="s">
        <v>3124</v>
      </c>
      <c r="G16" s="220"/>
      <c r="H16" s="220" t="s">
        <v>2524</v>
      </c>
      <c r="I16" s="220" t="s">
        <v>329</v>
      </c>
      <c r="J16" s="220" t="s">
        <v>297</v>
      </c>
      <c r="K16" s="220" t="s">
        <v>328</v>
      </c>
      <c r="L16" s="220" t="s">
        <v>1820</v>
      </c>
      <c r="M16" s="220" t="s">
        <v>1819</v>
      </c>
      <c r="N16" s="220" t="s">
        <v>329</v>
      </c>
      <c r="O16" s="220" t="s">
        <v>297</v>
      </c>
      <c r="P16" s="220" t="s">
        <v>599</v>
      </c>
      <c r="Q16" s="220" t="s">
        <v>1818</v>
      </c>
      <c r="R16" s="220"/>
      <c r="S16" s="220" t="s">
        <v>2917</v>
      </c>
      <c r="T16" s="220" t="s">
        <v>2916</v>
      </c>
      <c r="U16" s="220"/>
      <c r="V16" s="220"/>
      <c r="W16" s="220"/>
      <c r="X16" s="220"/>
      <c r="Y16" s="283"/>
      <c r="Z16" s="220"/>
      <c r="AA16" s="220"/>
      <c r="AB16" s="220"/>
      <c r="AC16" s="220"/>
      <c r="AD16" s="220"/>
      <c r="AE16" s="283"/>
      <c r="AF16" s="220"/>
      <c r="AG16" s="220"/>
      <c r="AH16" s="220"/>
      <c r="AI16" s="220"/>
      <c r="AJ16" s="226">
        <v>1</v>
      </c>
      <c r="AK16" s="226">
        <v>0</v>
      </c>
      <c r="AL16" s="225">
        <v>0.14699999999999999</v>
      </c>
      <c r="AM16" s="220"/>
      <c r="AN16" s="225">
        <v>1289</v>
      </c>
      <c r="AO16" s="220"/>
      <c r="AP16" s="220"/>
      <c r="AQ16" s="283"/>
      <c r="AR16" s="283"/>
      <c r="AS16" s="283"/>
      <c r="AT16" s="223">
        <v>0</v>
      </c>
      <c r="AU16" s="284">
        <v>50</v>
      </c>
      <c r="AV16" s="221">
        <v>42738</v>
      </c>
      <c r="AW16" s="221">
        <v>42709.676248842603</v>
      </c>
      <c r="AX16" s="220" t="s">
        <v>293</v>
      </c>
      <c r="AY16" s="219" t="s">
        <v>3123</v>
      </c>
    </row>
    <row r="17" spans="1:51" hidden="1" outlineLevel="1" collapsed="1">
      <c r="A17" s="227" t="s">
        <v>289</v>
      </c>
      <c r="B17" s="220" t="s">
        <v>3122</v>
      </c>
      <c r="C17" s="220" t="s">
        <v>3122</v>
      </c>
      <c r="D17" s="220" t="s">
        <v>3121</v>
      </c>
      <c r="E17" s="220" t="s">
        <v>3120</v>
      </c>
      <c r="F17" s="220" t="s">
        <v>3119</v>
      </c>
      <c r="G17" s="220"/>
      <c r="H17" s="220" t="s">
        <v>3118</v>
      </c>
      <c r="I17" s="220" t="s">
        <v>329</v>
      </c>
      <c r="J17" s="220" t="s">
        <v>297</v>
      </c>
      <c r="K17" s="220" t="s">
        <v>328</v>
      </c>
      <c r="L17" s="220" t="s">
        <v>1820</v>
      </c>
      <c r="M17" s="220" t="s">
        <v>1819</v>
      </c>
      <c r="N17" s="220" t="s">
        <v>329</v>
      </c>
      <c r="O17" s="220" t="s">
        <v>297</v>
      </c>
      <c r="P17" s="220" t="s">
        <v>599</v>
      </c>
      <c r="Q17" s="220" t="s">
        <v>1818</v>
      </c>
      <c r="R17" s="220"/>
      <c r="S17" s="220" t="s">
        <v>2917</v>
      </c>
      <c r="T17" s="220" t="s">
        <v>2916</v>
      </c>
      <c r="U17" s="220"/>
      <c r="V17" s="220"/>
      <c r="W17" s="220"/>
      <c r="X17" s="220"/>
      <c r="Y17" s="283"/>
      <c r="Z17" s="220"/>
      <c r="AA17" s="220"/>
      <c r="AB17" s="220"/>
      <c r="AC17" s="220"/>
      <c r="AD17" s="220"/>
      <c r="AE17" s="283"/>
      <c r="AF17" s="220"/>
      <c r="AG17" s="220"/>
      <c r="AH17" s="220" t="s">
        <v>3117</v>
      </c>
      <c r="AI17" s="220"/>
      <c r="AJ17" s="226">
        <v>1</v>
      </c>
      <c r="AK17" s="226">
        <v>0</v>
      </c>
      <c r="AL17" s="225">
        <v>0.14699999999999999</v>
      </c>
      <c r="AM17" s="220"/>
      <c r="AN17" s="225">
        <v>1289</v>
      </c>
      <c r="AO17" s="220"/>
      <c r="AP17" s="220"/>
      <c r="AQ17" s="283"/>
      <c r="AR17" s="283"/>
      <c r="AS17" s="283"/>
      <c r="AT17" s="223">
        <v>0</v>
      </c>
      <c r="AU17" s="284">
        <v>50</v>
      </c>
      <c r="AV17" s="221">
        <v>42738</v>
      </c>
      <c r="AW17" s="221">
        <v>42712.749418900501</v>
      </c>
      <c r="AX17" s="220" t="s">
        <v>293</v>
      </c>
      <c r="AY17" s="219" t="s">
        <v>3116</v>
      </c>
    </row>
    <row r="18" spans="1:51" hidden="1" outlineLevel="1" collapsed="1">
      <c r="A18" s="227" t="s">
        <v>289</v>
      </c>
      <c r="B18" s="220" t="s">
        <v>3115</v>
      </c>
      <c r="C18" s="220" t="s">
        <v>3115</v>
      </c>
      <c r="D18" s="220" t="s">
        <v>3114</v>
      </c>
      <c r="E18" s="220" t="s">
        <v>3113</v>
      </c>
      <c r="F18" s="220" t="s">
        <v>3112</v>
      </c>
      <c r="G18" s="220"/>
      <c r="H18" s="220" t="s">
        <v>3111</v>
      </c>
      <c r="I18" s="220" t="s">
        <v>329</v>
      </c>
      <c r="J18" s="220" t="s">
        <v>297</v>
      </c>
      <c r="K18" s="220" t="s">
        <v>328</v>
      </c>
      <c r="L18" s="220" t="s">
        <v>1820</v>
      </c>
      <c r="M18" s="220" t="s">
        <v>1819</v>
      </c>
      <c r="N18" s="220" t="s">
        <v>329</v>
      </c>
      <c r="O18" s="220" t="s">
        <v>297</v>
      </c>
      <c r="P18" s="220" t="s">
        <v>599</v>
      </c>
      <c r="Q18" s="220" t="s">
        <v>1818</v>
      </c>
      <c r="R18" s="220"/>
      <c r="S18" s="220" t="s">
        <v>2917</v>
      </c>
      <c r="T18" s="220" t="s">
        <v>2916</v>
      </c>
      <c r="U18" s="220"/>
      <c r="V18" s="220"/>
      <c r="W18" s="220"/>
      <c r="X18" s="220"/>
      <c r="Y18" s="283"/>
      <c r="Z18" s="220"/>
      <c r="AA18" s="220"/>
      <c r="AB18" s="220"/>
      <c r="AC18" s="220"/>
      <c r="AD18" s="220"/>
      <c r="AE18" s="283"/>
      <c r="AF18" s="220"/>
      <c r="AG18" s="220"/>
      <c r="AH18" s="220" t="s">
        <v>3110</v>
      </c>
      <c r="AI18" s="220"/>
      <c r="AJ18" s="226">
        <v>1</v>
      </c>
      <c r="AK18" s="226">
        <v>0</v>
      </c>
      <c r="AL18" s="225">
        <v>0.14699999999999999</v>
      </c>
      <c r="AM18" s="220"/>
      <c r="AN18" s="225">
        <v>1289</v>
      </c>
      <c r="AO18" s="220"/>
      <c r="AP18" s="220"/>
      <c r="AQ18" s="283"/>
      <c r="AR18" s="283"/>
      <c r="AS18" s="283"/>
      <c r="AT18" s="223">
        <v>0</v>
      </c>
      <c r="AU18" s="284">
        <v>50</v>
      </c>
      <c r="AV18" s="221">
        <v>42795</v>
      </c>
      <c r="AW18" s="221">
        <v>42725.620602048599</v>
      </c>
      <c r="AX18" s="220" t="s">
        <v>293</v>
      </c>
      <c r="AY18" s="219" t="s">
        <v>3109</v>
      </c>
    </row>
    <row r="19" spans="1:51" ht="20.399999999999999" hidden="1" outlineLevel="1" collapsed="1">
      <c r="A19" s="227" t="s">
        <v>289</v>
      </c>
      <c r="B19" s="220" t="s">
        <v>3108</v>
      </c>
      <c r="C19" s="220" t="s">
        <v>3108</v>
      </c>
      <c r="D19" s="220" t="s">
        <v>3107</v>
      </c>
      <c r="E19" s="220" t="s">
        <v>3106</v>
      </c>
      <c r="F19" s="220" t="s">
        <v>3105</v>
      </c>
      <c r="G19" s="220"/>
      <c r="H19" s="220" t="s">
        <v>3104</v>
      </c>
      <c r="I19" s="220" t="s">
        <v>329</v>
      </c>
      <c r="J19" s="220" t="s">
        <v>297</v>
      </c>
      <c r="K19" s="220" t="s">
        <v>328</v>
      </c>
      <c r="L19" s="220" t="s">
        <v>1820</v>
      </c>
      <c r="M19" s="220" t="s">
        <v>1819</v>
      </c>
      <c r="N19" s="220" t="s">
        <v>329</v>
      </c>
      <c r="O19" s="220" t="s">
        <v>297</v>
      </c>
      <c r="P19" s="220" t="s">
        <v>599</v>
      </c>
      <c r="Q19" s="220" t="s">
        <v>1818</v>
      </c>
      <c r="R19" s="220"/>
      <c r="S19" s="220" t="s">
        <v>2917</v>
      </c>
      <c r="T19" s="220" t="s">
        <v>2916</v>
      </c>
      <c r="U19" s="220"/>
      <c r="V19" s="220"/>
      <c r="W19" s="220"/>
      <c r="X19" s="220"/>
      <c r="Y19" s="283"/>
      <c r="Z19" s="220"/>
      <c r="AA19" s="220"/>
      <c r="AB19" s="220"/>
      <c r="AC19" s="220"/>
      <c r="AD19" s="220"/>
      <c r="AE19" s="283"/>
      <c r="AF19" s="220"/>
      <c r="AG19" s="220"/>
      <c r="AH19" s="220" t="s">
        <v>3103</v>
      </c>
      <c r="AI19" s="220"/>
      <c r="AJ19" s="226">
        <v>1</v>
      </c>
      <c r="AK19" s="226">
        <v>0</v>
      </c>
      <c r="AL19" s="225">
        <v>0.14699999999999999</v>
      </c>
      <c r="AM19" s="220"/>
      <c r="AN19" s="225">
        <v>1289</v>
      </c>
      <c r="AO19" s="220"/>
      <c r="AP19" s="220"/>
      <c r="AQ19" s="283"/>
      <c r="AR19" s="283"/>
      <c r="AS19" s="283"/>
      <c r="AT19" s="223">
        <v>0</v>
      </c>
      <c r="AU19" s="284">
        <v>50</v>
      </c>
      <c r="AV19" s="221">
        <v>42795</v>
      </c>
      <c r="AW19" s="221">
        <v>42725.667703587998</v>
      </c>
      <c r="AX19" s="220" t="s">
        <v>293</v>
      </c>
      <c r="AY19" s="219" t="s">
        <v>3102</v>
      </c>
    </row>
    <row r="20" spans="1:51" ht="20.399999999999999" hidden="1" outlineLevel="1" collapsed="1">
      <c r="A20" s="227" t="s">
        <v>289</v>
      </c>
      <c r="B20" s="220" t="s">
        <v>3101</v>
      </c>
      <c r="C20" s="220" t="s">
        <v>3101</v>
      </c>
      <c r="D20" s="220" t="s">
        <v>3100</v>
      </c>
      <c r="E20" s="220" t="s">
        <v>3099</v>
      </c>
      <c r="F20" s="220" t="s">
        <v>3098</v>
      </c>
      <c r="G20" s="220"/>
      <c r="H20" s="220" t="s">
        <v>3097</v>
      </c>
      <c r="I20" s="220" t="s">
        <v>329</v>
      </c>
      <c r="J20" s="220" t="s">
        <v>297</v>
      </c>
      <c r="K20" s="220" t="s">
        <v>328</v>
      </c>
      <c r="L20" s="220" t="s">
        <v>1820</v>
      </c>
      <c r="M20" s="220" t="s">
        <v>1819</v>
      </c>
      <c r="N20" s="220" t="s">
        <v>329</v>
      </c>
      <c r="O20" s="220" t="s">
        <v>297</v>
      </c>
      <c r="P20" s="220" t="s">
        <v>599</v>
      </c>
      <c r="Q20" s="220" t="s">
        <v>1818</v>
      </c>
      <c r="R20" s="220"/>
      <c r="S20" s="220" t="s">
        <v>2917</v>
      </c>
      <c r="T20" s="220" t="s">
        <v>2916</v>
      </c>
      <c r="U20" s="220"/>
      <c r="V20" s="220"/>
      <c r="W20" s="220"/>
      <c r="X20" s="220"/>
      <c r="Y20" s="283"/>
      <c r="Z20" s="220"/>
      <c r="AA20" s="220"/>
      <c r="AB20" s="220"/>
      <c r="AC20" s="220"/>
      <c r="AD20" s="220"/>
      <c r="AE20" s="283"/>
      <c r="AF20" s="220"/>
      <c r="AG20" s="220"/>
      <c r="AH20" s="220" t="s">
        <v>3096</v>
      </c>
      <c r="AI20" s="220"/>
      <c r="AJ20" s="226">
        <v>1</v>
      </c>
      <c r="AK20" s="226">
        <v>0</v>
      </c>
      <c r="AL20" s="225">
        <v>0.14699999999999999</v>
      </c>
      <c r="AM20" s="220"/>
      <c r="AN20" s="225">
        <v>1289</v>
      </c>
      <c r="AO20" s="220"/>
      <c r="AP20" s="220"/>
      <c r="AQ20" s="283"/>
      <c r="AR20" s="283"/>
      <c r="AS20" s="283"/>
      <c r="AT20" s="223">
        <v>0</v>
      </c>
      <c r="AU20" s="284">
        <v>50</v>
      </c>
      <c r="AV20" s="221">
        <v>42795</v>
      </c>
      <c r="AW20" s="221">
        <v>42739.7710030093</v>
      </c>
      <c r="AX20" s="220" t="s">
        <v>293</v>
      </c>
      <c r="AY20" s="219" t="s">
        <v>3095</v>
      </c>
    </row>
    <row r="21" spans="1:51" hidden="1" outlineLevel="1" collapsed="1">
      <c r="A21" s="227" t="s">
        <v>289</v>
      </c>
      <c r="B21" s="220" t="s">
        <v>3094</v>
      </c>
      <c r="C21" s="220" t="s">
        <v>3094</v>
      </c>
      <c r="D21" s="220" t="s">
        <v>3093</v>
      </c>
      <c r="E21" s="220" t="s">
        <v>354</v>
      </c>
      <c r="F21" s="220" t="s">
        <v>3092</v>
      </c>
      <c r="G21" s="220" t="s">
        <v>3091</v>
      </c>
      <c r="H21" s="220" t="s">
        <v>3090</v>
      </c>
      <c r="I21" s="220" t="s">
        <v>329</v>
      </c>
      <c r="J21" s="220" t="s">
        <v>297</v>
      </c>
      <c r="K21" s="220" t="s">
        <v>328</v>
      </c>
      <c r="L21" s="220" t="s">
        <v>1820</v>
      </c>
      <c r="M21" s="220" t="s">
        <v>1819</v>
      </c>
      <c r="N21" s="220" t="s">
        <v>329</v>
      </c>
      <c r="O21" s="220" t="s">
        <v>297</v>
      </c>
      <c r="P21" s="220" t="s">
        <v>599</v>
      </c>
      <c r="Q21" s="220" t="s">
        <v>1818</v>
      </c>
      <c r="R21" s="220"/>
      <c r="S21" s="220" t="s">
        <v>2917</v>
      </c>
      <c r="T21" s="220" t="s">
        <v>2934</v>
      </c>
      <c r="U21" s="220"/>
      <c r="V21" s="220"/>
      <c r="W21" s="220"/>
      <c r="X21" s="220"/>
      <c r="Y21" s="283"/>
      <c r="Z21" s="220"/>
      <c r="AA21" s="220"/>
      <c r="AB21" s="220"/>
      <c r="AC21" s="220"/>
      <c r="AD21" s="220"/>
      <c r="AE21" s="283"/>
      <c r="AF21" s="220"/>
      <c r="AG21" s="220"/>
      <c r="AH21" s="220" t="s">
        <v>3089</v>
      </c>
      <c r="AI21" s="220"/>
      <c r="AJ21" s="226">
        <v>1</v>
      </c>
      <c r="AK21" s="226">
        <v>0</v>
      </c>
      <c r="AL21" s="225">
        <v>0.126</v>
      </c>
      <c r="AM21" s="220"/>
      <c r="AN21" s="225">
        <v>1105</v>
      </c>
      <c r="AO21" s="220"/>
      <c r="AP21" s="220"/>
      <c r="AQ21" s="283"/>
      <c r="AR21" s="283"/>
      <c r="AS21" s="283"/>
      <c r="AT21" s="223">
        <v>0</v>
      </c>
      <c r="AU21" s="284">
        <v>50</v>
      </c>
      <c r="AV21" s="221">
        <v>42795</v>
      </c>
      <c r="AW21" s="221">
        <v>42739.773195370399</v>
      </c>
      <c r="AX21" s="220" t="s">
        <v>293</v>
      </c>
      <c r="AY21" s="219" t="s">
        <v>3088</v>
      </c>
    </row>
    <row r="22" spans="1:51" hidden="1" outlineLevel="1" collapsed="1">
      <c r="A22" s="227" t="s">
        <v>289</v>
      </c>
      <c r="B22" s="220" t="s">
        <v>3087</v>
      </c>
      <c r="C22" s="220" t="s">
        <v>3087</v>
      </c>
      <c r="D22" s="220" t="s">
        <v>3086</v>
      </c>
      <c r="E22" s="220" t="s">
        <v>3085</v>
      </c>
      <c r="F22" s="220" t="s">
        <v>3084</v>
      </c>
      <c r="G22" s="220" t="s">
        <v>3083</v>
      </c>
      <c r="H22" s="220" t="s">
        <v>3082</v>
      </c>
      <c r="I22" s="220" t="s">
        <v>2015</v>
      </c>
      <c r="J22" s="220" t="s">
        <v>297</v>
      </c>
      <c r="K22" s="220" t="s">
        <v>2014</v>
      </c>
      <c r="L22" s="220" t="s">
        <v>1820</v>
      </c>
      <c r="M22" s="220" t="s">
        <v>1819</v>
      </c>
      <c r="N22" s="220" t="s">
        <v>329</v>
      </c>
      <c r="O22" s="220" t="s">
        <v>297</v>
      </c>
      <c r="P22" s="220" t="s">
        <v>599</v>
      </c>
      <c r="Q22" s="220" t="s">
        <v>1818</v>
      </c>
      <c r="R22" s="220"/>
      <c r="S22" s="220" t="s">
        <v>2917</v>
      </c>
      <c r="T22" s="220" t="s">
        <v>2916</v>
      </c>
      <c r="U22" s="220"/>
      <c r="V22" s="220"/>
      <c r="W22" s="220"/>
      <c r="X22" s="220"/>
      <c r="Y22" s="283"/>
      <c r="Z22" s="220"/>
      <c r="AA22" s="220"/>
      <c r="AB22" s="220"/>
      <c r="AC22" s="220"/>
      <c r="AD22" s="220"/>
      <c r="AE22" s="283"/>
      <c r="AF22" s="220"/>
      <c r="AG22" s="220"/>
      <c r="AH22" s="220" t="s">
        <v>3081</v>
      </c>
      <c r="AI22" s="220"/>
      <c r="AJ22" s="226">
        <v>1</v>
      </c>
      <c r="AK22" s="226">
        <v>0</v>
      </c>
      <c r="AL22" s="225">
        <v>0.14699999999999999</v>
      </c>
      <c r="AM22" s="220"/>
      <c r="AN22" s="225">
        <v>1289</v>
      </c>
      <c r="AO22" s="220"/>
      <c r="AP22" s="220"/>
      <c r="AQ22" s="283"/>
      <c r="AR22" s="283"/>
      <c r="AS22" s="283"/>
      <c r="AT22" s="223">
        <v>0</v>
      </c>
      <c r="AU22" s="284">
        <v>50</v>
      </c>
      <c r="AV22" s="221">
        <v>42795</v>
      </c>
      <c r="AW22" s="221">
        <v>42739.7751721065</v>
      </c>
      <c r="AX22" s="220" t="s">
        <v>293</v>
      </c>
      <c r="AY22" s="219" t="s">
        <v>3080</v>
      </c>
    </row>
    <row r="23" spans="1:51" hidden="1" outlineLevel="1" collapsed="1">
      <c r="A23" s="227" t="s">
        <v>289</v>
      </c>
      <c r="B23" s="220" t="s">
        <v>3079</v>
      </c>
      <c r="C23" s="220" t="s">
        <v>3079</v>
      </c>
      <c r="D23" s="220" t="s">
        <v>3078</v>
      </c>
      <c r="E23" s="220" t="s">
        <v>3077</v>
      </c>
      <c r="F23" s="220" t="s">
        <v>3076</v>
      </c>
      <c r="G23" s="220" t="s">
        <v>3075</v>
      </c>
      <c r="H23" s="220" t="s">
        <v>3074</v>
      </c>
      <c r="I23" s="220" t="s">
        <v>329</v>
      </c>
      <c r="J23" s="220" t="s">
        <v>297</v>
      </c>
      <c r="K23" s="220" t="s">
        <v>328</v>
      </c>
      <c r="L23" s="220" t="s">
        <v>1820</v>
      </c>
      <c r="M23" s="220" t="s">
        <v>1819</v>
      </c>
      <c r="N23" s="220" t="s">
        <v>329</v>
      </c>
      <c r="O23" s="220" t="s">
        <v>297</v>
      </c>
      <c r="P23" s="220" t="s">
        <v>599</v>
      </c>
      <c r="Q23" s="220" t="s">
        <v>1818</v>
      </c>
      <c r="R23" s="220"/>
      <c r="S23" s="220" t="s">
        <v>2917</v>
      </c>
      <c r="T23" s="220" t="s">
        <v>2916</v>
      </c>
      <c r="U23" s="220"/>
      <c r="V23" s="220"/>
      <c r="W23" s="220"/>
      <c r="X23" s="220"/>
      <c r="Y23" s="283"/>
      <c r="Z23" s="220"/>
      <c r="AA23" s="220"/>
      <c r="AB23" s="220"/>
      <c r="AC23" s="220"/>
      <c r="AD23" s="220"/>
      <c r="AE23" s="283"/>
      <c r="AF23" s="220"/>
      <c r="AG23" s="220"/>
      <c r="AH23" s="220" t="s">
        <v>3073</v>
      </c>
      <c r="AI23" s="220"/>
      <c r="AJ23" s="226">
        <v>1</v>
      </c>
      <c r="AK23" s="226">
        <v>0</v>
      </c>
      <c r="AL23" s="225">
        <v>0.14699999999999999</v>
      </c>
      <c r="AM23" s="220"/>
      <c r="AN23" s="225">
        <v>1289</v>
      </c>
      <c r="AO23" s="220"/>
      <c r="AP23" s="220"/>
      <c r="AQ23" s="283"/>
      <c r="AR23" s="283"/>
      <c r="AS23" s="283"/>
      <c r="AT23" s="223">
        <v>0</v>
      </c>
      <c r="AU23" s="284">
        <v>50</v>
      </c>
      <c r="AV23" s="221">
        <v>42795</v>
      </c>
      <c r="AW23" s="221">
        <v>42740.758115972203</v>
      </c>
      <c r="AX23" s="220" t="s">
        <v>293</v>
      </c>
      <c r="AY23" s="219" t="s">
        <v>3072</v>
      </c>
    </row>
    <row r="24" spans="1:51" hidden="1" outlineLevel="1" collapsed="1">
      <c r="A24" s="227" t="s">
        <v>289</v>
      </c>
      <c r="B24" s="220" t="s">
        <v>3071</v>
      </c>
      <c r="C24" s="220" t="s">
        <v>3071</v>
      </c>
      <c r="D24" s="220" t="s">
        <v>3070</v>
      </c>
      <c r="E24" s="220" t="s">
        <v>3069</v>
      </c>
      <c r="F24" s="220" t="s">
        <v>3068</v>
      </c>
      <c r="G24" s="220"/>
      <c r="H24" s="220" t="s">
        <v>3067</v>
      </c>
      <c r="I24" s="220" t="s">
        <v>329</v>
      </c>
      <c r="J24" s="220" t="s">
        <v>297</v>
      </c>
      <c r="K24" s="220" t="s">
        <v>397</v>
      </c>
      <c r="L24" s="220" t="s">
        <v>1820</v>
      </c>
      <c r="M24" s="220" t="s">
        <v>1819</v>
      </c>
      <c r="N24" s="220" t="s">
        <v>329</v>
      </c>
      <c r="O24" s="220" t="s">
        <v>297</v>
      </c>
      <c r="P24" s="220" t="s">
        <v>599</v>
      </c>
      <c r="Q24" s="220" t="s">
        <v>1818</v>
      </c>
      <c r="R24" s="220"/>
      <c r="S24" s="220" t="s">
        <v>2917</v>
      </c>
      <c r="T24" s="220" t="s">
        <v>2916</v>
      </c>
      <c r="U24" s="220"/>
      <c r="V24" s="220"/>
      <c r="W24" s="220"/>
      <c r="X24" s="220"/>
      <c r="Y24" s="283"/>
      <c r="Z24" s="220"/>
      <c r="AA24" s="220"/>
      <c r="AB24" s="220"/>
      <c r="AC24" s="220"/>
      <c r="AD24" s="220"/>
      <c r="AE24" s="283"/>
      <c r="AF24" s="220"/>
      <c r="AG24" s="220"/>
      <c r="AH24" s="220" t="s">
        <v>3066</v>
      </c>
      <c r="AI24" s="220"/>
      <c r="AJ24" s="226">
        <v>1</v>
      </c>
      <c r="AK24" s="226">
        <v>0</v>
      </c>
      <c r="AL24" s="225">
        <v>0.14699999999999999</v>
      </c>
      <c r="AM24" s="220"/>
      <c r="AN24" s="225">
        <v>1289</v>
      </c>
      <c r="AO24" s="220"/>
      <c r="AP24" s="220"/>
      <c r="AQ24" s="283"/>
      <c r="AR24" s="283"/>
      <c r="AS24" s="283"/>
      <c r="AT24" s="223">
        <v>0</v>
      </c>
      <c r="AU24" s="284">
        <v>50</v>
      </c>
      <c r="AV24" s="221">
        <v>42795</v>
      </c>
      <c r="AW24" s="221">
        <v>42766.672992592597</v>
      </c>
      <c r="AX24" s="220" t="s">
        <v>293</v>
      </c>
      <c r="AY24" s="219" t="s">
        <v>3065</v>
      </c>
    </row>
    <row r="25" spans="1:51" hidden="1" outlineLevel="1" collapsed="1">
      <c r="A25" s="227" t="s">
        <v>289</v>
      </c>
      <c r="B25" s="220" t="s">
        <v>3064</v>
      </c>
      <c r="C25" s="220" t="s">
        <v>3064</v>
      </c>
      <c r="D25" s="220" t="s">
        <v>3063</v>
      </c>
      <c r="E25" s="220" t="s">
        <v>3062</v>
      </c>
      <c r="F25" s="220" t="s">
        <v>3061</v>
      </c>
      <c r="G25" s="220" t="s">
        <v>3060</v>
      </c>
      <c r="H25" s="220" t="s">
        <v>3059</v>
      </c>
      <c r="I25" s="220" t="s">
        <v>329</v>
      </c>
      <c r="J25" s="220" t="s">
        <v>297</v>
      </c>
      <c r="K25" s="220" t="s">
        <v>328</v>
      </c>
      <c r="L25" s="220" t="s">
        <v>1820</v>
      </c>
      <c r="M25" s="220" t="s">
        <v>1819</v>
      </c>
      <c r="N25" s="220" t="s">
        <v>329</v>
      </c>
      <c r="O25" s="220" t="s">
        <v>297</v>
      </c>
      <c r="P25" s="220" t="s">
        <v>599</v>
      </c>
      <c r="Q25" s="220" t="s">
        <v>1818</v>
      </c>
      <c r="R25" s="220"/>
      <c r="S25" s="220" t="s">
        <v>2917</v>
      </c>
      <c r="T25" s="220" t="s">
        <v>2916</v>
      </c>
      <c r="U25" s="220"/>
      <c r="V25" s="220"/>
      <c r="W25" s="220"/>
      <c r="X25" s="220"/>
      <c r="Y25" s="283"/>
      <c r="Z25" s="220"/>
      <c r="AA25" s="220"/>
      <c r="AB25" s="220"/>
      <c r="AC25" s="220"/>
      <c r="AD25" s="220"/>
      <c r="AE25" s="283"/>
      <c r="AF25" s="220"/>
      <c r="AG25" s="220"/>
      <c r="AH25" s="220" t="s">
        <v>3058</v>
      </c>
      <c r="AI25" s="220"/>
      <c r="AJ25" s="226">
        <v>1</v>
      </c>
      <c r="AK25" s="226">
        <v>0</v>
      </c>
      <c r="AL25" s="225">
        <v>0.14699999999999999</v>
      </c>
      <c r="AM25" s="220"/>
      <c r="AN25" s="225">
        <v>1289</v>
      </c>
      <c r="AO25" s="220"/>
      <c r="AP25" s="220"/>
      <c r="AQ25" s="283"/>
      <c r="AR25" s="283"/>
      <c r="AS25" s="283"/>
      <c r="AT25" s="223">
        <v>0</v>
      </c>
      <c r="AU25" s="284">
        <v>50</v>
      </c>
      <c r="AV25" s="221">
        <v>42795</v>
      </c>
      <c r="AW25" s="221">
        <v>42766.674826041701</v>
      </c>
      <c r="AX25" s="220" t="s">
        <v>293</v>
      </c>
      <c r="AY25" s="219" t="s">
        <v>3057</v>
      </c>
    </row>
    <row r="26" spans="1:51" hidden="1" outlineLevel="1" collapsed="1">
      <c r="A26" s="227" t="s">
        <v>289</v>
      </c>
      <c r="B26" s="220" t="s">
        <v>3056</v>
      </c>
      <c r="C26" s="220" t="s">
        <v>3056</v>
      </c>
      <c r="D26" s="220" t="s">
        <v>3055</v>
      </c>
      <c r="E26" s="220" t="s">
        <v>3054</v>
      </c>
      <c r="F26" s="220" t="s">
        <v>3053</v>
      </c>
      <c r="G26" s="220"/>
      <c r="H26" s="220" t="s">
        <v>3052</v>
      </c>
      <c r="I26" s="220" t="s">
        <v>329</v>
      </c>
      <c r="J26" s="220" t="s">
        <v>297</v>
      </c>
      <c r="K26" s="220" t="s">
        <v>397</v>
      </c>
      <c r="L26" s="220" t="s">
        <v>1820</v>
      </c>
      <c r="M26" s="220" t="s">
        <v>1819</v>
      </c>
      <c r="N26" s="220" t="s">
        <v>329</v>
      </c>
      <c r="O26" s="220" t="s">
        <v>297</v>
      </c>
      <c r="P26" s="220" t="s">
        <v>599</v>
      </c>
      <c r="Q26" s="220" t="s">
        <v>1818</v>
      </c>
      <c r="R26" s="220"/>
      <c r="S26" s="220" t="s">
        <v>2917</v>
      </c>
      <c r="T26" s="220" t="s">
        <v>2934</v>
      </c>
      <c r="U26" s="220"/>
      <c r="V26" s="220"/>
      <c r="W26" s="220"/>
      <c r="X26" s="220"/>
      <c r="Y26" s="283"/>
      <c r="Z26" s="220"/>
      <c r="AA26" s="220"/>
      <c r="AB26" s="220"/>
      <c r="AC26" s="220"/>
      <c r="AD26" s="220"/>
      <c r="AE26" s="283"/>
      <c r="AF26" s="220"/>
      <c r="AG26" s="220"/>
      <c r="AH26" s="220" t="s">
        <v>3051</v>
      </c>
      <c r="AI26" s="220"/>
      <c r="AJ26" s="226">
        <v>1</v>
      </c>
      <c r="AK26" s="226">
        <v>0</v>
      </c>
      <c r="AL26" s="225">
        <v>0.126</v>
      </c>
      <c r="AM26" s="220"/>
      <c r="AN26" s="225">
        <v>1105</v>
      </c>
      <c r="AO26" s="220"/>
      <c r="AP26" s="220"/>
      <c r="AQ26" s="283"/>
      <c r="AR26" s="283"/>
      <c r="AS26" s="283"/>
      <c r="AT26" s="223">
        <v>0</v>
      </c>
      <c r="AU26" s="284">
        <v>50</v>
      </c>
      <c r="AV26" s="221">
        <v>42795</v>
      </c>
      <c r="AW26" s="221">
        <v>42774.687440856498</v>
      </c>
      <c r="AX26" s="220" t="s">
        <v>293</v>
      </c>
      <c r="AY26" s="219" t="s">
        <v>3050</v>
      </c>
    </row>
    <row r="27" spans="1:51" hidden="1" outlineLevel="1" collapsed="1">
      <c r="A27" s="227" t="s">
        <v>289</v>
      </c>
      <c r="B27" s="220" t="s">
        <v>3049</v>
      </c>
      <c r="C27" s="220" t="s">
        <v>3049</v>
      </c>
      <c r="D27" s="220" t="s">
        <v>3048</v>
      </c>
      <c r="E27" s="220" t="s">
        <v>3047</v>
      </c>
      <c r="F27" s="220" t="s">
        <v>2042</v>
      </c>
      <c r="G27" s="220"/>
      <c r="H27" s="220" t="s">
        <v>3046</v>
      </c>
      <c r="I27" s="220" t="s">
        <v>329</v>
      </c>
      <c r="J27" s="220" t="s">
        <v>297</v>
      </c>
      <c r="K27" s="220" t="s">
        <v>328</v>
      </c>
      <c r="L27" s="220" t="s">
        <v>1820</v>
      </c>
      <c r="M27" s="220" t="s">
        <v>1819</v>
      </c>
      <c r="N27" s="220" t="s">
        <v>329</v>
      </c>
      <c r="O27" s="220" t="s">
        <v>297</v>
      </c>
      <c r="P27" s="220" t="s">
        <v>599</v>
      </c>
      <c r="Q27" s="220" t="s">
        <v>1818</v>
      </c>
      <c r="R27" s="220"/>
      <c r="S27" s="220" t="s">
        <v>2917</v>
      </c>
      <c r="T27" s="220" t="s">
        <v>2916</v>
      </c>
      <c r="U27" s="220"/>
      <c r="V27" s="220"/>
      <c r="W27" s="220"/>
      <c r="X27" s="220"/>
      <c r="Y27" s="283"/>
      <c r="Z27" s="220"/>
      <c r="AA27" s="220"/>
      <c r="AB27" s="220"/>
      <c r="AC27" s="220"/>
      <c r="AD27" s="220"/>
      <c r="AE27" s="283"/>
      <c r="AF27" s="220"/>
      <c r="AG27" s="220"/>
      <c r="AH27" s="220" t="s">
        <v>3045</v>
      </c>
      <c r="AI27" s="220"/>
      <c r="AJ27" s="226">
        <v>1</v>
      </c>
      <c r="AK27" s="226">
        <v>0</v>
      </c>
      <c r="AL27" s="225">
        <v>0.14699999999999999</v>
      </c>
      <c r="AM27" s="220"/>
      <c r="AN27" s="225">
        <v>1289</v>
      </c>
      <c r="AO27" s="220"/>
      <c r="AP27" s="220"/>
      <c r="AQ27" s="283"/>
      <c r="AR27" s="283"/>
      <c r="AS27" s="283"/>
      <c r="AT27" s="223">
        <v>0</v>
      </c>
      <c r="AU27" s="284">
        <v>50</v>
      </c>
      <c r="AV27" s="221">
        <v>42795</v>
      </c>
      <c r="AW27" s="221">
        <v>42775.516744409702</v>
      </c>
      <c r="AX27" s="220" t="s">
        <v>293</v>
      </c>
      <c r="AY27" s="219" t="s">
        <v>3044</v>
      </c>
    </row>
    <row r="28" spans="1:51" hidden="1" outlineLevel="1" collapsed="1">
      <c r="A28" s="227" t="s">
        <v>289</v>
      </c>
      <c r="B28" s="220" t="s">
        <v>3043</v>
      </c>
      <c r="C28" s="220" t="s">
        <v>3043</v>
      </c>
      <c r="D28" s="220" t="s">
        <v>3042</v>
      </c>
      <c r="E28" s="220" t="s">
        <v>3041</v>
      </c>
      <c r="F28" s="220" t="s">
        <v>3040</v>
      </c>
      <c r="G28" s="220"/>
      <c r="H28" s="220" t="s">
        <v>3039</v>
      </c>
      <c r="I28" s="220" t="s">
        <v>329</v>
      </c>
      <c r="J28" s="220" t="s">
        <v>297</v>
      </c>
      <c r="K28" s="220" t="s">
        <v>397</v>
      </c>
      <c r="L28" s="220" t="s">
        <v>1820</v>
      </c>
      <c r="M28" s="220" t="s">
        <v>1819</v>
      </c>
      <c r="N28" s="220" t="s">
        <v>329</v>
      </c>
      <c r="O28" s="220" t="s">
        <v>297</v>
      </c>
      <c r="P28" s="220" t="s">
        <v>599</v>
      </c>
      <c r="Q28" s="220" t="s">
        <v>1818</v>
      </c>
      <c r="R28" s="220"/>
      <c r="S28" s="220" t="s">
        <v>2917</v>
      </c>
      <c r="T28" s="220" t="s">
        <v>2916</v>
      </c>
      <c r="U28" s="220"/>
      <c r="V28" s="220"/>
      <c r="W28" s="220"/>
      <c r="X28" s="220"/>
      <c r="Y28" s="283"/>
      <c r="Z28" s="220"/>
      <c r="AA28" s="220"/>
      <c r="AB28" s="220"/>
      <c r="AC28" s="220"/>
      <c r="AD28" s="220"/>
      <c r="AE28" s="283"/>
      <c r="AF28" s="220"/>
      <c r="AG28" s="220"/>
      <c r="AH28" s="220" t="s">
        <v>3038</v>
      </c>
      <c r="AI28" s="220"/>
      <c r="AJ28" s="226">
        <v>1</v>
      </c>
      <c r="AK28" s="226">
        <v>0</v>
      </c>
      <c r="AL28" s="225">
        <v>0.14699999999999999</v>
      </c>
      <c r="AM28" s="220"/>
      <c r="AN28" s="225">
        <v>1289</v>
      </c>
      <c r="AO28" s="220"/>
      <c r="AP28" s="220"/>
      <c r="AQ28" s="283"/>
      <c r="AR28" s="283"/>
      <c r="AS28" s="283"/>
      <c r="AT28" s="223">
        <v>0</v>
      </c>
      <c r="AU28" s="284">
        <v>50</v>
      </c>
      <c r="AV28" s="221">
        <v>42795</v>
      </c>
      <c r="AW28" s="221">
        <v>42775.525195798597</v>
      </c>
      <c r="AX28" s="220" t="s">
        <v>293</v>
      </c>
      <c r="AY28" s="219" t="s">
        <v>3037</v>
      </c>
    </row>
    <row r="29" spans="1:51" ht="20.399999999999999" hidden="1" outlineLevel="1" collapsed="1">
      <c r="A29" s="227" t="s">
        <v>289</v>
      </c>
      <c r="B29" s="220" t="s">
        <v>3036</v>
      </c>
      <c r="C29" s="220" t="s">
        <v>3036</v>
      </c>
      <c r="D29" s="220" t="s">
        <v>3035</v>
      </c>
      <c r="E29" s="220" t="s">
        <v>3034</v>
      </c>
      <c r="F29" s="220" t="s">
        <v>3033</v>
      </c>
      <c r="G29" s="220"/>
      <c r="H29" s="220" t="s">
        <v>3032</v>
      </c>
      <c r="I29" s="220" t="s">
        <v>329</v>
      </c>
      <c r="J29" s="220" t="s">
        <v>297</v>
      </c>
      <c r="K29" s="220" t="s">
        <v>328</v>
      </c>
      <c r="L29" s="220" t="s">
        <v>1820</v>
      </c>
      <c r="M29" s="220" t="s">
        <v>1819</v>
      </c>
      <c r="N29" s="220" t="s">
        <v>329</v>
      </c>
      <c r="O29" s="220" t="s">
        <v>297</v>
      </c>
      <c r="P29" s="220" t="s">
        <v>599</v>
      </c>
      <c r="Q29" s="220" t="s">
        <v>1818</v>
      </c>
      <c r="R29" s="220"/>
      <c r="S29" s="220" t="s">
        <v>2917</v>
      </c>
      <c r="T29" s="220" t="s">
        <v>2916</v>
      </c>
      <c r="U29" s="220"/>
      <c r="V29" s="220"/>
      <c r="W29" s="220"/>
      <c r="X29" s="220"/>
      <c r="Y29" s="283"/>
      <c r="Z29" s="220"/>
      <c r="AA29" s="220"/>
      <c r="AB29" s="220"/>
      <c r="AC29" s="220"/>
      <c r="AD29" s="220"/>
      <c r="AE29" s="283"/>
      <c r="AF29" s="220"/>
      <c r="AG29" s="220"/>
      <c r="AH29" s="220" t="s">
        <v>3031</v>
      </c>
      <c r="AI29" s="220"/>
      <c r="AJ29" s="226">
        <v>1</v>
      </c>
      <c r="AK29" s="226">
        <v>0</v>
      </c>
      <c r="AL29" s="225">
        <v>0.14699999999999999</v>
      </c>
      <c r="AM29" s="220"/>
      <c r="AN29" s="225">
        <v>1289</v>
      </c>
      <c r="AO29" s="220"/>
      <c r="AP29" s="220"/>
      <c r="AQ29" s="283"/>
      <c r="AR29" s="283"/>
      <c r="AS29" s="283"/>
      <c r="AT29" s="223">
        <v>0</v>
      </c>
      <c r="AU29" s="284">
        <v>50</v>
      </c>
      <c r="AV29" s="221">
        <v>42795</v>
      </c>
      <c r="AW29" s="221">
        <v>42782.547896030097</v>
      </c>
      <c r="AX29" s="220" t="s">
        <v>293</v>
      </c>
      <c r="AY29" s="219" t="s">
        <v>3030</v>
      </c>
    </row>
    <row r="30" spans="1:51" hidden="1" outlineLevel="1" collapsed="1">
      <c r="A30" s="227" t="s">
        <v>289</v>
      </c>
      <c r="B30" s="220" t="s">
        <v>3029</v>
      </c>
      <c r="C30" s="220" t="s">
        <v>3029</v>
      </c>
      <c r="D30" s="220" t="s">
        <v>3028</v>
      </c>
      <c r="E30" s="220" t="s">
        <v>3027</v>
      </c>
      <c r="F30" s="220" t="s">
        <v>3026</v>
      </c>
      <c r="G30" s="220"/>
      <c r="H30" s="220" t="s">
        <v>3025</v>
      </c>
      <c r="I30" s="220" t="s">
        <v>413</v>
      </c>
      <c r="J30" s="220" t="s">
        <v>297</v>
      </c>
      <c r="K30" s="220" t="s">
        <v>412</v>
      </c>
      <c r="L30" s="220" t="s">
        <v>1820</v>
      </c>
      <c r="M30" s="220" t="s">
        <v>1819</v>
      </c>
      <c r="N30" s="220" t="s">
        <v>329</v>
      </c>
      <c r="O30" s="220" t="s">
        <v>297</v>
      </c>
      <c r="P30" s="220" t="s">
        <v>599</v>
      </c>
      <c r="Q30" s="220" t="s">
        <v>1818</v>
      </c>
      <c r="R30" s="220"/>
      <c r="S30" s="220" t="s">
        <v>2917</v>
      </c>
      <c r="T30" s="220" t="s">
        <v>2916</v>
      </c>
      <c r="U30" s="220"/>
      <c r="V30" s="220"/>
      <c r="W30" s="220"/>
      <c r="X30" s="220"/>
      <c r="Y30" s="283"/>
      <c r="Z30" s="220"/>
      <c r="AA30" s="220"/>
      <c r="AB30" s="220"/>
      <c r="AC30" s="220"/>
      <c r="AD30" s="220"/>
      <c r="AE30" s="283"/>
      <c r="AF30" s="220"/>
      <c r="AG30" s="220"/>
      <c r="AH30" s="220" t="s">
        <v>3024</v>
      </c>
      <c r="AI30" s="220"/>
      <c r="AJ30" s="226">
        <v>1</v>
      </c>
      <c r="AK30" s="226">
        <v>0</v>
      </c>
      <c r="AL30" s="225">
        <v>0.14699999999999999</v>
      </c>
      <c r="AM30" s="220"/>
      <c r="AN30" s="225">
        <v>1289</v>
      </c>
      <c r="AO30" s="220"/>
      <c r="AP30" s="220"/>
      <c r="AQ30" s="283"/>
      <c r="AR30" s="283"/>
      <c r="AS30" s="283"/>
      <c r="AT30" s="223">
        <v>0</v>
      </c>
      <c r="AU30" s="284">
        <v>50</v>
      </c>
      <c r="AV30" s="221">
        <v>42822</v>
      </c>
      <c r="AW30" s="221">
        <v>42788.781059838002</v>
      </c>
      <c r="AX30" s="220" t="s">
        <v>293</v>
      </c>
      <c r="AY30" s="219" t="s">
        <v>3023</v>
      </c>
    </row>
    <row r="31" spans="1:51" hidden="1" outlineLevel="1" collapsed="1">
      <c r="A31" s="227" t="s">
        <v>289</v>
      </c>
      <c r="B31" s="220" t="s">
        <v>3022</v>
      </c>
      <c r="C31" s="220" t="s">
        <v>3022</v>
      </c>
      <c r="D31" s="220" t="s">
        <v>3021</v>
      </c>
      <c r="E31" s="220" t="s">
        <v>3020</v>
      </c>
      <c r="F31" s="220" t="s">
        <v>3019</v>
      </c>
      <c r="G31" s="220"/>
      <c r="H31" s="220" t="s">
        <v>3018</v>
      </c>
      <c r="I31" s="220" t="s">
        <v>329</v>
      </c>
      <c r="J31" s="220" t="s">
        <v>297</v>
      </c>
      <c r="K31" s="220" t="s">
        <v>848</v>
      </c>
      <c r="L31" s="220" t="s">
        <v>1820</v>
      </c>
      <c r="M31" s="220" t="s">
        <v>1819</v>
      </c>
      <c r="N31" s="220" t="s">
        <v>329</v>
      </c>
      <c r="O31" s="220" t="s">
        <v>297</v>
      </c>
      <c r="P31" s="220" t="s">
        <v>599</v>
      </c>
      <c r="Q31" s="220" t="s">
        <v>1818</v>
      </c>
      <c r="R31" s="220"/>
      <c r="S31" s="220" t="s">
        <v>2917</v>
      </c>
      <c r="T31" s="220" t="s">
        <v>2916</v>
      </c>
      <c r="U31" s="220"/>
      <c r="V31" s="220"/>
      <c r="W31" s="220"/>
      <c r="X31" s="220"/>
      <c r="Y31" s="283"/>
      <c r="Z31" s="220"/>
      <c r="AA31" s="220"/>
      <c r="AB31" s="220"/>
      <c r="AC31" s="220"/>
      <c r="AD31" s="220"/>
      <c r="AE31" s="283"/>
      <c r="AF31" s="220"/>
      <c r="AG31" s="220"/>
      <c r="AH31" s="220" t="s">
        <v>3017</v>
      </c>
      <c r="AI31" s="220"/>
      <c r="AJ31" s="226">
        <v>1</v>
      </c>
      <c r="AK31" s="226">
        <v>0</v>
      </c>
      <c r="AL31" s="225">
        <v>0.14699999999999999</v>
      </c>
      <c r="AM31" s="220"/>
      <c r="AN31" s="225">
        <v>1289</v>
      </c>
      <c r="AO31" s="220"/>
      <c r="AP31" s="220"/>
      <c r="AQ31" s="283"/>
      <c r="AR31" s="283"/>
      <c r="AS31" s="283"/>
      <c r="AT31" s="223">
        <v>0</v>
      </c>
      <c r="AU31" s="284">
        <v>50</v>
      </c>
      <c r="AV31" s="221">
        <v>42822</v>
      </c>
      <c r="AW31" s="221">
        <v>42793.517275034697</v>
      </c>
      <c r="AX31" s="220" t="s">
        <v>293</v>
      </c>
      <c r="AY31" s="219" t="s">
        <v>3016</v>
      </c>
    </row>
    <row r="32" spans="1:51" hidden="1" outlineLevel="1" collapsed="1">
      <c r="A32" s="227" t="s">
        <v>289</v>
      </c>
      <c r="B32" s="220" t="s">
        <v>3015</v>
      </c>
      <c r="C32" s="220" t="s">
        <v>3015</v>
      </c>
      <c r="D32" s="220" t="s">
        <v>3014</v>
      </c>
      <c r="E32" s="220" t="s">
        <v>3013</v>
      </c>
      <c r="F32" s="220" t="s">
        <v>3012</v>
      </c>
      <c r="G32" s="220"/>
      <c r="H32" s="220" t="s">
        <v>3011</v>
      </c>
      <c r="I32" s="220" t="s">
        <v>329</v>
      </c>
      <c r="J32" s="220" t="s">
        <v>297</v>
      </c>
      <c r="K32" s="220" t="s">
        <v>397</v>
      </c>
      <c r="L32" s="220" t="s">
        <v>1820</v>
      </c>
      <c r="M32" s="220" t="s">
        <v>1819</v>
      </c>
      <c r="N32" s="220" t="s">
        <v>329</v>
      </c>
      <c r="O32" s="220" t="s">
        <v>297</v>
      </c>
      <c r="P32" s="220" t="s">
        <v>599</v>
      </c>
      <c r="Q32" s="220" t="s">
        <v>1818</v>
      </c>
      <c r="R32" s="220"/>
      <c r="S32" s="220" t="s">
        <v>2917</v>
      </c>
      <c r="T32" s="220" t="s">
        <v>2916</v>
      </c>
      <c r="U32" s="220"/>
      <c r="V32" s="220"/>
      <c r="W32" s="220"/>
      <c r="X32" s="220"/>
      <c r="Y32" s="283"/>
      <c r="Z32" s="220"/>
      <c r="AA32" s="220"/>
      <c r="AB32" s="220"/>
      <c r="AC32" s="220"/>
      <c r="AD32" s="220"/>
      <c r="AE32" s="283"/>
      <c r="AF32" s="220"/>
      <c r="AG32" s="220"/>
      <c r="AH32" s="220" t="s">
        <v>3010</v>
      </c>
      <c r="AI32" s="220"/>
      <c r="AJ32" s="226">
        <v>1</v>
      </c>
      <c r="AK32" s="226">
        <v>0</v>
      </c>
      <c r="AL32" s="225">
        <v>0.14699999999999999</v>
      </c>
      <c r="AM32" s="220"/>
      <c r="AN32" s="225">
        <v>1289</v>
      </c>
      <c r="AO32" s="220"/>
      <c r="AP32" s="220"/>
      <c r="AQ32" s="283"/>
      <c r="AR32" s="283"/>
      <c r="AS32" s="283"/>
      <c r="AT32" s="223">
        <v>0</v>
      </c>
      <c r="AU32" s="284">
        <v>50</v>
      </c>
      <c r="AV32" s="221">
        <v>42949</v>
      </c>
      <c r="AW32" s="221">
        <v>42796.462048761598</v>
      </c>
      <c r="AX32" s="220" t="s">
        <v>293</v>
      </c>
      <c r="AY32" s="219" t="s">
        <v>3009</v>
      </c>
    </row>
    <row r="33" spans="1:51" hidden="1" outlineLevel="1" collapsed="1">
      <c r="A33" s="227" t="s">
        <v>289</v>
      </c>
      <c r="B33" s="220" t="s">
        <v>3006</v>
      </c>
      <c r="C33" s="220" t="s">
        <v>3006</v>
      </c>
      <c r="D33" s="220" t="s">
        <v>3005</v>
      </c>
      <c r="E33" s="220" t="s">
        <v>3004</v>
      </c>
      <c r="F33" s="220" t="s">
        <v>3003</v>
      </c>
      <c r="G33" s="220"/>
      <c r="H33" s="220" t="s">
        <v>3002</v>
      </c>
      <c r="I33" s="220" t="s">
        <v>329</v>
      </c>
      <c r="J33" s="220" t="s">
        <v>297</v>
      </c>
      <c r="K33" s="220" t="s">
        <v>328</v>
      </c>
      <c r="L33" s="220" t="s">
        <v>1820</v>
      </c>
      <c r="M33" s="220" t="s">
        <v>1819</v>
      </c>
      <c r="N33" s="220" t="s">
        <v>329</v>
      </c>
      <c r="O33" s="220" t="s">
        <v>297</v>
      </c>
      <c r="P33" s="220" t="s">
        <v>599</v>
      </c>
      <c r="Q33" s="220" t="s">
        <v>1818</v>
      </c>
      <c r="R33" s="220"/>
      <c r="S33" s="220" t="s">
        <v>2917</v>
      </c>
      <c r="T33" s="220" t="s">
        <v>2934</v>
      </c>
      <c r="U33" s="220"/>
      <c r="V33" s="220"/>
      <c r="W33" s="220"/>
      <c r="X33" s="220"/>
      <c r="Y33" s="283"/>
      <c r="Z33" s="220"/>
      <c r="AA33" s="220"/>
      <c r="AB33" s="220"/>
      <c r="AC33" s="220"/>
      <c r="AD33" s="220"/>
      <c r="AE33" s="283"/>
      <c r="AF33" s="220"/>
      <c r="AG33" s="220"/>
      <c r="AH33" s="220" t="s">
        <v>3008</v>
      </c>
      <c r="AI33" s="220"/>
      <c r="AJ33" s="226">
        <v>1</v>
      </c>
      <c r="AK33" s="226">
        <v>0</v>
      </c>
      <c r="AL33" s="225">
        <v>0.126</v>
      </c>
      <c r="AM33" s="220"/>
      <c r="AN33" s="225">
        <v>1105</v>
      </c>
      <c r="AO33" s="220"/>
      <c r="AP33" s="220"/>
      <c r="AQ33" s="283"/>
      <c r="AR33" s="283"/>
      <c r="AS33" s="283"/>
      <c r="AT33" s="223">
        <v>0</v>
      </c>
      <c r="AU33" s="284">
        <v>50</v>
      </c>
      <c r="AV33" s="221">
        <v>42803</v>
      </c>
      <c r="AW33" s="221">
        <v>42803.763243518501</v>
      </c>
      <c r="AX33" s="220" t="s">
        <v>293</v>
      </c>
      <c r="AY33" s="219" t="s">
        <v>3007</v>
      </c>
    </row>
    <row r="34" spans="1:51" hidden="1" outlineLevel="1" collapsed="1">
      <c r="A34" s="227" t="s">
        <v>289</v>
      </c>
      <c r="B34" s="220" t="s">
        <v>3006</v>
      </c>
      <c r="C34" s="220" t="s">
        <v>3006</v>
      </c>
      <c r="D34" s="220" t="s">
        <v>3005</v>
      </c>
      <c r="E34" s="220" t="s">
        <v>3004</v>
      </c>
      <c r="F34" s="220" t="s">
        <v>3003</v>
      </c>
      <c r="G34" s="220"/>
      <c r="H34" s="220" t="s">
        <v>3002</v>
      </c>
      <c r="I34" s="220" t="s">
        <v>329</v>
      </c>
      <c r="J34" s="220" t="s">
        <v>297</v>
      </c>
      <c r="K34" s="220" t="s">
        <v>328</v>
      </c>
      <c r="L34" s="220" t="s">
        <v>1820</v>
      </c>
      <c r="M34" s="220" t="s">
        <v>1819</v>
      </c>
      <c r="N34" s="220" t="s">
        <v>329</v>
      </c>
      <c r="O34" s="220" t="s">
        <v>297</v>
      </c>
      <c r="P34" s="220" t="s">
        <v>599</v>
      </c>
      <c r="Q34" s="220" t="s">
        <v>1818</v>
      </c>
      <c r="R34" s="220"/>
      <c r="S34" s="220" t="s">
        <v>2917</v>
      </c>
      <c r="T34" s="220" t="s">
        <v>2916</v>
      </c>
      <c r="U34" s="220"/>
      <c r="V34" s="220"/>
      <c r="W34" s="220"/>
      <c r="X34" s="220"/>
      <c r="Y34" s="283"/>
      <c r="Z34" s="220"/>
      <c r="AA34" s="220"/>
      <c r="AB34" s="220"/>
      <c r="AC34" s="220"/>
      <c r="AD34" s="220"/>
      <c r="AE34" s="283"/>
      <c r="AF34" s="220"/>
      <c r="AG34" s="220"/>
      <c r="AH34" s="220" t="s">
        <v>3001</v>
      </c>
      <c r="AI34" s="220"/>
      <c r="AJ34" s="226">
        <v>1</v>
      </c>
      <c r="AK34" s="226">
        <v>0</v>
      </c>
      <c r="AL34" s="225">
        <v>0.14699999999999999</v>
      </c>
      <c r="AM34" s="220"/>
      <c r="AN34" s="225">
        <v>1289</v>
      </c>
      <c r="AO34" s="220"/>
      <c r="AP34" s="220"/>
      <c r="AQ34" s="283"/>
      <c r="AR34" s="283"/>
      <c r="AS34" s="283"/>
      <c r="AT34" s="223">
        <v>0</v>
      </c>
      <c r="AU34" s="284">
        <v>50</v>
      </c>
      <c r="AV34" s="221">
        <v>42803</v>
      </c>
      <c r="AW34" s="221">
        <v>42803.763243518501</v>
      </c>
      <c r="AX34" s="220" t="s">
        <v>293</v>
      </c>
      <c r="AY34" s="219" t="s">
        <v>3000</v>
      </c>
    </row>
    <row r="35" spans="1:51" hidden="1" outlineLevel="1" collapsed="1">
      <c r="A35" s="227" t="s">
        <v>289</v>
      </c>
      <c r="B35" s="220" t="s">
        <v>2997</v>
      </c>
      <c r="C35" s="220" t="s">
        <v>2997</v>
      </c>
      <c r="D35" s="220" t="s">
        <v>2996</v>
      </c>
      <c r="E35" s="220" t="s">
        <v>2995</v>
      </c>
      <c r="F35" s="220" t="s">
        <v>2994</v>
      </c>
      <c r="G35" s="220"/>
      <c r="H35" s="220" t="s">
        <v>2993</v>
      </c>
      <c r="I35" s="220" t="s">
        <v>329</v>
      </c>
      <c r="J35" s="220" t="s">
        <v>297</v>
      </c>
      <c r="K35" s="220" t="s">
        <v>397</v>
      </c>
      <c r="L35" s="220" t="s">
        <v>1820</v>
      </c>
      <c r="M35" s="220" t="s">
        <v>1819</v>
      </c>
      <c r="N35" s="220" t="s">
        <v>329</v>
      </c>
      <c r="O35" s="220" t="s">
        <v>297</v>
      </c>
      <c r="P35" s="220" t="s">
        <v>599</v>
      </c>
      <c r="Q35" s="220" t="s">
        <v>1818</v>
      </c>
      <c r="R35" s="220"/>
      <c r="S35" s="220" t="s">
        <v>2917</v>
      </c>
      <c r="T35" s="220" t="s">
        <v>2916</v>
      </c>
      <c r="U35" s="220"/>
      <c r="V35" s="220"/>
      <c r="W35" s="220"/>
      <c r="X35" s="220"/>
      <c r="Y35" s="283"/>
      <c r="Z35" s="220"/>
      <c r="AA35" s="220"/>
      <c r="AB35" s="220"/>
      <c r="AC35" s="220"/>
      <c r="AD35" s="220"/>
      <c r="AE35" s="283"/>
      <c r="AF35" s="220"/>
      <c r="AG35" s="220"/>
      <c r="AH35" s="220" t="s">
        <v>2992</v>
      </c>
      <c r="AI35" s="220"/>
      <c r="AJ35" s="226">
        <v>1</v>
      </c>
      <c r="AK35" s="226">
        <v>0</v>
      </c>
      <c r="AL35" s="225">
        <v>0.14699999999999999</v>
      </c>
      <c r="AM35" s="220"/>
      <c r="AN35" s="225">
        <v>1289</v>
      </c>
      <c r="AO35" s="220"/>
      <c r="AP35" s="220"/>
      <c r="AQ35" s="283"/>
      <c r="AR35" s="283"/>
      <c r="AS35" s="283"/>
      <c r="AT35" s="223">
        <v>0</v>
      </c>
      <c r="AU35" s="284">
        <v>50</v>
      </c>
      <c r="AV35" s="221">
        <v>42811</v>
      </c>
      <c r="AW35" s="221">
        <v>42811.770698923603</v>
      </c>
      <c r="AX35" s="220" t="s">
        <v>293</v>
      </c>
      <c r="AY35" s="219" t="s">
        <v>2991</v>
      </c>
    </row>
    <row r="36" spans="1:51" hidden="1" outlineLevel="1" collapsed="1">
      <c r="A36" s="227" t="s">
        <v>289</v>
      </c>
      <c r="B36" s="220" t="s">
        <v>2997</v>
      </c>
      <c r="C36" s="220" t="s">
        <v>2997</v>
      </c>
      <c r="D36" s="220" t="s">
        <v>2996</v>
      </c>
      <c r="E36" s="220" t="s">
        <v>2995</v>
      </c>
      <c r="F36" s="220" t="s">
        <v>2994</v>
      </c>
      <c r="G36" s="220"/>
      <c r="H36" s="220" t="s">
        <v>2993</v>
      </c>
      <c r="I36" s="220" t="s">
        <v>329</v>
      </c>
      <c r="J36" s="220" t="s">
        <v>297</v>
      </c>
      <c r="K36" s="220" t="s">
        <v>397</v>
      </c>
      <c r="L36" s="220" t="s">
        <v>1820</v>
      </c>
      <c r="M36" s="220" t="s">
        <v>1819</v>
      </c>
      <c r="N36" s="220" t="s">
        <v>329</v>
      </c>
      <c r="O36" s="220" t="s">
        <v>297</v>
      </c>
      <c r="P36" s="220" t="s">
        <v>599</v>
      </c>
      <c r="Q36" s="220" t="s">
        <v>1818</v>
      </c>
      <c r="R36" s="220"/>
      <c r="S36" s="220" t="s">
        <v>2917</v>
      </c>
      <c r="T36" s="220" t="s">
        <v>2916</v>
      </c>
      <c r="U36" s="220"/>
      <c r="V36" s="220"/>
      <c r="W36" s="220"/>
      <c r="X36" s="220"/>
      <c r="Y36" s="283"/>
      <c r="Z36" s="220"/>
      <c r="AA36" s="220"/>
      <c r="AB36" s="220"/>
      <c r="AC36" s="220"/>
      <c r="AD36" s="220"/>
      <c r="AE36" s="283"/>
      <c r="AF36" s="220"/>
      <c r="AG36" s="220"/>
      <c r="AH36" s="220" t="s">
        <v>2999</v>
      </c>
      <c r="AI36" s="220"/>
      <c r="AJ36" s="226">
        <v>1</v>
      </c>
      <c r="AK36" s="226">
        <v>0</v>
      </c>
      <c r="AL36" s="225">
        <v>0.14699999999999999</v>
      </c>
      <c r="AM36" s="220"/>
      <c r="AN36" s="225">
        <v>1289</v>
      </c>
      <c r="AO36" s="220"/>
      <c r="AP36" s="220"/>
      <c r="AQ36" s="283"/>
      <c r="AR36" s="283"/>
      <c r="AS36" s="283"/>
      <c r="AT36" s="223">
        <v>0</v>
      </c>
      <c r="AU36" s="284">
        <v>50</v>
      </c>
      <c r="AV36" s="221">
        <v>42811</v>
      </c>
      <c r="AW36" s="221">
        <v>42811.770698923603</v>
      </c>
      <c r="AX36" s="220" t="s">
        <v>293</v>
      </c>
      <c r="AY36" s="219" t="s">
        <v>2998</v>
      </c>
    </row>
    <row r="37" spans="1:51" hidden="1" outlineLevel="1" collapsed="1">
      <c r="A37" s="227" t="s">
        <v>289</v>
      </c>
      <c r="B37" s="220" t="s">
        <v>2990</v>
      </c>
      <c r="C37" s="220" t="s">
        <v>2990</v>
      </c>
      <c r="D37" s="220" t="s">
        <v>2989</v>
      </c>
      <c r="E37" s="220" t="s">
        <v>2988</v>
      </c>
      <c r="F37" s="220" t="s">
        <v>2068</v>
      </c>
      <c r="G37" s="220"/>
      <c r="H37" s="220" t="s">
        <v>2987</v>
      </c>
      <c r="I37" s="220" t="s">
        <v>329</v>
      </c>
      <c r="J37" s="220" t="s">
        <v>297</v>
      </c>
      <c r="K37" s="220" t="s">
        <v>328</v>
      </c>
      <c r="L37" s="220" t="s">
        <v>1820</v>
      </c>
      <c r="M37" s="220" t="s">
        <v>1819</v>
      </c>
      <c r="N37" s="220" t="s">
        <v>329</v>
      </c>
      <c r="O37" s="220" t="s">
        <v>297</v>
      </c>
      <c r="P37" s="220" t="s">
        <v>599</v>
      </c>
      <c r="Q37" s="220" t="s">
        <v>1818</v>
      </c>
      <c r="R37" s="220"/>
      <c r="S37" s="220" t="s">
        <v>2917</v>
      </c>
      <c r="T37" s="220" t="s">
        <v>2916</v>
      </c>
      <c r="U37" s="220"/>
      <c r="V37" s="220"/>
      <c r="W37" s="220"/>
      <c r="X37" s="220"/>
      <c r="Y37" s="283"/>
      <c r="Z37" s="220"/>
      <c r="AA37" s="220"/>
      <c r="AB37" s="220"/>
      <c r="AC37" s="220"/>
      <c r="AD37" s="220"/>
      <c r="AE37" s="283"/>
      <c r="AF37" s="220"/>
      <c r="AG37" s="220"/>
      <c r="AH37" s="220" t="s">
        <v>2986</v>
      </c>
      <c r="AI37" s="220"/>
      <c r="AJ37" s="226">
        <v>1</v>
      </c>
      <c r="AK37" s="226">
        <v>0</v>
      </c>
      <c r="AL37" s="225">
        <v>0.14699999999999999</v>
      </c>
      <c r="AM37" s="220"/>
      <c r="AN37" s="225">
        <v>1289</v>
      </c>
      <c r="AO37" s="220"/>
      <c r="AP37" s="220"/>
      <c r="AQ37" s="283"/>
      <c r="AR37" s="283"/>
      <c r="AS37" s="283"/>
      <c r="AT37" s="223">
        <v>0</v>
      </c>
      <c r="AU37" s="284">
        <v>50</v>
      </c>
      <c r="AV37" s="221">
        <v>42811</v>
      </c>
      <c r="AW37" s="221">
        <v>42811.772073726897</v>
      </c>
      <c r="AX37" s="220" t="s">
        <v>293</v>
      </c>
      <c r="AY37" s="219" t="s">
        <v>2985</v>
      </c>
    </row>
    <row r="38" spans="1:51" hidden="1" outlineLevel="1" collapsed="1">
      <c r="A38" s="227" t="s">
        <v>289</v>
      </c>
      <c r="B38" s="220" t="s">
        <v>2982</v>
      </c>
      <c r="C38" s="220" t="s">
        <v>2982</v>
      </c>
      <c r="D38" s="220" t="s">
        <v>2981</v>
      </c>
      <c r="E38" s="220" t="s">
        <v>2980</v>
      </c>
      <c r="F38" s="220" t="s">
        <v>2979</v>
      </c>
      <c r="G38" s="220"/>
      <c r="H38" s="220" t="s">
        <v>2978</v>
      </c>
      <c r="I38" s="220" t="s">
        <v>329</v>
      </c>
      <c r="J38" s="220" t="s">
        <v>297</v>
      </c>
      <c r="K38" s="220" t="s">
        <v>328</v>
      </c>
      <c r="L38" s="220" t="s">
        <v>1820</v>
      </c>
      <c r="M38" s="220" t="s">
        <v>1819</v>
      </c>
      <c r="N38" s="220" t="s">
        <v>329</v>
      </c>
      <c r="O38" s="220" t="s">
        <v>297</v>
      </c>
      <c r="P38" s="220" t="s">
        <v>599</v>
      </c>
      <c r="Q38" s="220" t="s">
        <v>1818</v>
      </c>
      <c r="R38" s="220"/>
      <c r="S38" s="220" t="s">
        <v>2917</v>
      </c>
      <c r="T38" s="220" t="s">
        <v>2934</v>
      </c>
      <c r="U38" s="220"/>
      <c r="V38" s="220"/>
      <c r="W38" s="220"/>
      <c r="X38" s="220"/>
      <c r="Y38" s="283"/>
      <c r="Z38" s="220"/>
      <c r="AA38" s="220"/>
      <c r="AB38" s="220"/>
      <c r="AC38" s="220"/>
      <c r="AD38" s="220"/>
      <c r="AE38" s="283"/>
      <c r="AF38" s="220"/>
      <c r="AG38" s="220"/>
      <c r="AH38" s="220" t="s">
        <v>2984</v>
      </c>
      <c r="AI38" s="220"/>
      <c r="AJ38" s="226">
        <v>1</v>
      </c>
      <c r="AK38" s="226">
        <v>0</v>
      </c>
      <c r="AL38" s="225">
        <v>0.126</v>
      </c>
      <c r="AM38" s="220"/>
      <c r="AN38" s="225">
        <v>1105</v>
      </c>
      <c r="AO38" s="220"/>
      <c r="AP38" s="220"/>
      <c r="AQ38" s="283"/>
      <c r="AR38" s="283"/>
      <c r="AS38" s="283"/>
      <c r="AT38" s="223">
        <v>0</v>
      </c>
      <c r="AU38" s="284">
        <v>50</v>
      </c>
      <c r="AV38" s="221">
        <v>42949</v>
      </c>
      <c r="AW38" s="221">
        <v>42821.784515891202</v>
      </c>
      <c r="AX38" s="220" t="s">
        <v>293</v>
      </c>
      <c r="AY38" s="219" t="s">
        <v>2983</v>
      </c>
    </row>
    <row r="39" spans="1:51" hidden="1" outlineLevel="1" collapsed="1">
      <c r="A39" s="227" t="s">
        <v>289</v>
      </c>
      <c r="B39" s="220" t="s">
        <v>2982</v>
      </c>
      <c r="C39" s="220" t="s">
        <v>2982</v>
      </c>
      <c r="D39" s="220" t="s">
        <v>2981</v>
      </c>
      <c r="E39" s="220" t="s">
        <v>2980</v>
      </c>
      <c r="F39" s="220" t="s">
        <v>2979</v>
      </c>
      <c r="G39" s="220"/>
      <c r="H39" s="220" t="s">
        <v>2978</v>
      </c>
      <c r="I39" s="220" t="s">
        <v>329</v>
      </c>
      <c r="J39" s="220" t="s">
        <v>297</v>
      </c>
      <c r="K39" s="220" t="s">
        <v>328</v>
      </c>
      <c r="L39" s="220" t="s">
        <v>1820</v>
      </c>
      <c r="M39" s="220" t="s">
        <v>1819</v>
      </c>
      <c r="N39" s="220" t="s">
        <v>329</v>
      </c>
      <c r="O39" s="220" t="s">
        <v>297</v>
      </c>
      <c r="P39" s="220" t="s">
        <v>599</v>
      </c>
      <c r="Q39" s="220" t="s">
        <v>1818</v>
      </c>
      <c r="R39" s="220"/>
      <c r="S39" s="220" t="s">
        <v>2917</v>
      </c>
      <c r="T39" s="220" t="s">
        <v>2916</v>
      </c>
      <c r="U39" s="220"/>
      <c r="V39" s="220"/>
      <c r="W39" s="220"/>
      <c r="X39" s="220"/>
      <c r="Y39" s="283"/>
      <c r="Z39" s="220"/>
      <c r="AA39" s="220"/>
      <c r="AB39" s="220"/>
      <c r="AC39" s="220"/>
      <c r="AD39" s="220"/>
      <c r="AE39" s="283"/>
      <c r="AF39" s="220"/>
      <c r="AG39" s="220"/>
      <c r="AH39" s="220" t="s">
        <v>2977</v>
      </c>
      <c r="AI39" s="220"/>
      <c r="AJ39" s="226">
        <v>1</v>
      </c>
      <c r="AK39" s="226">
        <v>0</v>
      </c>
      <c r="AL39" s="225">
        <v>0.14699999999999999</v>
      </c>
      <c r="AM39" s="220"/>
      <c r="AN39" s="225">
        <v>1289</v>
      </c>
      <c r="AO39" s="220"/>
      <c r="AP39" s="220"/>
      <c r="AQ39" s="283"/>
      <c r="AR39" s="283"/>
      <c r="AS39" s="283"/>
      <c r="AT39" s="223">
        <v>0</v>
      </c>
      <c r="AU39" s="284">
        <v>50</v>
      </c>
      <c r="AV39" s="221">
        <v>42949</v>
      </c>
      <c r="AW39" s="221">
        <v>42821.784515891202</v>
      </c>
      <c r="AX39" s="220" t="s">
        <v>293</v>
      </c>
      <c r="AY39" s="219" t="s">
        <v>2976</v>
      </c>
    </row>
    <row r="40" spans="1:51" hidden="1" outlineLevel="1" collapsed="1">
      <c r="A40" s="227" t="s">
        <v>289</v>
      </c>
      <c r="B40" s="220" t="s">
        <v>2973</v>
      </c>
      <c r="C40" s="220" t="s">
        <v>2973</v>
      </c>
      <c r="D40" s="220" t="s">
        <v>2972</v>
      </c>
      <c r="E40" s="220" t="s">
        <v>1383</v>
      </c>
      <c r="F40" s="220" t="s">
        <v>2971</v>
      </c>
      <c r="G40" s="220"/>
      <c r="H40" s="220" t="s">
        <v>2970</v>
      </c>
      <c r="I40" s="220" t="s">
        <v>329</v>
      </c>
      <c r="J40" s="220" t="s">
        <v>297</v>
      </c>
      <c r="K40" s="220" t="s">
        <v>328</v>
      </c>
      <c r="L40" s="220" t="s">
        <v>1820</v>
      </c>
      <c r="M40" s="220" t="s">
        <v>1819</v>
      </c>
      <c r="N40" s="220" t="s">
        <v>329</v>
      </c>
      <c r="O40" s="220" t="s">
        <v>297</v>
      </c>
      <c r="P40" s="220" t="s">
        <v>599</v>
      </c>
      <c r="Q40" s="220" t="s">
        <v>1818</v>
      </c>
      <c r="R40" s="220"/>
      <c r="S40" s="220" t="s">
        <v>2917</v>
      </c>
      <c r="T40" s="220" t="s">
        <v>2916</v>
      </c>
      <c r="U40" s="220"/>
      <c r="V40" s="220"/>
      <c r="W40" s="220"/>
      <c r="X40" s="220"/>
      <c r="Y40" s="283"/>
      <c r="Z40" s="220"/>
      <c r="AA40" s="220"/>
      <c r="AB40" s="220"/>
      <c r="AC40" s="220"/>
      <c r="AD40" s="220"/>
      <c r="AE40" s="283"/>
      <c r="AF40" s="220"/>
      <c r="AG40" s="220"/>
      <c r="AH40" s="220" t="s">
        <v>2975</v>
      </c>
      <c r="AI40" s="220"/>
      <c r="AJ40" s="226">
        <v>1</v>
      </c>
      <c r="AK40" s="226">
        <v>0</v>
      </c>
      <c r="AL40" s="225">
        <v>0.14699999999999999</v>
      </c>
      <c r="AM40" s="220"/>
      <c r="AN40" s="225">
        <v>1289</v>
      </c>
      <c r="AO40" s="220"/>
      <c r="AP40" s="220"/>
      <c r="AQ40" s="283"/>
      <c r="AR40" s="283"/>
      <c r="AS40" s="283"/>
      <c r="AT40" s="223">
        <v>0</v>
      </c>
      <c r="AU40" s="284">
        <v>50</v>
      </c>
      <c r="AV40" s="221">
        <v>42949</v>
      </c>
      <c r="AW40" s="221">
        <v>42832.525782638899</v>
      </c>
      <c r="AX40" s="220" t="s">
        <v>293</v>
      </c>
      <c r="AY40" s="219" t="s">
        <v>2974</v>
      </c>
    </row>
    <row r="41" spans="1:51" hidden="1" outlineLevel="1" collapsed="1">
      <c r="A41" s="227" t="s">
        <v>289</v>
      </c>
      <c r="B41" s="220" t="s">
        <v>2973</v>
      </c>
      <c r="C41" s="220" t="s">
        <v>2973</v>
      </c>
      <c r="D41" s="220" t="s">
        <v>2972</v>
      </c>
      <c r="E41" s="220" t="s">
        <v>1383</v>
      </c>
      <c r="F41" s="220" t="s">
        <v>2971</v>
      </c>
      <c r="G41" s="220"/>
      <c r="H41" s="220" t="s">
        <v>2970</v>
      </c>
      <c r="I41" s="220" t="s">
        <v>329</v>
      </c>
      <c r="J41" s="220" t="s">
        <v>297</v>
      </c>
      <c r="K41" s="220" t="s">
        <v>328</v>
      </c>
      <c r="L41" s="220" t="s">
        <v>1820</v>
      </c>
      <c r="M41" s="220" t="s">
        <v>1819</v>
      </c>
      <c r="N41" s="220" t="s">
        <v>329</v>
      </c>
      <c r="O41" s="220" t="s">
        <v>297</v>
      </c>
      <c r="P41" s="220" t="s">
        <v>599</v>
      </c>
      <c r="Q41" s="220" t="s">
        <v>1818</v>
      </c>
      <c r="R41" s="220"/>
      <c r="S41" s="220" t="s">
        <v>2917</v>
      </c>
      <c r="T41" s="220" t="s">
        <v>2934</v>
      </c>
      <c r="U41" s="220"/>
      <c r="V41" s="220"/>
      <c r="W41" s="220"/>
      <c r="X41" s="220"/>
      <c r="Y41" s="283"/>
      <c r="Z41" s="220"/>
      <c r="AA41" s="220"/>
      <c r="AB41" s="220"/>
      <c r="AC41" s="220"/>
      <c r="AD41" s="220"/>
      <c r="AE41" s="283"/>
      <c r="AF41" s="220"/>
      <c r="AG41" s="220"/>
      <c r="AH41" s="220" t="s">
        <v>2969</v>
      </c>
      <c r="AI41" s="220"/>
      <c r="AJ41" s="226">
        <v>1</v>
      </c>
      <c r="AK41" s="226">
        <v>0</v>
      </c>
      <c r="AL41" s="225">
        <v>0.126</v>
      </c>
      <c r="AM41" s="220"/>
      <c r="AN41" s="225">
        <v>1105</v>
      </c>
      <c r="AO41" s="220"/>
      <c r="AP41" s="220"/>
      <c r="AQ41" s="283"/>
      <c r="AR41" s="283"/>
      <c r="AS41" s="283"/>
      <c r="AT41" s="223">
        <v>0</v>
      </c>
      <c r="AU41" s="284">
        <v>50</v>
      </c>
      <c r="AV41" s="221">
        <v>42949</v>
      </c>
      <c r="AW41" s="221">
        <v>42832.525782638899</v>
      </c>
      <c r="AX41" s="220" t="s">
        <v>293</v>
      </c>
      <c r="AY41" s="219" t="s">
        <v>2968</v>
      </c>
    </row>
    <row r="42" spans="1:51" hidden="1" outlineLevel="1" collapsed="1">
      <c r="A42" s="227" t="s">
        <v>289</v>
      </c>
      <c r="B42" s="220" t="s">
        <v>2967</v>
      </c>
      <c r="C42" s="220" t="s">
        <v>2967</v>
      </c>
      <c r="D42" s="220" t="s">
        <v>2966</v>
      </c>
      <c r="E42" s="220" t="s">
        <v>2965</v>
      </c>
      <c r="F42" s="220" t="s">
        <v>2964</v>
      </c>
      <c r="G42" s="220"/>
      <c r="H42" s="220" t="s">
        <v>2963</v>
      </c>
      <c r="I42" s="220" t="s">
        <v>329</v>
      </c>
      <c r="J42" s="220" t="s">
        <v>297</v>
      </c>
      <c r="K42" s="220" t="s">
        <v>328</v>
      </c>
      <c r="L42" s="220" t="s">
        <v>1820</v>
      </c>
      <c r="M42" s="220" t="s">
        <v>1819</v>
      </c>
      <c r="N42" s="220" t="s">
        <v>329</v>
      </c>
      <c r="O42" s="220" t="s">
        <v>297</v>
      </c>
      <c r="P42" s="220" t="s">
        <v>599</v>
      </c>
      <c r="Q42" s="220" t="s">
        <v>1818</v>
      </c>
      <c r="R42" s="220"/>
      <c r="S42" s="220" t="s">
        <v>2917</v>
      </c>
      <c r="T42" s="220" t="s">
        <v>2916</v>
      </c>
      <c r="U42" s="220"/>
      <c r="V42" s="220"/>
      <c r="W42" s="220"/>
      <c r="X42" s="220"/>
      <c r="Y42" s="283"/>
      <c r="Z42" s="220"/>
      <c r="AA42" s="220"/>
      <c r="AB42" s="220"/>
      <c r="AC42" s="220"/>
      <c r="AD42" s="220"/>
      <c r="AE42" s="283"/>
      <c r="AF42" s="220"/>
      <c r="AG42" s="220"/>
      <c r="AH42" s="220" t="s">
        <v>2962</v>
      </c>
      <c r="AI42" s="220"/>
      <c r="AJ42" s="226">
        <v>1</v>
      </c>
      <c r="AK42" s="226">
        <v>0</v>
      </c>
      <c r="AL42" s="225">
        <v>0.14699999999999999</v>
      </c>
      <c r="AM42" s="220"/>
      <c r="AN42" s="225">
        <v>1289</v>
      </c>
      <c r="AO42" s="220"/>
      <c r="AP42" s="220"/>
      <c r="AQ42" s="283"/>
      <c r="AR42" s="283"/>
      <c r="AS42" s="283"/>
      <c r="AT42" s="223">
        <v>0</v>
      </c>
      <c r="AU42" s="284">
        <v>50</v>
      </c>
      <c r="AV42" s="221">
        <v>42949</v>
      </c>
      <c r="AW42" s="221">
        <v>42837.444085879601</v>
      </c>
      <c r="AX42" s="220" t="s">
        <v>293</v>
      </c>
      <c r="AY42" s="219" t="s">
        <v>2961</v>
      </c>
    </row>
    <row r="43" spans="1:51" hidden="1" outlineLevel="1" collapsed="1">
      <c r="A43" s="227" t="s">
        <v>289</v>
      </c>
      <c r="B43" s="220" t="s">
        <v>2960</v>
      </c>
      <c r="C43" s="220" t="s">
        <v>2960</v>
      </c>
      <c r="D43" s="220" t="s">
        <v>2959</v>
      </c>
      <c r="E43" s="220" t="s">
        <v>2958</v>
      </c>
      <c r="F43" s="220" t="s">
        <v>2957</v>
      </c>
      <c r="G43" s="220"/>
      <c r="H43" s="220" t="s">
        <v>2956</v>
      </c>
      <c r="I43" s="220" t="s">
        <v>329</v>
      </c>
      <c r="J43" s="220" t="s">
        <v>297</v>
      </c>
      <c r="K43" s="220" t="s">
        <v>397</v>
      </c>
      <c r="L43" s="220" t="s">
        <v>1820</v>
      </c>
      <c r="M43" s="220" t="s">
        <v>1819</v>
      </c>
      <c r="N43" s="220" t="s">
        <v>329</v>
      </c>
      <c r="O43" s="220" t="s">
        <v>297</v>
      </c>
      <c r="P43" s="220" t="s">
        <v>599</v>
      </c>
      <c r="Q43" s="220" t="s">
        <v>1818</v>
      </c>
      <c r="R43" s="220"/>
      <c r="S43" s="220" t="s">
        <v>2917</v>
      </c>
      <c r="T43" s="220" t="s">
        <v>2916</v>
      </c>
      <c r="U43" s="220"/>
      <c r="V43" s="220"/>
      <c r="W43" s="220"/>
      <c r="X43" s="220"/>
      <c r="Y43" s="283"/>
      <c r="Z43" s="220"/>
      <c r="AA43" s="220"/>
      <c r="AB43" s="220"/>
      <c r="AC43" s="220"/>
      <c r="AD43" s="220"/>
      <c r="AE43" s="283"/>
      <c r="AF43" s="220"/>
      <c r="AG43" s="220"/>
      <c r="AH43" s="220" t="s">
        <v>2955</v>
      </c>
      <c r="AI43" s="220"/>
      <c r="AJ43" s="226">
        <v>1</v>
      </c>
      <c r="AK43" s="226">
        <v>0</v>
      </c>
      <c r="AL43" s="225">
        <v>0.14699999999999999</v>
      </c>
      <c r="AM43" s="220"/>
      <c r="AN43" s="225">
        <v>1289</v>
      </c>
      <c r="AO43" s="220"/>
      <c r="AP43" s="220"/>
      <c r="AQ43" s="283"/>
      <c r="AR43" s="283"/>
      <c r="AS43" s="283"/>
      <c r="AT43" s="223">
        <v>0</v>
      </c>
      <c r="AU43" s="284">
        <v>50</v>
      </c>
      <c r="AV43" s="221">
        <v>42949</v>
      </c>
      <c r="AW43" s="221">
        <v>42863.720060613399</v>
      </c>
      <c r="AX43" s="220" t="s">
        <v>293</v>
      </c>
      <c r="AY43" s="219" t="s">
        <v>2954</v>
      </c>
    </row>
    <row r="44" spans="1:51" hidden="1" outlineLevel="1" collapsed="1">
      <c r="A44" s="227" t="s">
        <v>289</v>
      </c>
      <c r="B44" s="220" t="s">
        <v>2953</v>
      </c>
      <c r="C44" s="220" t="s">
        <v>2953</v>
      </c>
      <c r="D44" s="220" t="s">
        <v>2952</v>
      </c>
      <c r="E44" s="220" t="s">
        <v>2951</v>
      </c>
      <c r="F44" s="220" t="s">
        <v>2950</v>
      </c>
      <c r="G44" s="220"/>
      <c r="H44" s="220" t="s">
        <v>2949</v>
      </c>
      <c r="I44" s="220" t="s">
        <v>329</v>
      </c>
      <c r="J44" s="220" t="s">
        <v>297</v>
      </c>
      <c r="K44" s="220" t="s">
        <v>328</v>
      </c>
      <c r="L44" s="220" t="s">
        <v>1820</v>
      </c>
      <c r="M44" s="220" t="s">
        <v>1819</v>
      </c>
      <c r="N44" s="220" t="s">
        <v>329</v>
      </c>
      <c r="O44" s="220" t="s">
        <v>297</v>
      </c>
      <c r="P44" s="220" t="s">
        <v>599</v>
      </c>
      <c r="Q44" s="220" t="s">
        <v>1818</v>
      </c>
      <c r="R44" s="220"/>
      <c r="S44" s="220" t="s">
        <v>2917</v>
      </c>
      <c r="T44" s="220" t="s">
        <v>2916</v>
      </c>
      <c r="U44" s="220"/>
      <c r="V44" s="220"/>
      <c r="W44" s="220"/>
      <c r="X44" s="220"/>
      <c r="Y44" s="283"/>
      <c r="Z44" s="220"/>
      <c r="AA44" s="220"/>
      <c r="AB44" s="220"/>
      <c r="AC44" s="220"/>
      <c r="AD44" s="220"/>
      <c r="AE44" s="283"/>
      <c r="AF44" s="220"/>
      <c r="AG44" s="220"/>
      <c r="AH44" s="220" t="s">
        <v>2948</v>
      </c>
      <c r="AI44" s="220"/>
      <c r="AJ44" s="226">
        <v>1</v>
      </c>
      <c r="AK44" s="226">
        <v>0</v>
      </c>
      <c r="AL44" s="225">
        <v>0.14699999999999999</v>
      </c>
      <c r="AM44" s="220"/>
      <c r="AN44" s="225">
        <v>1289</v>
      </c>
      <c r="AO44" s="220"/>
      <c r="AP44" s="220"/>
      <c r="AQ44" s="283"/>
      <c r="AR44" s="283"/>
      <c r="AS44" s="283"/>
      <c r="AT44" s="223">
        <v>0</v>
      </c>
      <c r="AU44" s="284">
        <v>50</v>
      </c>
      <c r="AV44" s="221">
        <v>42888</v>
      </c>
      <c r="AW44" s="221">
        <v>42877.436355127298</v>
      </c>
      <c r="AX44" s="220" t="s">
        <v>293</v>
      </c>
      <c r="AY44" s="219" t="s">
        <v>2947</v>
      </c>
    </row>
    <row r="45" spans="1:51" hidden="1" outlineLevel="1" collapsed="1">
      <c r="A45" s="227" t="s">
        <v>289</v>
      </c>
      <c r="B45" s="220" t="s">
        <v>2946</v>
      </c>
      <c r="C45" s="220" t="s">
        <v>2946</v>
      </c>
      <c r="D45" s="220" t="s">
        <v>2945</v>
      </c>
      <c r="E45" s="220" t="s">
        <v>2944</v>
      </c>
      <c r="F45" s="220" t="s">
        <v>2943</v>
      </c>
      <c r="G45" s="220"/>
      <c r="H45" s="220" t="s">
        <v>2942</v>
      </c>
      <c r="I45" s="220" t="s">
        <v>329</v>
      </c>
      <c r="J45" s="220" t="s">
        <v>297</v>
      </c>
      <c r="K45" s="220" t="s">
        <v>397</v>
      </c>
      <c r="L45" s="220" t="s">
        <v>2919</v>
      </c>
      <c r="M45" s="220" t="s">
        <v>1819</v>
      </c>
      <c r="N45" s="220" t="s">
        <v>329</v>
      </c>
      <c r="O45" s="220" t="s">
        <v>297</v>
      </c>
      <c r="P45" s="220" t="s">
        <v>599</v>
      </c>
      <c r="Q45" s="220" t="s">
        <v>1818</v>
      </c>
      <c r="R45" s="220" t="s">
        <v>2918</v>
      </c>
      <c r="S45" s="220" t="s">
        <v>2917</v>
      </c>
      <c r="T45" s="220" t="s">
        <v>2916</v>
      </c>
      <c r="U45" s="220"/>
      <c r="V45" s="220"/>
      <c r="W45" s="220"/>
      <c r="X45" s="220"/>
      <c r="Y45" s="283"/>
      <c r="Z45" s="220"/>
      <c r="AA45" s="220"/>
      <c r="AB45" s="220"/>
      <c r="AC45" s="220"/>
      <c r="AD45" s="220"/>
      <c r="AE45" s="283"/>
      <c r="AF45" s="220"/>
      <c r="AG45" s="220"/>
      <c r="AH45" s="220" t="s">
        <v>2941</v>
      </c>
      <c r="AI45" s="220"/>
      <c r="AJ45" s="226">
        <v>1</v>
      </c>
      <c r="AK45" s="226">
        <v>0</v>
      </c>
      <c r="AL45" s="225">
        <v>0.14699999999999999</v>
      </c>
      <c r="AM45" s="220"/>
      <c r="AN45" s="225">
        <v>1289</v>
      </c>
      <c r="AO45" s="220"/>
      <c r="AP45" s="220"/>
      <c r="AQ45" s="283"/>
      <c r="AR45" s="283"/>
      <c r="AS45" s="283"/>
      <c r="AT45" s="223">
        <v>0</v>
      </c>
      <c r="AU45" s="284">
        <v>50</v>
      </c>
      <c r="AV45" s="221">
        <v>42956</v>
      </c>
      <c r="AW45" s="221">
        <v>42893.432260960602</v>
      </c>
      <c r="AX45" s="220" t="s">
        <v>293</v>
      </c>
      <c r="AY45" s="219" t="s">
        <v>2940</v>
      </c>
    </row>
    <row r="46" spans="1:51" hidden="1" outlineLevel="1" collapsed="1">
      <c r="A46" s="227" t="s">
        <v>289</v>
      </c>
      <c r="B46" s="220" t="s">
        <v>2939</v>
      </c>
      <c r="C46" s="220" t="s">
        <v>2939</v>
      </c>
      <c r="D46" s="220" t="s">
        <v>2938</v>
      </c>
      <c r="E46" s="220" t="s">
        <v>2937</v>
      </c>
      <c r="F46" s="220" t="s">
        <v>2936</v>
      </c>
      <c r="G46" s="220"/>
      <c r="H46" s="220" t="s">
        <v>2935</v>
      </c>
      <c r="I46" s="220" t="s">
        <v>730</v>
      </c>
      <c r="J46" s="220" t="s">
        <v>297</v>
      </c>
      <c r="K46" s="220" t="s">
        <v>729</v>
      </c>
      <c r="L46" s="220" t="s">
        <v>1820</v>
      </c>
      <c r="M46" s="220" t="s">
        <v>1819</v>
      </c>
      <c r="N46" s="220" t="s">
        <v>329</v>
      </c>
      <c r="O46" s="220" t="s">
        <v>297</v>
      </c>
      <c r="P46" s="220" t="s">
        <v>599</v>
      </c>
      <c r="Q46" s="220" t="s">
        <v>1818</v>
      </c>
      <c r="R46" s="220"/>
      <c r="S46" s="220" t="s">
        <v>2917</v>
      </c>
      <c r="T46" s="220" t="s">
        <v>2934</v>
      </c>
      <c r="U46" s="220"/>
      <c r="V46" s="220"/>
      <c r="W46" s="220"/>
      <c r="X46" s="220"/>
      <c r="Y46" s="283"/>
      <c r="Z46" s="220"/>
      <c r="AA46" s="220"/>
      <c r="AB46" s="220"/>
      <c r="AC46" s="220"/>
      <c r="AD46" s="220"/>
      <c r="AE46" s="283"/>
      <c r="AF46" s="220"/>
      <c r="AG46" s="220"/>
      <c r="AH46" s="220" t="s">
        <v>2933</v>
      </c>
      <c r="AI46" s="220"/>
      <c r="AJ46" s="226">
        <v>1</v>
      </c>
      <c r="AK46" s="226">
        <v>0</v>
      </c>
      <c r="AL46" s="225">
        <v>0.126</v>
      </c>
      <c r="AM46" s="220"/>
      <c r="AN46" s="225">
        <v>1105</v>
      </c>
      <c r="AO46" s="220"/>
      <c r="AP46" s="220"/>
      <c r="AQ46" s="283"/>
      <c r="AR46" s="283"/>
      <c r="AS46" s="283"/>
      <c r="AT46" s="223">
        <v>0</v>
      </c>
      <c r="AU46" s="284">
        <v>50</v>
      </c>
      <c r="AV46" s="221">
        <v>42956</v>
      </c>
      <c r="AW46" s="221">
        <v>42909.677866168997</v>
      </c>
      <c r="AX46" s="220" t="s">
        <v>293</v>
      </c>
      <c r="AY46" s="219" t="s">
        <v>2932</v>
      </c>
    </row>
    <row r="47" spans="1:51" hidden="1" outlineLevel="1" collapsed="1">
      <c r="A47" s="227" t="s">
        <v>289</v>
      </c>
      <c r="B47" s="220" t="s">
        <v>2931</v>
      </c>
      <c r="C47" s="220" t="s">
        <v>2931</v>
      </c>
      <c r="D47" s="220" t="s">
        <v>2930</v>
      </c>
      <c r="E47" s="220" t="s">
        <v>2929</v>
      </c>
      <c r="F47" s="220" t="s">
        <v>2928</v>
      </c>
      <c r="G47" s="220"/>
      <c r="H47" s="220" t="s">
        <v>2927</v>
      </c>
      <c r="I47" s="220" t="s">
        <v>329</v>
      </c>
      <c r="J47" s="220" t="s">
        <v>297</v>
      </c>
      <c r="K47" s="220" t="s">
        <v>328</v>
      </c>
      <c r="L47" s="220" t="s">
        <v>2919</v>
      </c>
      <c r="M47" s="220" t="s">
        <v>1819</v>
      </c>
      <c r="N47" s="220" t="s">
        <v>329</v>
      </c>
      <c r="O47" s="220" t="s">
        <v>297</v>
      </c>
      <c r="P47" s="220" t="s">
        <v>599</v>
      </c>
      <c r="Q47" s="220" t="s">
        <v>1818</v>
      </c>
      <c r="R47" s="220" t="s">
        <v>2918</v>
      </c>
      <c r="S47" s="220" t="s">
        <v>2917</v>
      </c>
      <c r="T47" s="220" t="s">
        <v>2916</v>
      </c>
      <c r="U47" s="220"/>
      <c r="V47" s="220"/>
      <c r="W47" s="220"/>
      <c r="X47" s="220"/>
      <c r="Y47" s="283"/>
      <c r="Z47" s="220"/>
      <c r="AA47" s="220"/>
      <c r="AB47" s="220"/>
      <c r="AC47" s="220"/>
      <c r="AD47" s="220"/>
      <c r="AE47" s="283"/>
      <c r="AF47" s="220"/>
      <c r="AG47" s="220"/>
      <c r="AH47" s="220" t="s">
        <v>2926</v>
      </c>
      <c r="AI47" s="220"/>
      <c r="AJ47" s="226">
        <v>1</v>
      </c>
      <c r="AK47" s="226">
        <v>0</v>
      </c>
      <c r="AL47" s="225">
        <v>0.14699999999999999</v>
      </c>
      <c r="AM47" s="220"/>
      <c r="AN47" s="225">
        <v>1289</v>
      </c>
      <c r="AO47" s="220"/>
      <c r="AP47" s="220"/>
      <c r="AQ47" s="283"/>
      <c r="AR47" s="283"/>
      <c r="AS47" s="283"/>
      <c r="AT47" s="223">
        <v>0</v>
      </c>
      <c r="AU47" s="284">
        <v>50</v>
      </c>
      <c r="AV47" s="221">
        <v>42956</v>
      </c>
      <c r="AW47" s="221">
        <v>42926.743472685201</v>
      </c>
      <c r="AX47" s="220" t="s">
        <v>293</v>
      </c>
      <c r="AY47" s="219" t="s">
        <v>2925</v>
      </c>
    </row>
    <row r="48" spans="1:51" hidden="1" outlineLevel="1" collapsed="1">
      <c r="A48" s="227" t="s">
        <v>289</v>
      </c>
      <c r="B48" s="220" t="s">
        <v>2924</v>
      </c>
      <c r="C48" s="220" t="s">
        <v>2924</v>
      </c>
      <c r="D48" s="220" t="s">
        <v>2923</v>
      </c>
      <c r="E48" s="220" t="s">
        <v>2922</v>
      </c>
      <c r="F48" s="220" t="s">
        <v>2921</v>
      </c>
      <c r="G48" s="220"/>
      <c r="H48" s="220" t="s">
        <v>2920</v>
      </c>
      <c r="I48" s="220" t="s">
        <v>329</v>
      </c>
      <c r="J48" s="220" t="s">
        <v>297</v>
      </c>
      <c r="K48" s="220" t="s">
        <v>328</v>
      </c>
      <c r="L48" s="220" t="s">
        <v>2919</v>
      </c>
      <c r="M48" s="220" t="s">
        <v>1819</v>
      </c>
      <c r="N48" s="220" t="s">
        <v>329</v>
      </c>
      <c r="O48" s="220" t="s">
        <v>297</v>
      </c>
      <c r="P48" s="220" t="s">
        <v>599</v>
      </c>
      <c r="Q48" s="220" t="s">
        <v>1818</v>
      </c>
      <c r="R48" s="220" t="s">
        <v>2918</v>
      </c>
      <c r="S48" s="220" t="s">
        <v>2917</v>
      </c>
      <c r="T48" s="220" t="s">
        <v>2916</v>
      </c>
      <c r="U48" s="220"/>
      <c r="V48" s="220"/>
      <c r="W48" s="220"/>
      <c r="X48" s="220"/>
      <c r="Y48" s="283"/>
      <c r="Z48" s="220"/>
      <c r="AA48" s="220"/>
      <c r="AB48" s="220"/>
      <c r="AC48" s="220"/>
      <c r="AD48" s="220"/>
      <c r="AE48" s="283"/>
      <c r="AF48" s="220"/>
      <c r="AG48" s="220"/>
      <c r="AH48" s="220" t="s">
        <v>2915</v>
      </c>
      <c r="AI48" s="220"/>
      <c r="AJ48" s="226">
        <v>1</v>
      </c>
      <c r="AK48" s="226">
        <v>0</v>
      </c>
      <c r="AL48" s="225">
        <v>0.14699999999999999</v>
      </c>
      <c r="AM48" s="220"/>
      <c r="AN48" s="225">
        <v>1289</v>
      </c>
      <c r="AO48" s="220"/>
      <c r="AP48" s="220"/>
      <c r="AQ48" s="283"/>
      <c r="AR48" s="283"/>
      <c r="AS48" s="283"/>
      <c r="AT48" s="223">
        <v>0</v>
      </c>
      <c r="AU48" s="284">
        <v>50</v>
      </c>
      <c r="AV48" s="221">
        <v>42956</v>
      </c>
      <c r="AW48" s="221">
        <v>42937.741820833297</v>
      </c>
      <c r="AX48" s="220" t="s">
        <v>293</v>
      </c>
      <c r="AY48" s="219" t="s">
        <v>2914</v>
      </c>
    </row>
    <row r="49" spans="1:51" collapsed="1">
      <c r="A49" s="235" t="s">
        <v>2913</v>
      </c>
      <c r="B49" s="234">
        <v>48</v>
      </c>
      <c r="C49" s="279" t="s">
        <v>289</v>
      </c>
      <c r="D49" s="279" t="s">
        <v>289</v>
      </c>
      <c r="E49" s="279" t="s">
        <v>289</v>
      </c>
      <c r="F49" s="279" t="s">
        <v>289</v>
      </c>
      <c r="G49" s="279" t="s">
        <v>289</v>
      </c>
      <c r="H49" s="279" t="s">
        <v>289</v>
      </c>
      <c r="I49" s="279" t="s">
        <v>289</v>
      </c>
      <c r="J49" s="279" t="s">
        <v>289</v>
      </c>
      <c r="K49" s="279" t="s">
        <v>289</v>
      </c>
      <c r="L49" s="279" t="s">
        <v>289</v>
      </c>
      <c r="M49" s="279" t="s">
        <v>289</v>
      </c>
      <c r="N49" s="279" t="s">
        <v>289</v>
      </c>
      <c r="O49" s="279" t="s">
        <v>289</v>
      </c>
      <c r="P49" s="279" t="s">
        <v>289</v>
      </c>
      <c r="Q49" s="279" t="s">
        <v>289</v>
      </c>
      <c r="R49" s="279" t="s">
        <v>289</v>
      </c>
      <c r="S49" s="279" t="s">
        <v>289</v>
      </c>
      <c r="T49" s="279" t="s">
        <v>289</v>
      </c>
      <c r="U49" s="279" t="s">
        <v>289</v>
      </c>
      <c r="V49" s="279" t="s">
        <v>289</v>
      </c>
      <c r="W49" s="279" t="s">
        <v>289</v>
      </c>
      <c r="X49" s="279" t="s">
        <v>289</v>
      </c>
      <c r="Y49" s="231" t="s">
        <v>289</v>
      </c>
      <c r="Z49" s="231" t="s">
        <v>289</v>
      </c>
      <c r="AA49" s="231" t="s">
        <v>289</v>
      </c>
      <c r="AB49" s="231" t="s">
        <v>289</v>
      </c>
      <c r="AC49" s="231" t="s">
        <v>289</v>
      </c>
      <c r="AD49" s="231" t="s">
        <v>289</v>
      </c>
      <c r="AE49" s="231" t="s">
        <v>289</v>
      </c>
      <c r="AF49" s="231" t="s">
        <v>289</v>
      </c>
      <c r="AG49" s="231" t="s">
        <v>289</v>
      </c>
      <c r="AH49" s="231" t="s">
        <v>289</v>
      </c>
      <c r="AI49" s="231" t="s">
        <v>289</v>
      </c>
      <c r="AJ49" s="233">
        <v>1220</v>
      </c>
      <c r="AK49" s="233">
        <v>0</v>
      </c>
      <c r="AL49" s="232">
        <v>493.85037</v>
      </c>
      <c r="AM49" s="279"/>
      <c r="AN49" s="232">
        <v>2011742.5374</v>
      </c>
      <c r="AO49" s="279"/>
      <c r="AP49" s="279"/>
      <c r="AQ49" s="231"/>
      <c r="AR49" s="231"/>
      <c r="AS49" s="231"/>
      <c r="AT49" s="230">
        <v>0</v>
      </c>
      <c r="AU49" s="229">
        <v>212345.44996</v>
      </c>
      <c r="AV49" s="663" t="s">
        <v>289</v>
      </c>
      <c r="AW49" s="658"/>
      <c r="AX49" s="664"/>
      <c r="AY49" s="228" t="s">
        <v>289</v>
      </c>
    </row>
    <row r="50" spans="1:51" hidden="1" outlineLevel="1" collapsed="1">
      <c r="A50" s="227" t="s">
        <v>289</v>
      </c>
      <c r="B50" s="220" t="s">
        <v>2912</v>
      </c>
      <c r="C50" s="220" t="s">
        <v>2912</v>
      </c>
      <c r="D50" s="220" t="s">
        <v>2911</v>
      </c>
      <c r="E50" s="220" t="s">
        <v>2910</v>
      </c>
      <c r="F50" s="220" t="s">
        <v>2910</v>
      </c>
      <c r="G50" s="220" t="s">
        <v>2910</v>
      </c>
      <c r="H50" s="220" t="s">
        <v>2909</v>
      </c>
      <c r="I50" s="220" t="s">
        <v>320</v>
      </c>
      <c r="J50" s="220" t="s">
        <v>297</v>
      </c>
      <c r="K50" s="220" t="s">
        <v>319</v>
      </c>
      <c r="L50" s="220" t="s">
        <v>2908</v>
      </c>
      <c r="M50" s="220" t="s">
        <v>2907</v>
      </c>
      <c r="N50" s="220" t="s">
        <v>320</v>
      </c>
      <c r="O50" s="220" t="s">
        <v>297</v>
      </c>
      <c r="P50" s="220" t="s">
        <v>319</v>
      </c>
      <c r="Q50" s="220" t="s">
        <v>2906</v>
      </c>
      <c r="R50" s="220" t="s">
        <v>2905</v>
      </c>
      <c r="S50" s="220" t="s">
        <v>2675</v>
      </c>
      <c r="T50" s="220" t="s">
        <v>2674</v>
      </c>
      <c r="U50" s="220" t="s">
        <v>2127</v>
      </c>
      <c r="V50" s="220" t="s">
        <v>2126</v>
      </c>
      <c r="W50" s="220" t="s">
        <v>2885</v>
      </c>
      <c r="X50" s="220" t="s">
        <v>2127</v>
      </c>
      <c r="Y50" s="283"/>
      <c r="Z50" s="220"/>
      <c r="AA50" s="220"/>
      <c r="AB50" s="220"/>
      <c r="AC50" s="220"/>
      <c r="AD50" s="220"/>
      <c r="AE50" s="283"/>
      <c r="AF50" s="220"/>
      <c r="AG50" s="220"/>
      <c r="AH50" s="220"/>
      <c r="AI50" s="220"/>
      <c r="AJ50" s="226">
        <v>1</v>
      </c>
      <c r="AK50" s="226">
        <v>0</v>
      </c>
      <c r="AL50" s="225">
        <v>1.34</v>
      </c>
      <c r="AM50" s="220"/>
      <c r="AN50" s="225">
        <v>2680</v>
      </c>
      <c r="AO50" s="220"/>
      <c r="AP50" s="220"/>
      <c r="AQ50" s="283"/>
      <c r="AR50" s="283"/>
      <c r="AS50" s="283"/>
      <c r="AT50" s="223">
        <v>0</v>
      </c>
      <c r="AU50" s="284">
        <v>600</v>
      </c>
      <c r="AV50" s="221">
        <v>42619</v>
      </c>
      <c r="AW50" s="221">
        <v>42619.763930752299</v>
      </c>
      <c r="AX50" s="220" t="s">
        <v>293</v>
      </c>
      <c r="AY50" s="219" t="s">
        <v>2904</v>
      </c>
    </row>
    <row r="51" spans="1:51" hidden="1" outlineLevel="1" collapsed="1">
      <c r="A51" s="227" t="s">
        <v>289</v>
      </c>
      <c r="B51" s="220" t="s">
        <v>2903</v>
      </c>
      <c r="C51" s="220" t="s">
        <v>2903</v>
      </c>
      <c r="D51" s="220" t="s">
        <v>2902</v>
      </c>
      <c r="E51" s="220" t="s">
        <v>2901</v>
      </c>
      <c r="F51" s="220" t="s">
        <v>2901</v>
      </c>
      <c r="G51" s="220" t="s">
        <v>2901</v>
      </c>
      <c r="H51" s="220" t="s">
        <v>2900</v>
      </c>
      <c r="I51" s="220" t="s">
        <v>531</v>
      </c>
      <c r="J51" s="220" t="s">
        <v>297</v>
      </c>
      <c r="K51" s="220" t="s">
        <v>530</v>
      </c>
      <c r="L51" s="220" t="s">
        <v>601</v>
      </c>
      <c r="M51" s="220" t="s">
        <v>600</v>
      </c>
      <c r="N51" s="220" t="s">
        <v>329</v>
      </c>
      <c r="O51" s="220" t="s">
        <v>297</v>
      </c>
      <c r="P51" s="220" t="s">
        <v>599</v>
      </c>
      <c r="Q51" s="220" t="s">
        <v>598</v>
      </c>
      <c r="R51" s="220"/>
      <c r="S51" s="220" t="s">
        <v>2675</v>
      </c>
      <c r="T51" s="220" t="s">
        <v>2674</v>
      </c>
      <c r="U51" s="220" t="s">
        <v>2127</v>
      </c>
      <c r="V51" s="220" t="s">
        <v>2126</v>
      </c>
      <c r="W51" s="220" t="s">
        <v>2673</v>
      </c>
      <c r="X51" s="220"/>
      <c r="Y51" s="283"/>
      <c r="Z51" s="220"/>
      <c r="AA51" s="220"/>
      <c r="AB51" s="220"/>
      <c r="AC51" s="220"/>
      <c r="AD51" s="220"/>
      <c r="AE51" s="283"/>
      <c r="AF51" s="220"/>
      <c r="AG51" s="220"/>
      <c r="AH51" s="220"/>
      <c r="AI51" s="220"/>
      <c r="AJ51" s="226">
        <v>1</v>
      </c>
      <c r="AK51" s="226">
        <v>0</v>
      </c>
      <c r="AL51" s="225">
        <v>0</v>
      </c>
      <c r="AM51" s="220"/>
      <c r="AN51" s="225">
        <v>25818</v>
      </c>
      <c r="AO51" s="220"/>
      <c r="AP51" s="220"/>
      <c r="AQ51" s="283"/>
      <c r="AR51" s="283"/>
      <c r="AS51" s="283"/>
      <c r="AT51" s="223">
        <v>0</v>
      </c>
      <c r="AU51" s="284">
        <v>3500</v>
      </c>
      <c r="AV51" s="221">
        <v>42629</v>
      </c>
      <c r="AW51" s="221">
        <v>42629.4936606134</v>
      </c>
      <c r="AX51" s="220" t="s">
        <v>293</v>
      </c>
      <c r="AY51" s="219" t="s">
        <v>2899</v>
      </c>
    </row>
    <row r="52" spans="1:51" hidden="1" outlineLevel="1" collapsed="1">
      <c r="A52" s="227" t="s">
        <v>289</v>
      </c>
      <c r="B52" s="220" t="s">
        <v>2898</v>
      </c>
      <c r="C52" s="220" t="s">
        <v>2898</v>
      </c>
      <c r="D52" s="220" t="s">
        <v>2897</v>
      </c>
      <c r="E52" s="220" t="s">
        <v>2896</v>
      </c>
      <c r="F52" s="220" t="s">
        <v>2896</v>
      </c>
      <c r="G52" s="220" t="s">
        <v>2896</v>
      </c>
      <c r="H52" s="220" t="s">
        <v>2895</v>
      </c>
      <c r="I52" s="220" t="s">
        <v>382</v>
      </c>
      <c r="J52" s="220" t="s">
        <v>297</v>
      </c>
      <c r="K52" s="220" t="s">
        <v>381</v>
      </c>
      <c r="L52" s="220" t="s">
        <v>2211</v>
      </c>
      <c r="M52" s="220" t="s">
        <v>2210</v>
      </c>
      <c r="N52" s="220" t="s">
        <v>298</v>
      </c>
      <c r="O52" s="220" t="s">
        <v>297</v>
      </c>
      <c r="P52" s="220" t="s">
        <v>296</v>
      </c>
      <c r="Q52" s="220" t="s">
        <v>2209</v>
      </c>
      <c r="R52" s="220" t="s">
        <v>2208</v>
      </c>
      <c r="S52" s="220" t="s">
        <v>2675</v>
      </c>
      <c r="T52" s="220" t="s">
        <v>2674</v>
      </c>
      <c r="U52" s="220" t="s">
        <v>2202</v>
      </c>
      <c r="V52" s="220" t="s">
        <v>2126</v>
      </c>
      <c r="W52" s="220" t="s">
        <v>2673</v>
      </c>
      <c r="X52" s="220"/>
      <c r="Y52" s="283"/>
      <c r="Z52" s="220"/>
      <c r="AA52" s="220"/>
      <c r="AB52" s="220"/>
      <c r="AC52" s="220"/>
      <c r="AD52" s="220"/>
      <c r="AE52" s="283"/>
      <c r="AF52" s="220"/>
      <c r="AG52" s="220"/>
      <c r="AH52" s="220"/>
      <c r="AI52" s="220"/>
      <c r="AJ52" s="226">
        <v>1</v>
      </c>
      <c r="AK52" s="226">
        <v>0</v>
      </c>
      <c r="AL52" s="225">
        <v>0.39</v>
      </c>
      <c r="AM52" s="220"/>
      <c r="AN52" s="225">
        <v>722</v>
      </c>
      <c r="AO52" s="220"/>
      <c r="AP52" s="220"/>
      <c r="AQ52" s="283"/>
      <c r="AR52" s="283"/>
      <c r="AS52" s="283"/>
      <c r="AT52" s="223">
        <v>0</v>
      </c>
      <c r="AU52" s="284">
        <v>132</v>
      </c>
      <c r="AV52" s="221">
        <v>42651</v>
      </c>
      <c r="AW52" s="221">
        <v>42651.623066168999</v>
      </c>
      <c r="AX52" s="220" t="s">
        <v>293</v>
      </c>
      <c r="AY52" s="219" t="s">
        <v>2894</v>
      </c>
    </row>
    <row r="53" spans="1:51" hidden="1" outlineLevel="1" collapsed="1">
      <c r="A53" s="227" t="s">
        <v>289</v>
      </c>
      <c r="B53" s="220" t="s">
        <v>2893</v>
      </c>
      <c r="C53" s="220" t="s">
        <v>2893</v>
      </c>
      <c r="D53" s="220" t="s">
        <v>2892</v>
      </c>
      <c r="E53" s="220" t="s">
        <v>2891</v>
      </c>
      <c r="F53" s="220" t="s">
        <v>2891</v>
      </c>
      <c r="G53" s="220" t="s">
        <v>2891</v>
      </c>
      <c r="H53" s="220" t="s">
        <v>849</v>
      </c>
      <c r="I53" s="220" t="s">
        <v>329</v>
      </c>
      <c r="J53" s="220" t="s">
        <v>297</v>
      </c>
      <c r="K53" s="220" t="s">
        <v>848</v>
      </c>
      <c r="L53" s="220" t="s">
        <v>601</v>
      </c>
      <c r="M53" s="220" t="s">
        <v>600</v>
      </c>
      <c r="N53" s="220" t="s">
        <v>329</v>
      </c>
      <c r="O53" s="220" t="s">
        <v>297</v>
      </c>
      <c r="P53" s="220" t="s">
        <v>599</v>
      </c>
      <c r="Q53" s="220" t="s">
        <v>598</v>
      </c>
      <c r="R53" s="220"/>
      <c r="S53" s="220" t="s">
        <v>2675</v>
      </c>
      <c r="T53" s="220" t="s">
        <v>2674</v>
      </c>
      <c r="U53" s="220" t="s">
        <v>2193</v>
      </c>
      <c r="V53" s="220" t="s">
        <v>2126</v>
      </c>
      <c r="W53" s="220" t="s">
        <v>2673</v>
      </c>
      <c r="X53" s="220"/>
      <c r="Y53" s="283"/>
      <c r="Z53" s="220"/>
      <c r="AA53" s="220"/>
      <c r="AB53" s="220"/>
      <c r="AC53" s="220"/>
      <c r="AD53" s="220"/>
      <c r="AE53" s="283"/>
      <c r="AF53" s="220"/>
      <c r="AG53" s="220"/>
      <c r="AH53" s="220"/>
      <c r="AI53" s="220"/>
      <c r="AJ53" s="226">
        <v>1</v>
      </c>
      <c r="AK53" s="226">
        <v>0</v>
      </c>
      <c r="AL53" s="225">
        <v>75</v>
      </c>
      <c r="AM53" s="220"/>
      <c r="AN53" s="225">
        <v>273000</v>
      </c>
      <c r="AO53" s="220"/>
      <c r="AP53" s="220"/>
      <c r="AQ53" s="283"/>
      <c r="AR53" s="283"/>
      <c r="AS53" s="283"/>
      <c r="AT53" s="223">
        <v>0</v>
      </c>
      <c r="AU53" s="284">
        <v>25000</v>
      </c>
      <c r="AV53" s="221">
        <v>42651</v>
      </c>
      <c r="AW53" s="221">
        <v>42651.672404317098</v>
      </c>
      <c r="AX53" s="220" t="s">
        <v>293</v>
      </c>
      <c r="AY53" s="219" t="s">
        <v>2890</v>
      </c>
    </row>
    <row r="54" spans="1:51" hidden="1" outlineLevel="1" collapsed="1">
      <c r="A54" s="227" t="s">
        <v>289</v>
      </c>
      <c r="B54" s="220" t="s">
        <v>2889</v>
      </c>
      <c r="C54" s="220" t="s">
        <v>2889</v>
      </c>
      <c r="D54" s="220" t="s">
        <v>2888</v>
      </c>
      <c r="E54" s="220" t="s">
        <v>2887</v>
      </c>
      <c r="F54" s="220" t="s">
        <v>2887</v>
      </c>
      <c r="G54" s="220" t="s">
        <v>2887</v>
      </c>
      <c r="H54" s="220" t="s">
        <v>2886</v>
      </c>
      <c r="I54" s="220" t="s">
        <v>329</v>
      </c>
      <c r="J54" s="220" t="s">
        <v>297</v>
      </c>
      <c r="K54" s="220" t="s">
        <v>328</v>
      </c>
      <c r="L54" s="220" t="s">
        <v>2299</v>
      </c>
      <c r="M54" s="220" t="s">
        <v>2298</v>
      </c>
      <c r="N54" s="220" t="s">
        <v>329</v>
      </c>
      <c r="O54" s="220" t="s">
        <v>297</v>
      </c>
      <c r="P54" s="220" t="s">
        <v>397</v>
      </c>
      <c r="Q54" s="220" t="s">
        <v>2297</v>
      </c>
      <c r="R54" s="220"/>
      <c r="S54" s="220" t="s">
        <v>2675</v>
      </c>
      <c r="T54" s="220" t="s">
        <v>2674</v>
      </c>
      <c r="U54" s="220" t="s">
        <v>2127</v>
      </c>
      <c r="V54" s="220" t="s">
        <v>2126</v>
      </c>
      <c r="W54" s="220" t="s">
        <v>2885</v>
      </c>
      <c r="X54" s="220"/>
      <c r="Y54" s="283"/>
      <c r="Z54" s="220"/>
      <c r="AA54" s="220"/>
      <c r="AB54" s="220"/>
      <c r="AC54" s="220"/>
      <c r="AD54" s="220"/>
      <c r="AE54" s="283"/>
      <c r="AF54" s="220"/>
      <c r="AG54" s="220"/>
      <c r="AH54" s="220"/>
      <c r="AI54" s="220"/>
      <c r="AJ54" s="226">
        <v>15</v>
      </c>
      <c r="AK54" s="226">
        <v>0</v>
      </c>
      <c r="AL54" s="225">
        <v>3.3</v>
      </c>
      <c r="AM54" s="220"/>
      <c r="AN54" s="225">
        <v>8505</v>
      </c>
      <c r="AO54" s="220"/>
      <c r="AP54" s="220"/>
      <c r="AQ54" s="283"/>
      <c r="AR54" s="283"/>
      <c r="AS54" s="283"/>
      <c r="AT54" s="223">
        <v>0</v>
      </c>
      <c r="AU54" s="284">
        <v>1837.5</v>
      </c>
      <c r="AV54" s="221">
        <v>42663</v>
      </c>
      <c r="AW54" s="221">
        <v>42663.748231481499</v>
      </c>
      <c r="AX54" s="220" t="s">
        <v>293</v>
      </c>
      <c r="AY54" s="219" t="s">
        <v>2884</v>
      </c>
    </row>
    <row r="55" spans="1:51" hidden="1" outlineLevel="1" collapsed="1">
      <c r="A55" s="227" t="s">
        <v>289</v>
      </c>
      <c r="B55" s="220" t="s">
        <v>2883</v>
      </c>
      <c r="C55" s="220" t="s">
        <v>2883</v>
      </c>
      <c r="D55" s="220" t="s">
        <v>2882</v>
      </c>
      <c r="E55" s="220" t="s">
        <v>2881</v>
      </c>
      <c r="F55" s="220" t="s">
        <v>2881</v>
      </c>
      <c r="G55" s="220" t="s">
        <v>2881</v>
      </c>
      <c r="H55" s="220" t="s">
        <v>2880</v>
      </c>
      <c r="I55" s="220" t="s">
        <v>480</v>
      </c>
      <c r="J55" s="220" t="s">
        <v>297</v>
      </c>
      <c r="K55" s="220" t="s">
        <v>479</v>
      </c>
      <c r="L55" s="220" t="s">
        <v>2237</v>
      </c>
      <c r="M55" s="220" t="s">
        <v>2236</v>
      </c>
      <c r="N55" s="220" t="s">
        <v>1252</v>
      </c>
      <c r="O55" s="220" t="s">
        <v>297</v>
      </c>
      <c r="P55" s="220" t="s">
        <v>1251</v>
      </c>
      <c r="Q55" s="220" t="s">
        <v>2235</v>
      </c>
      <c r="R55" s="220"/>
      <c r="S55" s="220" t="s">
        <v>2675</v>
      </c>
      <c r="T55" s="220" t="s">
        <v>2674</v>
      </c>
      <c r="U55" s="220" t="s">
        <v>2127</v>
      </c>
      <c r="V55" s="220" t="s">
        <v>2126</v>
      </c>
      <c r="W55" s="220" t="s">
        <v>2706</v>
      </c>
      <c r="X55" s="220"/>
      <c r="Y55" s="283"/>
      <c r="Z55" s="220"/>
      <c r="AA55" s="220"/>
      <c r="AB55" s="220"/>
      <c r="AC55" s="220"/>
      <c r="AD55" s="220"/>
      <c r="AE55" s="283"/>
      <c r="AF55" s="220"/>
      <c r="AG55" s="220"/>
      <c r="AH55" s="220"/>
      <c r="AI55" s="220"/>
      <c r="AJ55" s="226">
        <v>1</v>
      </c>
      <c r="AK55" s="226">
        <v>0</v>
      </c>
      <c r="AL55" s="225">
        <v>10.78</v>
      </c>
      <c r="AM55" s="220"/>
      <c r="AN55" s="225">
        <v>125192</v>
      </c>
      <c r="AO55" s="220"/>
      <c r="AP55" s="220"/>
      <c r="AQ55" s="283"/>
      <c r="AR55" s="283"/>
      <c r="AS55" s="283"/>
      <c r="AT55" s="223">
        <v>0</v>
      </c>
      <c r="AU55" s="284">
        <v>11250</v>
      </c>
      <c r="AV55" s="221">
        <v>42739</v>
      </c>
      <c r="AW55" s="221">
        <v>42678.650670289397</v>
      </c>
      <c r="AX55" s="220" t="s">
        <v>293</v>
      </c>
      <c r="AY55" s="219" t="s">
        <v>2879</v>
      </c>
    </row>
    <row r="56" spans="1:51" hidden="1" outlineLevel="1" collapsed="1">
      <c r="A56" s="227" t="s">
        <v>289</v>
      </c>
      <c r="B56" s="220" t="s">
        <v>2877</v>
      </c>
      <c r="C56" s="220" t="s">
        <v>2877</v>
      </c>
      <c r="D56" s="220" t="s">
        <v>722</v>
      </c>
      <c r="E56" s="220" t="s">
        <v>2573</v>
      </c>
      <c r="F56" s="220" t="s">
        <v>2573</v>
      </c>
      <c r="G56" s="220" t="s">
        <v>658</v>
      </c>
      <c r="H56" s="220" t="s">
        <v>719</v>
      </c>
      <c r="I56" s="220" t="s">
        <v>298</v>
      </c>
      <c r="J56" s="220" t="s">
        <v>297</v>
      </c>
      <c r="K56" s="220" t="s">
        <v>296</v>
      </c>
      <c r="L56" s="220" t="s">
        <v>2340</v>
      </c>
      <c r="M56" s="220" t="s">
        <v>2339</v>
      </c>
      <c r="N56" s="220" t="s">
        <v>298</v>
      </c>
      <c r="O56" s="220" t="s">
        <v>297</v>
      </c>
      <c r="P56" s="220" t="s">
        <v>296</v>
      </c>
      <c r="Q56" s="220" t="s">
        <v>2338</v>
      </c>
      <c r="R56" s="220"/>
      <c r="S56" s="220" t="s">
        <v>2675</v>
      </c>
      <c r="T56" s="220" t="s">
        <v>2674</v>
      </c>
      <c r="U56" s="220" t="s">
        <v>2373</v>
      </c>
      <c r="V56" s="220" t="s">
        <v>2126</v>
      </c>
      <c r="W56" s="220" t="s">
        <v>2673</v>
      </c>
      <c r="X56" s="220"/>
      <c r="Y56" s="283"/>
      <c r="Z56" s="220"/>
      <c r="AA56" s="220"/>
      <c r="AB56" s="220"/>
      <c r="AC56" s="220"/>
      <c r="AD56" s="220"/>
      <c r="AE56" s="283"/>
      <c r="AF56" s="220"/>
      <c r="AG56" s="220"/>
      <c r="AH56" s="220"/>
      <c r="AI56" s="220"/>
      <c r="AJ56" s="226">
        <v>25</v>
      </c>
      <c r="AK56" s="226">
        <v>0</v>
      </c>
      <c r="AL56" s="225">
        <v>6.0250000000000004</v>
      </c>
      <c r="AM56" s="220"/>
      <c r="AN56" s="225">
        <v>12532</v>
      </c>
      <c r="AO56" s="220"/>
      <c r="AP56" s="220"/>
      <c r="AQ56" s="283"/>
      <c r="AR56" s="283"/>
      <c r="AS56" s="283"/>
      <c r="AT56" s="223">
        <v>0</v>
      </c>
      <c r="AU56" s="284">
        <v>860.75</v>
      </c>
      <c r="AV56" s="221">
        <v>42718</v>
      </c>
      <c r="AW56" s="221">
        <v>42682.559961192099</v>
      </c>
      <c r="AX56" s="220" t="s">
        <v>293</v>
      </c>
      <c r="AY56" s="219" t="s">
        <v>2876</v>
      </c>
    </row>
    <row r="57" spans="1:51" hidden="1" outlineLevel="1" collapsed="1">
      <c r="A57" s="227" t="s">
        <v>289</v>
      </c>
      <c r="B57" s="220" t="s">
        <v>2877</v>
      </c>
      <c r="C57" s="220" t="s">
        <v>2877</v>
      </c>
      <c r="D57" s="220" t="s">
        <v>722</v>
      </c>
      <c r="E57" s="220" t="s">
        <v>2573</v>
      </c>
      <c r="F57" s="220" t="s">
        <v>2573</v>
      </c>
      <c r="G57" s="220" t="s">
        <v>658</v>
      </c>
      <c r="H57" s="220" t="s">
        <v>719</v>
      </c>
      <c r="I57" s="220" t="s">
        <v>298</v>
      </c>
      <c r="J57" s="220" t="s">
        <v>297</v>
      </c>
      <c r="K57" s="220" t="s">
        <v>296</v>
      </c>
      <c r="L57" s="220" t="s">
        <v>2340</v>
      </c>
      <c r="M57" s="220" t="s">
        <v>2339</v>
      </c>
      <c r="N57" s="220" t="s">
        <v>298</v>
      </c>
      <c r="O57" s="220" t="s">
        <v>297</v>
      </c>
      <c r="P57" s="220" t="s">
        <v>296</v>
      </c>
      <c r="Q57" s="220" t="s">
        <v>2338</v>
      </c>
      <c r="R57" s="220"/>
      <c r="S57" s="220" t="s">
        <v>2675</v>
      </c>
      <c r="T57" s="220" t="s">
        <v>2674</v>
      </c>
      <c r="U57" s="220" t="s">
        <v>2373</v>
      </c>
      <c r="V57" s="220" t="s">
        <v>2126</v>
      </c>
      <c r="W57" s="220" t="s">
        <v>2673</v>
      </c>
      <c r="X57" s="220"/>
      <c r="Y57" s="283"/>
      <c r="Z57" s="220"/>
      <c r="AA57" s="220"/>
      <c r="AB57" s="220"/>
      <c r="AC57" s="220"/>
      <c r="AD57" s="220"/>
      <c r="AE57" s="283"/>
      <c r="AF57" s="220"/>
      <c r="AG57" s="220"/>
      <c r="AH57" s="220"/>
      <c r="AI57" s="220"/>
      <c r="AJ57" s="226">
        <v>12</v>
      </c>
      <c r="AK57" s="226">
        <v>0</v>
      </c>
      <c r="AL57" s="225">
        <v>2.88</v>
      </c>
      <c r="AM57" s="220"/>
      <c r="AN57" s="225">
        <v>6012</v>
      </c>
      <c r="AO57" s="220"/>
      <c r="AP57" s="220"/>
      <c r="AQ57" s="283"/>
      <c r="AR57" s="283"/>
      <c r="AS57" s="283"/>
      <c r="AT57" s="223">
        <v>0</v>
      </c>
      <c r="AU57" s="284">
        <v>960</v>
      </c>
      <c r="AV57" s="221">
        <v>42718</v>
      </c>
      <c r="AW57" s="221">
        <v>42682.559961192099</v>
      </c>
      <c r="AX57" s="220" t="s">
        <v>293</v>
      </c>
      <c r="AY57" s="219" t="s">
        <v>2878</v>
      </c>
    </row>
    <row r="58" spans="1:51" ht="20.399999999999999" hidden="1" outlineLevel="1" collapsed="1">
      <c r="A58" s="227" t="s">
        <v>289</v>
      </c>
      <c r="B58" s="220" t="s">
        <v>2875</v>
      </c>
      <c r="C58" s="220" t="s">
        <v>2875</v>
      </c>
      <c r="D58" s="220" t="s">
        <v>2568</v>
      </c>
      <c r="E58" s="220" t="s">
        <v>2567</v>
      </c>
      <c r="F58" s="220" t="s">
        <v>2567</v>
      </c>
      <c r="G58" s="220" t="s">
        <v>2567</v>
      </c>
      <c r="H58" s="220" t="s">
        <v>2566</v>
      </c>
      <c r="I58" s="220" t="s">
        <v>329</v>
      </c>
      <c r="J58" s="220" t="s">
        <v>297</v>
      </c>
      <c r="K58" s="220" t="s">
        <v>397</v>
      </c>
      <c r="L58" s="220" t="s">
        <v>2565</v>
      </c>
      <c r="M58" s="220" t="s">
        <v>2564</v>
      </c>
      <c r="N58" s="220" t="s">
        <v>2563</v>
      </c>
      <c r="O58" s="220" t="s">
        <v>2562</v>
      </c>
      <c r="P58" s="220" t="s">
        <v>2561</v>
      </c>
      <c r="Q58" s="220" t="s">
        <v>2560</v>
      </c>
      <c r="R58" s="220"/>
      <c r="S58" s="220" t="s">
        <v>2675</v>
      </c>
      <c r="T58" s="220" t="s">
        <v>2674</v>
      </c>
      <c r="U58" s="220" t="s">
        <v>2193</v>
      </c>
      <c r="V58" s="220" t="s">
        <v>2126</v>
      </c>
      <c r="W58" s="220" t="s">
        <v>2673</v>
      </c>
      <c r="X58" s="220"/>
      <c r="Y58" s="283"/>
      <c r="Z58" s="220"/>
      <c r="AA58" s="220"/>
      <c r="AB58" s="220"/>
      <c r="AC58" s="220"/>
      <c r="AD58" s="220"/>
      <c r="AE58" s="283"/>
      <c r="AF58" s="220"/>
      <c r="AG58" s="220"/>
      <c r="AH58" s="220"/>
      <c r="AI58" s="220"/>
      <c r="AJ58" s="226">
        <v>302</v>
      </c>
      <c r="AK58" s="226">
        <v>0</v>
      </c>
      <c r="AL58" s="225">
        <v>51.34</v>
      </c>
      <c r="AM58" s="220"/>
      <c r="AN58" s="225">
        <v>222876</v>
      </c>
      <c r="AO58" s="220"/>
      <c r="AP58" s="220"/>
      <c r="AQ58" s="283"/>
      <c r="AR58" s="283"/>
      <c r="AS58" s="283"/>
      <c r="AT58" s="223">
        <v>0</v>
      </c>
      <c r="AU58" s="284">
        <v>5285</v>
      </c>
      <c r="AV58" s="221">
        <v>42772</v>
      </c>
      <c r="AW58" s="221">
        <v>42683.777487650499</v>
      </c>
      <c r="AX58" s="220" t="s">
        <v>293</v>
      </c>
      <c r="AY58" s="219" t="s">
        <v>2874</v>
      </c>
    </row>
    <row r="59" spans="1:51" ht="20.399999999999999" hidden="1" outlineLevel="1" collapsed="1">
      <c r="A59" s="227" t="s">
        <v>289</v>
      </c>
      <c r="B59" s="220" t="s">
        <v>2873</v>
      </c>
      <c r="C59" s="220" t="s">
        <v>2873</v>
      </c>
      <c r="D59" s="220" t="s">
        <v>2872</v>
      </c>
      <c r="E59" s="220" t="s">
        <v>2871</v>
      </c>
      <c r="F59" s="220" t="s">
        <v>2719</v>
      </c>
      <c r="G59" s="220" t="s">
        <v>2719</v>
      </c>
      <c r="H59" s="220" t="s">
        <v>2870</v>
      </c>
      <c r="I59" s="220" t="s">
        <v>329</v>
      </c>
      <c r="J59" s="220" t="s">
        <v>297</v>
      </c>
      <c r="K59" s="220" t="s">
        <v>397</v>
      </c>
      <c r="L59" s="220" t="s">
        <v>2389</v>
      </c>
      <c r="M59" s="220" t="s">
        <v>2388</v>
      </c>
      <c r="N59" s="220" t="s">
        <v>329</v>
      </c>
      <c r="O59" s="220" t="s">
        <v>297</v>
      </c>
      <c r="P59" s="220" t="s">
        <v>397</v>
      </c>
      <c r="Q59" s="220" t="s">
        <v>2387</v>
      </c>
      <c r="R59" s="220" t="s">
        <v>2386</v>
      </c>
      <c r="S59" s="220" t="s">
        <v>2675</v>
      </c>
      <c r="T59" s="220" t="s">
        <v>2674</v>
      </c>
      <c r="U59" s="220" t="s">
        <v>2127</v>
      </c>
      <c r="V59" s="220" t="s">
        <v>2126</v>
      </c>
      <c r="W59" s="220" t="s">
        <v>2673</v>
      </c>
      <c r="X59" s="220"/>
      <c r="Y59" s="283"/>
      <c r="Z59" s="220"/>
      <c r="AA59" s="220"/>
      <c r="AB59" s="220"/>
      <c r="AC59" s="220"/>
      <c r="AD59" s="220"/>
      <c r="AE59" s="283"/>
      <c r="AF59" s="220"/>
      <c r="AG59" s="220"/>
      <c r="AH59" s="220"/>
      <c r="AI59" s="220"/>
      <c r="AJ59" s="226">
        <v>16</v>
      </c>
      <c r="AK59" s="226">
        <v>0</v>
      </c>
      <c r="AL59" s="225">
        <v>5.76</v>
      </c>
      <c r="AM59" s="220"/>
      <c r="AN59" s="225">
        <v>20960</v>
      </c>
      <c r="AO59" s="220"/>
      <c r="AP59" s="220"/>
      <c r="AQ59" s="283"/>
      <c r="AR59" s="283"/>
      <c r="AS59" s="283"/>
      <c r="AT59" s="223">
        <v>0</v>
      </c>
      <c r="AU59" s="284">
        <v>2400</v>
      </c>
      <c r="AV59" s="221">
        <v>42685</v>
      </c>
      <c r="AW59" s="221">
        <v>42685.562243055603</v>
      </c>
      <c r="AX59" s="220" t="s">
        <v>293</v>
      </c>
      <c r="AY59" s="219" t="s">
        <v>2869</v>
      </c>
    </row>
    <row r="60" spans="1:51" ht="20.399999999999999" hidden="1" outlineLevel="1" collapsed="1">
      <c r="A60" s="227" t="s">
        <v>289</v>
      </c>
      <c r="B60" s="220" t="s">
        <v>2866</v>
      </c>
      <c r="C60" s="220" t="s">
        <v>2866</v>
      </c>
      <c r="D60" s="220" t="s">
        <v>2865</v>
      </c>
      <c r="E60" s="220" t="s">
        <v>2864</v>
      </c>
      <c r="F60" s="220" t="s">
        <v>2864</v>
      </c>
      <c r="G60" s="220" t="s">
        <v>2864</v>
      </c>
      <c r="H60" s="220" t="s">
        <v>2863</v>
      </c>
      <c r="I60" s="220" t="s">
        <v>298</v>
      </c>
      <c r="J60" s="220" t="s">
        <v>297</v>
      </c>
      <c r="K60" s="220" t="s">
        <v>296</v>
      </c>
      <c r="L60" s="220" t="s">
        <v>1017</v>
      </c>
      <c r="M60" s="220" t="s">
        <v>1016</v>
      </c>
      <c r="N60" s="220" t="s">
        <v>329</v>
      </c>
      <c r="O60" s="220" t="s">
        <v>297</v>
      </c>
      <c r="P60" s="220" t="s">
        <v>848</v>
      </c>
      <c r="Q60" s="220" t="s">
        <v>1015</v>
      </c>
      <c r="R60" s="220" t="s">
        <v>1014</v>
      </c>
      <c r="S60" s="220" t="s">
        <v>2675</v>
      </c>
      <c r="T60" s="220" t="s">
        <v>2674</v>
      </c>
      <c r="U60" s="220" t="s">
        <v>2127</v>
      </c>
      <c r="V60" s="220" t="s">
        <v>2459</v>
      </c>
      <c r="W60" s="220" t="s">
        <v>2673</v>
      </c>
      <c r="X60" s="220"/>
      <c r="Y60" s="283"/>
      <c r="Z60" s="220"/>
      <c r="AA60" s="220"/>
      <c r="AB60" s="220"/>
      <c r="AC60" s="220"/>
      <c r="AD60" s="220"/>
      <c r="AE60" s="283"/>
      <c r="AF60" s="220"/>
      <c r="AG60" s="220"/>
      <c r="AH60" s="220"/>
      <c r="AI60" s="220"/>
      <c r="AJ60" s="226">
        <v>11</v>
      </c>
      <c r="AK60" s="226">
        <v>0</v>
      </c>
      <c r="AL60" s="225">
        <v>0</v>
      </c>
      <c r="AM60" s="220"/>
      <c r="AN60" s="225">
        <v>11946</v>
      </c>
      <c r="AO60" s="220"/>
      <c r="AP60" s="220"/>
      <c r="AQ60" s="283"/>
      <c r="AR60" s="283"/>
      <c r="AS60" s="283"/>
      <c r="AT60" s="223">
        <v>0</v>
      </c>
      <c r="AU60" s="284">
        <v>412.5</v>
      </c>
      <c r="AV60" s="221">
        <v>42685</v>
      </c>
      <c r="AW60" s="221">
        <v>42685.718518831003</v>
      </c>
      <c r="AX60" s="220" t="s">
        <v>293</v>
      </c>
      <c r="AY60" s="219" t="s">
        <v>2868</v>
      </c>
    </row>
    <row r="61" spans="1:51" ht="20.399999999999999" hidden="1" outlineLevel="1" collapsed="1">
      <c r="A61" s="227" t="s">
        <v>289</v>
      </c>
      <c r="B61" s="220" t="s">
        <v>2866</v>
      </c>
      <c r="C61" s="220" t="s">
        <v>2866</v>
      </c>
      <c r="D61" s="220" t="s">
        <v>2865</v>
      </c>
      <c r="E61" s="220" t="s">
        <v>2864</v>
      </c>
      <c r="F61" s="220" t="s">
        <v>2864</v>
      </c>
      <c r="G61" s="220" t="s">
        <v>2864</v>
      </c>
      <c r="H61" s="220" t="s">
        <v>2863</v>
      </c>
      <c r="I61" s="220" t="s">
        <v>298</v>
      </c>
      <c r="J61" s="220" t="s">
        <v>297</v>
      </c>
      <c r="K61" s="220" t="s">
        <v>296</v>
      </c>
      <c r="L61" s="220" t="s">
        <v>1017</v>
      </c>
      <c r="M61" s="220" t="s">
        <v>1016</v>
      </c>
      <c r="N61" s="220" t="s">
        <v>329</v>
      </c>
      <c r="O61" s="220" t="s">
        <v>297</v>
      </c>
      <c r="P61" s="220" t="s">
        <v>848</v>
      </c>
      <c r="Q61" s="220" t="s">
        <v>1015</v>
      </c>
      <c r="R61" s="220" t="s">
        <v>1014</v>
      </c>
      <c r="S61" s="220" t="s">
        <v>2675</v>
      </c>
      <c r="T61" s="220" t="s">
        <v>2674</v>
      </c>
      <c r="U61" s="220" t="s">
        <v>2127</v>
      </c>
      <c r="V61" s="220" t="s">
        <v>2459</v>
      </c>
      <c r="W61" s="220" t="s">
        <v>2673</v>
      </c>
      <c r="X61" s="220"/>
      <c r="Y61" s="283"/>
      <c r="Z61" s="220"/>
      <c r="AA61" s="220"/>
      <c r="AB61" s="220"/>
      <c r="AC61" s="220"/>
      <c r="AD61" s="220"/>
      <c r="AE61" s="283"/>
      <c r="AF61" s="220"/>
      <c r="AG61" s="220"/>
      <c r="AH61" s="220"/>
      <c r="AI61" s="220"/>
      <c r="AJ61" s="226">
        <v>15</v>
      </c>
      <c r="AK61" s="226">
        <v>0</v>
      </c>
      <c r="AL61" s="225">
        <v>0.75</v>
      </c>
      <c r="AM61" s="220"/>
      <c r="AN61" s="225">
        <v>1530</v>
      </c>
      <c r="AO61" s="220"/>
      <c r="AP61" s="220"/>
      <c r="AQ61" s="283"/>
      <c r="AR61" s="283"/>
      <c r="AS61" s="283"/>
      <c r="AT61" s="223">
        <v>0</v>
      </c>
      <c r="AU61" s="284">
        <v>273.75</v>
      </c>
      <c r="AV61" s="221">
        <v>42685</v>
      </c>
      <c r="AW61" s="221">
        <v>42685.718518831003</v>
      </c>
      <c r="AX61" s="220" t="s">
        <v>293</v>
      </c>
      <c r="AY61" s="219" t="s">
        <v>2862</v>
      </c>
    </row>
    <row r="62" spans="1:51" ht="20.399999999999999" hidden="1" outlineLevel="1" collapsed="1">
      <c r="A62" s="227" t="s">
        <v>289</v>
      </c>
      <c r="B62" s="220" t="s">
        <v>2866</v>
      </c>
      <c r="C62" s="220" t="s">
        <v>2866</v>
      </c>
      <c r="D62" s="220" t="s">
        <v>2865</v>
      </c>
      <c r="E62" s="220" t="s">
        <v>2864</v>
      </c>
      <c r="F62" s="220" t="s">
        <v>2864</v>
      </c>
      <c r="G62" s="220" t="s">
        <v>2864</v>
      </c>
      <c r="H62" s="220" t="s">
        <v>2863</v>
      </c>
      <c r="I62" s="220" t="s">
        <v>298</v>
      </c>
      <c r="J62" s="220" t="s">
        <v>297</v>
      </c>
      <c r="K62" s="220" t="s">
        <v>296</v>
      </c>
      <c r="L62" s="220" t="s">
        <v>1017</v>
      </c>
      <c r="M62" s="220" t="s">
        <v>1016</v>
      </c>
      <c r="N62" s="220" t="s">
        <v>329</v>
      </c>
      <c r="O62" s="220" t="s">
        <v>297</v>
      </c>
      <c r="P62" s="220" t="s">
        <v>848</v>
      </c>
      <c r="Q62" s="220" t="s">
        <v>1015</v>
      </c>
      <c r="R62" s="220" t="s">
        <v>1014</v>
      </c>
      <c r="S62" s="220" t="s">
        <v>2675</v>
      </c>
      <c r="T62" s="220" t="s">
        <v>2674</v>
      </c>
      <c r="U62" s="220" t="s">
        <v>2127</v>
      </c>
      <c r="V62" s="220" t="s">
        <v>2459</v>
      </c>
      <c r="W62" s="220" t="s">
        <v>2673</v>
      </c>
      <c r="X62" s="220"/>
      <c r="Y62" s="283"/>
      <c r="Z62" s="220"/>
      <c r="AA62" s="220"/>
      <c r="AB62" s="220"/>
      <c r="AC62" s="220"/>
      <c r="AD62" s="220"/>
      <c r="AE62" s="283"/>
      <c r="AF62" s="220"/>
      <c r="AG62" s="220"/>
      <c r="AH62" s="220"/>
      <c r="AI62" s="220"/>
      <c r="AJ62" s="226">
        <v>44</v>
      </c>
      <c r="AK62" s="226">
        <v>0</v>
      </c>
      <c r="AL62" s="225">
        <v>0.88</v>
      </c>
      <c r="AM62" s="220"/>
      <c r="AN62" s="225">
        <v>2112</v>
      </c>
      <c r="AO62" s="220"/>
      <c r="AP62" s="220"/>
      <c r="AQ62" s="283"/>
      <c r="AR62" s="283"/>
      <c r="AS62" s="283"/>
      <c r="AT62" s="223">
        <v>0</v>
      </c>
      <c r="AU62" s="284">
        <v>378.4</v>
      </c>
      <c r="AV62" s="221">
        <v>42685</v>
      </c>
      <c r="AW62" s="221">
        <v>42685.718518831003</v>
      </c>
      <c r="AX62" s="220" t="s">
        <v>293</v>
      </c>
      <c r="AY62" s="219" t="s">
        <v>2867</v>
      </c>
    </row>
    <row r="63" spans="1:51" hidden="1" outlineLevel="1" collapsed="1">
      <c r="A63" s="227" t="s">
        <v>289</v>
      </c>
      <c r="B63" s="220" t="s">
        <v>2861</v>
      </c>
      <c r="C63" s="220" t="s">
        <v>2861</v>
      </c>
      <c r="D63" s="220" t="s">
        <v>2546</v>
      </c>
      <c r="E63" s="220" t="s">
        <v>2545</v>
      </c>
      <c r="F63" s="220" t="s">
        <v>2545</v>
      </c>
      <c r="G63" s="220" t="s">
        <v>2544</v>
      </c>
      <c r="H63" s="220" t="s">
        <v>2543</v>
      </c>
      <c r="I63" s="220" t="s">
        <v>329</v>
      </c>
      <c r="J63" s="220" t="s">
        <v>297</v>
      </c>
      <c r="K63" s="220" t="s">
        <v>397</v>
      </c>
      <c r="L63" s="220" t="s">
        <v>601</v>
      </c>
      <c r="M63" s="220" t="s">
        <v>600</v>
      </c>
      <c r="N63" s="220" t="s">
        <v>329</v>
      </c>
      <c r="O63" s="220" t="s">
        <v>297</v>
      </c>
      <c r="P63" s="220" t="s">
        <v>599</v>
      </c>
      <c r="Q63" s="220" t="s">
        <v>598</v>
      </c>
      <c r="R63" s="220"/>
      <c r="S63" s="220" t="s">
        <v>2675</v>
      </c>
      <c r="T63" s="220" t="s">
        <v>2674</v>
      </c>
      <c r="U63" s="220" t="s">
        <v>2193</v>
      </c>
      <c r="V63" s="220" t="s">
        <v>2126</v>
      </c>
      <c r="W63" s="220" t="s">
        <v>2673</v>
      </c>
      <c r="X63" s="220"/>
      <c r="Y63" s="283"/>
      <c r="Z63" s="220"/>
      <c r="AA63" s="220"/>
      <c r="AB63" s="220"/>
      <c r="AC63" s="220"/>
      <c r="AD63" s="220"/>
      <c r="AE63" s="283"/>
      <c r="AF63" s="220"/>
      <c r="AG63" s="220"/>
      <c r="AH63" s="220"/>
      <c r="AI63" s="220"/>
      <c r="AJ63" s="226">
        <v>1</v>
      </c>
      <c r="AK63" s="226">
        <v>0</v>
      </c>
      <c r="AL63" s="225">
        <v>10.199999999999999</v>
      </c>
      <c r="AM63" s="220"/>
      <c r="AN63" s="225">
        <v>34489</v>
      </c>
      <c r="AO63" s="220"/>
      <c r="AP63" s="220"/>
      <c r="AQ63" s="283"/>
      <c r="AR63" s="283"/>
      <c r="AS63" s="283"/>
      <c r="AT63" s="223">
        <v>0</v>
      </c>
      <c r="AU63" s="284">
        <v>1094.6600000000001</v>
      </c>
      <c r="AV63" s="221">
        <v>42705</v>
      </c>
      <c r="AW63" s="221">
        <v>42705.441600231497</v>
      </c>
      <c r="AX63" s="220" t="s">
        <v>293</v>
      </c>
      <c r="AY63" s="219" t="s">
        <v>2860</v>
      </c>
    </row>
    <row r="64" spans="1:51" hidden="1" outlineLevel="1" collapsed="1">
      <c r="A64" s="227" t="s">
        <v>289</v>
      </c>
      <c r="B64" s="220" t="s">
        <v>2859</v>
      </c>
      <c r="C64" s="220" t="s">
        <v>2859</v>
      </c>
      <c r="D64" s="220" t="s">
        <v>2858</v>
      </c>
      <c r="E64" s="220" t="s">
        <v>2277</v>
      </c>
      <c r="F64" s="220" t="s">
        <v>2277</v>
      </c>
      <c r="G64" s="220" t="s">
        <v>2277</v>
      </c>
      <c r="H64" s="220" t="s">
        <v>2857</v>
      </c>
      <c r="I64" s="220" t="s">
        <v>345</v>
      </c>
      <c r="J64" s="220" t="s">
        <v>297</v>
      </c>
      <c r="K64" s="220" t="s">
        <v>344</v>
      </c>
      <c r="L64" s="220" t="s">
        <v>1017</v>
      </c>
      <c r="M64" s="220" t="s">
        <v>1016</v>
      </c>
      <c r="N64" s="220" t="s">
        <v>329</v>
      </c>
      <c r="O64" s="220" t="s">
        <v>297</v>
      </c>
      <c r="P64" s="220" t="s">
        <v>848</v>
      </c>
      <c r="Q64" s="220" t="s">
        <v>1015</v>
      </c>
      <c r="R64" s="220" t="s">
        <v>1014</v>
      </c>
      <c r="S64" s="220" t="s">
        <v>2675</v>
      </c>
      <c r="T64" s="220" t="s">
        <v>2674</v>
      </c>
      <c r="U64" s="220" t="s">
        <v>2127</v>
      </c>
      <c r="V64" s="220" t="s">
        <v>2126</v>
      </c>
      <c r="W64" s="220" t="s">
        <v>2673</v>
      </c>
      <c r="X64" s="220"/>
      <c r="Y64" s="283"/>
      <c r="Z64" s="220"/>
      <c r="AA64" s="220"/>
      <c r="AB64" s="220"/>
      <c r="AC64" s="220"/>
      <c r="AD64" s="220"/>
      <c r="AE64" s="283"/>
      <c r="AF64" s="220"/>
      <c r="AG64" s="220"/>
      <c r="AH64" s="220"/>
      <c r="AI64" s="220"/>
      <c r="AJ64" s="226">
        <v>16</v>
      </c>
      <c r="AK64" s="226">
        <v>0</v>
      </c>
      <c r="AL64" s="225">
        <v>0</v>
      </c>
      <c r="AM64" s="220"/>
      <c r="AN64" s="225">
        <v>4752</v>
      </c>
      <c r="AO64" s="220"/>
      <c r="AP64" s="220"/>
      <c r="AQ64" s="283"/>
      <c r="AR64" s="283"/>
      <c r="AS64" s="283"/>
      <c r="AT64" s="223">
        <v>0</v>
      </c>
      <c r="AU64" s="284">
        <v>280</v>
      </c>
      <c r="AV64" s="221">
        <v>42705</v>
      </c>
      <c r="AW64" s="221">
        <v>42705.516738460603</v>
      </c>
      <c r="AX64" s="220" t="s">
        <v>293</v>
      </c>
      <c r="AY64" s="219" t="s">
        <v>2856</v>
      </c>
    </row>
    <row r="65" spans="1:51" hidden="1" outlineLevel="1" collapsed="1">
      <c r="A65" s="227" t="s">
        <v>289</v>
      </c>
      <c r="B65" s="220" t="s">
        <v>2855</v>
      </c>
      <c r="C65" s="220" t="s">
        <v>2855</v>
      </c>
      <c r="D65" s="220" t="s">
        <v>2539</v>
      </c>
      <c r="E65" s="220" t="s">
        <v>2538</v>
      </c>
      <c r="F65" s="220" t="s">
        <v>2538</v>
      </c>
      <c r="G65" s="220" t="s">
        <v>2538</v>
      </c>
      <c r="H65" s="220" t="s">
        <v>2537</v>
      </c>
      <c r="I65" s="220" t="s">
        <v>329</v>
      </c>
      <c r="J65" s="220" t="s">
        <v>297</v>
      </c>
      <c r="K65" s="220" t="s">
        <v>397</v>
      </c>
      <c r="L65" s="220" t="s">
        <v>1017</v>
      </c>
      <c r="M65" s="220" t="s">
        <v>1016</v>
      </c>
      <c r="N65" s="220" t="s">
        <v>329</v>
      </c>
      <c r="O65" s="220" t="s">
        <v>297</v>
      </c>
      <c r="P65" s="220" t="s">
        <v>848</v>
      </c>
      <c r="Q65" s="220" t="s">
        <v>1015</v>
      </c>
      <c r="R65" s="220" t="s">
        <v>1014</v>
      </c>
      <c r="S65" s="220" t="s">
        <v>2675</v>
      </c>
      <c r="T65" s="220" t="s">
        <v>2674</v>
      </c>
      <c r="U65" s="220" t="s">
        <v>2127</v>
      </c>
      <c r="V65" s="220" t="s">
        <v>2126</v>
      </c>
      <c r="W65" s="220" t="s">
        <v>2673</v>
      </c>
      <c r="X65" s="220"/>
      <c r="Y65" s="283"/>
      <c r="Z65" s="220"/>
      <c r="AA65" s="220"/>
      <c r="AB65" s="220"/>
      <c r="AC65" s="220"/>
      <c r="AD65" s="220"/>
      <c r="AE65" s="283"/>
      <c r="AF65" s="220"/>
      <c r="AG65" s="220"/>
      <c r="AH65" s="220"/>
      <c r="AI65" s="220"/>
      <c r="AJ65" s="226">
        <v>1</v>
      </c>
      <c r="AK65" s="226">
        <v>0</v>
      </c>
      <c r="AL65" s="225">
        <v>17.79</v>
      </c>
      <c r="AM65" s="220"/>
      <c r="AN65" s="225">
        <v>54371</v>
      </c>
      <c r="AO65" s="220"/>
      <c r="AP65" s="220"/>
      <c r="AQ65" s="283"/>
      <c r="AR65" s="283"/>
      <c r="AS65" s="283"/>
      <c r="AT65" s="223">
        <v>0</v>
      </c>
      <c r="AU65" s="284">
        <v>5488</v>
      </c>
      <c r="AV65" s="221">
        <v>42705</v>
      </c>
      <c r="AW65" s="221">
        <v>42705.814410266197</v>
      </c>
      <c r="AX65" s="220" t="s">
        <v>293</v>
      </c>
      <c r="AY65" s="219" t="s">
        <v>2854</v>
      </c>
    </row>
    <row r="66" spans="1:51" hidden="1" outlineLevel="1" collapsed="1">
      <c r="A66" s="227" t="s">
        <v>289</v>
      </c>
      <c r="B66" s="220" t="s">
        <v>2853</v>
      </c>
      <c r="C66" s="220" t="s">
        <v>2853</v>
      </c>
      <c r="D66" s="220" t="s">
        <v>2852</v>
      </c>
      <c r="E66" s="220" t="s">
        <v>2499</v>
      </c>
      <c r="F66" s="220" t="s">
        <v>2499</v>
      </c>
      <c r="G66" s="220" t="s">
        <v>2499</v>
      </c>
      <c r="H66" s="220" t="s">
        <v>2851</v>
      </c>
      <c r="I66" s="220" t="s">
        <v>1252</v>
      </c>
      <c r="J66" s="220" t="s">
        <v>297</v>
      </c>
      <c r="K66" s="220" t="s">
        <v>1251</v>
      </c>
      <c r="L66" s="220" t="s">
        <v>601</v>
      </c>
      <c r="M66" s="220" t="s">
        <v>600</v>
      </c>
      <c r="N66" s="220" t="s">
        <v>329</v>
      </c>
      <c r="O66" s="220" t="s">
        <v>297</v>
      </c>
      <c r="P66" s="220" t="s">
        <v>599</v>
      </c>
      <c r="Q66" s="220" t="s">
        <v>598</v>
      </c>
      <c r="R66" s="220"/>
      <c r="S66" s="220" t="s">
        <v>2675</v>
      </c>
      <c r="T66" s="220" t="s">
        <v>2674</v>
      </c>
      <c r="U66" s="220" t="s">
        <v>2193</v>
      </c>
      <c r="V66" s="220" t="s">
        <v>2459</v>
      </c>
      <c r="W66" s="220" t="s">
        <v>2673</v>
      </c>
      <c r="X66" s="220"/>
      <c r="Y66" s="283"/>
      <c r="Z66" s="220"/>
      <c r="AA66" s="220"/>
      <c r="AB66" s="220"/>
      <c r="AC66" s="220"/>
      <c r="AD66" s="220"/>
      <c r="AE66" s="283"/>
      <c r="AF66" s="220"/>
      <c r="AG66" s="220"/>
      <c r="AH66" s="220"/>
      <c r="AI66" s="220"/>
      <c r="AJ66" s="226">
        <v>1</v>
      </c>
      <c r="AK66" s="226">
        <v>0</v>
      </c>
      <c r="AL66" s="225">
        <v>19.399999999999999</v>
      </c>
      <c r="AM66" s="220"/>
      <c r="AN66" s="225">
        <v>88836</v>
      </c>
      <c r="AO66" s="220"/>
      <c r="AP66" s="220"/>
      <c r="AQ66" s="283"/>
      <c r="AR66" s="283"/>
      <c r="AS66" s="283"/>
      <c r="AT66" s="223">
        <v>0</v>
      </c>
      <c r="AU66" s="284">
        <v>10000</v>
      </c>
      <c r="AV66" s="221">
        <v>42709</v>
      </c>
      <c r="AW66" s="221">
        <v>42709.703605324103</v>
      </c>
      <c r="AX66" s="220" t="s">
        <v>293</v>
      </c>
      <c r="AY66" s="219" t="s">
        <v>2850</v>
      </c>
    </row>
    <row r="67" spans="1:51" hidden="1" outlineLevel="1" collapsed="1">
      <c r="A67" s="227" t="s">
        <v>289</v>
      </c>
      <c r="B67" s="220" t="s">
        <v>2849</v>
      </c>
      <c r="C67" s="220" t="s">
        <v>2849</v>
      </c>
      <c r="D67" s="220" t="s">
        <v>2533</v>
      </c>
      <c r="E67" s="220" t="s">
        <v>2532</v>
      </c>
      <c r="F67" s="220" t="s">
        <v>2532</v>
      </c>
      <c r="G67" s="220" t="s">
        <v>2532</v>
      </c>
      <c r="H67" s="220" t="s">
        <v>2531</v>
      </c>
      <c r="I67" s="220" t="s">
        <v>329</v>
      </c>
      <c r="J67" s="220" t="s">
        <v>297</v>
      </c>
      <c r="K67" s="220" t="s">
        <v>328</v>
      </c>
      <c r="L67" s="220" t="s">
        <v>1017</v>
      </c>
      <c r="M67" s="220" t="s">
        <v>1016</v>
      </c>
      <c r="N67" s="220" t="s">
        <v>329</v>
      </c>
      <c r="O67" s="220" t="s">
        <v>297</v>
      </c>
      <c r="P67" s="220" t="s">
        <v>848</v>
      </c>
      <c r="Q67" s="220" t="s">
        <v>1015</v>
      </c>
      <c r="R67" s="220" t="s">
        <v>1014</v>
      </c>
      <c r="S67" s="220" t="s">
        <v>2675</v>
      </c>
      <c r="T67" s="220" t="s">
        <v>2674</v>
      </c>
      <c r="U67" s="220" t="s">
        <v>2127</v>
      </c>
      <c r="V67" s="220" t="s">
        <v>2126</v>
      </c>
      <c r="W67" s="220" t="s">
        <v>2673</v>
      </c>
      <c r="X67" s="220"/>
      <c r="Y67" s="283"/>
      <c r="Z67" s="220"/>
      <c r="AA67" s="220"/>
      <c r="AB67" s="220"/>
      <c r="AC67" s="220"/>
      <c r="AD67" s="220"/>
      <c r="AE67" s="283"/>
      <c r="AF67" s="220"/>
      <c r="AG67" s="220"/>
      <c r="AH67" s="220"/>
      <c r="AI67" s="220"/>
      <c r="AJ67" s="226">
        <v>16</v>
      </c>
      <c r="AK67" s="226">
        <v>0</v>
      </c>
      <c r="AL67" s="225">
        <v>3.68</v>
      </c>
      <c r="AM67" s="220"/>
      <c r="AN67" s="225">
        <v>5984</v>
      </c>
      <c r="AO67" s="220"/>
      <c r="AP67" s="220"/>
      <c r="AQ67" s="283"/>
      <c r="AR67" s="283"/>
      <c r="AS67" s="283"/>
      <c r="AT67" s="223">
        <v>0</v>
      </c>
      <c r="AU67" s="284">
        <v>548.32000000000005</v>
      </c>
      <c r="AV67" s="221">
        <v>42710</v>
      </c>
      <c r="AW67" s="221">
        <v>42710.779431215298</v>
      </c>
      <c r="AX67" s="220" t="s">
        <v>293</v>
      </c>
      <c r="AY67" s="219" t="s">
        <v>2848</v>
      </c>
    </row>
    <row r="68" spans="1:51" hidden="1" outlineLevel="1" collapsed="1">
      <c r="A68" s="227" t="s">
        <v>289</v>
      </c>
      <c r="B68" s="220" t="s">
        <v>2847</v>
      </c>
      <c r="C68" s="220" t="s">
        <v>2847</v>
      </c>
      <c r="D68" s="220" t="s">
        <v>2846</v>
      </c>
      <c r="E68" s="220" t="s">
        <v>2841</v>
      </c>
      <c r="F68" s="220" t="s">
        <v>2841</v>
      </c>
      <c r="G68" s="220" t="s">
        <v>2841</v>
      </c>
      <c r="H68" s="220" t="s">
        <v>2845</v>
      </c>
      <c r="I68" s="220" t="s">
        <v>337</v>
      </c>
      <c r="J68" s="220" t="s">
        <v>297</v>
      </c>
      <c r="K68" s="220" t="s">
        <v>336</v>
      </c>
      <c r="L68" s="220" t="s">
        <v>2257</v>
      </c>
      <c r="M68" s="220" t="s">
        <v>2256</v>
      </c>
      <c r="N68" s="220" t="s">
        <v>337</v>
      </c>
      <c r="O68" s="220" t="s">
        <v>297</v>
      </c>
      <c r="P68" s="220" t="s">
        <v>336</v>
      </c>
      <c r="Q68" s="220" t="s">
        <v>2255</v>
      </c>
      <c r="R68" s="220" t="s">
        <v>2254</v>
      </c>
      <c r="S68" s="220" t="s">
        <v>2675</v>
      </c>
      <c r="T68" s="220" t="s">
        <v>2674</v>
      </c>
      <c r="U68" s="220" t="s">
        <v>2378</v>
      </c>
      <c r="V68" s="220" t="s">
        <v>2126</v>
      </c>
      <c r="W68" s="220" t="s">
        <v>2673</v>
      </c>
      <c r="X68" s="220" t="s">
        <v>2731</v>
      </c>
      <c r="Y68" s="283"/>
      <c r="Z68" s="220"/>
      <c r="AA68" s="220"/>
      <c r="AB68" s="220"/>
      <c r="AC68" s="220"/>
      <c r="AD68" s="220"/>
      <c r="AE68" s="283"/>
      <c r="AF68" s="220"/>
      <c r="AG68" s="220"/>
      <c r="AH68" s="220"/>
      <c r="AI68" s="220"/>
      <c r="AJ68" s="226">
        <v>11</v>
      </c>
      <c r="AK68" s="226">
        <v>0</v>
      </c>
      <c r="AL68" s="225">
        <v>0.77</v>
      </c>
      <c r="AM68" s="220"/>
      <c r="AN68" s="225">
        <v>4103</v>
      </c>
      <c r="AO68" s="220"/>
      <c r="AP68" s="220"/>
      <c r="AQ68" s="283"/>
      <c r="AR68" s="283"/>
      <c r="AS68" s="283"/>
      <c r="AT68" s="223">
        <v>0</v>
      </c>
      <c r="AU68" s="284">
        <v>664.95</v>
      </c>
      <c r="AV68" s="221">
        <v>42716</v>
      </c>
      <c r="AW68" s="221">
        <v>42716.659610532399</v>
      </c>
      <c r="AX68" s="220" t="s">
        <v>293</v>
      </c>
      <c r="AY68" s="219" t="s">
        <v>2844</v>
      </c>
    </row>
    <row r="69" spans="1:51" hidden="1" outlineLevel="1" collapsed="1">
      <c r="A69" s="227" t="s">
        <v>289</v>
      </c>
      <c r="B69" s="220" t="s">
        <v>2843</v>
      </c>
      <c r="C69" s="220" t="s">
        <v>2843</v>
      </c>
      <c r="D69" s="220" t="s">
        <v>2842</v>
      </c>
      <c r="E69" s="220" t="s">
        <v>2841</v>
      </c>
      <c r="F69" s="220" t="s">
        <v>2841</v>
      </c>
      <c r="G69" s="220" t="s">
        <v>2841</v>
      </c>
      <c r="H69" s="220" t="s">
        <v>2840</v>
      </c>
      <c r="I69" s="220" t="s">
        <v>1252</v>
      </c>
      <c r="J69" s="220" t="s">
        <v>297</v>
      </c>
      <c r="K69" s="220" t="s">
        <v>1251</v>
      </c>
      <c r="L69" s="220" t="s">
        <v>2257</v>
      </c>
      <c r="M69" s="220" t="s">
        <v>2256</v>
      </c>
      <c r="N69" s="220" t="s">
        <v>337</v>
      </c>
      <c r="O69" s="220" t="s">
        <v>297</v>
      </c>
      <c r="P69" s="220" t="s">
        <v>336</v>
      </c>
      <c r="Q69" s="220" t="s">
        <v>2255</v>
      </c>
      <c r="R69" s="220" t="s">
        <v>2254</v>
      </c>
      <c r="S69" s="220" t="s">
        <v>2675</v>
      </c>
      <c r="T69" s="220" t="s">
        <v>2674</v>
      </c>
      <c r="U69" s="220" t="s">
        <v>2378</v>
      </c>
      <c r="V69" s="220" t="s">
        <v>2126</v>
      </c>
      <c r="W69" s="220" t="s">
        <v>2673</v>
      </c>
      <c r="X69" s="220"/>
      <c r="Y69" s="283"/>
      <c r="Z69" s="220"/>
      <c r="AA69" s="220"/>
      <c r="AB69" s="220"/>
      <c r="AC69" s="220"/>
      <c r="AD69" s="220"/>
      <c r="AE69" s="283"/>
      <c r="AF69" s="220"/>
      <c r="AG69" s="220"/>
      <c r="AH69" s="220"/>
      <c r="AI69" s="220"/>
      <c r="AJ69" s="226">
        <v>23</v>
      </c>
      <c r="AK69" s="226">
        <v>0</v>
      </c>
      <c r="AL69" s="225">
        <v>1.61</v>
      </c>
      <c r="AM69" s="220"/>
      <c r="AN69" s="225">
        <v>8579</v>
      </c>
      <c r="AO69" s="220"/>
      <c r="AP69" s="220"/>
      <c r="AQ69" s="283"/>
      <c r="AR69" s="283"/>
      <c r="AS69" s="283"/>
      <c r="AT69" s="223">
        <v>0</v>
      </c>
      <c r="AU69" s="284">
        <v>1390.35</v>
      </c>
      <c r="AV69" s="221">
        <v>42716</v>
      </c>
      <c r="AW69" s="221">
        <v>42716.668909259301</v>
      </c>
      <c r="AX69" s="220" t="s">
        <v>293</v>
      </c>
      <c r="AY69" s="219" t="s">
        <v>2839</v>
      </c>
    </row>
    <row r="70" spans="1:51" hidden="1" outlineLevel="1" collapsed="1">
      <c r="A70" s="227" t="s">
        <v>289</v>
      </c>
      <c r="B70" s="220" t="s">
        <v>2838</v>
      </c>
      <c r="C70" s="220" t="s">
        <v>2838</v>
      </c>
      <c r="D70" s="220" t="s">
        <v>2837</v>
      </c>
      <c r="E70" s="220" t="s">
        <v>2836</v>
      </c>
      <c r="F70" s="220" t="s">
        <v>2836</v>
      </c>
      <c r="G70" s="220" t="s">
        <v>2836</v>
      </c>
      <c r="H70" s="220" t="s">
        <v>2835</v>
      </c>
      <c r="I70" s="220" t="s">
        <v>2832</v>
      </c>
      <c r="J70" s="220" t="s">
        <v>297</v>
      </c>
      <c r="K70" s="220" t="s">
        <v>2831</v>
      </c>
      <c r="L70" s="220" t="s">
        <v>2834</v>
      </c>
      <c r="M70" s="220" t="s">
        <v>2833</v>
      </c>
      <c r="N70" s="220" t="s">
        <v>2832</v>
      </c>
      <c r="O70" s="220" t="s">
        <v>297</v>
      </c>
      <c r="P70" s="220" t="s">
        <v>2831</v>
      </c>
      <c r="Q70" s="220" t="s">
        <v>2830</v>
      </c>
      <c r="R70" s="220" t="s">
        <v>2829</v>
      </c>
      <c r="S70" s="220" t="s">
        <v>2675</v>
      </c>
      <c r="T70" s="220" t="s">
        <v>2674</v>
      </c>
      <c r="U70" s="220" t="s">
        <v>2127</v>
      </c>
      <c r="V70" s="220" t="s">
        <v>2126</v>
      </c>
      <c r="W70" s="220" t="s">
        <v>2673</v>
      </c>
      <c r="X70" s="220"/>
      <c r="Y70" s="283"/>
      <c r="Z70" s="220"/>
      <c r="AA70" s="220"/>
      <c r="AB70" s="220"/>
      <c r="AC70" s="220"/>
      <c r="AD70" s="220"/>
      <c r="AE70" s="283"/>
      <c r="AF70" s="220"/>
      <c r="AG70" s="220"/>
      <c r="AH70" s="220"/>
      <c r="AI70" s="220"/>
      <c r="AJ70" s="226">
        <v>1</v>
      </c>
      <c r="AK70" s="226">
        <v>0</v>
      </c>
      <c r="AL70" s="225">
        <v>5.2</v>
      </c>
      <c r="AM70" s="220"/>
      <c r="AN70" s="225">
        <v>4753</v>
      </c>
      <c r="AO70" s="220"/>
      <c r="AP70" s="220"/>
      <c r="AQ70" s="283"/>
      <c r="AR70" s="283"/>
      <c r="AS70" s="283"/>
      <c r="AT70" s="223">
        <v>0</v>
      </c>
      <c r="AU70" s="284">
        <v>991.86</v>
      </c>
      <c r="AV70" s="221">
        <v>42739</v>
      </c>
      <c r="AW70" s="221">
        <v>42739.569581134303</v>
      </c>
      <c r="AX70" s="220" t="s">
        <v>293</v>
      </c>
      <c r="AY70" s="219" t="s">
        <v>2828</v>
      </c>
    </row>
    <row r="71" spans="1:51" hidden="1" outlineLevel="1" collapsed="1">
      <c r="A71" s="227" t="s">
        <v>289</v>
      </c>
      <c r="B71" s="220" t="s">
        <v>2827</v>
      </c>
      <c r="C71" s="220" t="s">
        <v>2827</v>
      </c>
      <c r="D71" s="220" t="s">
        <v>2826</v>
      </c>
      <c r="E71" s="220" t="s">
        <v>2825</v>
      </c>
      <c r="F71" s="220" t="s">
        <v>2825</v>
      </c>
      <c r="G71" s="220" t="s">
        <v>2825</v>
      </c>
      <c r="H71" s="220" t="s">
        <v>2824</v>
      </c>
      <c r="I71" s="220" t="s">
        <v>568</v>
      </c>
      <c r="J71" s="220" t="s">
        <v>297</v>
      </c>
      <c r="K71" s="220" t="s">
        <v>567</v>
      </c>
      <c r="L71" s="220" t="s">
        <v>2823</v>
      </c>
      <c r="M71" s="220" t="s">
        <v>2822</v>
      </c>
      <c r="N71" s="220" t="s">
        <v>531</v>
      </c>
      <c r="O71" s="220" t="s">
        <v>297</v>
      </c>
      <c r="P71" s="220" t="s">
        <v>530</v>
      </c>
      <c r="Q71" s="220" t="s">
        <v>2821</v>
      </c>
      <c r="R71" s="220"/>
      <c r="S71" s="220" t="s">
        <v>2675</v>
      </c>
      <c r="T71" s="220" t="s">
        <v>2674</v>
      </c>
      <c r="U71" s="220" t="s">
        <v>2127</v>
      </c>
      <c r="V71" s="220" t="s">
        <v>2126</v>
      </c>
      <c r="W71" s="220" t="s">
        <v>2673</v>
      </c>
      <c r="X71" s="220"/>
      <c r="Y71" s="283"/>
      <c r="Z71" s="220"/>
      <c r="AA71" s="220"/>
      <c r="AB71" s="220"/>
      <c r="AC71" s="220"/>
      <c r="AD71" s="220"/>
      <c r="AE71" s="283"/>
      <c r="AF71" s="220"/>
      <c r="AG71" s="220"/>
      <c r="AH71" s="220"/>
      <c r="AI71" s="220"/>
      <c r="AJ71" s="226">
        <v>18</v>
      </c>
      <c r="AK71" s="226">
        <v>0</v>
      </c>
      <c r="AL71" s="225">
        <v>4.1399999999999997</v>
      </c>
      <c r="AM71" s="220"/>
      <c r="AN71" s="225">
        <v>9486</v>
      </c>
      <c r="AO71" s="220"/>
      <c r="AP71" s="220"/>
      <c r="AQ71" s="283"/>
      <c r="AR71" s="283"/>
      <c r="AS71" s="283"/>
      <c r="AT71" s="223">
        <v>0</v>
      </c>
      <c r="AU71" s="284">
        <v>1656</v>
      </c>
      <c r="AV71" s="221">
        <v>42739</v>
      </c>
      <c r="AW71" s="221">
        <v>42739.8135223032</v>
      </c>
      <c r="AX71" s="220" t="s">
        <v>293</v>
      </c>
      <c r="AY71" s="219" t="s">
        <v>2820</v>
      </c>
    </row>
    <row r="72" spans="1:51" hidden="1" outlineLevel="1" collapsed="1">
      <c r="A72" s="227" t="s">
        <v>289</v>
      </c>
      <c r="B72" s="220" t="s">
        <v>2819</v>
      </c>
      <c r="C72" s="220" t="s">
        <v>2819</v>
      </c>
      <c r="D72" s="220" t="s">
        <v>2818</v>
      </c>
      <c r="E72" s="220" t="s">
        <v>2817</v>
      </c>
      <c r="F72" s="220" t="s">
        <v>2817</v>
      </c>
      <c r="G72" s="220" t="s">
        <v>2816</v>
      </c>
      <c r="H72" s="220" t="s">
        <v>2815</v>
      </c>
      <c r="I72" s="220" t="s">
        <v>382</v>
      </c>
      <c r="J72" s="220" t="s">
        <v>297</v>
      </c>
      <c r="K72" s="220" t="s">
        <v>381</v>
      </c>
      <c r="L72" s="220" t="s">
        <v>2237</v>
      </c>
      <c r="M72" s="220" t="s">
        <v>2236</v>
      </c>
      <c r="N72" s="220" t="s">
        <v>1252</v>
      </c>
      <c r="O72" s="220" t="s">
        <v>297</v>
      </c>
      <c r="P72" s="220" t="s">
        <v>1251</v>
      </c>
      <c r="Q72" s="220" t="s">
        <v>2235</v>
      </c>
      <c r="R72" s="220"/>
      <c r="S72" s="220" t="s">
        <v>2675</v>
      </c>
      <c r="T72" s="220" t="s">
        <v>2674</v>
      </c>
      <c r="U72" s="220" t="s">
        <v>2373</v>
      </c>
      <c r="V72" s="220" t="s">
        <v>2126</v>
      </c>
      <c r="W72" s="220" t="s">
        <v>2673</v>
      </c>
      <c r="X72" s="220"/>
      <c r="Y72" s="283"/>
      <c r="Z72" s="220"/>
      <c r="AA72" s="220"/>
      <c r="AB72" s="220"/>
      <c r="AC72" s="220"/>
      <c r="AD72" s="220"/>
      <c r="AE72" s="283"/>
      <c r="AF72" s="220"/>
      <c r="AG72" s="220"/>
      <c r="AH72" s="220"/>
      <c r="AI72" s="220"/>
      <c r="AJ72" s="226">
        <v>36</v>
      </c>
      <c r="AK72" s="226">
        <v>0</v>
      </c>
      <c r="AL72" s="225">
        <v>9.9</v>
      </c>
      <c r="AM72" s="220"/>
      <c r="AN72" s="225">
        <v>18767.88</v>
      </c>
      <c r="AO72" s="220"/>
      <c r="AP72" s="220"/>
      <c r="AQ72" s="283"/>
      <c r="AR72" s="283"/>
      <c r="AS72" s="283"/>
      <c r="AT72" s="223">
        <v>0</v>
      </c>
      <c r="AU72" s="284">
        <v>3600</v>
      </c>
      <c r="AV72" s="221">
        <v>42865</v>
      </c>
      <c r="AW72" s="221">
        <v>42744.691814849502</v>
      </c>
      <c r="AX72" s="220" t="s">
        <v>293</v>
      </c>
      <c r="AY72" s="219" t="s">
        <v>2814</v>
      </c>
    </row>
    <row r="73" spans="1:51" hidden="1" outlineLevel="1" collapsed="1">
      <c r="A73" s="227" t="s">
        <v>289</v>
      </c>
      <c r="B73" s="220" t="s">
        <v>2812</v>
      </c>
      <c r="C73" s="220" t="s">
        <v>2812</v>
      </c>
      <c r="D73" s="220" t="s">
        <v>2487</v>
      </c>
      <c r="E73" s="220" t="s">
        <v>2486</v>
      </c>
      <c r="F73" s="220" t="s">
        <v>2485</v>
      </c>
      <c r="G73" s="220" t="s">
        <v>2442</v>
      </c>
      <c r="H73" s="220" t="s">
        <v>2484</v>
      </c>
      <c r="I73" s="220" t="s">
        <v>329</v>
      </c>
      <c r="J73" s="220" t="s">
        <v>297</v>
      </c>
      <c r="K73" s="220" t="s">
        <v>397</v>
      </c>
      <c r="L73" s="220" t="s">
        <v>2132</v>
      </c>
      <c r="M73" s="220" t="s">
        <v>2131</v>
      </c>
      <c r="N73" s="220" t="s">
        <v>329</v>
      </c>
      <c r="O73" s="220" t="s">
        <v>297</v>
      </c>
      <c r="P73" s="220" t="s">
        <v>599</v>
      </c>
      <c r="Q73" s="220" t="s">
        <v>2130</v>
      </c>
      <c r="R73" s="220"/>
      <c r="S73" s="220" t="s">
        <v>2675</v>
      </c>
      <c r="T73" s="220" t="s">
        <v>2674</v>
      </c>
      <c r="U73" s="220" t="s">
        <v>2127</v>
      </c>
      <c r="V73" s="220" t="s">
        <v>2126</v>
      </c>
      <c r="W73" s="220" t="s">
        <v>2673</v>
      </c>
      <c r="X73" s="220"/>
      <c r="Y73" s="283"/>
      <c r="Z73" s="220"/>
      <c r="AA73" s="220"/>
      <c r="AB73" s="220"/>
      <c r="AC73" s="220"/>
      <c r="AD73" s="220"/>
      <c r="AE73" s="283"/>
      <c r="AF73" s="220"/>
      <c r="AG73" s="220"/>
      <c r="AH73" s="220"/>
      <c r="AI73" s="220"/>
      <c r="AJ73" s="226">
        <v>16</v>
      </c>
      <c r="AK73" s="226">
        <v>0</v>
      </c>
      <c r="AL73" s="225">
        <v>4</v>
      </c>
      <c r="AM73" s="220"/>
      <c r="AN73" s="225">
        <v>10976</v>
      </c>
      <c r="AO73" s="220"/>
      <c r="AP73" s="220"/>
      <c r="AQ73" s="283"/>
      <c r="AR73" s="283"/>
      <c r="AS73" s="283"/>
      <c r="AT73" s="223">
        <v>0</v>
      </c>
      <c r="AU73" s="284">
        <v>2240</v>
      </c>
      <c r="AV73" s="221">
        <v>42752</v>
      </c>
      <c r="AW73" s="221">
        <v>42752.572395949101</v>
      </c>
      <c r="AX73" s="220" t="s">
        <v>293</v>
      </c>
      <c r="AY73" s="219" t="s">
        <v>2813</v>
      </c>
    </row>
    <row r="74" spans="1:51" hidden="1" outlineLevel="1" collapsed="1">
      <c r="A74" s="227" t="s">
        <v>289</v>
      </c>
      <c r="B74" s="220" t="s">
        <v>2812</v>
      </c>
      <c r="C74" s="220" t="s">
        <v>2812</v>
      </c>
      <c r="D74" s="220" t="s">
        <v>2487</v>
      </c>
      <c r="E74" s="220" t="s">
        <v>2486</v>
      </c>
      <c r="F74" s="220" t="s">
        <v>2485</v>
      </c>
      <c r="G74" s="220" t="s">
        <v>2442</v>
      </c>
      <c r="H74" s="220" t="s">
        <v>2484</v>
      </c>
      <c r="I74" s="220" t="s">
        <v>329</v>
      </c>
      <c r="J74" s="220" t="s">
        <v>297</v>
      </c>
      <c r="K74" s="220" t="s">
        <v>397</v>
      </c>
      <c r="L74" s="220" t="s">
        <v>2132</v>
      </c>
      <c r="M74" s="220" t="s">
        <v>2131</v>
      </c>
      <c r="N74" s="220" t="s">
        <v>329</v>
      </c>
      <c r="O74" s="220" t="s">
        <v>297</v>
      </c>
      <c r="P74" s="220" t="s">
        <v>599</v>
      </c>
      <c r="Q74" s="220" t="s">
        <v>2130</v>
      </c>
      <c r="R74" s="220"/>
      <c r="S74" s="220" t="s">
        <v>2675</v>
      </c>
      <c r="T74" s="220" t="s">
        <v>2674</v>
      </c>
      <c r="U74" s="220" t="s">
        <v>2127</v>
      </c>
      <c r="V74" s="220" t="s">
        <v>2126</v>
      </c>
      <c r="W74" s="220" t="s">
        <v>2673</v>
      </c>
      <c r="X74" s="220"/>
      <c r="Y74" s="283"/>
      <c r="Z74" s="220"/>
      <c r="AA74" s="220"/>
      <c r="AB74" s="220"/>
      <c r="AC74" s="220"/>
      <c r="AD74" s="220"/>
      <c r="AE74" s="283"/>
      <c r="AF74" s="220"/>
      <c r="AG74" s="220"/>
      <c r="AH74" s="220"/>
      <c r="AI74" s="220"/>
      <c r="AJ74" s="226">
        <v>1</v>
      </c>
      <c r="AK74" s="226">
        <v>0</v>
      </c>
      <c r="AL74" s="225">
        <v>1.1000000000000001</v>
      </c>
      <c r="AM74" s="220"/>
      <c r="AN74" s="225">
        <v>3080</v>
      </c>
      <c r="AO74" s="220"/>
      <c r="AP74" s="220"/>
      <c r="AQ74" s="283"/>
      <c r="AR74" s="283"/>
      <c r="AS74" s="283"/>
      <c r="AT74" s="223">
        <v>0</v>
      </c>
      <c r="AU74" s="284">
        <v>600</v>
      </c>
      <c r="AV74" s="221">
        <v>42752</v>
      </c>
      <c r="AW74" s="221">
        <v>42752.572395949101</v>
      </c>
      <c r="AX74" s="220" t="s">
        <v>293</v>
      </c>
      <c r="AY74" s="219" t="s">
        <v>2811</v>
      </c>
    </row>
    <row r="75" spans="1:51" hidden="1" outlineLevel="1" collapsed="1">
      <c r="A75" s="227" t="s">
        <v>289</v>
      </c>
      <c r="B75" s="220" t="s">
        <v>2810</v>
      </c>
      <c r="C75" s="220" t="s">
        <v>2810</v>
      </c>
      <c r="D75" s="220" t="s">
        <v>697</v>
      </c>
      <c r="E75" s="220" t="s">
        <v>695</v>
      </c>
      <c r="F75" s="220" t="s">
        <v>695</v>
      </c>
      <c r="G75" s="220" t="s">
        <v>695</v>
      </c>
      <c r="H75" s="220" t="s">
        <v>694</v>
      </c>
      <c r="I75" s="220" t="s">
        <v>320</v>
      </c>
      <c r="J75" s="220" t="s">
        <v>297</v>
      </c>
      <c r="K75" s="220" t="s">
        <v>319</v>
      </c>
      <c r="L75" s="220" t="s">
        <v>2211</v>
      </c>
      <c r="M75" s="220" t="s">
        <v>2210</v>
      </c>
      <c r="N75" s="220" t="s">
        <v>298</v>
      </c>
      <c r="O75" s="220" t="s">
        <v>297</v>
      </c>
      <c r="P75" s="220" t="s">
        <v>296</v>
      </c>
      <c r="Q75" s="220" t="s">
        <v>2209</v>
      </c>
      <c r="R75" s="220" t="s">
        <v>2208</v>
      </c>
      <c r="S75" s="220" t="s">
        <v>2675</v>
      </c>
      <c r="T75" s="220" t="s">
        <v>2674</v>
      </c>
      <c r="U75" s="220" t="s">
        <v>2373</v>
      </c>
      <c r="V75" s="220" t="s">
        <v>2126</v>
      </c>
      <c r="W75" s="220" t="s">
        <v>2673</v>
      </c>
      <c r="X75" s="220"/>
      <c r="Y75" s="283"/>
      <c r="Z75" s="220"/>
      <c r="AA75" s="220"/>
      <c r="AB75" s="220"/>
      <c r="AC75" s="220"/>
      <c r="AD75" s="220"/>
      <c r="AE75" s="283"/>
      <c r="AF75" s="220"/>
      <c r="AG75" s="220"/>
      <c r="AH75" s="220"/>
      <c r="AI75" s="220"/>
      <c r="AJ75" s="226">
        <v>1</v>
      </c>
      <c r="AK75" s="226">
        <v>0</v>
      </c>
      <c r="AL75" s="225">
        <v>75</v>
      </c>
      <c r="AM75" s="220"/>
      <c r="AN75" s="225">
        <v>250000</v>
      </c>
      <c r="AO75" s="220"/>
      <c r="AP75" s="220"/>
      <c r="AQ75" s="283"/>
      <c r="AR75" s="283"/>
      <c r="AS75" s="283"/>
      <c r="AT75" s="223">
        <v>0</v>
      </c>
      <c r="AU75" s="284">
        <v>42260</v>
      </c>
      <c r="AV75" s="221">
        <v>42822</v>
      </c>
      <c r="AW75" s="221">
        <v>42762.671858796297</v>
      </c>
      <c r="AX75" s="220" t="s">
        <v>293</v>
      </c>
      <c r="AY75" s="219" t="s">
        <v>2809</v>
      </c>
    </row>
    <row r="76" spans="1:51" ht="20.399999999999999" hidden="1" outlineLevel="1" collapsed="1">
      <c r="A76" s="227" t="s">
        <v>289</v>
      </c>
      <c r="B76" s="220" t="s">
        <v>2808</v>
      </c>
      <c r="C76" s="220" t="s">
        <v>2808</v>
      </c>
      <c r="D76" s="220" t="s">
        <v>2807</v>
      </c>
      <c r="E76" s="220" t="s">
        <v>2806</v>
      </c>
      <c r="F76" s="220" t="s">
        <v>2806</v>
      </c>
      <c r="G76" s="220" t="s">
        <v>2805</v>
      </c>
      <c r="H76" s="220" t="s">
        <v>2804</v>
      </c>
      <c r="I76" s="220" t="s">
        <v>337</v>
      </c>
      <c r="J76" s="220" t="s">
        <v>297</v>
      </c>
      <c r="K76" s="220" t="s">
        <v>336</v>
      </c>
      <c r="L76" s="220" t="s">
        <v>2803</v>
      </c>
      <c r="M76" s="220" t="s">
        <v>2802</v>
      </c>
      <c r="N76" s="220" t="s">
        <v>337</v>
      </c>
      <c r="O76" s="220" t="s">
        <v>297</v>
      </c>
      <c r="P76" s="220" t="s">
        <v>336</v>
      </c>
      <c r="Q76" s="220" t="s">
        <v>2801</v>
      </c>
      <c r="R76" s="220" t="s">
        <v>2800</v>
      </c>
      <c r="S76" s="220" t="s">
        <v>2675</v>
      </c>
      <c r="T76" s="220" t="s">
        <v>2674</v>
      </c>
      <c r="U76" s="220" t="s">
        <v>2202</v>
      </c>
      <c r="V76" s="220" t="s">
        <v>2459</v>
      </c>
      <c r="W76" s="220" t="s">
        <v>2673</v>
      </c>
      <c r="X76" s="220"/>
      <c r="Y76" s="283"/>
      <c r="Z76" s="220"/>
      <c r="AA76" s="220"/>
      <c r="AB76" s="220"/>
      <c r="AC76" s="220"/>
      <c r="AD76" s="220"/>
      <c r="AE76" s="283"/>
      <c r="AF76" s="220"/>
      <c r="AG76" s="220"/>
      <c r="AH76" s="220"/>
      <c r="AI76" s="220"/>
      <c r="AJ76" s="226">
        <v>1</v>
      </c>
      <c r="AK76" s="226">
        <v>0</v>
      </c>
      <c r="AL76" s="225">
        <v>7.4</v>
      </c>
      <c r="AM76" s="220"/>
      <c r="AN76" s="225">
        <v>15344</v>
      </c>
      <c r="AO76" s="220"/>
      <c r="AP76" s="220"/>
      <c r="AQ76" s="283"/>
      <c r="AR76" s="283"/>
      <c r="AS76" s="283"/>
      <c r="AT76" s="223">
        <v>0</v>
      </c>
      <c r="AU76" s="284">
        <v>3400</v>
      </c>
      <c r="AV76" s="221">
        <v>42773</v>
      </c>
      <c r="AW76" s="221">
        <v>42773.624298113398</v>
      </c>
      <c r="AX76" s="220" t="s">
        <v>293</v>
      </c>
      <c r="AY76" s="219" t="s">
        <v>2799</v>
      </c>
    </row>
    <row r="77" spans="1:51" hidden="1" outlineLevel="1" collapsed="1">
      <c r="A77" s="227" t="s">
        <v>289</v>
      </c>
      <c r="B77" s="220" t="s">
        <v>2798</v>
      </c>
      <c r="C77" s="220" t="s">
        <v>2798</v>
      </c>
      <c r="D77" s="220" t="s">
        <v>2797</v>
      </c>
      <c r="E77" s="220" t="s">
        <v>2796</v>
      </c>
      <c r="F77" s="220" t="s">
        <v>2796</v>
      </c>
      <c r="G77" s="220" t="s">
        <v>2796</v>
      </c>
      <c r="H77" s="220" t="s">
        <v>2795</v>
      </c>
      <c r="I77" s="220" t="s">
        <v>329</v>
      </c>
      <c r="J77" s="220" t="s">
        <v>297</v>
      </c>
      <c r="K77" s="220" t="s">
        <v>328</v>
      </c>
      <c r="L77" s="220" t="s">
        <v>2132</v>
      </c>
      <c r="M77" s="220" t="s">
        <v>2131</v>
      </c>
      <c r="N77" s="220" t="s">
        <v>329</v>
      </c>
      <c r="O77" s="220" t="s">
        <v>297</v>
      </c>
      <c r="P77" s="220" t="s">
        <v>599</v>
      </c>
      <c r="Q77" s="220" t="s">
        <v>2130</v>
      </c>
      <c r="R77" s="220"/>
      <c r="S77" s="220" t="s">
        <v>2675</v>
      </c>
      <c r="T77" s="220" t="s">
        <v>2674</v>
      </c>
      <c r="U77" s="220" t="s">
        <v>2127</v>
      </c>
      <c r="V77" s="220" t="s">
        <v>2126</v>
      </c>
      <c r="W77" s="220" t="s">
        <v>2673</v>
      </c>
      <c r="X77" s="220"/>
      <c r="Y77" s="283"/>
      <c r="Z77" s="220"/>
      <c r="AA77" s="220"/>
      <c r="AB77" s="220"/>
      <c r="AC77" s="220"/>
      <c r="AD77" s="220"/>
      <c r="AE77" s="283"/>
      <c r="AF77" s="220"/>
      <c r="AG77" s="220"/>
      <c r="AH77" s="220"/>
      <c r="AI77" s="220"/>
      <c r="AJ77" s="226">
        <v>2</v>
      </c>
      <c r="AK77" s="226">
        <v>0</v>
      </c>
      <c r="AL77" s="225">
        <v>0</v>
      </c>
      <c r="AM77" s="220"/>
      <c r="AN77" s="225">
        <v>508</v>
      </c>
      <c r="AO77" s="220"/>
      <c r="AP77" s="220"/>
      <c r="AQ77" s="283"/>
      <c r="AR77" s="283"/>
      <c r="AS77" s="283"/>
      <c r="AT77" s="223">
        <v>0</v>
      </c>
      <c r="AU77" s="284">
        <v>77</v>
      </c>
      <c r="AV77" s="221">
        <v>42773</v>
      </c>
      <c r="AW77" s="221">
        <v>42773.6456201736</v>
      </c>
      <c r="AX77" s="220" t="s">
        <v>293</v>
      </c>
      <c r="AY77" s="219" t="s">
        <v>2794</v>
      </c>
    </row>
    <row r="78" spans="1:51" hidden="1" outlineLevel="1" collapsed="1">
      <c r="A78" s="227" t="s">
        <v>289</v>
      </c>
      <c r="B78" s="220" t="s">
        <v>2787</v>
      </c>
      <c r="C78" s="220" t="s">
        <v>2787</v>
      </c>
      <c r="D78" s="220" t="s">
        <v>2431</v>
      </c>
      <c r="E78" s="220" t="s">
        <v>2429</v>
      </c>
      <c r="F78" s="220" t="s">
        <v>2430</v>
      </c>
      <c r="G78" s="220" t="s">
        <v>2429</v>
      </c>
      <c r="H78" s="220" t="s">
        <v>2428</v>
      </c>
      <c r="I78" s="220" t="s">
        <v>329</v>
      </c>
      <c r="J78" s="220" t="s">
        <v>297</v>
      </c>
      <c r="K78" s="220" t="s">
        <v>397</v>
      </c>
      <c r="L78" s="220" t="s">
        <v>2427</v>
      </c>
      <c r="M78" s="220" t="s">
        <v>2426</v>
      </c>
      <c r="N78" s="220" t="s">
        <v>329</v>
      </c>
      <c r="O78" s="220" t="s">
        <v>297</v>
      </c>
      <c r="P78" s="220" t="s">
        <v>328</v>
      </c>
      <c r="Q78" s="220" t="s">
        <v>2425</v>
      </c>
      <c r="R78" s="220" t="s">
        <v>2424</v>
      </c>
      <c r="S78" s="220" t="s">
        <v>2675</v>
      </c>
      <c r="T78" s="220" t="s">
        <v>2674</v>
      </c>
      <c r="U78" s="220" t="s">
        <v>2378</v>
      </c>
      <c r="V78" s="220" t="s">
        <v>2126</v>
      </c>
      <c r="W78" s="220" t="s">
        <v>2673</v>
      </c>
      <c r="X78" s="220"/>
      <c r="Y78" s="283"/>
      <c r="Z78" s="220"/>
      <c r="AA78" s="220"/>
      <c r="AB78" s="220"/>
      <c r="AC78" s="220"/>
      <c r="AD78" s="220"/>
      <c r="AE78" s="283"/>
      <c r="AF78" s="220"/>
      <c r="AG78" s="220"/>
      <c r="AH78" s="220"/>
      <c r="AI78" s="220"/>
      <c r="AJ78" s="226">
        <v>8</v>
      </c>
      <c r="AK78" s="226">
        <v>0</v>
      </c>
      <c r="AL78" s="225">
        <v>0.48</v>
      </c>
      <c r="AM78" s="220"/>
      <c r="AN78" s="225">
        <v>2584</v>
      </c>
      <c r="AO78" s="220"/>
      <c r="AP78" s="220"/>
      <c r="AQ78" s="283"/>
      <c r="AR78" s="283"/>
      <c r="AS78" s="283"/>
      <c r="AT78" s="223">
        <v>0</v>
      </c>
      <c r="AU78" s="284">
        <v>416</v>
      </c>
      <c r="AV78" s="221">
        <v>42796</v>
      </c>
      <c r="AW78" s="221">
        <v>42796.441803043999</v>
      </c>
      <c r="AX78" s="220" t="s">
        <v>293</v>
      </c>
      <c r="AY78" s="219" t="s">
        <v>2793</v>
      </c>
    </row>
    <row r="79" spans="1:51" hidden="1" outlineLevel="1" collapsed="1">
      <c r="A79" s="227" t="s">
        <v>289</v>
      </c>
      <c r="B79" s="220" t="s">
        <v>2787</v>
      </c>
      <c r="C79" s="220" t="s">
        <v>2787</v>
      </c>
      <c r="D79" s="220" t="s">
        <v>2431</v>
      </c>
      <c r="E79" s="220" t="s">
        <v>2429</v>
      </c>
      <c r="F79" s="220" t="s">
        <v>2430</v>
      </c>
      <c r="G79" s="220" t="s">
        <v>2429</v>
      </c>
      <c r="H79" s="220" t="s">
        <v>2428</v>
      </c>
      <c r="I79" s="220" t="s">
        <v>329</v>
      </c>
      <c r="J79" s="220" t="s">
        <v>297</v>
      </c>
      <c r="K79" s="220" t="s">
        <v>397</v>
      </c>
      <c r="L79" s="220" t="s">
        <v>2427</v>
      </c>
      <c r="M79" s="220" t="s">
        <v>2426</v>
      </c>
      <c r="N79" s="220" t="s">
        <v>329</v>
      </c>
      <c r="O79" s="220" t="s">
        <v>297</v>
      </c>
      <c r="P79" s="220" t="s">
        <v>328</v>
      </c>
      <c r="Q79" s="220" t="s">
        <v>2425</v>
      </c>
      <c r="R79" s="220" t="s">
        <v>2424</v>
      </c>
      <c r="S79" s="220" t="s">
        <v>2675</v>
      </c>
      <c r="T79" s="220" t="s">
        <v>2674</v>
      </c>
      <c r="U79" s="220" t="s">
        <v>2378</v>
      </c>
      <c r="V79" s="220" t="s">
        <v>2126</v>
      </c>
      <c r="W79" s="220" t="s">
        <v>2673</v>
      </c>
      <c r="X79" s="220"/>
      <c r="Y79" s="283"/>
      <c r="Z79" s="220"/>
      <c r="AA79" s="220"/>
      <c r="AB79" s="220"/>
      <c r="AC79" s="220"/>
      <c r="AD79" s="220"/>
      <c r="AE79" s="283"/>
      <c r="AF79" s="220"/>
      <c r="AG79" s="220"/>
      <c r="AH79" s="220"/>
      <c r="AI79" s="220"/>
      <c r="AJ79" s="226">
        <v>2</v>
      </c>
      <c r="AK79" s="226">
        <v>0</v>
      </c>
      <c r="AL79" s="225">
        <v>0.02</v>
      </c>
      <c r="AM79" s="220"/>
      <c r="AN79" s="225">
        <v>134</v>
      </c>
      <c r="AO79" s="220"/>
      <c r="AP79" s="220"/>
      <c r="AQ79" s="283"/>
      <c r="AR79" s="283"/>
      <c r="AS79" s="283"/>
      <c r="AT79" s="223">
        <v>0</v>
      </c>
      <c r="AU79" s="284">
        <v>21.5</v>
      </c>
      <c r="AV79" s="221">
        <v>42796</v>
      </c>
      <c r="AW79" s="221">
        <v>42796.441803043999</v>
      </c>
      <c r="AX79" s="220" t="s">
        <v>293</v>
      </c>
      <c r="AY79" s="219" t="s">
        <v>2788</v>
      </c>
    </row>
    <row r="80" spans="1:51" hidden="1" outlineLevel="1" collapsed="1">
      <c r="A80" s="227" t="s">
        <v>289</v>
      </c>
      <c r="B80" s="220" t="s">
        <v>2787</v>
      </c>
      <c r="C80" s="220" t="s">
        <v>2787</v>
      </c>
      <c r="D80" s="220" t="s">
        <v>2431</v>
      </c>
      <c r="E80" s="220" t="s">
        <v>2429</v>
      </c>
      <c r="F80" s="220" t="s">
        <v>2430</v>
      </c>
      <c r="G80" s="220" t="s">
        <v>2429</v>
      </c>
      <c r="H80" s="220" t="s">
        <v>2428</v>
      </c>
      <c r="I80" s="220" t="s">
        <v>329</v>
      </c>
      <c r="J80" s="220" t="s">
        <v>297</v>
      </c>
      <c r="K80" s="220" t="s">
        <v>397</v>
      </c>
      <c r="L80" s="220" t="s">
        <v>2427</v>
      </c>
      <c r="M80" s="220" t="s">
        <v>2426</v>
      </c>
      <c r="N80" s="220" t="s">
        <v>329</v>
      </c>
      <c r="O80" s="220" t="s">
        <v>297</v>
      </c>
      <c r="P80" s="220" t="s">
        <v>328</v>
      </c>
      <c r="Q80" s="220" t="s">
        <v>2425</v>
      </c>
      <c r="R80" s="220" t="s">
        <v>2424</v>
      </c>
      <c r="S80" s="220" t="s">
        <v>2675</v>
      </c>
      <c r="T80" s="220" t="s">
        <v>2674</v>
      </c>
      <c r="U80" s="220" t="s">
        <v>2378</v>
      </c>
      <c r="V80" s="220" t="s">
        <v>2126</v>
      </c>
      <c r="W80" s="220" t="s">
        <v>2673</v>
      </c>
      <c r="X80" s="220"/>
      <c r="Y80" s="283"/>
      <c r="Z80" s="220"/>
      <c r="AA80" s="220"/>
      <c r="AB80" s="220"/>
      <c r="AC80" s="220"/>
      <c r="AD80" s="220"/>
      <c r="AE80" s="283"/>
      <c r="AF80" s="220"/>
      <c r="AG80" s="220"/>
      <c r="AH80" s="220"/>
      <c r="AI80" s="220"/>
      <c r="AJ80" s="226">
        <v>4</v>
      </c>
      <c r="AK80" s="226">
        <v>0</v>
      </c>
      <c r="AL80" s="225">
        <v>0.32</v>
      </c>
      <c r="AM80" s="220"/>
      <c r="AN80" s="225">
        <v>1848</v>
      </c>
      <c r="AO80" s="220"/>
      <c r="AP80" s="220"/>
      <c r="AQ80" s="283"/>
      <c r="AR80" s="283"/>
      <c r="AS80" s="283"/>
      <c r="AT80" s="223">
        <v>0</v>
      </c>
      <c r="AU80" s="284">
        <v>77.2</v>
      </c>
      <c r="AV80" s="221">
        <v>42796</v>
      </c>
      <c r="AW80" s="221">
        <v>42796.441803043999</v>
      </c>
      <c r="AX80" s="220" t="s">
        <v>293</v>
      </c>
      <c r="AY80" s="219" t="s">
        <v>2791</v>
      </c>
    </row>
    <row r="81" spans="1:51" hidden="1" outlineLevel="1" collapsed="1">
      <c r="A81" s="227" t="s">
        <v>289</v>
      </c>
      <c r="B81" s="220" t="s">
        <v>2787</v>
      </c>
      <c r="C81" s="220" t="s">
        <v>2787</v>
      </c>
      <c r="D81" s="220" t="s">
        <v>2431</v>
      </c>
      <c r="E81" s="220" t="s">
        <v>2429</v>
      </c>
      <c r="F81" s="220" t="s">
        <v>2430</v>
      </c>
      <c r="G81" s="220" t="s">
        <v>2429</v>
      </c>
      <c r="H81" s="220" t="s">
        <v>2428</v>
      </c>
      <c r="I81" s="220" t="s">
        <v>329</v>
      </c>
      <c r="J81" s="220" t="s">
        <v>297</v>
      </c>
      <c r="K81" s="220" t="s">
        <v>397</v>
      </c>
      <c r="L81" s="220" t="s">
        <v>2427</v>
      </c>
      <c r="M81" s="220" t="s">
        <v>2426</v>
      </c>
      <c r="N81" s="220" t="s">
        <v>329</v>
      </c>
      <c r="O81" s="220" t="s">
        <v>297</v>
      </c>
      <c r="P81" s="220" t="s">
        <v>328</v>
      </c>
      <c r="Q81" s="220" t="s">
        <v>2425</v>
      </c>
      <c r="R81" s="220" t="s">
        <v>2424</v>
      </c>
      <c r="S81" s="220" t="s">
        <v>2675</v>
      </c>
      <c r="T81" s="220" t="s">
        <v>2674</v>
      </c>
      <c r="U81" s="220" t="s">
        <v>2378</v>
      </c>
      <c r="V81" s="220" t="s">
        <v>2126</v>
      </c>
      <c r="W81" s="220" t="s">
        <v>2673</v>
      </c>
      <c r="X81" s="220"/>
      <c r="Y81" s="283"/>
      <c r="Z81" s="220"/>
      <c r="AA81" s="220"/>
      <c r="AB81" s="220"/>
      <c r="AC81" s="220"/>
      <c r="AD81" s="220"/>
      <c r="AE81" s="283"/>
      <c r="AF81" s="220"/>
      <c r="AG81" s="220"/>
      <c r="AH81" s="220"/>
      <c r="AI81" s="220"/>
      <c r="AJ81" s="226">
        <v>3</v>
      </c>
      <c r="AK81" s="226">
        <v>0</v>
      </c>
      <c r="AL81" s="225">
        <v>0.09</v>
      </c>
      <c r="AM81" s="220"/>
      <c r="AN81" s="225">
        <v>450</v>
      </c>
      <c r="AO81" s="220"/>
      <c r="AP81" s="220"/>
      <c r="AQ81" s="283"/>
      <c r="AR81" s="283"/>
      <c r="AS81" s="283"/>
      <c r="AT81" s="223">
        <v>0</v>
      </c>
      <c r="AU81" s="284">
        <v>73.5</v>
      </c>
      <c r="AV81" s="221">
        <v>42796</v>
      </c>
      <c r="AW81" s="221">
        <v>42796.441803043999</v>
      </c>
      <c r="AX81" s="220" t="s">
        <v>293</v>
      </c>
      <c r="AY81" s="219" t="s">
        <v>2792</v>
      </c>
    </row>
    <row r="82" spans="1:51" hidden="1" outlineLevel="1" collapsed="1">
      <c r="A82" s="227" t="s">
        <v>289</v>
      </c>
      <c r="B82" s="220" t="s">
        <v>2787</v>
      </c>
      <c r="C82" s="220" t="s">
        <v>2787</v>
      </c>
      <c r="D82" s="220" t="s">
        <v>2431</v>
      </c>
      <c r="E82" s="220" t="s">
        <v>2429</v>
      </c>
      <c r="F82" s="220" t="s">
        <v>2430</v>
      </c>
      <c r="G82" s="220" t="s">
        <v>2429</v>
      </c>
      <c r="H82" s="220" t="s">
        <v>2428</v>
      </c>
      <c r="I82" s="220" t="s">
        <v>329</v>
      </c>
      <c r="J82" s="220" t="s">
        <v>297</v>
      </c>
      <c r="K82" s="220" t="s">
        <v>397</v>
      </c>
      <c r="L82" s="220" t="s">
        <v>2427</v>
      </c>
      <c r="M82" s="220" t="s">
        <v>2426</v>
      </c>
      <c r="N82" s="220" t="s">
        <v>329</v>
      </c>
      <c r="O82" s="220" t="s">
        <v>297</v>
      </c>
      <c r="P82" s="220" t="s">
        <v>328</v>
      </c>
      <c r="Q82" s="220" t="s">
        <v>2425</v>
      </c>
      <c r="R82" s="220" t="s">
        <v>2424</v>
      </c>
      <c r="S82" s="220" t="s">
        <v>2675</v>
      </c>
      <c r="T82" s="220" t="s">
        <v>2674</v>
      </c>
      <c r="U82" s="220" t="s">
        <v>2378</v>
      </c>
      <c r="V82" s="220" t="s">
        <v>2126</v>
      </c>
      <c r="W82" s="220" t="s">
        <v>2673</v>
      </c>
      <c r="X82" s="220"/>
      <c r="Y82" s="283"/>
      <c r="Z82" s="220"/>
      <c r="AA82" s="220"/>
      <c r="AB82" s="220"/>
      <c r="AC82" s="220"/>
      <c r="AD82" s="220"/>
      <c r="AE82" s="283"/>
      <c r="AF82" s="220"/>
      <c r="AG82" s="220"/>
      <c r="AH82" s="220"/>
      <c r="AI82" s="220"/>
      <c r="AJ82" s="226">
        <v>6</v>
      </c>
      <c r="AK82" s="226">
        <v>0</v>
      </c>
      <c r="AL82" s="225">
        <v>0.12</v>
      </c>
      <c r="AM82" s="220"/>
      <c r="AN82" s="225">
        <v>666</v>
      </c>
      <c r="AO82" s="220"/>
      <c r="AP82" s="220"/>
      <c r="AQ82" s="283"/>
      <c r="AR82" s="283"/>
      <c r="AS82" s="283"/>
      <c r="AT82" s="223">
        <v>0</v>
      </c>
      <c r="AU82" s="284">
        <v>108</v>
      </c>
      <c r="AV82" s="221">
        <v>42796</v>
      </c>
      <c r="AW82" s="221">
        <v>42796.441803043999</v>
      </c>
      <c r="AX82" s="220" t="s">
        <v>293</v>
      </c>
      <c r="AY82" s="219" t="s">
        <v>2786</v>
      </c>
    </row>
    <row r="83" spans="1:51" hidden="1" outlineLevel="1" collapsed="1">
      <c r="A83" s="227" t="s">
        <v>289</v>
      </c>
      <c r="B83" s="220" t="s">
        <v>2787</v>
      </c>
      <c r="C83" s="220" t="s">
        <v>2787</v>
      </c>
      <c r="D83" s="220" t="s">
        <v>2431</v>
      </c>
      <c r="E83" s="220" t="s">
        <v>2429</v>
      </c>
      <c r="F83" s="220" t="s">
        <v>2430</v>
      </c>
      <c r="G83" s="220" t="s">
        <v>2429</v>
      </c>
      <c r="H83" s="220" t="s">
        <v>2428</v>
      </c>
      <c r="I83" s="220" t="s">
        <v>329</v>
      </c>
      <c r="J83" s="220" t="s">
        <v>297</v>
      </c>
      <c r="K83" s="220" t="s">
        <v>397</v>
      </c>
      <c r="L83" s="220" t="s">
        <v>2427</v>
      </c>
      <c r="M83" s="220" t="s">
        <v>2426</v>
      </c>
      <c r="N83" s="220" t="s">
        <v>329</v>
      </c>
      <c r="O83" s="220" t="s">
        <v>297</v>
      </c>
      <c r="P83" s="220" t="s">
        <v>328</v>
      </c>
      <c r="Q83" s="220" t="s">
        <v>2425</v>
      </c>
      <c r="R83" s="220" t="s">
        <v>2424</v>
      </c>
      <c r="S83" s="220" t="s">
        <v>2675</v>
      </c>
      <c r="T83" s="220" t="s">
        <v>2674</v>
      </c>
      <c r="U83" s="220" t="s">
        <v>2378</v>
      </c>
      <c r="V83" s="220" t="s">
        <v>2126</v>
      </c>
      <c r="W83" s="220" t="s">
        <v>2673</v>
      </c>
      <c r="X83" s="220"/>
      <c r="Y83" s="283"/>
      <c r="Z83" s="220"/>
      <c r="AA83" s="220"/>
      <c r="AB83" s="220"/>
      <c r="AC83" s="220"/>
      <c r="AD83" s="220"/>
      <c r="AE83" s="283"/>
      <c r="AF83" s="220"/>
      <c r="AG83" s="220"/>
      <c r="AH83" s="220"/>
      <c r="AI83" s="220"/>
      <c r="AJ83" s="226">
        <v>6</v>
      </c>
      <c r="AK83" s="226">
        <v>0</v>
      </c>
      <c r="AL83" s="225">
        <v>0.18</v>
      </c>
      <c r="AM83" s="220"/>
      <c r="AN83" s="225">
        <v>1002</v>
      </c>
      <c r="AO83" s="220"/>
      <c r="AP83" s="220"/>
      <c r="AQ83" s="283"/>
      <c r="AR83" s="283"/>
      <c r="AS83" s="283"/>
      <c r="AT83" s="223">
        <v>0</v>
      </c>
      <c r="AU83" s="284">
        <v>162</v>
      </c>
      <c r="AV83" s="221">
        <v>42796</v>
      </c>
      <c r="AW83" s="221">
        <v>42796.441803043999</v>
      </c>
      <c r="AX83" s="220" t="s">
        <v>293</v>
      </c>
      <c r="AY83" s="219" t="s">
        <v>2790</v>
      </c>
    </row>
    <row r="84" spans="1:51" hidden="1" outlineLevel="1" collapsed="1">
      <c r="A84" s="227" t="s">
        <v>289</v>
      </c>
      <c r="B84" s="220" t="s">
        <v>2787</v>
      </c>
      <c r="C84" s="220" t="s">
        <v>2787</v>
      </c>
      <c r="D84" s="220" t="s">
        <v>2431</v>
      </c>
      <c r="E84" s="220" t="s">
        <v>2429</v>
      </c>
      <c r="F84" s="220" t="s">
        <v>2430</v>
      </c>
      <c r="G84" s="220" t="s">
        <v>2429</v>
      </c>
      <c r="H84" s="220" t="s">
        <v>2428</v>
      </c>
      <c r="I84" s="220" t="s">
        <v>329</v>
      </c>
      <c r="J84" s="220" t="s">
        <v>297</v>
      </c>
      <c r="K84" s="220" t="s">
        <v>397</v>
      </c>
      <c r="L84" s="220" t="s">
        <v>2427</v>
      </c>
      <c r="M84" s="220" t="s">
        <v>2426</v>
      </c>
      <c r="N84" s="220" t="s">
        <v>329</v>
      </c>
      <c r="O84" s="220" t="s">
        <v>297</v>
      </c>
      <c r="P84" s="220" t="s">
        <v>328</v>
      </c>
      <c r="Q84" s="220" t="s">
        <v>2425</v>
      </c>
      <c r="R84" s="220" t="s">
        <v>2424</v>
      </c>
      <c r="S84" s="220" t="s">
        <v>2675</v>
      </c>
      <c r="T84" s="220" t="s">
        <v>2674</v>
      </c>
      <c r="U84" s="220" t="s">
        <v>2378</v>
      </c>
      <c r="V84" s="220" t="s">
        <v>2126</v>
      </c>
      <c r="W84" s="220" t="s">
        <v>2673</v>
      </c>
      <c r="X84" s="220"/>
      <c r="Y84" s="283"/>
      <c r="Z84" s="220"/>
      <c r="AA84" s="220"/>
      <c r="AB84" s="220"/>
      <c r="AC84" s="220"/>
      <c r="AD84" s="220"/>
      <c r="AE84" s="283"/>
      <c r="AF84" s="220"/>
      <c r="AG84" s="220"/>
      <c r="AH84" s="220"/>
      <c r="AI84" s="220"/>
      <c r="AJ84" s="226">
        <v>2</v>
      </c>
      <c r="AK84" s="226">
        <v>0</v>
      </c>
      <c r="AL84" s="225">
        <v>0.04</v>
      </c>
      <c r="AM84" s="220"/>
      <c r="AN84" s="225">
        <v>268</v>
      </c>
      <c r="AO84" s="220"/>
      <c r="AP84" s="220"/>
      <c r="AQ84" s="283"/>
      <c r="AR84" s="283"/>
      <c r="AS84" s="283"/>
      <c r="AT84" s="223">
        <v>0</v>
      </c>
      <c r="AU84" s="284">
        <v>43</v>
      </c>
      <c r="AV84" s="221">
        <v>42796</v>
      </c>
      <c r="AW84" s="221">
        <v>42796.441803043999</v>
      </c>
      <c r="AX84" s="220" t="s">
        <v>293</v>
      </c>
      <c r="AY84" s="219" t="s">
        <v>2789</v>
      </c>
    </row>
    <row r="85" spans="1:51" hidden="1" outlineLevel="1" collapsed="1">
      <c r="A85" s="227" t="s">
        <v>289</v>
      </c>
      <c r="B85" s="220" t="s">
        <v>2785</v>
      </c>
      <c r="C85" s="220" t="s">
        <v>2785</v>
      </c>
      <c r="D85" s="220" t="s">
        <v>2405</v>
      </c>
      <c r="E85" s="220" t="s">
        <v>2052</v>
      </c>
      <c r="F85" s="220" t="s">
        <v>2052</v>
      </c>
      <c r="G85" s="220" t="s">
        <v>2052</v>
      </c>
      <c r="H85" s="220" t="s">
        <v>2051</v>
      </c>
      <c r="I85" s="220" t="s">
        <v>928</v>
      </c>
      <c r="J85" s="220" t="s">
        <v>297</v>
      </c>
      <c r="K85" s="220" t="s">
        <v>412</v>
      </c>
      <c r="L85" s="220" t="s">
        <v>2270</v>
      </c>
      <c r="M85" s="220" t="s">
        <v>2269</v>
      </c>
      <c r="N85" s="220" t="s">
        <v>329</v>
      </c>
      <c r="O85" s="220" t="s">
        <v>297</v>
      </c>
      <c r="P85" s="220" t="s">
        <v>328</v>
      </c>
      <c r="Q85" s="220" t="s">
        <v>2268</v>
      </c>
      <c r="R85" s="220"/>
      <c r="S85" s="220" t="s">
        <v>2675</v>
      </c>
      <c r="T85" s="220" t="s">
        <v>2674</v>
      </c>
      <c r="U85" s="220" t="s">
        <v>2404</v>
      </c>
      <c r="V85" s="220" t="s">
        <v>2126</v>
      </c>
      <c r="W85" s="220" t="s">
        <v>2673</v>
      </c>
      <c r="X85" s="220"/>
      <c r="Y85" s="283"/>
      <c r="Z85" s="220"/>
      <c r="AA85" s="220"/>
      <c r="AB85" s="220"/>
      <c r="AC85" s="220"/>
      <c r="AD85" s="220"/>
      <c r="AE85" s="283"/>
      <c r="AF85" s="220"/>
      <c r="AG85" s="220"/>
      <c r="AH85" s="220"/>
      <c r="AI85" s="220"/>
      <c r="AJ85" s="226">
        <v>3</v>
      </c>
      <c r="AK85" s="226">
        <v>0</v>
      </c>
      <c r="AL85" s="225">
        <v>0</v>
      </c>
      <c r="AM85" s="220"/>
      <c r="AN85" s="225">
        <v>336</v>
      </c>
      <c r="AO85" s="220"/>
      <c r="AP85" s="220"/>
      <c r="AQ85" s="283"/>
      <c r="AR85" s="283"/>
      <c r="AS85" s="283"/>
      <c r="AT85" s="223">
        <v>0</v>
      </c>
      <c r="AU85" s="284">
        <v>51</v>
      </c>
      <c r="AV85" s="221">
        <v>42796</v>
      </c>
      <c r="AW85" s="221">
        <v>42796.749864664402</v>
      </c>
      <c r="AX85" s="220" t="s">
        <v>293</v>
      </c>
      <c r="AY85" s="219" t="s">
        <v>2784</v>
      </c>
    </row>
    <row r="86" spans="1:51" hidden="1" outlineLevel="1" collapsed="1">
      <c r="A86" s="227" t="s">
        <v>289</v>
      </c>
      <c r="B86" s="220" t="s">
        <v>2783</v>
      </c>
      <c r="C86" s="220" t="s">
        <v>2783</v>
      </c>
      <c r="D86" s="220" t="s">
        <v>2397</v>
      </c>
      <c r="E86" s="220" t="s">
        <v>2396</v>
      </c>
      <c r="F86" s="220" t="s">
        <v>2396</v>
      </c>
      <c r="G86" s="220" t="s">
        <v>2396</v>
      </c>
      <c r="H86" s="220" t="s">
        <v>2395</v>
      </c>
      <c r="I86" s="220" t="s">
        <v>568</v>
      </c>
      <c r="J86" s="220" t="s">
        <v>297</v>
      </c>
      <c r="K86" s="220" t="s">
        <v>567</v>
      </c>
      <c r="L86" s="220" t="s">
        <v>2211</v>
      </c>
      <c r="M86" s="220" t="s">
        <v>2210</v>
      </c>
      <c r="N86" s="220" t="s">
        <v>298</v>
      </c>
      <c r="O86" s="220" t="s">
        <v>297</v>
      </c>
      <c r="P86" s="220" t="s">
        <v>296</v>
      </c>
      <c r="Q86" s="220" t="s">
        <v>2209</v>
      </c>
      <c r="R86" s="220" t="s">
        <v>2208</v>
      </c>
      <c r="S86" s="220" t="s">
        <v>2675</v>
      </c>
      <c r="T86" s="220" t="s">
        <v>2674</v>
      </c>
      <c r="U86" s="220" t="s">
        <v>2373</v>
      </c>
      <c r="V86" s="220" t="s">
        <v>2126</v>
      </c>
      <c r="W86" s="220" t="s">
        <v>2673</v>
      </c>
      <c r="X86" s="220"/>
      <c r="Y86" s="283"/>
      <c r="Z86" s="220"/>
      <c r="AA86" s="220"/>
      <c r="AB86" s="220"/>
      <c r="AC86" s="220"/>
      <c r="AD86" s="220"/>
      <c r="AE86" s="283"/>
      <c r="AF86" s="220"/>
      <c r="AG86" s="220"/>
      <c r="AH86" s="220"/>
      <c r="AI86" s="220"/>
      <c r="AJ86" s="226">
        <v>14</v>
      </c>
      <c r="AK86" s="226">
        <v>0</v>
      </c>
      <c r="AL86" s="225">
        <v>4.34</v>
      </c>
      <c r="AM86" s="220"/>
      <c r="AN86" s="225">
        <v>12978</v>
      </c>
      <c r="AO86" s="220"/>
      <c r="AP86" s="220"/>
      <c r="AQ86" s="283"/>
      <c r="AR86" s="283"/>
      <c r="AS86" s="283"/>
      <c r="AT86" s="223">
        <v>0</v>
      </c>
      <c r="AU86" s="284">
        <v>1453.9999600000001</v>
      </c>
      <c r="AV86" s="221">
        <v>42796</v>
      </c>
      <c r="AW86" s="221">
        <v>42796.792681828701</v>
      </c>
      <c r="AX86" s="220" t="s">
        <v>293</v>
      </c>
      <c r="AY86" s="219" t="s">
        <v>2782</v>
      </c>
    </row>
    <row r="87" spans="1:51" hidden="1" outlineLevel="1" collapsed="1">
      <c r="A87" s="227" t="s">
        <v>289</v>
      </c>
      <c r="B87" s="220" t="s">
        <v>2781</v>
      </c>
      <c r="C87" s="220" t="s">
        <v>2781</v>
      </c>
      <c r="D87" s="220" t="s">
        <v>2251</v>
      </c>
      <c r="E87" s="220" t="s">
        <v>2780</v>
      </c>
      <c r="F87" s="220" t="s">
        <v>2250</v>
      </c>
      <c r="G87" s="220" t="s">
        <v>2250</v>
      </c>
      <c r="H87" s="220" t="s">
        <v>2249</v>
      </c>
      <c r="I87" s="220" t="s">
        <v>480</v>
      </c>
      <c r="J87" s="220" t="s">
        <v>297</v>
      </c>
      <c r="K87" s="220" t="s">
        <v>479</v>
      </c>
      <c r="L87" s="220" t="s">
        <v>2779</v>
      </c>
      <c r="M87" s="220" t="s">
        <v>2778</v>
      </c>
      <c r="N87" s="220" t="s">
        <v>329</v>
      </c>
      <c r="O87" s="220" t="s">
        <v>297</v>
      </c>
      <c r="P87" s="220" t="s">
        <v>328</v>
      </c>
      <c r="Q87" s="220" t="s">
        <v>2777</v>
      </c>
      <c r="R87" s="220" t="s">
        <v>2776</v>
      </c>
      <c r="S87" s="220" t="s">
        <v>2675</v>
      </c>
      <c r="T87" s="220" t="s">
        <v>2674</v>
      </c>
      <c r="U87" s="220" t="s">
        <v>2244</v>
      </c>
      <c r="V87" s="220" t="s">
        <v>2126</v>
      </c>
      <c r="W87" s="220" t="s">
        <v>2673</v>
      </c>
      <c r="X87" s="220"/>
      <c r="Y87" s="283"/>
      <c r="Z87" s="220"/>
      <c r="AA87" s="220"/>
      <c r="AB87" s="220"/>
      <c r="AC87" s="220"/>
      <c r="AD87" s="220"/>
      <c r="AE87" s="283"/>
      <c r="AF87" s="220"/>
      <c r="AG87" s="220"/>
      <c r="AH87" s="220"/>
      <c r="AI87" s="220"/>
      <c r="AJ87" s="226">
        <v>1</v>
      </c>
      <c r="AK87" s="226">
        <v>0</v>
      </c>
      <c r="AL87" s="225">
        <v>1</v>
      </c>
      <c r="AM87" s="220"/>
      <c r="AN87" s="225">
        <v>8813</v>
      </c>
      <c r="AO87" s="220"/>
      <c r="AP87" s="220"/>
      <c r="AQ87" s="283"/>
      <c r="AR87" s="283"/>
      <c r="AS87" s="283"/>
      <c r="AT87" s="223">
        <v>0</v>
      </c>
      <c r="AU87" s="284">
        <v>1395</v>
      </c>
      <c r="AV87" s="221">
        <v>42802</v>
      </c>
      <c r="AW87" s="221">
        <v>42802.659724687503</v>
      </c>
      <c r="AX87" s="220" t="s">
        <v>293</v>
      </c>
      <c r="AY87" s="219" t="s">
        <v>2775</v>
      </c>
    </row>
    <row r="88" spans="1:51" hidden="1" outlineLevel="1" collapsed="1">
      <c r="A88" s="227" t="s">
        <v>289</v>
      </c>
      <c r="B88" s="220" t="s">
        <v>2772</v>
      </c>
      <c r="C88" s="220" t="s">
        <v>2772</v>
      </c>
      <c r="D88" s="220" t="s">
        <v>660</v>
      </c>
      <c r="E88" s="220" t="s">
        <v>2771</v>
      </c>
      <c r="F88" s="220" t="s">
        <v>658</v>
      </c>
      <c r="G88" s="220" t="s">
        <v>710</v>
      </c>
      <c r="H88" s="220" t="s">
        <v>657</v>
      </c>
      <c r="I88" s="220" t="s">
        <v>531</v>
      </c>
      <c r="J88" s="220" t="s">
        <v>297</v>
      </c>
      <c r="K88" s="220" t="s">
        <v>530</v>
      </c>
      <c r="L88" s="220" t="s">
        <v>2340</v>
      </c>
      <c r="M88" s="220" t="s">
        <v>2339</v>
      </c>
      <c r="N88" s="220" t="s">
        <v>298</v>
      </c>
      <c r="O88" s="220" t="s">
        <v>297</v>
      </c>
      <c r="P88" s="220" t="s">
        <v>296</v>
      </c>
      <c r="Q88" s="220" t="s">
        <v>2338</v>
      </c>
      <c r="R88" s="220"/>
      <c r="S88" s="220" t="s">
        <v>2675</v>
      </c>
      <c r="T88" s="220" t="s">
        <v>2674</v>
      </c>
      <c r="U88" s="220" t="s">
        <v>2373</v>
      </c>
      <c r="V88" s="220" t="s">
        <v>2126</v>
      </c>
      <c r="W88" s="220" t="s">
        <v>2673</v>
      </c>
      <c r="X88" s="220"/>
      <c r="Y88" s="283"/>
      <c r="Z88" s="220"/>
      <c r="AA88" s="220"/>
      <c r="AB88" s="220"/>
      <c r="AC88" s="220"/>
      <c r="AD88" s="220"/>
      <c r="AE88" s="283"/>
      <c r="AF88" s="220"/>
      <c r="AG88" s="220"/>
      <c r="AH88" s="220"/>
      <c r="AI88" s="220"/>
      <c r="AJ88" s="226">
        <v>6</v>
      </c>
      <c r="AK88" s="226">
        <v>0</v>
      </c>
      <c r="AL88" s="225">
        <v>0</v>
      </c>
      <c r="AM88" s="220"/>
      <c r="AN88" s="225">
        <v>1340.9760000000001</v>
      </c>
      <c r="AO88" s="220"/>
      <c r="AP88" s="220"/>
      <c r="AQ88" s="283"/>
      <c r="AR88" s="283"/>
      <c r="AS88" s="283"/>
      <c r="AT88" s="223">
        <v>0</v>
      </c>
      <c r="AU88" s="284">
        <v>105</v>
      </c>
      <c r="AV88" s="221">
        <v>42803</v>
      </c>
      <c r="AW88" s="221">
        <v>42803.488046493097</v>
      </c>
      <c r="AX88" s="220" t="s">
        <v>293</v>
      </c>
      <c r="AY88" s="219" t="s">
        <v>2770</v>
      </c>
    </row>
    <row r="89" spans="1:51" hidden="1" outlineLevel="1" collapsed="1">
      <c r="A89" s="227" t="s">
        <v>289</v>
      </c>
      <c r="B89" s="220" t="s">
        <v>2772</v>
      </c>
      <c r="C89" s="220" t="s">
        <v>2772</v>
      </c>
      <c r="D89" s="220" t="s">
        <v>660</v>
      </c>
      <c r="E89" s="220" t="s">
        <v>2771</v>
      </c>
      <c r="F89" s="220" t="s">
        <v>658</v>
      </c>
      <c r="G89" s="220" t="s">
        <v>710</v>
      </c>
      <c r="H89" s="220" t="s">
        <v>657</v>
      </c>
      <c r="I89" s="220" t="s">
        <v>531</v>
      </c>
      <c r="J89" s="220" t="s">
        <v>297</v>
      </c>
      <c r="K89" s="220" t="s">
        <v>530</v>
      </c>
      <c r="L89" s="220" t="s">
        <v>2340</v>
      </c>
      <c r="M89" s="220" t="s">
        <v>2339</v>
      </c>
      <c r="N89" s="220" t="s">
        <v>298</v>
      </c>
      <c r="O89" s="220" t="s">
        <v>297</v>
      </c>
      <c r="P89" s="220" t="s">
        <v>296</v>
      </c>
      <c r="Q89" s="220" t="s">
        <v>2338</v>
      </c>
      <c r="R89" s="220"/>
      <c r="S89" s="220" t="s">
        <v>2675</v>
      </c>
      <c r="T89" s="220" t="s">
        <v>2674</v>
      </c>
      <c r="U89" s="220" t="s">
        <v>2373</v>
      </c>
      <c r="V89" s="220" t="s">
        <v>2126</v>
      </c>
      <c r="W89" s="220" t="s">
        <v>2673</v>
      </c>
      <c r="X89" s="220"/>
      <c r="Y89" s="283"/>
      <c r="Z89" s="220"/>
      <c r="AA89" s="220"/>
      <c r="AB89" s="220"/>
      <c r="AC89" s="220"/>
      <c r="AD89" s="220"/>
      <c r="AE89" s="283"/>
      <c r="AF89" s="220"/>
      <c r="AG89" s="220"/>
      <c r="AH89" s="220"/>
      <c r="AI89" s="220"/>
      <c r="AJ89" s="226">
        <v>1</v>
      </c>
      <c r="AK89" s="226">
        <v>0</v>
      </c>
      <c r="AL89" s="225">
        <v>2.73</v>
      </c>
      <c r="AM89" s="220"/>
      <c r="AN89" s="225">
        <v>8557</v>
      </c>
      <c r="AO89" s="220"/>
      <c r="AP89" s="220"/>
      <c r="AQ89" s="283"/>
      <c r="AR89" s="283"/>
      <c r="AS89" s="283"/>
      <c r="AT89" s="223">
        <v>0</v>
      </c>
      <c r="AU89" s="284">
        <v>1450</v>
      </c>
      <c r="AV89" s="221">
        <v>42803</v>
      </c>
      <c r="AW89" s="221">
        <v>42803.488046493097</v>
      </c>
      <c r="AX89" s="220" t="s">
        <v>293</v>
      </c>
      <c r="AY89" s="219" t="s">
        <v>2773</v>
      </c>
    </row>
    <row r="90" spans="1:51" hidden="1" outlineLevel="1" collapsed="1">
      <c r="A90" s="227" t="s">
        <v>289</v>
      </c>
      <c r="B90" s="220" t="s">
        <v>2772</v>
      </c>
      <c r="C90" s="220" t="s">
        <v>2772</v>
      </c>
      <c r="D90" s="220" t="s">
        <v>660</v>
      </c>
      <c r="E90" s="220" t="s">
        <v>2771</v>
      </c>
      <c r="F90" s="220" t="s">
        <v>658</v>
      </c>
      <c r="G90" s="220" t="s">
        <v>710</v>
      </c>
      <c r="H90" s="220" t="s">
        <v>657</v>
      </c>
      <c r="I90" s="220" t="s">
        <v>531</v>
      </c>
      <c r="J90" s="220" t="s">
        <v>297</v>
      </c>
      <c r="K90" s="220" t="s">
        <v>530</v>
      </c>
      <c r="L90" s="220" t="s">
        <v>2340</v>
      </c>
      <c r="M90" s="220" t="s">
        <v>2339</v>
      </c>
      <c r="N90" s="220" t="s">
        <v>298</v>
      </c>
      <c r="O90" s="220" t="s">
        <v>297</v>
      </c>
      <c r="P90" s="220" t="s">
        <v>296</v>
      </c>
      <c r="Q90" s="220" t="s">
        <v>2338</v>
      </c>
      <c r="R90" s="220"/>
      <c r="S90" s="220" t="s">
        <v>2675</v>
      </c>
      <c r="T90" s="220" t="s">
        <v>2674</v>
      </c>
      <c r="U90" s="220" t="s">
        <v>2373</v>
      </c>
      <c r="V90" s="220" t="s">
        <v>2126</v>
      </c>
      <c r="W90" s="220" t="s">
        <v>2673</v>
      </c>
      <c r="X90" s="220"/>
      <c r="Y90" s="283"/>
      <c r="Z90" s="220"/>
      <c r="AA90" s="220"/>
      <c r="AB90" s="220"/>
      <c r="AC90" s="220"/>
      <c r="AD90" s="220"/>
      <c r="AE90" s="283"/>
      <c r="AF90" s="220"/>
      <c r="AG90" s="220"/>
      <c r="AH90" s="220"/>
      <c r="AI90" s="220"/>
      <c r="AJ90" s="226">
        <v>11</v>
      </c>
      <c r="AK90" s="226">
        <v>0</v>
      </c>
      <c r="AL90" s="225">
        <v>0</v>
      </c>
      <c r="AM90" s="220"/>
      <c r="AN90" s="225">
        <v>16925.48</v>
      </c>
      <c r="AO90" s="220"/>
      <c r="AP90" s="220"/>
      <c r="AQ90" s="283"/>
      <c r="AR90" s="283"/>
      <c r="AS90" s="283"/>
      <c r="AT90" s="223">
        <v>0</v>
      </c>
      <c r="AU90" s="284">
        <v>550</v>
      </c>
      <c r="AV90" s="221">
        <v>42803</v>
      </c>
      <c r="AW90" s="221">
        <v>42803.488046493097</v>
      </c>
      <c r="AX90" s="220" t="s">
        <v>293</v>
      </c>
      <c r="AY90" s="219" t="s">
        <v>2774</v>
      </c>
    </row>
    <row r="91" spans="1:51" ht="20.399999999999999" hidden="1" outlineLevel="1" collapsed="1">
      <c r="A91" s="227" t="s">
        <v>289</v>
      </c>
      <c r="B91" s="220" t="s">
        <v>2769</v>
      </c>
      <c r="C91" s="220" t="s">
        <v>2769</v>
      </c>
      <c r="D91" s="220" t="s">
        <v>2754</v>
      </c>
      <c r="E91" s="220" t="s">
        <v>2753</v>
      </c>
      <c r="F91" s="220" t="s">
        <v>2753</v>
      </c>
      <c r="G91" s="220" t="s">
        <v>2753</v>
      </c>
      <c r="H91" s="220" t="s">
        <v>2752</v>
      </c>
      <c r="I91" s="220" t="s">
        <v>329</v>
      </c>
      <c r="J91" s="220" t="s">
        <v>297</v>
      </c>
      <c r="K91" s="220" t="s">
        <v>397</v>
      </c>
      <c r="L91" s="220" t="s">
        <v>1017</v>
      </c>
      <c r="M91" s="220" t="s">
        <v>1016</v>
      </c>
      <c r="N91" s="220" t="s">
        <v>329</v>
      </c>
      <c r="O91" s="220" t="s">
        <v>297</v>
      </c>
      <c r="P91" s="220" t="s">
        <v>848</v>
      </c>
      <c r="Q91" s="220" t="s">
        <v>1015</v>
      </c>
      <c r="R91" s="220" t="s">
        <v>1014</v>
      </c>
      <c r="S91" s="220" t="s">
        <v>2675</v>
      </c>
      <c r="T91" s="220" t="s">
        <v>2751</v>
      </c>
      <c r="U91" s="220" t="s">
        <v>2750</v>
      </c>
      <c r="V91" s="220" t="s">
        <v>2126</v>
      </c>
      <c r="W91" s="220" t="s">
        <v>2673</v>
      </c>
      <c r="X91" s="220"/>
      <c r="Y91" s="283"/>
      <c r="Z91" s="220"/>
      <c r="AA91" s="220"/>
      <c r="AB91" s="220"/>
      <c r="AC91" s="220"/>
      <c r="AD91" s="220"/>
      <c r="AE91" s="283"/>
      <c r="AF91" s="220"/>
      <c r="AG91" s="220"/>
      <c r="AH91" s="220"/>
      <c r="AI91" s="220"/>
      <c r="AJ91" s="226">
        <v>26</v>
      </c>
      <c r="AK91" s="226">
        <v>0</v>
      </c>
      <c r="AL91" s="225">
        <v>7.8</v>
      </c>
      <c r="AM91" s="220"/>
      <c r="AN91" s="225">
        <v>24336</v>
      </c>
      <c r="AO91" s="220"/>
      <c r="AP91" s="220"/>
      <c r="AQ91" s="283"/>
      <c r="AR91" s="283"/>
      <c r="AS91" s="283"/>
      <c r="AT91" s="223">
        <v>0</v>
      </c>
      <c r="AU91" s="284">
        <v>3900</v>
      </c>
      <c r="AV91" s="221">
        <v>42815</v>
      </c>
      <c r="AW91" s="221">
        <v>42815.730486145803</v>
      </c>
      <c r="AX91" s="220" t="s">
        <v>293</v>
      </c>
      <c r="AY91" s="219" t="s">
        <v>2768</v>
      </c>
    </row>
    <row r="92" spans="1:51" hidden="1" outlineLevel="1" collapsed="1">
      <c r="A92" s="227" t="s">
        <v>289</v>
      </c>
      <c r="B92" s="220" t="s">
        <v>2767</v>
      </c>
      <c r="C92" s="220" t="s">
        <v>2767</v>
      </c>
      <c r="D92" s="220" t="s">
        <v>2766</v>
      </c>
      <c r="E92" s="220" t="s">
        <v>2765</v>
      </c>
      <c r="F92" s="220" t="s">
        <v>2765</v>
      </c>
      <c r="G92" s="220" t="s">
        <v>2765</v>
      </c>
      <c r="H92" s="220" t="s">
        <v>2764</v>
      </c>
      <c r="I92" s="220" t="s">
        <v>329</v>
      </c>
      <c r="J92" s="220" t="s">
        <v>297</v>
      </c>
      <c r="K92" s="220" t="s">
        <v>328</v>
      </c>
      <c r="L92" s="220" t="s">
        <v>2763</v>
      </c>
      <c r="M92" s="220" t="s">
        <v>2762</v>
      </c>
      <c r="N92" s="220" t="s">
        <v>329</v>
      </c>
      <c r="O92" s="220" t="s">
        <v>297</v>
      </c>
      <c r="P92" s="220" t="s">
        <v>599</v>
      </c>
      <c r="Q92" s="220" t="s">
        <v>2761</v>
      </c>
      <c r="R92" s="220" t="s">
        <v>2760</v>
      </c>
      <c r="S92" s="220" t="s">
        <v>2675</v>
      </c>
      <c r="T92" s="220" t="s">
        <v>2674</v>
      </c>
      <c r="U92" s="220" t="s">
        <v>2202</v>
      </c>
      <c r="V92" s="220" t="s">
        <v>2126</v>
      </c>
      <c r="W92" s="220" t="s">
        <v>2673</v>
      </c>
      <c r="X92" s="220"/>
      <c r="Y92" s="283"/>
      <c r="Z92" s="220"/>
      <c r="AA92" s="220"/>
      <c r="AB92" s="220"/>
      <c r="AC92" s="220"/>
      <c r="AD92" s="220"/>
      <c r="AE92" s="283"/>
      <c r="AF92" s="220"/>
      <c r="AG92" s="220"/>
      <c r="AH92" s="220"/>
      <c r="AI92" s="220"/>
      <c r="AJ92" s="226">
        <v>8</v>
      </c>
      <c r="AK92" s="226">
        <v>0</v>
      </c>
      <c r="AL92" s="225">
        <v>0</v>
      </c>
      <c r="AM92" s="220"/>
      <c r="AN92" s="225">
        <v>5704</v>
      </c>
      <c r="AO92" s="220"/>
      <c r="AP92" s="220"/>
      <c r="AQ92" s="283"/>
      <c r="AR92" s="283"/>
      <c r="AS92" s="283"/>
      <c r="AT92" s="223">
        <v>0</v>
      </c>
      <c r="AU92" s="284">
        <v>608</v>
      </c>
      <c r="AV92" s="221">
        <v>42822</v>
      </c>
      <c r="AW92" s="221">
        <v>42822.454243321801</v>
      </c>
      <c r="AX92" s="220" t="s">
        <v>293</v>
      </c>
      <c r="AY92" s="219" t="s">
        <v>2759</v>
      </c>
    </row>
    <row r="93" spans="1:51" ht="20.399999999999999" hidden="1" outlineLevel="1" collapsed="1">
      <c r="A93" s="227" t="s">
        <v>289</v>
      </c>
      <c r="B93" s="220" t="s">
        <v>2757</v>
      </c>
      <c r="C93" s="220" t="s">
        <v>2757</v>
      </c>
      <c r="D93" s="220" t="s">
        <v>2343</v>
      </c>
      <c r="E93" s="220" t="s">
        <v>2342</v>
      </c>
      <c r="F93" s="220" t="s">
        <v>2342</v>
      </c>
      <c r="G93" s="220" t="s">
        <v>2342</v>
      </c>
      <c r="H93" s="220" t="s">
        <v>2341</v>
      </c>
      <c r="I93" s="220" t="s">
        <v>413</v>
      </c>
      <c r="J93" s="220" t="s">
        <v>297</v>
      </c>
      <c r="K93" s="220" t="s">
        <v>412</v>
      </c>
      <c r="L93" s="220" t="s">
        <v>2340</v>
      </c>
      <c r="M93" s="220" t="s">
        <v>2339</v>
      </c>
      <c r="N93" s="220" t="s">
        <v>298</v>
      </c>
      <c r="O93" s="220" t="s">
        <v>297</v>
      </c>
      <c r="P93" s="220" t="s">
        <v>296</v>
      </c>
      <c r="Q93" s="220" t="s">
        <v>2338</v>
      </c>
      <c r="R93" s="220"/>
      <c r="S93" s="220" t="s">
        <v>2675</v>
      </c>
      <c r="T93" s="220" t="s">
        <v>2674</v>
      </c>
      <c r="U93" s="220" t="s">
        <v>2127</v>
      </c>
      <c r="V93" s="220" t="s">
        <v>2126</v>
      </c>
      <c r="W93" s="220" t="s">
        <v>2673</v>
      </c>
      <c r="X93" s="220"/>
      <c r="Y93" s="283"/>
      <c r="Z93" s="220"/>
      <c r="AA93" s="220"/>
      <c r="AB93" s="220"/>
      <c r="AC93" s="220"/>
      <c r="AD93" s="220"/>
      <c r="AE93" s="283"/>
      <c r="AF93" s="220"/>
      <c r="AG93" s="220"/>
      <c r="AH93" s="220"/>
      <c r="AI93" s="220"/>
      <c r="AJ93" s="226">
        <v>7</v>
      </c>
      <c r="AK93" s="226">
        <v>0</v>
      </c>
      <c r="AL93" s="220"/>
      <c r="AM93" s="220"/>
      <c r="AN93" s="225">
        <v>3486</v>
      </c>
      <c r="AO93" s="220"/>
      <c r="AP93" s="220"/>
      <c r="AQ93" s="283"/>
      <c r="AR93" s="283"/>
      <c r="AS93" s="283"/>
      <c r="AT93" s="223">
        <v>0</v>
      </c>
      <c r="AU93" s="284">
        <v>533.61</v>
      </c>
      <c r="AV93" s="221">
        <v>42828</v>
      </c>
      <c r="AW93" s="221">
        <v>42825.446017557901</v>
      </c>
      <c r="AX93" s="220" t="s">
        <v>293</v>
      </c>
      <c r="AY93" s="219" t="s">
        <v>2756</v>
      </c>
    </row>
    <row r="94" spans="1:51" ht="20.399999999999999" hidden="1" outlineLevel="1" collapsed="1">
      <c r="A94" s="227" t="s">
        <v>289</v>
      </c>
      <c r="B94" s="220" t="s">
        <v>2757</v>
      </c>
      <c r="C94" s="220" t="s">
        <v>2757</v>
      </c>
      <c r="D94" s="220" t="s">
        <v>2343</v>
      </c>
      <c r="E94" s="220" t="s">
        <v>2342</v>
      </c>
      <c r="F94" s="220" t="s">
        <v>2342</v>
      </c>
      <c r="G94" s="220" t="s">
        <v>2342</v>
      </c>
      <c r="H94" s="220" t="s">
        <v>2341</v>
      </c>
      <c r="I94" s="220" t="s">
        <v>413</v>
      </c>
      <c r="J94" s="220" t="s">
        <v>297</v>
      </c>
      <c r="K94" s="220" t="s">
        <v>412</v>
      </c>
      <c r="L94" s="220" t="s">
        <v>2340</v>
      </c>
      <c r="M94" s="220" t="s">
        <v>2339</v>
      </c>
      <c r="N94" s="220" t="s">
        <v>298</v>
      </c>
      <c r="O94" s="220" t="s">
        <v>297</v>
      </c>
      <c r="P94" s="220" t="s">
        <v>296</v>
      </c>
      <c r="Q94" s="220" t="s">
        <v>2338</v>
      </c>
      <c r="R94" s="220"/>
      <c r="S94" s="220" t="s">
        <v>2675</v>
      </c>
      <c r="T94" s="220" t="s">
        <v>2674</v>
      </c>
      <c r="U94" s="220" t="s">
        <v>2127</v>
      </c>
      <c r="V94" s="220" t="s">
        <v>2126</v>
      </c>
      <c r="W94" s="220" t="s">
        <v>2673</v>
      </c>
      <c r="X94" s="220"/>
      <c r="Y94" s="283"/>
      <c r="Z94" s="220"/>
      <c r="AA94" s="220"/>
      <c r="AB94" s="220"/>
      <c r="AC94" s="220"/>
      <c r="AD94" s="220"/>
      <c r="AE94" s="283"/>
      <c r="AF94" s="220"/>
      <c r="AG94" s="220"/>
      <c r="AH94" s="220"/>
      <c r="AI94" s="220"/>
      <c r="AJ94" s="226">
        <v>43</v>
      </c>
      <c r="AK94" s="226">
        <v>0</v>
      </c>
      <c r="AL94" s="225">
        <v>15.48</v>
      </c>
      <c r="AM94" s="220"/>
      <c r="AN94" s="225">
        <v>30788</v>
      </c>
      <c r="AO94" s="220"/>
      <c r="AP94" s="220"/>
      <c r="AQ94" s="283"/>
      <c r="AR94" s="283"/>
      <c r="AS94" s="283"/>
      <c r="AT94" s="223">
        <v>0</v>
      </c>
      <c r="AU94" s="284">
        <v>5332</v>
      </c>
      <c r="AV94" s="221">
        <v>42828</v>
      </c>
      <c r="AW94" s="221">
        <v>42825.446017557901</v>
      </c>
      <c r="AX94" s="220" t="s">
        <v>293</v>
      </c>
      <c r="AY94" s="219" t="s">
        <v>2758</v>
      </c>
    </row>
    <row r="95" spans="1:51" ht="20.399999999999999" hidden="1" outlineLevel="1" collapsed="1">
      <c r="A95" s="227" t="s">
        <v>289</v>
      </c>
      <c r="B95" s="220" t="s">
        <v>2755</v>
      </c>
      <c r="C95" s="220" t="s">
        <v>2755</v>
      </c>
      <c r="D95" s="220" t="s">
        <v>2754</v>
      </c>
      <c r="E95" s="220" t="s">
        <v>2753</v>
      </c>
      <c r="F95" s="220" t="s">
        <v>2753</v>
      </c>
      <c r="G95" s="220" t="s">
        <v>2753</v>
      </c>
      <c r="H95" s="220" t="s">
        <v>2752</v>
      </c>
      <c r="I95" s="220" t="s">
        <v>329</v>
      </c>
      <c r="J95" s="220" t="s">
        <v>297</v>
      </c>
      <c r="K95" s="220" t="s">
        <v>397</v>
      </c>
      <c r="L95" s="220" t="s">
        <v>1017</v>
      </c>
      <c r="M95" s="220" t="s">
        <v>1016</v>
      </c>
      <c r="N95" s="220" t="s">
        <v>329</v>
      </c>
      <c r="O95" s="220" t="s">
        <v>297</v>
      </c>
      <c r="P95" s="220" t="s">
        <v>848</v>
      </c>
      <c r="Q95" s="220" t="s">
        <v>1015</v>
      </c>
      <c r="R95" s="220" t="s">
        <v>1014</v>
      </c>
      <c r="S95" s="220" t="s">
        <v>2675</v>
      </c>
      <c r="T95" s="220" t="s">
        <v>2751</v>
      </c>
      <c r="U95" s="220" t="s">
        <v>2750</v>
      </c>
      <c r="V95" s="220" t="s">
        <v>2126</v>
      </c>
      <c r="W95" s="220" t="s">
        <v>2673</v>
      </c>
      <c r="X95" s="220"/>
      <c r="Y95" s="283"/>
      <c r="Z95" s="220"/>
      <c r="AA95" s="220"/>
      <c r="AB95" s="220"/>
      <c r="AC95" s="220"/>
      <c r="AD95" s="220"/>
      <c r="AE95" s="283"/>
      <c r="AF95" s="220"/>
      <c r="AG95" s="220"/>
      <c r="AH95" s="220"/>
      <c r="AI95" s="220"/>
      <c r="AJ95" s="226">
        <v>5</v>
      </c>
      <c r="AK95" s="226">
        <v>0</v>
      </c>
      <c r="AL95" s="225">
        <v>0.95</v>
      </c>
      <c r="AM95" s="220"/>
      <c r="AN95" s="225">
        <v>2965</v>
      </c>
      <c r="AO95" s="220"/>
      <c r="AP95" s="220"/>
      <c r="AQ95" s="283"/>
      <c r="AR95" s="283"/>
      <c r="AS95" s="283"/>
      <c r="AT95" s="223">
        <v>0</v>
      </c>
      <c r="AU95" s="284">
        <v>415</v>
      </c>
      <c r="AV95" s="221">
        <v>42830</v>
      </c>
      <c r="AW95" s="221">
        <v>42830.672180555601</v>
      </c>
      <c r="AX95" s="220" t="s">
        <v>293</v>
      </c>
      <c r="AY95" s="219" t="s">
        <v>2749</v>
      </c>
    </row>
    <row r="96" spans="1:51" hidden="1" outlineLevel="1" collapsed="1">
      <c r="A96" s="227" t="s">
        <v>289</v>
      </c>
      <c r="B96" s="220" t="s">
        <v>2748</v>
      </c>
      <c r="C96" s="220" t="s">
        <v>2748</v>
      </c>
      <c r="D96" s="220" t="s">
        <v>2747</v>
      </c>
      <c r="E96" s="220" t="s">
        <v>2746</v>
      </c>
      <c r="F96" s="220" t="s">
        <v>2746</v>
      </c>
      <c r="G96" s="220" t="s">
        <v>2746</v>
      </c>
      <c r="H96" s="220" t="s">
        <v>2745</v>
      </c>
      <c r="I96" s="220" t="s">
        <v>329</v>
      </c>
      <c r="J96" s="220" t="s">
        <v>297</v>
      </c>
      <c r="K96" s="220" t="s">
        <v>848</v>
      </c>
      <c r="L96" s="220" t="s">
        <v>914</v>
      </c>
      <c r="M96" s="220" t="s">
        <v>913</v>
      </c>
      <c r="N96" s="220" t="s">
        <v>329</v>
      </c>
      <c r="O96" s="220" t="s">
        <v>297</v>
      </c>
      <c r="P96" s="220" t="s">
        <v>397</v>
      </c>
      <c r="Q96" s="220" t="s">
        <v>912</v>
      </c>
      <c r="R96" s="220"/>
      <c r="S96" s="220" t="s">
        <v>2675</v>
      </c>
      <c r="T96" s="220" t="s">
        <v>2674</v>
      </c>
      <c r="U96" s="220" t="s">
        <v>2127</v>
      </c>
      <c r="V96" s="220" t="s">
        <v>2126</v>
      </c>
      <c r="W96" s="220" t="s">
        <v>2673</v>
      </c>
      <c r="X96" s="220"/>
      <c r="Y96" s="283"/>
      <c r="Z96" s="220"/>
      <c r="AA96" s="220"/>
      <c r="AB96" s="220"/>
      <c r="AC96" s="220"/>
      <c r="AD96" s="220"/>
      <c r="AE96" s="283"/>
      <c r="AF96" s="220"/>
      <c r="AG96" s="220"/>
      <c r="AH96" s="220"/>
      <c r="AI96" s="220"/>
      <c r="AJ96" s="226">
        <v>9</v>
      </c>
      <c r="AK96" s="226">
        <v>0</v>
      </c>
      <c r="AL96" s="225">
        <v>2.61</v>
      </c>
      <c r="AM96" s="220"/>
      <c r="AN96" s="225">
        <v>8226</v>
      </c>
      <c r="AO96" s="220"/>
      <c r="AP96" s="220"/>
      <c r="AQ96" s="283"/>
      <c r="AR96" s="283"/>
      <c r="AS96" s="283"/>
      <c r="AT96" s="223">
        <v>0</v>
      </c>
      <c r="AU96" s="284">
        <v>1755</v>
      </c>
      <c r="AV96" s="221">
        <v>42831</v>
      </c>
      <c r="AW96" s="221">
        <v>42831.775187615698</v>
      </c>
      <c r="AX96" s="220" t="s">
        <v>293</v>
      </c>
      <c r="AY96" s="219" t="s">
        <v>2744</v>
      </c>
    </row>
    <row r="97" spans="1:51" ht="20.399999999999999" hidden="1" outlineLevel="1" collapsed="1">
      <c r="A97" s="227" t="s">
        <v>289</v>
      </c>
      <c r="B97" s="220" t="s">
        <v>2743</v>
      </c>
      <c r="C97" s="220" t="s">
        <v>2743</v>
      </c>
      <c r="D97" s="220" t="s">
        <v>2742</v>
      </c>
      <c r="E97" s="220" t="s">
        <v>2740</v>
      </c>
      <c r="F97" s="220" t="s">
        <v>2741</v>
      </c>
      <c r="G97" s="220" t="s">
        <v>2740</v>
      </c>
      <c r="H97" s="220" t="s">
        <v>2739</v>
      </c>
      <c r="I97" s="220" t="s">
        <v>320</v>
      </c>
      <c r="J97" s="220" t="s">
        <v>297</v>
      </c>
      <c r="K97" s="220" t="s">
        <v>319</v>
      </c>
      <c r="L97" s="220" t="s">
        <v>1017</v>
      </c>
      <c r="M97" s="220" t="s">
        <v>1016</v>
      </c>
      <c r="N97" s="220" t="s">
        <v>329</v>
      </c>
      <c r="O97" s="220" t="s">
        <v>297</v>
      </c>
      <c r="P97" s="220" t="s">
        <v>848</v>
      </c>
      <c r="Q97" s="220" t="s">
        <v>1015</v>
      </c>
      <c r="R97" s="220" t="s">
        <v>1014</v>
      </c>
      <c r="S97" s="220" t="s">
        <v>2675</v>
      </c>
      <c r="T97" s="220" t="s">
        <v>2674</v>
      </c>
      <c r="U97" s="220" t="s">
        <v>2127</v>
      </c>
      <c r="V97" s="220" t="s">
        <v>2126</v>
      </c>
      <c r="W97" s="220" t="s">
        <v>2673</v>
      </c>
      <c r="X97" s="220"/>
      <c r="Y97" s="283"/>
      <c r="Z97" s="220"/>
      <c r="AA97" s="220"/>
      <c r="AB97" s="220"/>
      <c r="AC97" s="220"/>
      <c r="AD97" s="220"/>
      <c r="AE97" s="283"/>
      <c r="AF97" s="220"/>
      <c r="AG97" s="220"/>
      <c r="AH97" s="220"/>
      <c r="AI97" s="220"/>
      <c r="AJ97" s="226">
        <v>26</v>
      </c>
      <c r="AK97" s="226">
        <v>0</v>
      </c>
      <c r="AL97" s="225">
        <v>1.508</v>
      </c>
      <c r="AM97" s="220"/>
      <c r="AN97" s="225">
        <v>4212</v>
      </c>
      <c r="AO97" s="220"/>
      <c r="AP97" s="220"/>
      <c r="AQ97" s="283"/>
      <c r="AR97" s="283"/>
      <c r="AS97" s="283"/>
      <c r="AT97" s="223">
        <v>0</v>
      </c>
      <c r="AU97" s="284">
        <v>650</v>
      </c>
      <c r="AV97" s="221">
        <v>42832</v>
      </c>
      <c r="AW97" s="221">
        <v>42832.6431449421</v>
      </c>
      <c r="AX97" s="220" t="s">
        <v>293</v>
      </c>
      <c r="AY97" s="219" t="s">
        <v>2738</v>
      </c>
    </row>
    <row r="98" spans="1:51" hidden="1" outlineLevel="1" collapsed="1">
      <c r="A98" s="227" t="s">
        <v>289</v>
      </c>
      <c r="B98" s="220" t="s">
        <v>2737</v>
      </c>
      <c r="C98" s="220" t="s">
        <v>2737</v>
      </c>
      <c r="D98" s="220" t="s">
        <v>2303</v>
      </c>
      <c r="E98" s="220" t="s">
        <v>2301</v>
      </c>
      <c r="F98" s="220" t="s">
        <v>2302</v>
      </c>
      <c r="G98" s="220" t="s">
        <v>2301</v>
      </c>
      <c r="H98" s="220" t="s">
        <v>2300</v>
      </c>
      <c r="I98" s="220" t="s">
        <v>329</v>
      </c>
      <c r="J98" s="220" t="s">
        <v>297</v>
      </c>
      <c r="K98" s="220" t="s">
        <v>397</v>
      </c>
      <c r="L98" s="220" t="s">
        <v>2299</v>
      </c>
      <c r="M98" s="220" t="s">
        <v>2298</v>
      </c>
      <c r="N98" s="220" t="s">
        <v>329</v>
      </c>
      <c r="O98" s="220" t="s">
        <v>297</v>
      </c>
      <c r="P98" s="220" t="s">
        <v>397</v>
      </c>
      <c r="Q98" s="220" t="s">
        <v>2297</v>
      </c>
      <c r="R98" s="220"/>
      <c r="S98" s="220" t="s">
        <v>2675</v>
      </c>
      <c r="T98" s="220" t="s">
        <v>2674</v>
      </c>
      <c r="U98" s="220" t="s">
        <v>2244</v>
      </c>
      <c r="V98" s="220" t="s">
        <v>2126</v>
      </c>
      <c r="W98" s="220" t="s">
        <v>2673</v>
      </c>
      <c r="X98" s="220"/>
      <c r="Y98" s="283"/>
      <c r="Z98" s="220"/>
      <c r="AA98" s="220"/>
      <c r="AB98" s="220"/>
      <c r="AC98" s="220"/>
      <c r="AD98" s="220"/>
      <c r="AE98" s="283"/>
      <c r="AF98" s="220"/>
      <c r="AG98" s="220"/>
      <c r="AH98" s="220"/>
      <c r="AI98" s="220"/>
      <c r="AJ98" s="226">
        <v>341</v>
      </c>
      <c r="AK98" s="226">
        <v>0</v>
      </c>
      <c r="AL98" s="225">
        <v>35.317369999999997</v>
      </c>
      <c r="AM98" s="220"/>
      <c r="AN98" s="225">
        <v>102575.86900000001</v>
      </c>
      <c r="AO98" s="220"/>
      <c r="AP98" s="220"/>
      <c r="AQ98" s="283"/>
      <c r="AR98" s="283"/>
      <c r="AS98" s="283"/>
      <c r="AT98" s="223">
        <v>0</v>
      </c>
      <c r="AU98" s="284">
        <v>14322</v>
      </c>
      <c r="AV98" s="221">
        <v>42837</v>
      </c>
      <c r="AW98" s="221">
        <v>42837.5739428241</v>
      </c>
      <c r="AX98" s="220" t="s">
        <v>293</v>
      </c>
      <c r="AY98" s="219" t="s">
        <v>2736</v>
      </c>
    </row>
    <row r="99" spans="1:51" hidden="1" outlineLevel="1" collapsed="1">
      <c r="A99" s="227" t="s">
        <v>289</v>
      </c>
      <c r="B99" s="220" t="s">
        <v>2735</v>
      </c>
      <c r="C99" s="220" t="s">
        <v>2735</v>
      </c>
      <c r="D99" s="220" t="s">
        <v>2734</v>
      </c>
      <c r="E99" s="220" t="s">
        <v>2733</v>
      </c>
      <c r="F99" s="220" t="s">
        <v>2733</v>
      </c>
      <c r="G99" s="220" t="s">
        <v>2733</v>
      </c>
      <c r="H99" s="220" t="s">
        <v>2732</v>
      </c>
      <c r="I99" s="220" t="s">
        <v>329</v>
      </c>
      <c r="J99" s="220" t="s">
        <v>297</v>
      </c>
      <c r="K99" s="220" t="s">
        <v>397</v>
      </c>
      <c r="L99" s="220" t="s">
        <v>2132</v>
      </c>
      <c r="M99" s="220" t="s">
        <v>2131</v>
      </c>
      <c r="N99" s="220" t="s">
        <v>329</v>
      </c>
      <c r="O99" s="220" t="s">
        <v>297</v>
      </c>
      <c r="P99" s="220" t="s">
        <v>599</v>
      </c>
      <c r="Q99" s="220" t="s">
        <v>2130</v>
      </c>
      <c r="R99" s="220"/>
      <c r="S99" s="220" t="s">
        <v>2675</v>
      </c>
      <c r="T99" s="220" t="s">
        <v>2674</v>
      </c>
      <c r="U99" s="220" t="s">
        <v>2202</v>
      </c>
      <c r="V99" s="220" t="s">
        <v>2126</v>
      </c>
      <c r="W99" s="220" t="s">
        <v>2706</v>
      </c>
      <c r="X99" s="220" t="s">
        <v>2731</v>
      </c>
      <c r="Y99" s="283"/>
      <c r="Z99" s="220"/>
      <c r="AA99" s="220"/>
      <c r="AB99" s="220"/>
      <c r="AC99" s="220"/>
      <c r="AD99" s="220"/>
      <c r="AE99" s="283"/>
      <c r="AF99" s="220"/>
      <c r="AG99" s="220"/>
      <c r="AH99" s="220"/>
      <c r="AI99" s="220"/>
      <c r="AJ99" s="226">
        <v>1</v>
      </c>
      <c r="AK99" s="226">
        <v>0</v>
      </c>
      <c r="AL99" s="225">
        <v>0</v>
      </c>
      <c r="AM99" s="220"/>
      <c r="AN99" s="225">
        <v>23991</v>
      </c>
      <c r="AO99" s="220"/>
      <c r="AP99" s="220"/>
      <c r="AQ99" s="283"/>
      <c r="AR99" s="283"/>
      <c r="AS99" s="283"/>
      <c r="AT99" s="223">
        <v>0</v>
      </c>
      <c r="AU99" s="284">
        <v>2850</v>
      </c>
      <c r="AV99" s="221">
        <v>42839</v>
      </c>
      <c r="AW99" s="221">
        <v>42839.495634571802</v>
      </c>
      <c r="AX99" s="220" t="s">
        <v>293</v>
      </c>
      <c r="AY99" s="219" t="s">
        <v>2730</v>
      </c>
    </row>
    <row r="100" spans="1:51" hidden="1" outlineLevel="1" collapsed="1">
      <c r="A100" s="227" t="s">
        <v>289</v>
      </c>
      <c r="B100" s="220" t="s">
        <v>2729</v>
      </c>
      <c r="C100" s="220" t="s">
        <v>2729</v>
      </c>
      <c r="D100" s="220" t="s">
        <v>2283</v>
      </c>
      <c r="E100" s="220" t="s">
        <v>2282</v>
      </c>
      <c r="F100" s="220" t="s">
        <v>2282</v>
      </c>
      <c r="G100" s="220" t="s">
        <v>2282</v>
      </c>
      <c r="H100" s="220" t="s">
        <v>2281</v>
      </c>
      <c r="I100" s="220" t="s">
        <v>329</v>
      </c>
      <c r="J100" s="220" t="s">
        <v>297</v>
      </c>
      <c r="K100" s="220" t="s">
        <v>397</v>
      </c>
      <c r="L100" s="220" t="s">
        <v>1017</v>
      </c>
      <c r="M100" s="220" t="s">
        <v>1016</v>
      </c>
      <c r="N100" s="220" t="s">
        <v>329</v>
      </c>
      <c r="O100" s="220" t="s">
        <v>297</v>
      </c>
      <c r="P100" s="220" t="s">
        <v>848</v>
      </c>
      <c r="Q100" s="220" t="s">
        <v>1015</v>
      </c>
      <c r="R100" s="220" t="s">
        <v>1014</v>
      </c>
      <c r="S100" s="220" t="s">
        <v>2675</v>
      </c>
      <c r="T100" s="220" t="s">
        <v>2674</v>
      </c>
      <c r="U100" s="220" t="s">
        <v>2244</v>
      </c>
      <c r="V100" s="220" t="s">
        <v>2126</v>
      </c>
      <c r="W100" s="220" t="s">
        <v>2673</v>
      </c>
      <c r="X100" s="220"/>
      <c r="Y100" s="283"/>
      <c r="Z100" s="220"/>
      <c r="AA100" s="220"/>
      <c r="AB100" s="220"/>
      <c r="AC100" s="220"/>
      <c r="AD100" s="220"/>
      <c r="AE100" s="283"/>
      <c r="AF100" s="220"/>
      <c r="AG100" s="220"/>
      <c r="AH100" s="220"/>
      <c r="AI100" s="220"/>
      <c r="AJ100" s="226">
        <v>1</v>
      </c>
      <c r="AK100" s="226">
        <v>0</v>
      </c>
      <c r="AL100" s="225">
        <v>0</v>
      </c>
      <c r="AM100" s="220"/>
      <c r="AN100" s="225">
        <v>5011</v>
      </c>
      <c r="AO100" s="220"/>
      <c r="AP100" s="220"/>
      <c r="AQ100" s="283"/>
      <c r="AR100" s="283"/>
      <c r="AS100" s="283"/>
      <c r="AT100" s="223">
        <v>0</v>
      </c>
      <c r="AU100" s="284">
        <v>380</v>
      </c>
      <c r="AV100" s="221">
        <v>42839</v>
      </c>
      <c r="AW100" s="221">
        <v>42839.650260844901</v>
      </c>
      <c r="AX100" s="220" t="s">
        <v>293</v>
      </c>
      <c r="AY100" s="219" t="s">
        <v>2728</v>
      </c>
    </row>
    <row r="101" spans="1:51" hidden="1" outlineLevel="1" collapsed="1">
      <c r="A101" s="227" t="s">
        <v>289</v>
      </c>
      <c r="B101" s="220" t="s">
        <v>2726</v>
      </c>
      <c r="C101" s="220" t="s">
        <v>2726</v>
      </c>
      <c r="D101" s="220" t="s">
        <v>2725</v>
      </c>
      <c r="E101" s="220" t="s">
        <v>2724</v>
      </c>
      <c r="F101" s="220" t="s">
        <v>2724</v>
      </c>
      <c r="G101" s="220" t="s">
        <v>2724</v>
      </c>
      <c r="H101" s="220" t="s">
        <v>2723</v>
      </c>
      <c r="I101" s="220" t="s">
        <v>329</v>
      </c>
      <c r="J101" s="220" t="s">
        <v>297</v>
      </c>
      <c r="K101" s="220" t="s">
        <v>397</v>
      </c>
      <c r="L101" s="220" t="s">
        <v>1017</v>
      </c>
      <c r="M101" s="220" t="s">
        <v>1016</v>
      </c>
      <c r="N101" s="220" t="s">
        <v>329</v>
      </c>
      <c r="O101" s="220" t="s">
        <v>297</v>
      </c>
      <c r="P101" s="220" t="s">
        <v>848</v>
      </c>
      <c r="Q101" s="220" t="s">
        <v>1015</v>
      </c>
      <c r="R101" s="220" t="s">
        <v>1014</v>
      </c>
      <c r="S101" s="220" t="s">
        <v>2675</v>
      </c>
      <c r="T101" s="220" t="s">
        <v>2674</v>
      </c>
      <c r="U101" s="220" t="s">
        <v>2202</v>
      </c>
      <c r="V101" s="220" t="s">
        <v>2459</v>
      </c>
      <c r="W101" s="220" t="s">
        <v>2673</v>
      </c>
      <c r="X101" s="220"/>
      <c r="Y101" s="283"/>
      <c r="Z101" s="220"/>
      <c r="AA101" s="220"/>
      <c r="AB101" s="220"/>
      <c r="AC101" s="220"/>
      <c r="AD101" s="220"/>
      <c r="AE101" s="283"/>
      <c r="AF101" s="220"/>
      <c r="AG101" s="220"/>
      <c r="AH101" s="220"/>
      <c r="AI101" s="220"/>
      <c r="AJ101" s="226">
        <v>1</v>
      </c>
      <c r="AK101" s="226">
        <v>0</v>
      </c>
      <c r="AL101" s="225">
        <v>0</v>
      </c>
      <c r="AM101" s="220"/>
      <c r="AN101" s="225">
        <v>11677</v>
      </c>
      <c r="AO101" s="220"/>
      <c r="AP101" s="220"/>
      <c r="AQ101" s="283"/>
      <c r="AR101" s="283"/>
      <c r="AS101" s="283"/>
      <c r="AT101" s="223">
        <v>0</v>
      </c>
      <c r="AU101" s="284">
        <v>1350</v>
      </c>
      <c r="AV101" s="221">
        <v>42850</v>
      </c>
      <c r="AW101" s="221">
        <v>42850.765667013897</v>
      </c>
      <c r="AX101" s="220" t="s">
        <v>293</v>
      </c>
      <c r="AY101" s="219" t="s">
        <v>2722</v>
      </c>
    </row>
    <row r="102" spans="1:51" hidden="1" outlineLevel="1" collapsed="1">
      <c r="A102" s="227" t="s">
        <v>289</v>
      </c>
      <c r="B102" s="220" t="s">
        <v>2726</v>
      </c>
      <c r="C102" s="220" t="s">
        <v>2726</v>
      </c>
      <c r="D102" s="220" t="s">
        <v>2725</v>
      </c>
      <c r="E102" s="220" t="s">
        <v>2724</v>
      </c>
      <c r="F102" s="220" t="s">
        <v>2724</v>
      </c>
      <c r="G102" s="220" t="s">
        <v>2724</v>
      </c>
      <c r="H102" s="220" t="s">
        <v>2723</v>
      </c>
      <c r="I102" s="220" t="s">
        <v>329</v>
      </c>
      <c r="J102" s="220" t="s">
        <v>297</v>
      </c>
      <c r="K102" s="220" t="s">
        <v>397</v>
      </c>
      <c r="L102" s="220" t="s">
        <v>1017</v>
      </c>
      <c r="M102" s="220" t="s">
        <v>1016</v>
      </c>
      <c r="N102" s="220" t="s">
        <v>329</v>
      </c>
      <c r="O102" s="220" t="s">
        <v>297</v>
      </c>
      <c r="P102" s="220" t="s">
        <v>848</v>
      </c>
      <c r="Q102" s="220" t="s">
        <v>1015</v>
      </c>
      <c r="R102" s="220" t="s">
        <v>1014</v>
      </c>
      <c r="S102" s="220" t="s">
        <v>2675</v>
      </c>
      <c r="T102" s="220" t="s">
        <v>2674</v>
      </c>
      <c r="U102" s="220" t="s">
        <v>2202</v>
      </c>
      <c r="V102" s="220" t="s">
        <v>2459</v>
      </c>
      <c r="W102" s="220" t="s">
        <v>2673</v>
      </c>
      <c r="X102" s="220"/>
      <c r="Y102" s="283"/>
      <c r="Z102" s="220"/>
      <c r="AA102" s="220"/>
      <c r="AB102" s="220"/>
      <c r="AC102" s="220"/>
      <c r="AD102" s="220"/>
      <c r="AE102" s="283"/>
      <c r="AF102" s="220"/>
      <c r="AG102" s="220"/>
      <c r="AH102" s="220"/>
      <c r="AI102" s="220"/>
      <c r="AJ102" s="226">
        <v>1</v>
      </c>
      <c r="AK102" s="226">
        <v>0</v>
      </c>
      <c r="AL102" s="225">
        <v>6.6</v>
      </c>
      <c r="AM102" s="220"/>
      <c r="AN102" s="225">
        <v>17259</v>
      </c>
      <c r="AO102" s="220"/>
      <c r="AP102" s="220"/>
      <c r="AQ102" s="283"/>
      <c r="AR102" s="283"/>
      <c r="AS102" s="283"/>
      <c r="AT102" s="223">
        <v>0</v>
      </c>
      <c r="AU102" s="284">
        <v>2350</v>
      </c>
      <c r="AV102" s="221">
        <v>42850</v>
      </c>
      <c r="AW102" s="221">
        <v>42850.765667013897</v>
      </c>
      <c r="AX102" s="220" t="s">
        <v>293</v>
      </c>
      <c r="AY102" s="219" t="s">
        <v>2727</v>
      </c>
    </row>
    <row r="103" spans="1:51" ht="20.399999999999999" hidden="1" outlineLevel="1" collapsed="1">
      <c r="A103" s="227" t="s">
        <v>289</v>
      </c>
      <c r="B103" s="220" t="s">
        <v>2721</v>
      </c>
      <c r="C103" s="220" t="s">
        <v>2721</v>
      </c>
      <c r="D103" s="220" t="s">
        <v>2720</v>
      </c>
      <c r="E103" s="220" t="s">
        <v>2718</v>
      </c>
      <c r="F103" s="220" t="s">
        <v>2719</v>
      </c>
      <c r="G103" s="220" t="s">
        <v>2718</v>
      </c>
      <c r="H103" s="220" t="s">
        <v>2717</v>
      </c>
      <c r="I103" s="220" t="s">
        <v>329</v>
      </c>
      <c r="J103" s="220" t="s">
        <v>297</v>
      </c>
      <c r="K103" s="220" t="s">
        <v>397</v>
      </c>
      <c r="L103" s="220" t="s">
        <v>601</v>
      </c>
      <c r="M103" s="220" t="s">
        <v>600</v>
      </c>
      <c r="N103" s="220" t="s">
        <v>329</v>
      </c>
      <c r="O103" s="220" t="s">
        <v>297</v>
      </c>
      <c r="P103" s="220" t="s">
        <v>599</v>
      </c>
      <c r="Q103" s="220" t="s">
        <v>598</v>
      </c>
      <c r="R103" s="220"/>
      <c r="S103" s="220" t="s">
        <v>2675</v>
      </c>
      <c r="T103" s="220" t="s">
        <v>2674</v>
      </c>
      <c r="U103" s="220" t="s">
        <v>2127</v>
      </c>
      <c r="V103" s="220" t="s">
        <v>2126</v>
      </c>
      <c r="W103" s="220" t="s">
        <v>2673</v>
      </c>
      <c r="X103" s="220"/>
      <c r="Y103" s="283"/>
      <c r="Z103" s="220"/>
      <c r="AA103" s="220"/>
      <c r="AB103" s="220"/>
      <c r="AC103" s="220"/>
      <c r="AD103" s="220"/>
      <c r="AE103" s="283"/>
      <c r="AF103" s="220"/>
      <c r="AG103" s="220"/>
      <c r="AH103" s="220"/>
      <c r="AI103" s="220"/>
      <c r="AJ103" s="226">
        <v>1</v>
      </c>
      <c r="AK103" s="226">
        <v>0</v>
      </c>
      <c r="AL103" s="225">
        <v>4.0999999999999996</v>
      </c>
      <c r="AM103" s="220"/>
      <c r="AN103" s="225">
        <v>38488</v>
      </c>
      <c r="AO103" s="220"/>
      <c r="AP103" s="220"/>
      <c r="AQ103" s="283"/>
      <c r="AR103" s="283"/>
      <c r="AS103" s="283"/>
      <c r="AT103" s="223">
        <v>0</v>
      </c>
      <c r="AU103" s="284">
        <v>6000</v>
      </c>
      <c r="AV103" s="221">
        <v>42852</v>
      </c>
      <c r="AW103" s="221">
        <v>42852.635758877303</v>
      </c>
      <c r="AX103" s="220" t="s">
        <v>293</v>
      </c>
      <c r="AY103" s="219" t="s">
        <v>2716</v>
      </c>
    </row>
    <row r="104" spans="1:51" hidden="1" outlineLevel="1" collapsed="1">
      <c r="A104" s="227" t="s">
        <v>289</v>
      </c>
      <c r="B104" s="220" t="s">
        <v>2715</v>
      </c>
      <c r="C104" s="220" t="s">
        <v>2715</v>
      </c>
      <c r="D104" s="220" t="s">
        <v>2714</v>
      </c>
      <c r="E104" s="220" t="s">
        <v>2713</v>
      </c>
      <c r="F104" s="220" t="s">
        <v>2713</v>
      </c>
      <c r="G104" s="220" t="s">
        <v>2713</v>
      </c>
      <c r="H104" s="220" t="s">
        <v>2712</v>
      </c>
      <c r="I104" s="220" t="s">
        <v>531</v>
      </c>
      <c r="J104" s="220" t="s">
        <v>297</v>
      </c>
      <c r="K104" s="220" t="s">
        <v>530</v>
      </c>
      <c r="L104" s="220" t="s">
        <v>2315</v>
      </c>
      <c r="M104" s="220" t="s">
        <v>2314</v>
      </c>
      <c r="N104" s="220" t="s">
        <v>2313</v>
      </c>
      <c r="O104" s="220" t="s">
        <v>2312</v>
      </c>
      <c r="P104" s="220" t="s">
        <v>2311</v>
      </c>
      <c r="Q104" s="220" t="s">
        <v>2310</v>
      </c>
      <c r="R104" s="220"/>
      <c r="S104" s="220" t="s">
        <v>2675</v>
      </c>
      <c r="T104" s="220" t="s">
        <v>2674</v>
      </c>
      <c r="U104" s="220" t="s">
        <v>2172</v>
      </c>
      <c r="V104" s="220" t="s">
        <v>2126</v>
      </c>
      <c r="W104" s="220" t="s">
        <v>2673</v>
      </c>
      <c r="X104" s="220"/>
      <c r="Y104" s="283"/>
      <c r="Z104" s="220"/>
      <c r="AA104" s="220"/>
      <c r="AB104" s="220"/>
      <c r="AC104" s="220"/>
      <c r="AD104" s="220"/>
      <c r="AE104" s="283"/>
      <c r="AF104" s="220"/>
      <c r="AG104" s="220"/>
      <c r="AH104" s="220"/>
      <c r="AI104" s="220"/>
      <c r="AJ104" s="226">
        <v>1</v>
      </c>
      <c r="AK104" s="226">
        <v>0</v>
      </c>
      <c r="AL104" s="225">
        <v>38.520000000000003</v>
      </c>
      <c r="AM104" s="220"/>
      <c r="AN104" s="225">
        <v>337400</v>
      </c>
      <c r="AO104" s="220"/>
      <c r="AP104" s="220"/>
      <c r="AQ104" s="283"/>
      <c r="AR104" s="283"/>
      <c r="AS104" s="283"/>
      <c r="AT104" s="223">
        <v>0</v>
      </c>
      <c r="AU104" s="284">
        <v>22270</v>
      </c>
      <c r="AV104" s="221">
        <v>42856</v>
      </c>
      <c r="AW104" s="221">
        <v>42853.637417858801</v>
      </c>
      <c r="AX104" s="220" t="s">
        <v>293</v>
      </c>
      <c r="AY104" s="219" t="s">
        <v>2711</v>
      </c>
    </row>
    <row r="105" spans="1:51" hidden="1" outlineLevel="1" collapsed="1">
      <c r="A105" s="227" t="s">
        <v>289</v>
      </c>
      <c r="B105" s="220" t="s">
        <v>2710</v>
      </c>
      <c r="C105" s="220" t="s">
        <v>2710</v>
      </c>
      <c r="D105" s="220" t="s">
        <v>2709</v>
      </c>
      <c r="E105" s="220" t="s">
        <v>2708</v>
      </c>
      <c r="F105" s="220" t="s">
        <v>2708</v>
      </c>
      <c r="G105" s="220" t="s">
        <v>2708</v>
      </c>
      <c r="H105" s="220" t="s">
        <v>2707</v>
      </c>
      <c r="I105" s="220" t="s">
        <v>320</v>
      </c>
      <c r="J105" s="220" t="s">
        <v>297</v>
      </c>
      <c r="K105" s="220" t="s">
        <v>319</v>
      </c>
      <c r="L105" s="220" t="s">
        <v>2211</v>
      </c>
      <c r="M105" s="220" t="s">
        <v>2210</v>
      </c>
      <c r="N105" s="220" t="s">
        <v>298</v>
      </c>
      <c r="O105" s="220" t="s">
        <v>297</v>
      </c>
      <c r="P105" s="220" t="s">
        <v>296</v>
      </c>
      <c r="Q105" s="220" t="s">
        <v>2209</v>
      </c>
      <c r="R105" s="220" t="s">
        <v>2208</v>
      </c>
      <c r="S105" s="220" t="s">
        <v>2675</v>
      </c>
      <c r="T105" s="220" t="s">
        <v>2674</v>
      </c>
      <c r="U105" s="220" t="s">
        <v>2127</v>
      </c>
      <c r="V105" s="220" t="s">
        <v>2126</v>
      </c>
      <c r="W105" s="220" t="s">
        <v>2706</v>
      </c>
      <c r="X105" s="220"/>
      <c r="Y105" s="283"/>
      <c r="Z105" s="220"/>
      <c r="AA105" s="220"/>
      <c r="AB105" s="220"/>
      <c r="AC105" s="220"/>
      <c r="AD105" s="220"/>
      <c r="AE105" s="283"/>
      <c r="AF105" s="220"/>
      <c r="AG105" s="220"/>
      <c r="AH105" s="220"/>
      <c r="AI105" s="220"/>
      <c r="AJ105" s="226">
        <v>1</v>
      </c>
      <c r="AK105" s="226">
        <v>0</v>
      </c>
      <c r="AL105" s="225">
        <v>4.88</v>
      </c>
      <c r="AM105" s="220"/>
      <c r="AN105" s="225">
        <v>10142</v>
      </c>
      <c r="AO105" s="220"/>
      <c r="AP105" s="220"/>
      <c r="AQ105" s="283"/>
      <c r="AR105" s="283"/>
      <c r="AS105" s="283"/>
      <c r="AT105" s="223">
        <v>0</v>
      </c>
      <c r="AU105" s="284">
        <v>1820</v>
      </c>
      <c r="AV105" s="221">
        <v>42857</v>
      </c>
      <c r="AW105" s="221">
        <v>42857.704060914402</v>
      </c>
      <c r="AX105" s="220" t="s">
        <v>293</v>
      </c>
      <c r="AY105" s="219" t="s">
        <v>2705</v>
      </c>
    </row>
    <row r="106" spans="1:51" hidden="1" outlineLevel="1" collapsed="1">
      <c r="A106" s="227" t="s">
        <v>289</v>
      </c>
      <c r="B106" s="220" t="s">
        <v>2704</v>
      </c>
      <c r="C106" s="220" t="s">
        <v>2704</v>
      </c>
      <c r="D106" s="220" t="s">
        <v>2703</v>
      </c>
      <c r="E106" s="220" t="s">
        <v>2702</v>
      </c>
      <c r="F106" s="220" t="s">
        <v>2702</v>
      </c>
      <c r="G106" s="220" t="s">
        <v>2551</v>
      </c>
      <c r="H106" s="220" t="s">
        <v>2701</v>
      </c>
      <c r="I106" s="220" t="s">
        <v>329</v>
      </c>
      <c r="J106" s="220" t="s">
        <v>297</v>
      </c>
      <c r="K106" s="220" t="s">
        <v>397</v>
      </c>
      <c r="L106" s="220" t="s">
        <v>2211</v>
      </c>
      <c r="M106" s="220" t="s">
        <v>2210</v>
      </c>
      <c r="N106" s="220" t="s">
        <v>298</v>
      </c>
      <c r="O106" s="220" t="s">
        <v>297</v>
      </c>
      <c r="P106" s="220" t="s">
        <v>296</v>
      </c>
      <c r="Q106" s="220" t="s">
        <v>2209</v>
      </c>
      <c r="R106" s="220" t="s">
        <v>2208</v>
      </c>
      <c r="S106" s="220" t="s">
        <v>2675</v>
      </c>
      <c r="T106" s="220" t="s">
        <v>2674</v>
      </c>
      <c r="U106" s="220" t="s">
        <v>2127</v>
      </c>
      <c r="V106" s="220" t="s">
        <v>2126</v>
      </c>
      <c r="W106" s="220" t="s">
        <v>2673</v>
      </c>
      <c r="X106" s="220"/>
      <c r="Y106" s="283"/>
      <c r="Z106" s="220"/>
      <c r="AA106" s="220"/>
      <c r="AB106" s="220"/>
      <c r="AC106" s="220"/>
      <c r="AD106" s="220"/>
      <c r="AE106" s="283"/>
      <c r="AF106" s="220"/>
      <c r="AG106" s="220"/>
      <c r="AH106" s="220"/>
      <c r="AI106" s="220"/>
      <c r="AJ106" s="226">
        <v>1</v>
      </c>
      <c r="AK106" s="226">
        <v>0</v>
      </c>
      <c r="AL106" s="225">
        <v>28.74</v>
      </c>
      <c r="AM106" s="220"/>
      <c r="AN106" s="225">
        <v>52458</v>
      </c>
      <c r="AO106" s="220"/>
      <c r="AP106" s="220"/>
      <c r="AQ106" s="283"/>
      <c r="AR106" s="283"/>
      <c r="AS106" s="283"/>
      <c r="AT106" s="223">
        <v>0</v>
      </c>
      <c r="AU106" s="284">
        <v>9625</v>
      </c>
      <c r="AV106" s="221">
        <v>42858</v>
      </c>
      <c r="AW106" s="221">
        <v>42858.781469560199</v>
      </c>
      <c r="AX106" s="220" t="s">
        <v>293</v>
      </c>
      <c r="AY106" s="219" t="s">
        <v>2700</v>
      </c>
    </row>
    <row r="107" spans="1:51" hidden="1" outlineLevel="1" collapsed="1">
      <c r="A107" s="227" t="s">
        <v>289</v>
      </c>
      <c r="B107" s="220" t="s">
        <v>2699</v>
      </c>
      <c r="C107" s="220" t="s">
        <v>2699</v>
      </c>
      <c r="D107" s="220" t="s">
        <v>2260</v>
      </c>
      <c r="E107" s="220" t="s">
        <v>2259</v>
      </c>
      <c r="F107" s="220" t="s">
        <v>2259</v>
      </c>
      <c r="G107" s="220" t="s">
        <v>2259</v>
      </c>
      <c r="H107" s="220" t="s">
        <v>2258</v>
      </c>
      <c r="I107" s="220" t="s">
        <v>337</v>
      </c>
      <c r="J107" s="220" t="s">
        <v>297</v>
      </c>
      <c r="K107" s="220" t="s">
        <v>336</v>
      </c>
      <c r="L107" s="220" t="s">
        <v>2257</v>
      </c>
      <c r="M107" s="220" t="s">
        <v>2256</v>
      </c>
      <c r="N107" s="220" t="s">
        <v>337</v>
      </c>
      <c r="O107" s="220" t="s">
        <v>297</v>
      </c>
      <c r="P107" s="220" t="s">
        <v>336</v>
      </c>
      <c r="Q107" s="220" t="s">
        <v>2255</v>
      </c>
      <c r="R107" s="220" t="s">
        <v>2254</v>
      </c>
      <c r="S107" s="220" t="s">
        <v>2675</v>
      </c>
      <c r="T107" s="220" t="s">
        <v>2674</v>
      </c>
      <c r="U107" s="220" t="s">
        <v>2127</v>
      </c>
      <c r="V107" s="220" t="s">
        <v>2126</v>
      </c>
      <c r="W107" s="220" t="s">
        <v>2673</v>
      </c>
      <c r="X107" s="220"/>
      <c r="Y107" s="283"/>
      <c r="Z107" s="220"/>
      <c r="AA107" s="220"/>
      <c r="AB107" s="220"/>
      <c r="AC107" s="220"/>
      <c r="AD107" s="220"/>
      <c r="AE107" s="283"/>
      <c r="AF107" s="220"/>
      <c r="AG107" s="220"/>
      <c r="AH107" s="220"/>
      <c r="AI107" s="220"/>
      <c r="AJ107" s="226">
        <v>1</v>
      </c>
      <c r="AK107" s="226">
        <v>0</v>
      </c>
      <c r="AL107" s="225">
        <v>1.04</v>
      </c>
      <c r="AM107" s="220"/>
      <c r="AN107" s="225">
        <v>5873</v>
      </c>
      <c r="AO107" s="220"/>
      <c r="AP107" s="220"/>
      <c r="AQ107" s="283"/>
      <c r="AR107" s="283"/>
      <c r="AS107" s="283"/>
      <c r="AT107" s="223">
        <v>0</v>
      </c>
      <c r="AU107" s="284">
        <v>950</v>
      </c>
      <c r="AV107" s="221">
        <v>42866</v>
      </c>
      <c r="AW107" s="221">
        <v>42866.480812419002</v>
      </c>
      <c r="AX107" s="220" t="s">
        <v>293</v>
      </c>
      <c r="AY107" s="219" t="s">
        <v>2698</v>
      </c>
    </row>
    <row r="108" spans="1:51" ht="20.399999999999999" hidden="1" outlineLevel="1" collapsed="1">
      <c r="A108" s="227" t="s">
        <v>289</v>
      </c>
      <c r="B108" s="220" t="s">
        <v>2697</v>
      </c>
      <c r="C108" s="220" t="s">
        <v>2697</v>
      </c>
      <c r="D108" s="220" t="s">
        <v>2251</v>
      </c>
      <c r="E108" s="220" t="s">
        <v>2250</v>
      </c>
      <c r="F108" s="220" t="s">
        <v>2250</v>
      </c>
      <c r="G108" s="220" t="s">
        <v>2250</v>
      </c>
      <c r="H108" s="220" t="s">
        <v>2696</v>
      </c>
      <c r="I108" s="220" t="s">
        <v>480</v>
      </c>
      <c r="J108" s="220" t="s">
        <v>297</v>
      </c>
      <c r="K108" s="220" t="s">
        <v>479</v>
      </c>
      <c r="L108" s="220" t="s">
        <v>2248</v>
      </c>
      <c r="M108" s="220" t="s">
        <v>2247</v>
      </c>
      <c r="N108" s="220" t="s">
        <v>329</v>
      </c>
      <c r="O108" s="220" t="s">
        <v>297</v>
      </c>
      <c r="P108" s="220" t="s">
        <v>328</v>
      </c>
      <c r="Q108" s="220" t="s">
        <v>2246</v>
      </c>
      <c r="R108" s="220" t="s">
        <v>2245</v>
      </c>
      <c r="S108" s="220" t="s">
        <v>2675</v>
      </c>
      <c r="T108" s="220" t="s">
        <v>2674</v>
      </c>
      <c r="U108" s="220" t="s">
        <v>2127</v>
      </c>
      <c r="V108" s="220" t="s">
        <v>2459</v>
      </c>
      <c r="W108" s="220" t="s">
        <v>2673</v>
      </c>
      <c r="X108" s="220"/>
      <c r="Y108" s="283"/>
      <c r="Z108" s="220"/>
      <c r="AA108" s="220"/>
      <c r="AB108" s="220"/>
      <c r="AC108" s="220"/>
      <c r="AD108" s="220"/>
      <c r="AE108" s="283"/>
      <c r="AF108" s="220"/>
      <c r="AG108" s="220"/>
      <c r="AH108" s="220"/>
      <c r="AI108" s="220"/>
      <c r="AJ108" s="226">
        <v>10</v>
      </c>
      <c r="AK108" s="226">
        <v>0</v>
      </c>
      <c r="AL108" s="225">
        <v>0</v>
      </c>
      <c r="AM108" s="220"/>
      <c r="AN108" s="225">
        <v>13066</v>
      </c>
      <c r="AO108" s="220"/>
      <c r="AP108" s="220"/>
      <c r="AQ108" s="283"/>
      <c r="AR108" s="283"/>
      <c r="AS108" s="283"/>
      <c r="AT108" s="223">
        <v>0</v>
      </c>
      <c r="AU108" s="284">
        <v>500</v>
      </c>
      <c r="AV108" s="221">
        <v>42867</v>
      </c>
      <c r="AW108" s="221">
        <v>42867.459180324098</v>
      </c>
      <c r="AX108" s="220" t="s">
        <v>293</v>
      </c>
      <c r="AY108" s="219" t="s">
        <v>2695</v>
      </c>
    </row>
    <row r="109" spans="1:51" hidden="1" outlineLevel="1" collapsed="1">
      <c r="A109" s="227" t="s">
        <v>289</v>
      </c>
      <c r="B109" s="220" t="s">
        <v>2694</v>
      </c>
      <c r="C109" s="220" t="s">
        <v>2694</v>
      </c>
      <c r="D109" s="220" t="s">
        <v>2163</v>
      </c>
      <c r="E109" s="220" t="s">
        <v>2162</v>
      </c>
      <c r="F109" s="220" t="s">
        <v>2162</v>
      </c>
      <c r="G109" s="220" t="s">
        <v>2162</v>
      </c>
      <c r="H109" s="220" t="s">
        <v>2161</v>
      </c>
      <c r="I109" s="220" t="s">
        <v>329</v>
      </c>
      <c r="J109" s="220" t="s">
        <v>297</v>
      </c>
      <c r="K109" s="220" t="s">
        <v>328</v>
      </c>
      <c r="L109" s="220" t="s">
        <v>2160</v>
      </c>
      <c r="M109" s="220" t="s">
        <v>2159</v>
      </c>
      <c r="N109" s="220" t="s">
        <v>329</v>
      </c>
      <c r="O109" s="220" t="s">
        <v>297</v>
      </c>
      <c r="P109" s="220" t="s">
        <v>397</v>
      </c>
      <c r="Q109" s="220" t="s">
        <v>2158</v>
      </c>
      <c r="R109" s="220" t="s">
        <v>2157</v>
      </c>
      <c r="S109" s="220" t="s">
        <v>2675</v>
      </c>
      <c r="T109" s="220" t="s">
        <v>2674</v>
      </c>
      <c r="U109" s="220" t="s">
        <v>2127</v>
      </c>
      <c r="V109" s="220" t="s">
        <v>2126</v>
      </c>
      <c r="W109" s="220" t="s">
        <v>2673</v>
      </c>
      <c r="X109" s="220"/>
      <c r="Y109" s="283"/>
      <c r="Z109" s="220"/>
      <c r="AA109" s="220"/>
      <c r="AB109" s="220"/>
      <c r="AC109" s="220"/>
      <c r="AD109" s="220"/>
      <c r="AE109" s="283"/>
      <c r="AF109" s="220"/>
      <c r="AG109" s="220"/>
      <c r="AH109" s="220"/>
      <c r="AI109" s="220"/>
      <c r="AJ109" s="226">
        <v>36</v>
      </c>
      <c r="AK109" s="226">
        <v>0</v>
      </c>
      <c r="AL109" s="225">
        <v>16.559999999999999</v>
      </c>
      <c r="AM109" s="220"/>
      <c r="AN109" s="225">
        <v>25704</v>
      </c>
      <c r="AO109" s="220"/>
      <c r="AP109" s="220"/>
      <c r="AQ109" s="283"/>
      <c r="AR109" s="283"/>
      <c r="AS109" s="283"/>
      <c r="AT109" s="223">
        <v>0</v>
      </c>
      <c r="AU109" s="284">
        <v>2880</v>
      </c>
      <c r="AV109" s="221">
        <v>42926</v>
      </c>
      <c r="AW109" s="221">
        <v>42926.480953009297</v>
      </c>
      <c r="AX109" s="220" t="s">
        <v>293</v>
      </c>
      <c r="AY109" s="219" t="s">
        <v>2693</v>
      </c>
    </row>
    <row r="110" spans="1:51" hidden="1" outlineLevel="1" collapsed="1">
      <c r="A110" s="227" t="s">
        <v>289</v>
      </c>
      <c r="B110" s="220" t="s">
        <v>2692</v>
      </c>
      <c r="C110" s="220" t="s">
        <v>2692</v>
      </c>
      <c r="D110" s="220" t="s">
        <v>2691</v>
      </c>
      <c r="E110" s="220" t="s">
        <v>2690</v>
      </c>
      <c r="F110" s="220" t="s">
        <v>2689</v>
      </c>
      <c r="G110" s="220" t="s">
        <v>2688</v>
      </c>
      <c r="H110" s="220" t="s">
        <v>2687</v>
      </c>
      <c r="I110" s="220" t="s">
        <v>337</v>
      </c>
      <c r="J110" s="220" t="s">
        <v>297</v>
      </c>
      <c r="K110" s="220" t="s">
        <v>336</v>
      </c>
      <c r="L110" s="220" t="s">
        <v>2686</v>
      </c>
      <c r="M110" s="220" t="s">
        <v>2685</v>
      </c>
      <c r="N110" s="220" t="s">
        <v>2684</v>
      </c>
      <c r="O110" s="220" t="s">
        <v>2683</v>
      </c>
      <c r="P110" s="220" t="s">
        <v>2682</v>
      </c>
      <c r="Q110" s="220" t="s">
        <v>2681</v>
      </c>
      <c r="R110" s="220" t="s">
        <v>2680</v>
      </c>
      <c r="S110" s="220" t="s">
        <v>2675</v>
      </c>
      <c r="T110" s="220" t="s">
        <v>2674</v>
      </c>
      <c r="U110" s="220" t="s">
        <v>2202</v>
      </c>
      <c r="V110" s="220" t="s">
        <v>2126</v>
      </c>
      <c r="W110" s="220" t="s">
        <v>2673</v>
      </c>
      <c r="X110" s="220"/>
      <c r="Y110" s="283"/>
      <c r="Z110" s="220"/>
      <c r="AA110" s="220"/>
      <c r="AB110" s="220"/>
      <c r="AC110" s="220"/>
      <c r="AD110" s="220"/>
      <c r="AE110" s="283"/>
      <c r="AF110" s="220"/>
      <c r="AG110" s="220"/>
      <c r="AH110" s="220"/>
      <c r="AI110" s="220"/>
      <c r="AJ110" s="226">
        <v>14</v>
      </c>
      <c r="AK110" s="226">
        <v>0</v>
      </c>
      <c r="AL110" s="225">
        <v>0.98</v>
      </c>
      <c r="AM110" s="220"/>
      <c r="AN110" s="225">
        <v>2408</v>
      </c>
      <c r="AO110" s="220"/>
      <c r="AP110" s="220"/>
      <c r="AQ110" s="283"/>
      <c r="AR110" s="283"/>
      <c r="AS110" s="283"/>
      <c r="AT110" s="223">
        <v>0</v>
      </c>
      <c r="AU110" s="284">
        <v>420</v>
      </c>
      <c r="AV110" s="221">
        <v>42935</v>
      </c>
      <c r="AW110" s="221">
        <v>42935.638149999999</v>
      </c>
      <c r="AX110" s="220" t="s">
        <v>293</v>
      </c>
      <c r="AY110" s="219" t="s">
        <v>2679</v>
      </c>
    </row>
    <row r="111" spans="1:51" hidden="1" outlineLevel="1" collapsed="1">
      <c r="A111" s="227" t="s">
        <v>289</v>
      </c>
      <c r="B111" s="220" t="s">
        <v>2676</v>
      </c>
      <c r="C111" s="220" t="s">
        <v>2676</v>
      </c>
      <c r="D111" s="220" t="s">
        <v>2135</v>
      </c>
      <c r="E111" s="220" t="s">
        <v>2134</v>
      </c>
      <c r="F111" s="220" t="s">
        <v>2134</v>
      </c>
      <c r="G111" s="220" t="s">
        <v>2134</v>
      </c>
      <c r="H111" s="220" t="s">
        <v>2133</v>
      </c>
      <c r="I111" s="220" t="s">
        <v>329</v>
      </c>
      <c r="J111" s="220" t="s">
        <v>297</v>
      </c>
      <c r="K111" s="220" t="s">
        <v>397</v>
      </c>
      <c r="L111" s="220" t="s">
        <v>2132</v>
      </c>
      <c r="M111" s="220" t="s">
        <v>2131</v>
      </c>
      <c r="N111" s="220" t="s">
        <v>329</v>
      </c>
      <c r="O111" s="220" t="s">
        <v>297</v>
      </c>
      <c r="P111" s="220" t="s">
        <v>599</v>
      </c>
      <c r="Q111" s="220" t="s">
        <v>2130</v>
      </c>
      <c r="R111" s="220"/>
      <c r="S111" s="220" t="s">
        <v>2675</v>
      </c>
      <c r="T111" s="220" t="s">
        <v>2674</v>
      </c>
      <c r="U111" s="220" t="s">
        <v>2127</v>
      </c>
      <c r="V111" s="220" t="s">
        <v>2126</v>
      </c>
      <c r="W111" s="220" t="s">
        <v>2673</v>
      </c>
      <c r="X111" s="220"/>
      <c r="Y111" s="283"/>
      <c r="Z111" s="220"/>
      <c r="AA111" s="220"/>
      <c r="AB111" s="220"/>
      <c r="AC111" s="220"/>
      <c r="AD111" s="220"/>
      <c r="AE111" s="283"/>
      <c r="AF111" s="220"/>
      <c r="AG111" s="220"/>
      <c r="AH111" s="220"/>
      <c r="AI111" s="220"/>
      <c r="AJ111" s="226">
        <v>8</v>
      </c>
      <c r="AK111" s="226">
        <v>0</v>
      </c>
      <c r="AL111" s="225">
        <v>0.60799999999999998</v>
      </c>
      <c r="AM111" s="220"/>
      <c r="AN111" s="225">
        <v>1618.7840000000001</v>
      </c>
      <c r="AO111" s="220"/>
      <c r="AP111" s="220"/>
      <c r="AQ111" s="283"/>
      <c r="AR111" s="283"/>
      <c r="AS111" s="283"/>
      <c r="AT111" s="223">
        <v>0</v>
      </c>
      <c r="AU111" s="284">
        <v>280</v>
      </c>
      <c r="AV111" s="221">
        <v>42940</v>
      </c>
      <c r="AW111" s="221">
        <v>42940.547665046302</v>
      </c>
      <c r="AX111" s="220" t="s">
        <v>293</v>
      </c>
      <c r="AY111" s="219" t="s">
        <v>2678</v>
      </c>
    </row>
    <row r="112" spans="1:51" hidden="1" outlineLevel="1" collapsed="1">
      <c r="A112" s="227" t="s">
        <v>289</v>
      </c>
      <c r="B112" s="220" t="s">
        <v>2676</v>
      </c>
      <c r="C112" s="220" t="s">
        <v>2676</v>
      </c>
      <c r="D112" s="220" t="s">
        <v>2135</v>
      </c>
      <c r="E112" s="220" t="s">
        <v>2134</v>
      </c>
      <c r="F112" s="220" t="s">
        <v>2134</v>
      </c>
      <c r="G112" s="220" t="s">
        <v>2134</v>
      </c>
      <c r="H112" s="220" t="s">
        <v>2133</v>
      </c>
      <c r="I112" s="220" t="s">
        <v>329</v>
      </c>
      <c r="J112" s="220" t="s">
        <v>297</v>
      </c>
      <c r="K112" s="220" t="s">
        <v>397</v>
      </c>
      <c r="L112" s="220" t="s">
        <v>2132</v>
      </c>
      <c r="M112" s="220" t="s">
        <v>2131</v>
      </c>
      <c r="N112" s="220" t="s">
        <v>329</v>
      </c>
      <c r="O112" s="220" t="s">
        <v>297</v>
      </c>
      <c r="P112" s="220" t="s">
        <v>599</v>
      </c>
      <c r="Q112" s="220" t="s">
        <v>2130</v>
      </c>
      <c r="R112" s="220"/>
      <c r="S112" s="220" t="s">
        <v>2675</v>
      </c>
      <c r="T112" s="220" t="s">
        <v>2674</v>
      </c>
      <c r="U112" s="220" t="s">
        <v>2127</v>
      </c>
      <c r="V112" s="220" t="s">
        <v>2126</v>
      </c>
      <c r="W112" s="220" t="s">
        <v>2673</v>
      </c>
      <c r="X112" s="220"/>
      <c r="Y112" s="283"/>
      <c r="Z112" s="220"/>
      <c r="AA112" s="220"/>
      <c r="AB112" s="220"/>
      <c r="AC112" s="220"/>
      <c r="AD112" s="220"/>
      <c r="AE112" s="283"/>
      <c r="AF112" s="220"/>
      <c r="AG112" s="220"/>
      <c r="AH112" s="220"/>
      <c r="AI112" s="220"/>
      <c r="AJ112" s="226">
        <v>20</v>
      </c>
      <c r="AK112" s="226">
        <v>0</v>
      </c>
      <c r="AL112" s="225">
        <v>0.18</v>
      </c>
      <c r="AM112" s="220"/>
      <c r="AN112" s="225">
        <v>480</v>
      </c>
      <c r="AO112" s="220"/>
      <c r="AP112" s="220"/>
      <c r="AQ112" s="283"/>
      <c r="AR112" s="283"/>
      <c r="AS112" s="283"/>
      <c r="AT112" s="223">
        <v>0</v>
      </c>
      <c r="AU112" s="284">
        <v>57.6</v>
      </c>
      <c r="AV112" s="221">
        <v>42940</v>
      </c>
      <c r="AW112" s="221">
        <v>42940.547665046302</v>
      </c>
      <c r="AX112" s="220" t="s">
        <v>293</v>
      </c>
      <c r="AY112" s="219" t="s">
        <v>2677</v>
      </c>
    </row>
    <row r="113" spans="1:51" hidden="1" outlineLevel="1" collapsed="1">
      <c r="A113" s="227" t="s">
        <v>289</v>
      </c>
      <c r="B113" s="220" t="s">
        <v>2676</v>
      </c>
      <c r="C113" s="220" t="s">
        <v>2676</v>
      </c>
      <c r="D113" s="220" t="s">
        <v>2135</v>
      </c>
      <c r="E113" s="220" t="s">
        <v>2134</v>
      </c>
      <c r="F113" s="220" t="s">
        <v>2134</v>
      </c>
      <c r="G113" s="220" t="s">
        <v>2134</v>
      </c>
      <c r="H113" s="220" t="s">
        <v>2133</v>
      </c>
      <c r="I113" s="220" t="s">
        <v>329</v>
      </c>
      <c r="J113" s="220" t="s">
        <v>297</v>
      </c>
      <c r="K113" s="220" t="s">
        <v>397</v>
      </c>
      <c r="L113" s="220" t="s">
        <v>2132</v>
      </c>
      <c r="M113" s="220" t="s">
        <v>2131</v>
      </c>
      <c r="N113" s="220" t="s">
        <v>329</v>
      </c>
      <c r="O113" s="220" t="s">
        <v>297</v>
      </c>
      <c r="P113" s="220" t="s">
        <v>599</v>
      </c>
      <c r="Q113" s="220" t="s">
        <v>2130</v>
      </c>
      <c r="R113" s="220"/>
      <c r="S113" s="220" t="s">
        <v>2675</v>
      </c>
      <c r="T113" s="220" t="s">
        <v>2674</v>
      </c>
      <c r="U113" s="220" t="s">
        <v>2127</v>
      </c>
      <c r="V113" s="220" t="s">
        <v>2126</v>
      </c>
      <c r="W113" s="220" t="s">
        <v>2673</v>
      </c>
      <c r="X113" s="220"/>
      <c r="Y113" s="283"/>
      <c r="Z113" s="220"/>
      <c r="AA113" s="220"/>
      <c r="AB113" s="220"/>
      <c r="AC113" s="220"/>
      <c r="AD113" s="220"/>
      <c r="AE113" s="283"/>
      <c r="AF113" s="220"/>
      <c r="AG113" s="220"/>
      <c r="AH113" s="220"/>
      <c r="AI113" s="220"/>
      <c r="AJ113" s="226">
        <v>1</v>
      </c>
      <c r="AK113" s="226">
        <v>0</v>
      </c>
      <c r="AL113" s="225">
        <v>2.1999999999999999E-2</v>
      </c>
      <c r="AM113" s="220"/>
      <c r="AN113" s="225">
        <v>57.548400000000001</v>
      </c>
      <c r="AO113" s="220"/>
      <c r="AP113" s="220"/>
      <c r="AQ113" s="283"/>
      <c r="AR113" s="283"/>
      <c r="AS113" s="283"/>
      <c r="AT113" s="223">
        <v>0</v>
      </c>
      <c r="AU113" s="284">
        <v>10</v>
      </c>
      <c r="AV113" s="221">
        <v>42940</v>
      </c>
      <c r="AW113" s="221">
        <v>42940.547665046302</v>
      </c>
      <c r="AX113" s="220" t="s">
        <v>293</v>
      </c>
      <c r="AY113" s="219" t="s">
        <v>2672</v>
      </c>
    </row>
    <row r="114" spans="1:51" collapsed="1">
      <c r="A114" s="235" t="s">
        <v>2671</v>
      </c>
      <c r="B114" s="234">
        <v>66</v>
      </c>
      <c r="C114" s="279" t="s">
        <v>289</v>
      </c>
      <c r="D114" s="279" t="s">
        <v>289</v>
      </c>
      <c r="E114" s="279" t="s">
        <v>289</v>
      </c>
      <c r="F114" s="279" t="s">
        <v>289</v>
      </c>
      <c r="G114" s="279" t="s">
        <v>289</v>
      </c>
      <c r="H114" s="279" t="s">
        <v>289</v>
      </c>
      <c r="I114" s="279" t="s">
        <v>289</v>
      </c>
      <c r="J114" s="279" t="s">
        <v>289</v>
      </c>
      <c r="K114" s="279" t="s">
        <v>289</v>
      </c>
      <c r="L114" s="279" t="s">
        <v>289</v>
      </c>
      <c r="M114" s="279" t="s">
        <v>289</v>
      </c>
      <c r="N114" s="279" t="s">
        <v>289</v>
      </c>
      <c r="O114" s="279" t="s">
        <v>289</v>
      </c>
      <c r="P114" s="279" t="s">
        <v>289</v>
      </c>
      <c r="Q114" s="279" t="s">
        <v>289</v>
      </c>
      <c r="R114" s="279" t="s">
        <v>289</v>
      </c>
      <c r="S114" s="279" t="s">
        <v>289</v>
      </c>
      <c r="T114" s="279" t="s">
        <v>289</v>
      </c>
      <c r="U114" s="279" t="s">
        <v>289</v>
      </c>
      <c r="V114" s="279" t="s">
        <v>289</v>
      </c>
      <c r="W114" s="279" t="s">
        <v>289</v>
      </c>
      <c r="X114" s="279" t="s">
        <v>289</v>
      </c>
      <c r="Y114" s="231" t="s">
        <v>289</v>
      </c>
      <c r="Z114" s="231" t="s">
        <v>289</v>
      </c>
      <c r="AA114" s="231" t="s">
        <v>289</v>
      </c>
      <c r="AB114" s="231" t="s">
        <v>289</v>
      </c>
      <c r="AC114" s="231" t="s">
        <v>289</v>
      </c>
      <c r="AD114" s="231" t="s">
        <v>289</v>
      </c>
      <c r="AE114" s="231" t="s">
        <v>289</v>
      </c>
      <c r="AF114" s="231" t="s">
        <v>289</v>
      </c>
      <c r="AG114" s="231" t="s">
        <v>289</v>
      </c>
      <c r="AH114" s="231" t="s">
        <v>289</v>
      </c>
      <c r="AI114" s="231" t="s">
        <v>289</v>
      </c>
      <c r="AJ114" s="233">
        <v>17530</v>
      </c>
      <c r="AK114" s="233">
        <v>0</v>
      </c>
      <c r="AL114" s="232">
        <v>397.78709300000003</v>
      </c>
      <c r="AM114" s="279"/>
      <c r="AN114" s="232">
        <v>1831274.4110000001</v>
      </c>
      <c r="AO114" s="279"/>
      <c r="AP114" s="279"/>
      <c r="AQ114" s="231"/>
      <c r="AR114" s="231"/>
      <c r="AS114" s="231"/>
      <c r="AT114" s="230">
        <v>0</v>
      </c>
      <c r="AU114" s="229">
        <v>212569.81034</v>
      </c>
      <c r="AV114" s="663" t="s">
        <v>289</v>
      </c>
      <c r="AW114" s="658"/>
      <c r="AX114" s="664"/>
      <c r="AY114" s="228" t="s">
        <v>289</v>
      </c>
    </row>
    <row r="115" spans="1:51" ht="20.399999999999999" hidden="1" outlineLevel="1" collapsed="1">
      <c r="A115" s="227" t="s">
        <v>289</v>
      </c>
      <c r="B115" s="220" t="s">
        <v>2665</v>
      </c>
      <c r="C115" s="220" t="s">
        <v>2665</v>
      </c>
      <c r="D115" s="220" t="s">
        <v>2664</v>
      </c>
      <c r="E115" s="220" t="s">
        <v>1616</v>
      </c>
      <c r="F115" s="220" t="s">
        <v>2663</v>
      </c>
      <c r="G115" s="220" t="s">
        <v>2662</v>
      </c>
      <c r="H115" s="220" t="s">
        <v>2661</v>
      </c>
      <c r="I115" s="220" t="s">
        <v>345</v>
      </c>
      <c r="J115" s="220" t="s">
        <v>297</v>
      </c>
      <c r="K115" s="220" t="s">
        <v>344</v>
      </c>
      <c r="L115" s="220" t="s">
        <v>850</v>
      </c>
      <c r="M115" s="220" t="s">
        <v>849</v>
      </c>
      <c r="N115" s="220" t="s">
        <v>329</v>
      </c>
      <c r="O115" s="220" t="s">
        <v>297</v>
      </c>
      <c r="P115" s="220" t="s">
        <v>848</v>
      </c>
      <c r="Q115" s="220" t="s">
        <v>847</v>
      </c>
      <c r="R115" s="220"/>
      <c r="S115" s="220" t="s">
        <v>2129</v>
      </c>
      <c r="T115" s="220" t="s">
        <v>2173</v>
      </c>
      <c r="U115" s="220" t="s">
        <v>2193</v>
      </c>
      <c r="V115" s="220" t="s">
        <v>2126</v>
      </c>
      <c r="W115" s="220"/>
      <c r="X115" s="220"/>
      <c r="Y115" s="283"/>
      <c r="Z115" s="220"/>
      <c r="AA115" s="220"/>
      <c r="AB115" s="220"/>
      <c r="AC115" s="220"/>
      <c r="AD115" s="220"/>
      <c r="AE115" s="283"/>
      <c r="AF115" s="220"/>
      <c r="AG115" s="220"/>
      <c r="AH115" s="220"/>
      <c r="AI115" s="220"/>
      <c r="AJ115" s="226">
        <v>8</v>
      </c>
      <c r="AK115" s="226">
        <v>0</v>
      </c>
      <c r="AL115" s="225">
        <v>0.11952</v>
      </c>
      <c r="AM115" s="220"/>
      <c r="AN115" s="225">
        <v>349.38400000000001</v>
      </c>
      <c r="AO115" s="220"/>
      <c r="AP115" s="220"/>
      <c r="AQ115" s="283"/>
      <c r="AR115" s="283"/>
      <c r="AS115" s="283"/>
      <c r="AT115" s="223">
        <v>0</v>
      </c>
      <c r="AU115" s="284">
        <v>64</v>
      </c>
      <c r="AV115" s="221">
        <v>42835</v>
      </c>
      <c r="AW115" s="221">
        <v>42593.732703391201</v>
      </c>
      <c r="AX115" s="220" t="s">
        <v>293</v>
      </c>
      <c r="AY115" s="219" t="s">
        <v>2669</v>
      </c>
    </row>
    <row r="116" spans="1:51" ht="20.399999999999999" hidden="1" outlineLevel="1" collapsed="1">
      <c r="A116" s="227" t="s">
        <v>289</v>
      </c>
      <c r="B116" s="220" t="s">
        <v>2665</v>
      </c>
      <c r="C116" s="220" t="s">
        <v>2665</v>
      </c>
      <c r="D116" s="220" t="s">
        <v>2664</v>
      </c>
      <c r="E116" s="220" t="s">
        <v>1616</v>
      </c>
      <c r="F116" s="220" t="s">
        <v>2663</v>
      </c>
      <c r="G116" s="220" t="s">
        <v>2662</v>
      </c>
      <c r="H116" s="220" t="s">
        <v>2661</v>
      </c>
      <c r="I116" s="220" t="s">
        <v>345</v>
      </c>
      <c r="J116" s="220" t="s">
        <v>297</v>
      </c>
      <c r="K116" s="220" t="s">
        <v>344</v>
      </c>
      <c r="L116" s="220" t="s">
        <v>850</v>
      </c>
      <c r="M116" s="220" t="s">
        <v>849</v>
      </c>
      <c r="N116" s="220" t="s">
        <v>329</v>
      </c>
      <c r="O116" s="220" t="s">
        <v>297</v>
      </c>
      <c r="P116" s="220" t="s">
        <v>848</v>
      </c>
      <c r="Q116" s="220" t="s">
        <v>847</v>
      </c>
      <c r="R116" s="220"/>
      <c r="S116" s="220" t="s">
        <v>2129</v>
      </c>
      <c r="T116" s="220" t="s">
        <v>2128</v>
      </c>
      <c r="U116" s="220" t="s">
        <v>2193</v>
      </c>
      <c r="V116" s="220" t="s">
        <v>2126</v>
      </c>
      <c r="W116" s="220"/>
      <c r="X116" s="220"/>
      <c r="Y116" s="283"/>
      <c r="Z116" s="220"/>
      <c r="AA116" s="220"/>
      <c r="AB116" s="220"/>
      <c r="AC116" s="220"/>
      <c r="AD116" s="220"/>
      <c r="AE116" s="283"/>
      <c r="AF116" s="220"/>
      <c r="AG116" s="220"/>
      <c r="AH116" s="220"/>
      <c r="AI116" s="220"/>
      <c r="AJ116" s="226">
        <v>2</v>
      </c>
      <c r="AK116" s="226">
        <v>0</v>
      </c>
      <c r="AL116" s="225">
        <v>5.9760000000000001E-2</v>
      </c>
      <c r="AM116" s="220"/>
      <c r="AN116" s="225">
        <v>174.69200000000001</v>
      </c>
      <c r="AO116" s="220"/>
      <c r="AP116" s="220"/>
      <c r="AQ116" s="283"/>
      <c r="AR116" s="283"/>
      <c r="AS116" s="283"/>
      <c r="AT116" s="223">
        <v>0</v>
      </c>
      <c r="AU116" s="284">
        <v>6.42</v>
      </c>
      <c r="AV116" s="221">
        <v>42835</v>
      </c>
      <c r="AW116" s="221">
        <v>42593.732703391201</v>
      </c>
      <c r="AX116" s="220" t="s">
        <v>293</v>
      </c>
      <c r="AY116" s="219" t="s">
        <v>2660</v>
      </c>
    </row>
    <row r="117" spans="1:51" ht="20.399999999999999" hidden="1" outlineLevel="1" collapsed="1">
      <c r="A117" s="227" t="s">
        <v>289</v>
      </c>
      <c r="B117" s="220" t="s">
        <v>2665</v>
      </c>
      <c r="C117" s="220" t="s">
        <v>2665</v>
      </c>
      <c r="D117" s="220" t="s">
        <v>2664</v>
      </c>
      <c r="E117" s="220" t="s">
        <v>1616</v>
      </c>
      <c r="F117" s="220" t="s">
        <v>2663</v>
      </c>
      <c r="G117" s="220" t="s">
        <v>2662</v>
      </c>
      <c r="H117" s="220" t="s">
        <v>2661</v>
      </c>
      <c r="I117" s="220" t="s">
        <v>345</v>
      </c>
      <c r="J117" s="220" t="s">
        <v>297</v>
      </c>
      <c r="K117" s="220" t="s">
        <v>344</v>
      </c>
      <c r="L117" s="220" t="s">
        <v>850</v>
      </c>
      <c r="M117" s="220" t="s">
        <v>849</v>
      </c>
      <c r="N117" s="220" t="s">
        <v>329</v>
      </c>
      <c r="O117" s="220" t="s">
        <v>297</v>
      </c>
      <c r="P117" s="220" t="s">
        <v>848</v>
      </c>
      <c r="Q117" s="220" t="s">
        <v>847</v>
      </c>
      <c r="R117" s="220"/>
      <c r="S117" s="220" t="s">
        <v>2129</v>
      </c>
      <c r="T117" s="220" t="s">
        <v>2173</v>
      </c>
      <c r="U117" s="220" t="s">
        <v>2193</v>
      </c>
      <c r="V117" s="220" t="s">
        <v>2126</v>
      </c>
      <c r="W117" s="220"/>
      <c r="X117" s="220"/>
      <c r="Y117" s="283"/>
      <c r="Z117" s="220"/>
      <c r="AA117" s="220"/>
      <c r="AB117" s="220"/>
      <c r="AC117" s="220"/>
      <c r="AD117" s="220"/>
      <c r="AE117" s="283"/>
      <c r="AF117" s="220"/>
      <c r="AG117" s="220"/>
      <c r="AH117" s="220"/>
      <c r="AI117" s="220"/>
      <c r="AJ117" s="226">
        <v>34</v>
      </c>
      <c r="AK117" s="226">
        <v>0</v>
      </c>
      <c r="AL117" s="225">
        <v>0.50795999999999997</v>
      </c>
      <c r="AM117" s="220"/>
      <c r="AN117" s="225">
        <v>1484.8820000000001</v>
      </c>
      <c r="AO117" s="220"/>
      <c r="AP117" s="220"/>
      <c r="AQ117" s="283"/>
      <c r="AR117" s="283"/>
      <c r="AS117" s="283"/>
      <c r="AT117" s="223">
        <v>0</v>
      </c>
      <c r="AU117" s="284">
        <v>272</v>
      </c>
      <c r="AV117" s="221">
        <v>42835</v>
      </c>
      <c r="AW117" s="221">
        <v>42593.732703391201</v>
      </c>
      <c r="AX117" s="220" t="s">
        <v>293</v>
      </c>
      <c r="AY117" s="219" t="s">
        <v>2666</v>
      </c>
    </row>
    <row r="118" spans="1:51" ht="20.399999999999999" hidden="1" outlineLevel="1" collapsed="1">
      <c r="A118" s="227" t="s">
        <v>289</v>
      </c>
      <c r="B118" s="220" t="s">
        <v>2665</v>
      </c>
      <c r="C118" s="220" t="s">
        <v>2665</v>
      </c>
      <c r="D118" s="220" t="s">
        <v>2664</v>
      </c>
      <c r="E118" s="220" t="s">
        <v>1616</v>
      </c>
      <c r="F118" s="220" t="s">
        <v>2663</v>
      </c>
      <c r="G118" s="220" t="s">
        <v>2662</v>
      </c>
      <c r="H118" s="220" t="s">
        <v>2661</v>
      </c>
      <c r="I118" s="220" t="s">
        <v>345</v>
      </c>
      <c r="J118" s="220" t="s">
        <v>297</v>
      </c>
      <c r="K118" s="220" t="s">
        <v>344</v>
      </c>
      <c r="L118" s="220" t="s">
        <v>850</v>
      </c>
      <c r="M118" s="220" t="s">
        <v>849</v>
      </c>
      <c r="N118" s="220" t="s">
        <v>329</v>
      </c>
      <c r="O118" s="220" t="s">
        <v>297</v>
      </c>
      <c r="P118" s="220" t="s">
        <v>848</v>
      </c>
      <c r="Q118" s="220" t="s">
        <v>847</v>
      </c>
      <c r="R118" s="220"/>
      <c r="S118" s="220" t="s">
        <v>2129</v>
      </c>
      <c r="T118" s="220" t="s">
        <v>2128</v>
      </c>
      <c r="U118" s="220" t="s">
        <v>2193</v>
      </c>
      <c r="V118" s="220" t="s">
        <v>2126</v>
      </c>
      <c r="W118" s="220"/>
      <c r="X118" s="220"/>
      <c r="Y118" s="283"/>
      <c r="Z118" s="220"/>
      <c r="AA118" s="220"/>
      <c r="AB118" s="220"/>
      <c r="AC118" s="220"/>
      <c r="AD118" s="220"/>
      <c r="AE118" s="283"/>
      <c r="AF118" s="220"/>
      <c r="AG118" s="220"/>
      <c r="AH118" s="220"/>
      <c r="AI118" s="220"/>
      <c r="AJ118" s="226">
        <v>2</v>
      </c>
      <c r="AK118" s="226">
        <v>0</v>
      </c>
      <c r="AL118" s="225">
        <v>5.9760000000000001E-2</v>
      </c>
      <c r="AM118" s="220"/>
      <c r="AN118" s="225">
        <v>174.69200000000001</v>
      </c>
      <c r="AO118" s="220"/>
      <c r="AP118" s="220"/>
      <c r="AQ118" s="283"/>
      <c r="AR118" s="283"/>
      <c r="AS118" s="283"/>
      <c r="AT118" s="223">
        <v>0</v>
      </c>
      <c r="AU118" s="284">
        <v>8.5</v>
      </c>
      <c r="AV118" s="221">
        <v>42835</v>
      </c>
      <c r="AW118" s="221">
        <v>42593.732703391201</v>
      </c>
      <c r="AX118" s="220" t="s">
        <v>293</v>
      </c>
      <c r="AY118" s="219" t="s">
        <v>2670</v>
      </c>
    </row>
    <row r="119" spans="1:51" ht="20.399999999999999" hidden="1" outlineLevel="1" collapsed="1">
      <c r="A119" s="227" t="s">
        <v>289</v>
      </c>
      <c r="B119" s="220" t="s">
        <v>2665</v>
      </c>
      <c r="C119" s="220" t="s">
        <v>2665</v>
      </c>
      <c r="D119" s="220" t="s">
        <v>2664</v>
      </c>
      <c r="E119" s="220" t="s">
        <v>1616</v>
      </c>
      <c r="F119" s="220" t="s">
        <v>2663</v>
      </c>
      <c r="G119" s="220" t="s">
        <v>2662</v>
      </c>
      <c r="H119" s="220" t="s">
        <v>2661</v>
      </c>
      <c r="I119" s="220" t="s">
        <v>345</v>
      </c>
      <c r="J119" s="220" t="s">
        <v>297</v>
      </c>
      <c r="K119" s="220" t="s">
        <v>344</v>
      </c>
      <c r="L119" s="220" t="s">
        <v>850</v>
      </c>
      <c r="M119" s="220" t="s">
        <v>849</v>
      </c>
      <c r="N119" s="220" t="s">
        <v>329</v>
      </c>
      <c r="O119" s="220" t="s">
        <v>297</v>
      </c>
      <c r="P119" s="220" t="s">
        <v>848</v>
      </c>
      <c r="Q119" s="220" t="s">
        <v>847</v>
      </c>
      <c r="R119" s="220"/>
      <c r="S119" s="220" t="s">
        <v>2129</v>
      </c>
      <c r="T119" s="220" t="s">
        <v>2128</v>
      </c>
      <c r="U119" s="220" t="s">
        <v>2193</v>
      </c>
      <c r="V119" s="220" t="s">
        <v>2126</v>
      </c>
      <c r="W119" s="220"/>
      <c r="X119" s="220"/>
      <c r="Y119" s="283"/>
      <c r="Z119" s="220"/>
      <c r="AA119" s="220"/>
      <c r="AB119" s="220"/>
      <c r="AC119" s="220"/>
      <c r="AD119" s="220"/>
      <c r="AE119" s="283"/>
      <c r="AF119" s="220"/>
      <c r="AG119" s="220"/>
      <c r="AH119" s="220"/>
      <c r="AI119" s="220"/>
      <c r="AJ119" s="226">
        <v>10</v>
      </c>
      <c r="AK119" s="226">
        <v>0</v>
      </c>
      <c r="AL119" s="225">
        <v>0.29880000000000001</v>
      </c>
      <c r="AM119" s="220"/>
      <c r="AN119" s="225">
        <v>873.46</v>
      </c>
      <c r="AO119" s="220"/>
      <c r="AP119" s="220"/>
      <c r="AQ119" s="283"/>
      <c r="AR119" s="283"/>
      <c r="AS119" s="283"/>
      <c r="AT119" s="223">
        <v>0</v>
      </c>
      <c r="AU119" s="284">
        <v>27.1</v>
      </c>
      <c r="AV119" s="221">
        <v>42835</v>
      </c>
      <c r="AW119" s="221">
        <v>42593.732703391201</v>
      </c>
      <c r="AX119" s="220" t="s">
        <v>293</v>
      </c>
      <c r="AY119" s="219" t="s">
        <v>2668</v>
      </c>
    </row>
    <row r="120" spans="1:51" ht="20.399999999999999" hidden="1" outlineLevel="1" collapsed="1">
      <c r="A120" s="227" t="s">
        <v>289</v>
      </c>
      <c r="B120" s="220" t="s">
        <v>2665</v>
      </c>
      <c r="C120" s="220" t="s">
        <v>2665</v>
      </c>
      <c r="D120" s="220" t="s">
        <v>2664</v>
      </c>
      <c r="E120" s="220" t="s">
        <v>1616</v>
      </c>
      <c r="F120" s="220" t="s">
        <v>2663</v>
      </c>
      <c r="G120" s="220" t="s">
        <v>2662</v>
      </c>
      <c r="H120" s="220" t="s">
        <v>2661</v>
      </c>
      <c r="I120" s="220" t="s">
        <v>345</v>
      </c>
      <c r="J120" s="220" t="s">
        <v>297</v>
      </c>
      <c r="K120" s="220" t="s">
        <v>344</v>
      </c>
      <c r="L120" s="220" t="s">
        <v>850</v>
      </c>
      <c r="M120" s="220" t="s">
        <v>849</v>
      </c>
      <c r="N120" s="220" t="s">
        <v>329</v>
      </c>
      <c r="O120" s="220" t="s">
        <v>297</v>
      </c>
      <c r="P120" s="220" t="s">
        <v>848</v>
      </c>
      <c r="Q120" s="220" t="s">
        <v>847</v>
      </c>
      <c r="R120" s="220"/>
      <c r="S120" s="220" t="s">
        <v>2129</v>
      </c>
      <c r="T120" s="220" t="s">
        <v>2173</v>
      </c>
      <c r="U120" s="220" t="s">
        <v>2193</v>
      </c>
      <c r="V120" s="220" t="s">
        <v>2126</v>
      </c>
      <c r="W120" s="220"/>
      <c r="X120" s="220"/>
      <c r="Y120" s="283"/>
      <c r="Z120" s="220"/>
      <c r="AA120" s="220"/>
      <c r="AB120" s="220"/>
      <c r="AC120" s="220"/>
      <c r="AD120" s="220"/>
      <c r="AE120" s="283"/>
      <c r="AF120" s="220"/>
      <c r="AG120" s="220"/>
      <c r="AH120" s="220"/>
      <c r="AI120" s="220"/>
      <c r="AJ120" s="226">
        <v>10</v>
      </c>
      <c r="AK120" s="226">
        <v>0</v>
      </c>
      <c r="AL120" s="225">
        <v>0.14940000000000001</v>
      </c>
      <c r="AM120" s="220"/>
      <c r="AN120" s="225">
        <v>436.73</v>
      </c>
      <c r="AO120" s="220"/>
      <c r="AP120" s="220"/>
      <c r="AQ120" s="283"/>
      <c r="AR120" s="283"/>
      <c r="AS120" s="283"/>
      <c r="AT120" s="223">
        <v>0</v>
      </c>
      <c r="AU120" s="284">
        <v>47.5</v>
      </c>
      <c r="AV120" s="221">
        <v>42835</v>
      </c>
      <c r="AW120" s="221">
        <v>42593.732703391201</v>
      </c>
      <c r="AX120" s="220" t="s">
        <v>293</v>
      </c>
      <c r="AY120" s="219" t="s">
        <v>2667</v>
      </c>
    </row>
    <row r="121" spans="1:51" hidden="1" outlineLevel="1" collapsed="1">
      <c r="A121" s="227" t="s">
        <v>289</v>
      </c>
      <c r="B121" s="220" t="s">
        <v>2659</v>
      </c>
      <c r="C121" s="220" t="s">
        <v>2659</v>
      </c>
      <c r="D121" s="220" t="s">
        <v>2655</v>
      </c>
      <c r="E121" s="220" t="s">
        <v>2654</v>
      </c>
      <c r="F121" s="220" t="s">
        <v>2654</v>
      </c>
      <c r="G121" s="220" t="s">
        <v>2654</v>
      </c>
      <c r="H121" s="220" t="s">
        <v>2658</v>
      </c>
      <c r="I121" s="220" t="s">
        <v>1252</v>
      </c>
      <c r="J121" s="220" t="s">
        <v>297</v>
      </c>
      <c r="K121" s="220" t="s">
        <v>1251</v>
      </c>
      <c r="L121" s="220" t="s">
        <v>601</v>
      </c>
      <c r="M121" s="220" t="s">
        <v>600</v>
      </c>
      <c r="N121" s="220" t="s">
        <v>329</v>
      </c>
      <c r="O121" s="220" t="s">
        <v>297</v>
      </c>
      <c r="P121" s="220" t="s">
        <v>599</v>
      </c>
      <c r="Q121" s="220" t="s">
        <v>598</v>
      </c>
      <c r="R121" s="220"/>
      <c r="S121" s="220" t="s">
        <v>2129</v>
      </c>
      <c r="T121" s="220" t="s">
        <v>2139</v>
      </c>
      <c r="U121" s="220" t="s">
        <v>2332</v>
      </c>
      <c r="V121" s="220" t="s">
        <v>2126</v>
      </c>
      <c r="W121" s="220"/>
      <c r="X121" s="220"/>
      <c r="Y121" s="283"/>
      <c r="Z121" s="220"/>
      <c r="AA121" s="220"/>
      <c r="AB121" s="220"/>
      <c r="AC121" s="220"/>
      <c r="AD121" s="220"/>
      <c r="AE121" s="283"/>
      <c r="AF121" s="220"/>
      <c r="AG121" s="220"/>
      <c r="AH121" s="220"/>
      <c r="AI121" s="220"/>
      <c r="AJ121" s="226">
        <v>14</v>
      </c>
      <c r="AK121" s="226">
        <v>0</v>
      </c>
      <c r="AL121" s="225">
        <v>3.6151390000000001</v>
      </c>
      <c r="AM121" s="220"/>
      <c r="AN121" s="225">
        <v>16748.745999999999</v>
      </c>
      <c r="AO121" s="220"/>
      <c r="AP121" s="220"/>
      <c r="AQ121" s="283"/>
      <c r="AR121" s="283"/>
      <c r="AS121" s="283"/>
      <c r="AT121" s="223">
        <v>0</v>
      </c>
      <c r="AU121" s="284">
        <v>1400</v>
      </c>
      <c r="AV121" s="221">
        <v>42625</v>
      </c>
      <c r="AW121" s="221">
        <v>42625.788249421297</v>
      </c>
      <c r="AX121" s="220" t="s">
        <v>293</v>
      </c>
      <c r="AY121" s="219" t="s">
        <v>2657</v>
      </c>
    </row>
    <row r="122" spans="1:51" hidden="1" outlineLevel="1" collapsed="1">
      <c r="A122" s="227" t="s">
        <v>289</v>
      </c>
      <c r="B122" s="220" t="s">
        <v>2656</v>
      </c>
      <c r="C122" s="220" t="s">
        <v>2656</v>
      </c>
      <c r="D122" s="220" t="s">
        <v>2655</v>
      </c>
      <c r="E122" s="220" t="s">
        <v>2654</v>
      </c>
      <c r="F122" s="220" t="s">
        <v>2654</v>
      </c>
      <c r="G122" s="220" t="s">
        <v>2654</v>
      </c>
      <c r="H122" s="220" t="s">
        <v>2653</v>
      </c>
      <c r="I122" s="220" t="s">
        <v>531</v>
      </c>
      <c r="J122" s="220" t="s">
        <v>297</v>
      </c>
      <c r="K122" s="220" t="s">
        <v>530</v>
      </c>
      <c r="L122" s="220" t="s">
        <v>601</v>
      </c>
      <c r="M122" s="220" t="s">
        <v>600</v>
      </c>
      <c r="N122" s="220" t="s">
        <v>329</v>
      </c>
      <c r="O122" s="220" t="s">
        <v>297</v>
      </c>
      <c r="P122" s="220" t="s">
        <v>599</v>
      </c>
      <c r="Q122" s="220" t="s">
        <v>598</v>
      </c>
      <c r="R122" s="220"/>
      <c r="S122" s="220" t="s">
        <v>2129</v>
      </c>
      <c r="T122" s="220" t="s">
        <v>2139</v>
      </c>
      <c r="U122" s="220" t="s">
        <v>2127</v>
      </c>
      <c r="V122" s="220" t="s">
        <v>2126</v>
      </c>
      <c r="W122" s="220"/>
      <c r="X122" s="220"/>
      <c r="Y122" s="283"/>
      <c r="Z122" s="220"/>
      <c r="AA122" s="220"/>
      <c r="AB122" s="220"/>
      <c r="AC122" s="220"/>
      <c r="AD122" s="220"/>
      <c r="AE122" s="283"/>
      <c r="AF122" s="220"/>
      <c r="AG122" s="220"/>
      <c r="AH122" s="220"/>
      <c r="AI122" s="220"/>
      <c r="AJ122" s="226">
        <v>32</v>
      </c>
      <c r="AK122" s="226">
        <v>0</v>
      </c>
      <c r="AL122" s="225">
        <v>7.9039070000000002</v>
      </c>
      <c r="AM122" s="220"/>
      <c r="AN122" s="225">
        <v>37036.127999999997</v>
      </c>
      <c r="AO122" s="220"/>
      <c r="AP122" s="220"/>
      <c r="AQ122" s="283"/>
      <c r="AR122" s="283"/>
      <c r="AS122" s="283"/>
      <c r="AT122" s="223">
        <v>0</v>
      </c>
      <c r="AU122" s="284">
        <v>3200</v>
      </c>
      <c r="AV122" s="221">
        <v>42625</v>
      </c>
      <c r="AW122" s="221">
        <v>42625.797486921299</v>
      </c>
      <c r="AX122" s="220" t="s">
        <v>293</v>
      </c>
      <c r="AY122" s="219" t="s">
        <v>2652</v>
      </c>
    </row>
    <row r="123" spans="1:51" hidden="1" outlineLevel="1" collapsed="1">
      <c r="A123" s="227" t="s">
        <v>289</v>
      </c>
      <c r="B123" s="220" t="s">
        <v>2649</v>
      </c>
      <c r="C123" s="220" t="s">
        <v>2649</v>
      </c>
      <c r="D123" s="220" t="s">
        <v>2648</v>
      </c>
      <c r="E123" s="220" t="s">
        <v>2647</v>
      </c>
      <c r="F123" s="220" t="s">
        <v>2646</v>
      </c>
      <c r="G123" s="220" t="s">
        <v>2646</v>
      </c>
      <c r="H123" s="220" t="s">
        <v>2645</v>
      </c>
      <c r="I123" s="220" t="s">
        <v>480</v>
      </c>
      <c r="J123" s="220" t="s">
        <v>297</v>
      </c>
      <c r="K123" s="220" t="s">
        <v>479</v>
      </c>
      <c r="L123" s="220" t="s">
        <v>1017</v>
      </c>
      <c r="M123" s="220" t="s">
        <v>1016</v>
      </c>
      <c r="N123" s="220" t="s">
        <v>329</v>
      </c>
      <c r="O123" s="220" t="s">
        <v>297</v>
      </c>
      <c r="P123" s="220" t="s">
        <v>848</v>
      </c>
      <c r="Q123" s="220" t="s">
        <v>1015</v>
      </c>
      <c r="R123" s="220" t="s">
        <v>1014</v>
      </c>
      <c r="S123" s="220" t="s">
        <v>2129</v>
      </c>
      <c r="T123" s="220" t="s">
        <v>2128</v>
      </c>
      <c r="U123" s="220" t="s">
        <v>2127</v>
      </c>
      <c r="V123" s="220" t="s">
        <v>2126</v>
      </c>
      <c r="W123" s="220"/>
      <c r="X123" s="220"/>
      <c r="Y123" s="283"/>
      <c r="Z123" s="220"/>
      <c r="AA123" s="220"/>
      <c r="AB123" s="220"/>
      <c r="AC123" s="220"/>
      <c r="AD123" s="220"/>
      <c r="AE123" s="283"/>
      <c r="AF123" s="220"/>
      <c r="AG123" s="220"/>
      <c r="AH123" s="220"/>
      <c r="AI123" s="220"/>
      <c r="AJ123" s="226">
        <v>39</v>
      </c>
      <c r="AK123" s="226">
        <v>0</v>
      </c>
      <c r="AL123" s="225">
        <v>0.94517300000000004</v>
      </c>
      <c r="AM123" s="220"/>
      <c r="AN123" s="225">
        <v>4428.8789999999999</v>
      </c>
      <c r="AO123" s="220"/>
      <c r="AP123" s="220"/>
      <c r="AQ123" s="283"/>
      <c r="AR123" s="283"/>
      <c r="AS123" s="283"/>
      <c r="AT123" s="223">
        <v>0</v>
      </c>
      <c r="AU123" s="284">
        <v>232.44</v>
      </c>
      <c r="AV123" s="221">
        <v>42627</v>
      </c>
      <c r="AW123" s="221">
        <v>42627.686588078701</v>
      </c>
      <c r="AX123" s="220" t="s">
        <v>293</v>
      </c>
      <c r="AY123" s="219" t="s">
        <v>2651</v>
      </c>
    </row>
    <row r="124" spans="1:51" hidden="1" outlineLevel="1" collapsed="1">
      <c r="A124" s="227" t="s">
        <v>289</v>
      </c>
      <c r="B124" s="220" t="s">
        <v>2649</v>
      </c>
      <c r="C124" s="220" t="s">
        <v>2649</v>
      </c>
      <c r="D124" s="220" t="s">
        <v>2648</v>
      </c>
      <c r="E124" s="220" t="s">
        <v>2647</v>
      </c>
      <c r="F124" s="220" t="s">
        <v>2646</v>
      </c>
      <c r="G124" s="220" t="s">
        <v>2646</v>
      </c>
      <c r="H124" s="220" t="s">
        <v>2645</v>
      </c>
      <c r="I124" s="220" t="s">
        <v>480</v>
      </c>
      <c r="J124" s="220" t="s">
        <v>297</v>
      </c>
      <c r="K124" s="220" t="s">
        <v>479</v>
      </c>
      <c r="L124" s="220" t="s">
        <v>1017</v>
      </c>
      <c r="M124" s="220" t="s">
        <v>1016</v>
      </c>
      <c r="N124" s="220" t="s">
        <v>329</v>
      </c>
      <c r="O124" s="220" t="s">
        <v>297</v>
      </c>
      <c r="P124" s="220" t="s">
        <v>848</v>
      </c>
      <c r="Q124" s="220" t="s">
        <v>1015</v>
      </c>
      <c r="R124" s="220" t="s">
        <v>1014</v>
      </c>
      <c r="S124" s="220" t="s">
        <v>2129</v>
      </c>
      <c r="T124" s="220" t="s">
        <v>2434</v>
      </c>
      <c r="U124" s="220" t="s">
        <v>2127</v>
      </c>
      <c r="V124" s="220" t="s">
        <v>2126</v>
      </c>
      <c r="W124" s="220"/>
      <c r="X124" s="220"/>
      <c r="Y124" s="283"/>
      <c r="Z124" s="220"/>
      <c r="AA124" s="220"/>
      <c r="AB124" s="220"/>
      <c r="AC124" s="220"/>
      <c r="AD124" s="220"/>
      <c r="AE124" s="283"/>
      <c r="AF124" s="220"/>
      <c r="AG124" s="220"/>
      <c r="AH124" s="220"/>
      <c r="AI124" s="220"/>
      <c r="AJ124" s="226">
        <v>398</v>
      </c>
      <c r="AK124" s="226">
        <v>0</v>
      </c>
      <c r="AL124" s="225">
        <v>6.4304059999999996</v>
      </c>
      <c r="AM124" s="220"/>
      <c r="AN124" s="225">
        <v>30131.784</v>
      </c>
      <c r="AO124" s="220"/>
      <c r="AP124" s="220"/>
      <c r="AQ124" s="283"/>
      <c r="AR124" s="283"/>
      <c r="AS124" s="283"/>
      <c r="AT124" s="223">
        <v>0</v>
      </c>
      <c r="AU124" s="284">
        <v>1990</v>
      </c>
      <c r="AV124" s="221">
        <v>42627</v>
      </c>
      <c r="AW124" s="221">
        <v>42627.686588078701</v>
      </c>
      <c r="AX124" s="220" t="s">
        <v>293</v>
      </c>
      <c r="AY124" s="219" t="s">
        <v>2644</v>
      </c>
    </row>
    <row r="125" spans="1:51" hidden="1" outlineLevel="1" collapsed="1">
      <c r="A125" s="227" t="s">
        <v>289</v>
      </c>
      <c r="B125" s="220" t="s">
        <v>2649</v>
      </c>
      <c r="C125" s="220" t="s">
        <v>2649</v>
      </c>
      <c r="D125" s="220" t="s">
        <v>2648</v>
      </c>
      <c r="E125" s="220" t="s">
        <v>2647</v>
      </c>
      <c r="F125" s="220" t="s">
        <v>2646</v>
      </c>
      <c r="G125" s="220" t="s">
        <v>2646</v>
      </c>
      <c r="H125" s="220" t="s">
        <v>2645</v>
      </c>
      <c r="I125" s="220" t="s">
        <v>480</v>
      </c>
      <c r="J125" s="220" t="s">
        <v>297</v>
      </c>
      <c r="K125" s="220" t="s">
        <v>479</v>
      </c>
      <c r="L125" s="220" t="s">
        <v>1017</v>
      </c>
      <c r="M125" s="220" t="s">
        <v>1016</v>
      </c>
      <c r="N125" s="220" t="s">
        <v>329</v>
      </c>
      <c r="O125" s="220" t="s">
        <v>297</v>
      </c>
      <c r="P125" s="220" t="s">
        <v>848</v>
      </c>
      <c r="Q125" s="220" t="s">
        <v>1015</v>
      </c>
      <c r="R125" s="220" t="s">
        <v>1014</v>
      </c>
      <c r="S125" s="220" t="s">
        <v>2129</v>
      </c>
      <c r="T125" s="220" t="s">
        <v>2166</v>
      </c>
      <c r="U125" s="220" t="s">
        <v>2127</v>
      </c>
      <c r="V125" s="220" t="s">
        <v>2126</v>
      </c>
      <c r="W125" s="220"/>
      <c r="X125" s="220"/>
      <c r="Y125" s="283"/>
      <c r="Z125" s="220"/>
      <c r="AA125" s="220"/>
      <c r="AB125" s="220"/>
      <c r="AC125" s="220"/>
      <c r="AD125" s="220"/>
      <c r="AE125" s="283"/>
      <c r="AF125" s="220"/>
      <c r="AG125" s="220"/>
      <c r="AH125" s="220"/>
      <c r="AI125" s="220"/>
      <c r="AJ125" s="226">
        <v>154</v>
      </c>
      <c r="AK125" s="226">
        <v>0</v>
      </c>
      <c r="AL125" s="225">
        <v>5.9093499999999999</v>
      </c>
      <c r="AM125" s="220"/>
      <c r="AN125" s="225">
        <v>27689.97</v>
      </c>
      <c r="AO125" s="220"/>
      <c r="AP125" s="220"/>
      <c r="AQ125" s="283"/>
      <c r="AR125" s="283"/>
      <c r="AS125" s="283"/>
      <c r="AT125" s="223">
        <v>0</v>
      </c>
      <c r="AU125" s="284">
        <v>1925</v>
      </c>
      <c r="AV125" s="221">
        <v>42627</v>
      </c>
      <c r="AW125" s="221">
        <v>42627.686588078701</v>
      </c>
      <c r="AX125" s="220" t="s">
        <v>293</v>
      </c>
      <c r="AY125" s="219" t="s">
        <v>2650</v>
      </c>
    </row>
    <row r="126" spans="1:51" ht="20.399999999999999" hidden="1" outlineLevel="1" collapsed="1">
      <c r="A126" s="227" t="s">
        <v>289</v>
      </c>
      <c r="B126" s="220" t="s">
        <v>2641</v>
      </c>
      <c r="C126" s="220" t="s">
        <v>2641</v>
      </c>
      <c r="D126" s="220" t="s">
        <v>2640</v>
      </c>
      <c r="E126" s="220" t="s">
        <v>2639</v>
      </c>
      <c r="F126" s="220" t="s">
        <v>2639</v>
      </c>
      <c r="G126" s="220" t="s">
        <v>2639</v>
      </c>
      <c r="H126" s="220" t="s">
        <v>2638</v>
      </c>
      <c r="I126" s="220" t="s">
        <v>345</v>
      </c>
      <c r="J126" s="220" t="s">
        <v>297</v>
      </c>
      <c r="K126" s="220" t="s">
        <v>344</v>
      </c>
      <c r="L126" s="220" t="s">
        <v>2637</v>
      </c>
      <c r="M126" s="220" t="s">
        <v>2636</v>
      </c>
      <c r="N126" s="220" t="s">
        <v>345</v>
      </c>
      <c r="O126" s="220" t="s">
        <v>297</v>
      </c>
      <c r="P126" s="220" t="s">
        <v>344</v>
      </c>
      <c r="Q126" s="220" t="s">
        <v>2635</v>
      </c>
      <c r="R126" s="220"/>
      <c r="S126" s="220" t="s">
        <v>2129</v>
      </c>
      <c r="T126" s="220" t="s">
        <v>2173</v>
      </c>
      <c r="U126" s="220" t="s">
        <v>2193</v>
      </c>
      <c r="V126" s="220" t="s">
        <v>2126</v>
      </c>
      <c r="W126" s="220"/>
      <c r="X126" s="220"/>
      <c r="Y126" s="283"/>
      <c r="Z126" s="220"/>
      <c r="AA126" s="220"/>
      <c r="AB126" s="220"/>
      <c r="AC126" s="220"/>
      <c r="AD126" s="220"/>
      <c r="AE126" s="283"/>
      <c r="AF126" s="220"/>
      <c r="AG126" s="220"/>
      <c r="AH126" s="220"/>
      <c r="AI126" s="220"/>
      <c r="AJ126" s="226">
        <v>12</v>
      </c>
      <c r="AK126" s="226">
        <v>0</v>
      </c>
      <c r="AL126" s="225">
        <v>0.17927999999999999</v>
      </c>
      <c r="AM126" s="220"/>
      <c r="AN126" s="225">
        <v>524.07600000000002</v>
      </c>
      <c r="AO126" s="220"/>
      <c r="AP126" s="220"/>
      <c r="AQ126" s="283"/>
      <c r="AR126" s="283"/>
      <c r="AS126" s="283"/>
      <c r="AT126" s="223">
        <v>0</v>
      </c>
      <c r="AU126" s="284">
        <v>96</v>
      </c>
      <c r="AV126" s="221">
        <v>42628</v>
      </c>
      <c r="AW126" s="221">
        <v>42628.496363275503</v>
      </c>
      <c r="AX126" s="220" t="s">
        <v>293</v>
      </c>
      <c r="AY126" s="219" t="s">
        <v>2642</v>
      </c>
    </row>
    <row r="127" spans="1:51" ht="20.399999999999999" hidden="1" outlineLevel="1" collapsed="1">
      <c r="A127" s="227" t="s">
        <v>289</v>
      </c>
      <c r="B127" s="220" t="s">
        <v>2641</v>
      </c>
      <c r="C127" s="220" t="s">
        <v>2641</v>
      </c>
      <c r="D127" s="220" t="s">
        <v>2640</v>
      </c>
      <c r="E127" s="220" t="s">
        <v>2639</v>
      </c>
      <c r="F127" s="220" t="s">
        <v>2639</v>
      </c>
      <c r="G127" s="220" t="s">
        <v>2639</v>
      </c>
      <c r="H127" s="220" t="s">
        <v>2638</v>
      </c>
      <c r="I127" s="220" t="s">
        <v>345</v>
      </c>
      <c r="J127" s="220" t="s">
        <v>297</v>
      </c>
      <c r="K127" s="220" t="s">
        <v>344</v>
      </c>
      <c r="L127" s="220" t="s">
        <v>2637</v>
      </c>
      <c r="M127" s="220" t="s">
        <v>2636</v>
      </c>
      <c r="N127" s="220" t="s">
        <v>345</v>
      </c>
      <c r="O127" s="220" t="s">
        <v>297</v>
      </c>
      <c r="P127" s="220" t="s">
        <v>344</v>
      </c>
      <c r="Q127" s="220" t="s">
        <v>2635</v>
      </c>
      <c r="R127" s="220"/>
      <c r="S127" s="220" t="s">
        <v>2129</v>
      </c>
      <c r="T127" s="220" t="s">
        <v>2147</v>
      </c>
      <c r="U127" s="220" t="s">
        <v>2193</v>
      </c>
      <c r="V127" s="220" t="s">
        <v>2126</v>
      </c>
      <c r="W127" s="220"/>
      <c r="X127" s="220"/>
      <c r="Y127" s="283"/>
      <c r="Z127" s="220"/>
      <c r="AA127" s="220"/>
      <c r="AB127" s="220"/>
      <c r="AC127" s="220"/>
      <c r="AD127" s="220"/>
      <c r="AE127" s="283"/>
      <c r="AF127" s="220"/>
      <c r="AG127" s="220"/>
      <c r="AH127" s="220"/>
      <c r="AI127" s="220"/>
      <c r="AJ127" s="226">
        <v>40</v>
      </c>
      <c r="AK127" s="226">
        <v>0</v>
      </c>
      <c r="AL127" s="225">
        <v>1.1952</v>
      </c>
      <c r="AM127" s="220"/>
      <c r="AN127" s="225">
        <v>3493.84</v>
      </c>
      <c r="AO127" s="220"/>
      <c r="AP127" s="220"/>
      <c r="AQ127" s="283"/>
      <c r="AR127" s="283"/>
      <c r="AS127" s="283"/>
      <c r="AT127" s="223">
        <v>0</v>
      </c>
      <c r="AU127" s="284">
        <v>640</v>
      </c>
      <c r="AV127" s="221">
        <v>42628</v>
      </c>
      <c r="AW127" s="221">
        <v>42628.496363275503</v>
      </c>
      <c r="AX127" s="220" t="s">
        <v>293</v>
      </c>
      <c r="AY127" s="219" t="s">
        <v>2634</v>
      </c>
    </row>
    <row r="128" spans="1:51" hidden="1" outlineLevel="1" collapsed="1">
      <c r="A128" s="227" t="s">
        <v>289</v>
      </c>
      <c r="B128" s="220" t="s">
        <v>2641</v>
      </c>
      <c r="C128" s="220" t="s">
        <v>2641</v>
      </c>
      <c r="D128" s="220" t="s">
        <v>2640</v>
      </c>
      <c r="E128" s="220" t="s">
        <v>2639</v>
      </c>
      <c r="F128" s="220" t="s">
        <v>2639</v>
      </c>
      <c r="G128" s="220" t="s">
        <v>2639</v>
      </c>
      <c r="H128" s="220" t="s">
        <v>2638</v>
      </c>
      <c r="I128" s="220" t="s">
        <v>345</v>
      </c>
      <c r="J128" s="220" t="s">
        <v>297</v>
      </c>
      <c r="K128" s="220" t="s">
        <v>344</v>
      </c>
      <c r="L128" s="220" t="s">
        <v>2637</v>
      </c>
      <c r="M128" s="220" t="s">
        <v>2636</v>
      </c>
      <c r="N128" s="220" t="s">
        <v>345</v>
      </c>
      <c r="O128" s="220" t="s">
        <v>297</v>
      </c>
      <c r="P128" s="220" t="s">
        <v>344</v>
      </c>
      <c r="Q128" s="220" t="s">
        <v>2635</v>
      </c>
      <c r="R128" s="220"/>
      <c r="S128" s="220" t="s">
        <v>2129</v>
      </c>
      <c r="T128" s="220" t="s">
        <v>2166</v>
      </c>
      <c r="U128" s="220" t="s">
        <v>2193</v>
      </c>
      <c r="V128" s="220" t="s">
        <v>2126</v>
      </c>
      <c r="W128" s="220"/>
      <c r="X128" s="220"/>
      <c r="Y128" s="283"/>
      <c r="Z128" s="220"/>
      <c r="AA128" s="220"/>
      <c r="AB128" s="220"/>
      <c r="AC128" s="220"/>
      <c r="AD128" s="220"/>
      <c r="AE128" s="283"/>
      <c r="AF128" s="220"/>
      <c r="AG128" s="220"/>
      <c r="AH128" s="220"/>
      <c r="AI128" s="220"/>
      <c r="AJ128" s="226">
        <v>5</v>
      </c>
      <c r="AK128" s="226">
        <v>0</v>
      </c>
      <c r="AL128" s="225">
        <v>0.23655000000000001</v>
      </c>
      <c r="AM128" s="220"/>
      <c r="AN128" s="225">
        <v>691.48500000000001</v>
      </c>
      <c r="AO128" s="220"/>
      <c r="AP128" s="220"/>
      <c r="AQ128" s="283"/>
      <c r="AR128" s="283"/>
      <c r="AS128" s="283"/>
      <c r="AT128" s="223">
        <v>0</v>
      </c>
      <c r="AU128" s="284">
        <v>62.5</v>
      </c>
      <c r="AV128" s="221">
        <v>42628</v>
      </c>
      <c r="AW128" s="221">
        <v>42628.496363275503</v>
      </c>
      <c r="AX128" s="220" t="s">
        <v>293</v>
      </c>
      <c r="AY128" s="219" t="s">
        <v>2643</v>
      </c>
    </row>
    <row r="129" spans="1:51" ht="20.399999999999999" hidden="1" outlineLevel="1" collapsed="1">
      <c r="A129" s="227" t="s">
        <v>289</v>
      </c>
      <c r="B129" s="220" t="s">
        <v>2632</v>
      </c>
      <c r="C129" s="220" t="s">
        <v>2632</v>
      </c>
      <c r="D129" s="220" t="s">
        <v>2631</v>
      </c>
      <c r="E129" s="220" t="s">
        <v>2630</v>
      </c>
      <c r="F129" s="220" t="s">
        <v>2630</v>
      </c>
      <c r="G129" s="220" t="s">
        <v>2630</v>
      </c>
      <c r="H129" s="220" t="s">
        <v>2629</v>
      </c>
      <c r="I129" s="220" t="s">
        <v>329</v>
      </c>
      <c r="J129" s="220" t="s">
        <v>297</v>
      </c>
      <c r="K129" s="220" t="s">
        <v>397</v>
      </c>
      <c r="L129" s="220" t="s">
        <v>2211</v>
      </c>
      <c r="M129" s="220" t="s">
        <v>2210</v>
      </c>
      <c r="N129" s="220" t="s">
        <v>298</v>
      </c>
      <c r="O129" s="220" t="s">
        <v>297</v>
      </c>
      <c r="P129" s="220" t="s">
        <v>296</v>
      </c>
      <c r="Q129" s="220" t="s">
        <v>2209</v>
      </c>
      <c r="R129" s="220" t="s">
        <v>2208</v>
      </c>
      <c r="S129" s="220" t="s">
        <v>2129</v>
      </c>
      <c r="T129" s="220" t="s">
        <v>2173</v>
      </c>
      <c r="U129" s="220" t="s">
        <v>2202</v>
      </c>
      <c r="V129" s="220" t="s">
        <v>2126</v>
      </c>
      <c r="W129" s="220"/>
      <c r="X129" s="220"/>
      <c r="Y129" s="283"/>
      <c r="Z129" s="220"/>
      <c r="AA129" s="220"/>
      <c r="AB129" s="220"/>
      <c r="AC129" s="220"/>
      <c r="AD129" s="220"/>
      <c r="AE129" s="283"/>
      <c r="AF129" s="220"/>
      <c r="AG129" s="220"/>
      <c r="AH129" s="220"/>
      <c r="AI129" s="220"/>
      <c r="AJ129" s="226">
        <v>399</v>
      </c>
      <c r="AK129" s="226">
        <v>0</v>
      </c>
      <c r="AL129" s="225">
        <v>4.4557130000000003</v>
      </c>
      <c r="AM129" s="220"/>
      <c r="AN129" s="225">
        <v>19812.345000000001</v>
      </c>
      <c r="AO129" s="220"/>
      <c r="AP129" s="220"/>
      <c r="AQ129" s="283"/>
      <c r="AR129" s="283"/>
      <c r="AS129" s="283"/>
      <c r="AT129" s="223">
        <v>0</v>
      </c>
      <c r="AU129" s="284">
        <v>5522.16</v>
      </c>
      <c r="AV129" s="221">
        <v>42628</v>
      </c>
      <c r="AW129" s="221">
        <v>42628.684845486103</v>
      </c>
      <c r="AX129" s="220" t="s">
        <v>293</v>
      </c>
      <c r="AY129" s="219" t="s">
        <v>2628</v>
      </c>
    </row>
    <row r="130" spans="1:51" hidden="1" outlineLevel="1" collapsed="1">
      <c r="A130" s="227" t="s">
        <v>289</v>
      </c>
      <c r="B130" s="220" t="s">
        <v>2632</v>
      </c>
      <c r="C130" s="220" t="s">
        <v>2632</v>
      </c>
      <c r="D130" s="220" t="s">
        <v>2631</v>
      </c>
      <c r="E130" s="220" t="s">
        <v>2630</v>
      </c>
      <c r="F130" s="220" t="s">
        <v>2630</v>
      </c>
      <c r="G130" s="220" t="s">
        <v>2630</v>
      </c>
      <c r="H130" s="220" t="s">
        <v>2629</v>
      </c>
      <c r="I130" s="220" t="s">
        <v>329</v>
      </c>
      <c r="J130" s="220" t="s">
        <v>297</v>
      </c>
      <c r="K130" s="220" t="s">
        <v>397</v>
      </c>
      <c r="L130" s="220" t="s">
        <v>2211</v>
      </c>
      <c r="M130" s="220" t="s">
        <v>2210</v>
      </c>
      <c r="N130" s="220" t="s">
        <v>298</v>
      </c>
      <c r="O130" s="220" t="s">
        <v>297</v>
      </c>
      <c r="P130" s="220" t="s">
        <v>296</v>
      </c>
      <c r="Q130" s="220" t="s">
        <v>2209</v>
      </c>
      <c r="R130" s="220" t="s">
        <v>2208</v>
      </c>
      <c r="S130" s="220" t="s">
        <v>2129</v>
      </c>
      <c r="T130" s="220" t="s">
        <v>2128</v>
      </c>
      <c r="U130" s="220" t="s">
        <v>2202</v>
      </c>
      <c r="V130" s="220" t="s">
        <v>2126</v>
      </c>
      <c r="W130" s="220"/>
      <c r="X130" s="220"/>
      <c r="Y130" s="283"/>
      <c r="Z130" s="220"/>
      <c r="AA130" s="220"/>
      <c r="AB130" s="220"/>
      <c r="AC130" s="220"/>
      <c r="AD130" s="220"/>
      <c r="AE130" s="283"/>
      <c r="AF130" s="220"/>
      <c r="AG130" s="220"/>
      <c r="AH130" s="220"/>
      <c r="AI130" s="220"/>
      <c r="AJ130" s="226">
        <v>90</v>
      </c>
      <c r="AK130" s="226">
        <v>0</v>
      </c>
      <c r="AL130" s="225">
        <v>2.0100959999999999</v>
      </c>
      <c r="AM130" s="220"/>
      <c r="AN130" s="225">
        <v>8937.9</v>
      </c>
      <c r="AO130" s="220"/>
      <c r="AP130" s="220"/>
      <c r="AQ130" s="283"/>
      <c r="AR130" s="283"/>
      <c r="AS130" s="283"/>
      <c r="AT130" s="223">
        <v>0</v>
      </c>
      <c r="AU130" s="284">
        <v>765</v>
      </c>
      <c r="AV130" s="221">
        <v>42628</v>
      </c>
      <c r="AW130" s="221">
        <v>42628.684845486103</v>
      </c>
      <c r="AX130" s="220" t="s">
        <v>293</v>
      </c>
      <c r="AY130" s="219" t="s">
        <v>2633</v>
      </c>
    </row>
    <row r="131" spans="1:51" hidden="1" outlineLevel="1" collapsed="1">
      <c r="A131" s="227" t="s">
        <v>289</v>
      </c>
      <c r="B131" s="220" t="s">
        <v>2620</v>
      </c>
      <c r="C131" s="220" t="s">
        <v>2620</v>
      </c>
      <c r="D131" s="220" t="s">
        <v>2619</v>
      </c>
      <c r="E131" s="220" t="s">
        <v>2618</v>
      </c>
      <c r="F131" s="220" t="s">
        <v>2618</v>
      </c>
      <c r="G131" s="220" t="s">
        <v>2618</v>
      </c>
      <c r="H131" s="220" t="s">
        <v>2617</v>
      </c>
      <c r="I131" s="220" t="s">
        <v>329</v>
      </c>
      <c r="J131" s="220" t="s">
        <v>297</v>
      </c>
      <c r="K131" s="220" t="s">
        <v>397</v>
      </c>
      <c r="L131" s="220" t="s">
        <v>2315</v>
      </c>
      <c r="M131" s="220" t="s">
        <v>2314</v>
      </c>
      <c r="N131" s="220" t="s">
        <v>2313</v>
      </c>
      <c r="O131" s="220" t="s">
        <v>2312</v>
      </c>
      <c r="P131" s="220" t="s">
        <v>2311</v>
      </c>
      <c r="Q131" s="220" t="s">
        <v>2310</v>
      </c>
      <c r="R131" s="220"/>
      <c r="S131" s="220" t="s">
        <v>2129</v>
      </c>
      <c r="T131" s="220" t="s">
        <v>2139</v>
      </c>
      <c r="U131" s="220" t="s">
        <v>2127</v>
      </c>
      <c r="V131" s="220" t="s">
        <v>2126</v>
      </c>
      <c r="W131" s="220"/>
      <c r="X131" s="220"/>
      <c r="Y131" s="283"/>
      <c r="Z131" s="220"/>
      <c r="AA131" s="220"/>
      <c r="AB131" s="220"/>
      <c r="AC131" s="220"/>
      <c r="AD131" s="220"/>
      <c r="AE131" s="283"/>
      <c r="AF131" s="220"/>
      <c r="AG131" s="220"/>
      <c r="AH131" s="220"/>
      <c r="AI131" s="220"/>
      <c r="AJ131" s="226">
        <v>4</v>
      </c>
      <c r="AK131" s="226">
        <v>0</v>
      </c>
      <c r="AL131" s="225">
        <v>0.98798799999999998</v>
      </c>
      <c r="AM131" s="220"/>
      <c r="AN131" s="225">
        <v>4629.5159999999996</v>
      </c>
      <c r="AO131" s="220"/>
      <c r="AP131" s="220"/>
      <c r="AQ131" s="283"/>
      <c r="AR131" s="283"/>
      <c r="AS131" s="283"/>
      <c r="AT131" s="223">
        <v>0</v>
      </c>
      <c r="AU131" s="284">
        <v>789.32</v>
      </c>
      <c r="AV131" s="221">
        <v>42628</v>
      </c>
      <c r="AW131" s="221">
        <v>42628.752856712999</v>
      </c>
      <c r="AX131" s="220" t="s">
        <v>293</v>
      </c>
      <c r="AY131" s="219" t="s">
        <v>2627</v>
      </c>
    </row>
    <row r="132" spans="1:51" hidden="1" outlineLevel="1" collapsed="1">
      <c r="A132" s="227" t="s">
        <v>289</v>
      </c>
      <c r="B132" s="220" t="s">
        <v>2620</v>
      </c>
      <c r="C132" s="220" t="s">
        <v>2620</v>
      </c>
      <c r="D132" s="220" t="s">
        <v>2619</v>
      </c>
      <c r="E132" s="220" t="s">
        <v>2618</v>
      </c>
      <c r="F132" s="220" t="s">
        <v>2618</v>
      </c>
      <c r="G132" s="220" t="s">
        <v>2618</v>
      </c>
      <c r="H132" s="220" t="s">
        <v>2617</v>
      </c>
      <c r="I132" s="220" t="s">
        <v>329</v>
      </c>
      <c r="J132" s="220" t="s">
        <v>297</v>
      </c>
      <c r="K132" s="220" t="s">
        <v>397</v>
      </c>
      <c r="L132" s="220" t="s">
        <v>2315</v>
      </c>
      <c r="M132" s="220" t="s">
        <v>2314</v>
      </c>
      <c r="N132" s="220" t="s">
        <v>2313</v>
      </c>
      <c r="O132" s="220" t="s">
        <v>2312</v>
      </c>
      <c r="P132" s="220" t="s">
        <v>2311</v>
      </c>
      <c r="Q132" s="220" t="s">
        <v>2310</v>
      </c>
      <c r="R132" s="220"/>
      <c r="S132" s="220" t="s">
        <v>2129</v>
      </c>
      <c r="T132" s="220" t="s">
        <v>2408</v>
      </c>
      <c r="U132" s="220" t="s">
        <v>2127</v>
      </c>
      <c r="V132" s="220" t="s">
        <v>2126</v>
      </c>
      <c r="W132" s="220"/>
      <c r="X132" s="220"/>
      <c r="Y132" s="283"/>
      <c r="Z132" s="220"/>
      <c r="AA132" s="220"/>
      <c r="AB132" s="220"/>
      <c r="AC132" s="220"/>
      <c r="AD132" s="220"/>
      <c r="AE132" s="283"/>
      <c r="AF132" s="220"/>
      <c r="AG132" s="220"/>
      <c r="AH132" s="220"/>
      <c r="AI132" s="220"/>
      <c r="AJ132" s="226">
        <v>36</v>
      </c>
      <c r="AK132" s="226">
        <v>0</v>
      </c>
      <c r="AL132" s="225">
        <v>1.3523240000000001</v>
      </c>
      <c r="AM132" s="220"/>
      <c r="AN132" s="225">
        <v>6336.72</v>
      </c>
      <c r="AO132" s="220"/>
      <c r="AP132" s="220"/>
      <c r="AQ132" s="283"/>
      <c r="AR132" s="283"/>
      <c r="AS132" s="283"/>
      <c r="AT132" s="223">
        <v>0</v>
      </c>
      <c r="AU132" s="284">
        <v>828</v>
      </c>
      <c r="AV132" s="221">
        <v>42628</v>
      </c>
      <c r="AW132" s="221">
        <v>42628.752856712999</v>
      </c>
      <c r="AX132" s="220" t="s">
        <v>293</v>
      </c>
      <c r="AY132" s="219" t="s">
        <v>2621</v>
      </c>
    </row>
    <row r="133" spans="1:51" hidden="1" outlineLevel="1" collapsed="1">
      <c r="A133" s="227" t="s">
        <v>289</v>
      </c>
      <c r="B133" s="220" t="s">
        <v>2620</v>
      </c>
      <c r="C133" s="220" t="s">
        <v>2620</v>
      </c>
      <c r="D133" s="220" t="s">
        <v>2619</v>
      </c>
      <c r="E133" s="220" t="s">
        <v>2618</v>
      </c>
      <c r="F133" s="220" t="s">
        <v>2618</v>
      </c>
      <c r="G133" s="220" t="s">
        <v>2618</v>
      </c>
      <c r="H133" s="220" t="s">
        <v>2617</v>
      </c>
      <c r="I133" s="220" t="s">
        <v>329</v>
      </c>
      <c r="J133" s="220" t="s">
        <v>297</v>
      </c>
      <c r="K133" s="220" t="s">
        <v>397</v>
      </c>
      <c r="L133" s="220" t="s">
        <v>2315</v>
      </c>
      <c r="M133" s="220" t="s">
        <v>2314</v>
      </c>
      <c r="N133" s="220" t="s">
        <v>2313</v>
      </c>
      <c r="O133" s="220" t="s">
        <v>2312</v>
      </c>
      <c r="P133" s="220" t="s">
        <v>2311</v>
      </c>
      <c r="Q133" s="220" t="s">
        <v>2310</v>
      </c>
      <c r="R133" s="220"/>
      <c r="S133" s="220" t="s">
        <v>2129</v>
      </c>
      <c r="T133" s="220" t="s">
        <v>2166</v>
      </c>
      <c r="U133" s="220" t="s">
        <v>2127</v>
      </c>
      <c r="V133" s="220" t="s">
        <v>2126</v>
      </c>
      <c r="W133" s="220"/>
      <c r="X133" s="220"/>
      <c r="Y133" s="283"/>
      <c r="Z133" s="220"/>
      <c r="AA133" s="220"/>
      <c r="AB133" s="220"/>
      <c r="AC133" s="220"/>
      <c r="AD133" s="220"/>
      <c r="AE133" s="283"/>
      <c r="AF133" s="220"/>
      <c r="AG133" s="220"/>
      <c r="AH133" s="220"/>
      <c r="AI133" s="220"/>
      <c r="AJ133" s="226">
        <v>69</v>
      </c>
      <c r="AK133" s="226">
        <v>0</v>
      </c>
      <c r="AL133" s="225">
        <v>2.6476959999999998</v>
      </c>
      <c r="AM133" s="220"/>
      <c r="AN133" s="225">
        <v>12406.545</v>
      </c>
      <c r="AO133" s="220"/>
      <c r="AP133" s="220"/>
      <c r="AQ133" s="283"/>
      <c r="AR133" s="283"/>
      <c r="AS133" s="283"/>
      <c r="AT133" s="223">
        <v>0</v>
      </c>
      <c r="AU133" s="284">
        <v>862.5</v>
      </c>
      <c r="AV133" s="221">
        <v>42628</v>
      </c>
      <c r="AW133" s="221">
        <v>42628.752856712999</v>
      </c>
      <c r="AX133" s="220" t="s">
        <v>293</v>
      </c>
      <c r="AY133" s="219" t="s">
        <v>2623</v>
      </c>
    </row>
    <row r="134" spans="1:51" hidden="1" outlineLevel="1" collapsed="1">
      <c r="A134" s="227" t="s">
        <v>289</v>
      </c>
      <c r="B134" s="220" t="s">
        <v>2620</v>
      </c>
      <c r="C134" s="220" t="s">
        <v>2620</v>
      </c>
      <c r="D134" s="220" t="s">
        <v>2619</v>
      </c>
      <c r="E134" s="220" t="s">
        <v>2618</v>
      </c>
      <c r="F134" s="220" t="s">
        <v>2618</v>
      </c>
      <c r="G134" s="220" t="s">
        <v>2618</v>
      </c>
      <c r="H134" s="220" t="s">
        <v>2617</v>
      </c>
      <c r="I134" s="220" t="s">
        <v>329</v>
      </c>
      <c r="J134" s="220" t="s">
        <v>297</v>
      </c>
      <c r="K134" s="220" t="s">
        <v>397</v>
      </c>
      <c r="L134" s="220" t="s">
        <v>2315</v>
      </c>
      <c r="M134" s="220" t="s">
        <v>2314</v>
      </c>
      <c r="N134" s="220" t="s">
        <v>2313</v>
      </c>
      <c r="O134" s="220" t="s">
        <v>2312</v>
      </c>
      <c r="P134" s="220" t="s">
        <v>2311</v>
      </c>
      <c r="Q134" s="220" t="s">
        <v>2310</v>
      </c>
      <c r="R134" s="220"/>
      <c r="S134" s="220" t="s">
        <v>2129</v>
      </c>
      <c r="T134" s="220" t="s">
        <v>2139</v>
      </c>
      <c r="U134" s="220" t="s">
        <v>2127</v>
      </c>
      <c r="V134" s="220" t="s">
        <v>2126</v>
      </c>
      <c r="W134" s="220"/>
      <c r="X134" s="220"/>
      <c r="Y134" s="283"/>
      <c r="Z134" s="220"/>
      <c r="AA134" s="220"/>
      <c r="AB134" s="220"/>
      <c r="AC134" s="220"/>
      <c r="AD134" s="220"/>
      <c r="AE134" s="283"/>
      <c r="AF134" s="220"/>
      <c r="AG134" s="220"/>
      <c r="AH134" s="220"/>
      <c r="AI134" s="220"/>
      <c r="AJ134" s="226">
        <v>3</v>
      </c>
      <c r="AK134" s="226">
        <v>0</v>
      </c>
      <c r="AL134" s="225">
        <v>0.74099099999999996</v>
      </c>
      <c r="AM134" s="220"/>
      <c r="AN134" s="225">
        <v>3472.1370000000002</v>
      </c>
      <c r="AO134" s="220"/>
      <c r="AP134" s="220"/>
      <c r="AQ134" s="283"/>
      <c r="AR134" s="283"/>
      <c r="AS134" s="283"/>
      <c r="AT134" s="223">
        <v>0</v>
      </c>
      <c r="AU134" s="284">
        <v>300</v>
      </c>
      <c r="AV134" s="221">
        <v>42628</v>
      </c>
      <c r="AW134" s="221">
        <v>42628.752856712999</v>
      </c>
      <c r="AX134" s="220" t="s">
        <v>293</v>
      </c>
      <c r="AY134" s="219" t="s">
        <v>2616</v>
      </c>
    </row>
    <row r="135" spans="1:51" hidden="1" outlineLevel="1" collapsed="1">
      <c r="A135" s="227" t="s">
        <v>289</v>
      </c>
      <c r="B135" s="220" t="s">
        <v>2620</v>
      </c>
      <c r="C135" s="220" t="s">
        <v>2620</v>
      </c>
      <c r="D135" s="220" t="s">
        <v>2619</v>
      </c>
      <c r="E135" s="220" t="s">
        <v>2618</v>
      </c>
      <c r="F135" s="220" t="s">
        <v>2618</v>
      </c>
      <c r="G135" s="220" t="s">
        <v>2618</v>
      </c>
      <c r="H135" s="220" t="s">
        <v>2617</v>
      </c>
      <c r="I135" s="220" t="s">
        <v>329</v>
      </c>
      <c r="J135" s="220" t="s">
        <v>297</v>
      </c>
      <c r="K135" s="220" t="s">
        <v>397</v>
      </c>
      <c r="L135" s="220" t="s">
        <v>2315</v>
      </c>
      <c r="M135" s="220" t="s">
        <v>2314</v>
      </c>
      <c r="N135" s="220" t="s">
        <v>2313</v>
      </c>
      <c r="O135" s="220" t="s">
        <v>2312</v>
      </c>
      <c r="P135" s="220" t="s">
        <v>2311</v>
      </c>
      <c r="Q135" s="220" t="s">
        <v>2310</v>
      </c>
      <c r="R135" s="220"/>
      <c r="S135" s="220" t="s">
        <v>2129</v>
      </c>
      <c r="T135" s="220" t="s">
        <v>2128</v>
      </c>
      <c r="U135" s="220" t="s">
        <v>2127</v>
      </c>
      <c r="V135" s="220" t="s">
        <v>2126</v>
      </c>
      <c r="W135" s="220"/>
      <c r="X135" s="220"/>
      <c r="Y135" s="283"/>
      <c r="Z135" s="220"/>
      <c r="AA135" s="220"/>
      <c r="AB135" s="220"/>
      <c r="AC135" s="220"/>
      <c r="AD135" s="220"/>
      <c r="AE135" s="283"/>
      <c r="AF135" s="220"/>
      <c r="AG135" s="220"/>
      <c r="AH135" s="220"/>
      <c r="AI135" s="220"/>
      <c r="AJ135" s="226">
        <v>36</v>
      </c>
      <c r="AK135" s="226">
        <v>0</v>
      </c>
      <c r="AL135" s="225">
        <v>0.87246699999999999</v>
      </c>
      <c r="AM135" s="220"/>
      <c r="AN135" s="225">
        <v>4088.1959999999999</v>
      </c>
      <c r="AO135" s="220"/>
      <c r="AP135" s="220"/>
      <c r="AQ135" s="283"/>
      <c r="AR135" s="283"/>
      <c r="AS135" s="283"/>
      <c r="AT135" s="223">
        <v>0</v>
      </c>
      <c r="AU135" s="284">
        <v>306</v>
      </c>
      <c r="AV135" s="221">
        <v>42628</v>
      </c>
      <c r="AW135" s="221">
        <v>42628.752856712999</v>
      </c>
      <c r="AX135" s="220" t="s">
        <v>293</v>
      </c>
      <c r="AY135" s="219" t="s">
        <v>2624</v>
      </c>
    </row>
    <row r="136" spans="1:51" ht="20.399999999999999" hidden="1" outlineLevel="1" collapsed="1">
      <c r="A136" s="227" t="s">
        <v>289</v>
      </c>
      <c r="B136" s="220" t="s">
        <v>2620</v>
      </c>
      <c r="C136" s="220" t="s">
        <v>2620</v>
      </c>
      <c r="D136" s="220" t="s">
        <v>2619</v>
      </c>
      <c r="E136" s="220" t="s">
        <v>2618</v>
      </c>
      <c r="F136" s="220" t="s">
        <v>2618</v>
      </c>
      <c r="G136" s="220" t="s">
        <v>2618</v>
      </c>
      <c r="H136" s="220" t="s">
        <v>2617</v>
      </c>
      <c r="I136" s="220" t="s">
        <v>329</v>
      </c>
      <c r="J136" s="220" t="s">
        <v>297</v>
      </c>
      <c r="K136" s="220" t="s">
        <v>397</v>
      </c>
      <c r="L136" s="220" t="s">
        <v>2315</v>
      </c>
      <c r="M136" s="220" t="s">
        <v>2314</v>
      </c>
      <c r="N136" s="220" t="s">
        <v>2313</v>
      </c>
      <c r="O136" s="220" t="s">
        <v>2312</v>
      </c>
      <c r="P136" s="220" t="s">
        <v>2311</v>
      </c>
      <c r="Q136" s="220" t="s">
        <v>2310</v>
      </c>
      <c r="R136" s="220"/>
      <c r="S136" s="220" t="s">
        <v>2129</v>
      </c>
      <c r="T136" s="220" t="s">
        <v>2173</v>
      </c>
      <c r="U136" s="220" t="s">
        <v>2127</v>
      </c>
      <c r="V136" s="220" t="s">
        <v>2126</v>
      </c>
      <c r="W136" s="220"/>
      <c r="X136" s="220"/>
      <c r="Y136" s="283"/>
      <c r="Z136" s="220"/>
      <c r="AA136" s="220"/>
      <c r="AB136" s="220"/>
      <c r="AC136" s="220"/>
      <c r="AD136" s="220"/>
      <c r="AE136" s="283"/>
      <c r="AF136" s="220"/>
      <c r="AG136" s="220"/>
      <c r="AH136" s="220"/>
      <c r="AI136" s="220"/>
      <c r="AJ136" s="226">
        <v>6</v>
      </c>
      <c r="AK136" s="226">
        <v>0</v>
      </c>
      <c r="AL136" s="225">
        <v>7.2706000000000007E-2</v>
      </c>
      <c r="AM136" s="220"/>
      <c r="AN136" s="225">
        <v>340.68599999999998</v>
      </c>
      <c r="AO136" s="220"/>
      <c r="AP136" s="220"/>
      <c r="AQ136" s="283"/>
      <c r="AR136" s="283"/>
      <c r="AS136" s="283"/>
      <c r="AT136" s="223">
        <v>0</v>
      </c>
      <c r="AU136" s="284">
        <v>48</v>
      </c>
      <c r="AV136" s="221">
        <v>42628</v>
      </c>
      <c r="AW136" s="221">
        <v>42628.752856712999</v>
      </c>
      <c r="AX136" s="220" t="s">
        <v>293</v>
      </c>
      <c r="AY136" s="219" t="s">
        <v>2625</v>
      </c>
    </row>
    <row r="137" spans="1:51" hidden="1" outlineLevel="1" collapsed="1">
      <c r="A137" s="227" t="s">
        <v>289</v>
      </c>
      <c r="B137" s="220" t="s">
        <v>2620</v>
      </c>
      <c r="C137" s="220" t="s">
        <v>2620</v>
      </c>
      <c r="D137" s="220" t="s">
        <v>2619</v>
      </c>
      <c r="E137" s="220" t="s">
        <v>2618</v>
      </c>
      <c r="F137" s="220" t="s">
        <v>2618</v>
      </c>
      <c r="G137" s="220" t="s">
        <v>2618</v>
      </c>
      <c r="H137" s="220" t="s">
        <v>2617</v>
      </c>
      <c r="I137" s="220" t="s">
        <v>329</v>
      </c>
      <c r="J137" s="220" t="s">
        <v>297</v>
      </c>
      <c r="K137" s="220" t="s">
        <v>397</v>
      </c>
      <c r="L137" s="220" t="s">
        <v>2315</v>
      </c>
      <c r="M137" s="220" t="s">
        <v>2314</v>
      </c>
      <c r="N137" s="220" t="s">
        <v>2313</v>
      </c>
      <c r="O137" s="220" t="s">
        <v>2312</v>
      </c>
      <c r="P137" s="220" t="s">
        <v>2311</v>
      </c>
      <c r="Q137" s="220" t="s">
        <v>2310</v>
      </c>
      <c r="R137" s="220"/>
      <c r="S137" s="220" t="s">
        <v>2129</v>
      </c>
      <c r="T137" s="220" t="s">
        <v>2145</v>
      </c>
      <c r="U137" s="220" t="s">
        <v>2127</v>
      </c>
      <c r="V137" s="220" t="s">
        <v>2126</v>
      </c>
      <c r="W137" s="220"/>
      <c r="X137" s="220"/>
      <c r="Y137" s="283"/>
      <c r="Z137" s="220"/>
      <c r="AA137" s="220"/>
      <c r="AB137" s="220"/>
      <c r="AC137" s="220"/>
      <c r="AD137" s="220"/>
      <c r="AE137" s="283"/>
      <c r="AF137" s="220"/>
      <c r="AG137" s="220"/>
      <c r="AH137" s="220"/>
      <c r="AI137" s="220"/>
      <c r="AJ137" s="226">
        <v>9</v>
      </c>
      <c r="AK137" s="226">
        <v>0</v>
      </c>
      <c r="AL137" s="225">
        <v>1.185101</v>
      </c>
      <c r="AM137" s="220"/>
      <c r="AN137" s="225">
        <v>5553.1440000000002</v>
      </c>
      <c r="AO137" s="220"/>
      <c r="AP137" s="220"/>
      <c r="AQ137" s="283"/>
      <c r="AR137" s="283"/>
      <c r="AS137" s="283"/>
      <c r="AT137" s="223">
        <v>0</v>
      </c>
      <c r="AU137" s="284">
        <v>675</v>
      </c>
      <c r="AV137" s="221">
        <v>42628</v>
      </c>
      <c r="AW137" s="221">
        <v>42628.752856712999</v>
      </c>
      <c r="AX137" s="220" t="s">
        <v>293</v>
      </c>
      <c r="AY137" s="219" t="s">
        <v>2626</v>
      </c>
    </row>
    <row r="138" spans="1:51" ht="20.399999999999999" hidden="1" outlineLevel="1" collapsed="1">
      <c r="A138" s="227" t="s">
        <v>289</v>
      </c>
      <c r="B138" s="220" t="s">
        <v>2620</v>
      </c>
      <c r="C138" s="220" t="s">
        <v>2620</v>
      </c>
      <c r="D138" s="220" t="s">
        <v>2619</v>
      </c>
      <c r="E138" s="220" t="s">
        <v>2618</v>
      </c>
      <c r="F138" s="220" t="s">
        <v>2618</v>
      </c>
      <c r="G138" s="220" t="s">
        <v>2618</v>
      </c>
      <c r="H138" s="220" t="s">
        <v>2617</v>
      </c>
      <c r="I138" s="220" t="s">
        <v>329</v>
      </c>
      <c r="J138" s="220" t="s">
        <v>297</v>
      </c>
      <c r="K138" s="220" t="s">
        <v>397</v>
      </c>
      <c r="L138" s="220" t="s">
        <v>2315</v>
      </c>
      <c r="M138" s="220" t="s">
        <v>2314</v>
      </c>
      <c r="N138" s="220" t="s">
        <v>2313</v>
      </c>
      <c r="O138" s="220" t="s">
        <v>2312</v>
      </c>
      <c r="P138" s="220" t="s">
        <v>2311</v>
      </c>
      <c r="Q138" s="220" t="s">
        <v>2310</v>
      </c>
      <c r="R138" s="220"/>
      <c r="S138" s="220" t="s">
        <v>2129</v>
      </c>
      <c r="T138" s="220" t="s">
        <v>2147</v>
      </c>
      <c r="U138" s="220" t="s">
        <v>2127</v>
      </c>
      <c r="V138" s="220" t="s">
        <v>2126</v>
      </c>
      <c r="W138" s="220"/>
      <c r="X138" s="220"/>
      <c r="Y138" s="283"/>
      <c r="Z138" s="220"/>
      <c r="AA138" s="220"/>
      <c r="AB138" s="220"/>
      <c r="AC138" s="220"/>
      <c r="AD138" s="220"/>
      <c r="AE138" s="283"/>
      <c r="AF138" s="220"/>
      <c r="AG138" s="220"/>
      <c r="AH138" s="220"/>
      <c r="AI138" s="220"/>
      <c r="AJ138" s="226">
        <v>296</v>
      </c>
      <c r="AK138" s="226">
        <v>0</v>
      </c>
      <c r="AL138" s="225">
        <v>7.1736190000000004</v>
      </c>
      <c r="AM138" s="220"/>
      <c r="AN138" s="225">
        <v>33614.055999999997</v>
      </c>
      <c r="AO138" s="220"/>
      <c r="AP138" s="220"/>
      <c r="AQ138" s="283"/>
      <c r="AR138" s="283"/>
      <c r="AS138" s="283"/>
      <c r="AT138" s="223">
        <v>0</v>
      </c>
      <c r="AU138" s="284">
        <v>4736</v>
      </c>
      <c r="AV138" s="221">
        <v>42628</v>
      </c>
      <c r="AW138" s="221">
        <v>42628.752856712999</v>
      </c>
      <c r="AX138" s="220" t="s">
        <v>293</v>
      </c>
      <c r="AY138" s="219" t="s">
        <v>2622</v>
      </c>
    </row>
    <row r="139" spans="1:51" ht="20.399999999999999" hidden="1" outlineLevel="1" collapsed="1">
      <c r="A139" s="227" t="s">
        <v>289</v>
      </c>
      <c r="B139" s="220" t="s">
        <v>2614</v>
      </c>
      <c r="C139" s="220" t="s">
        <v>2614</v>
      </c>
      <c r="D139" s="220" t="s">
        <v>2613</v>
      </c>
      <c r="E139" s="220" t="s">
        <v>2551</v>
      </c>
      <c r="F139" s="220" t="s">
        <v>2551</v>
      </c>
      <c r="G139" s="220" t="s">
        <v>2551</v>
      </c>
      <c r="H139" s="220" t="s">
        <v>2612</v>
      </c>
      <c r="I139" s="220" t="s">
        <v>329</v>
      </c>
      <c r="J139" s="220" t="s">
        <v>297</v>
      </c>
      <c r="K139" s="220" t="s">
        <v>397</v>
      </c>
      <c r="L139" s="220" t="s">
        <v>2211</v>
      </c>
      <c r="M139" s="220" t="s">
        <v>2210</v>
      </c>
      <c r="N139" s="220" t="s">
        <v>298</v>
      </c>
      <c r="O139" s="220" t="s">
        <v>297</v>
      </c>
      <c r="P139" s="220" t="s">
        <v>296</v>
      </c>
      <c r="Q139" s="220" t="s">
        <v>2209</v>
      </c>
      <c r="R139" s="220" t="s">
        <v>2208</v>
      </c>
      <c r="S139" s="220" t="s">
        <v>2129</v>
      </c>
      <c r="T139" s="220" t="s">
        <v>2139</v>
      </c>
      <c r="U139" s="220" t="s">
        <v>2127</v>
      </c>
      <c r="V139" s="220" t="s">
        <v>2126</v>
      </c>
      <c r="W139" s="220"/>
      <c r="X139" s="220"/>
      <c r="Y139" s="283"/>
      <c r="Z139" s="220"/>
      <c r="AA139" s="220"/>
      <c r="AB139" s="220"/>
      <c r="AC139" s="220"/>
      <c r="AD139" s="220"/>
      <c r="AE139" s="283"/>
      <c r="AF139" s="220"/>
      <c r="AG139" s="220"/>
      <c r="AH139" s="220"/>
      <c r="AI139" s="220"/>
      <c r="AJ139" s="226">
        <v>4</v>
      </c>
      <c r="AK139" s="226">
        <v>0</v>
      </c>
      <c r="AL139" s="225">
        <v>0.98798799999999998</v>
      </c>
      <c r="AM139" s="220"/>
      <c r="AN139" s="225">
        <v>4629.5159999999996</v>
      </c>
      <c r="AO139" s="220"/>
      <c r="AP139" s="220"/>
      <c r="AQ139" s="283"/>
      <c r="AR139" s="283"/>
      <c r="AS139" s="283"/>
      <c r="AT139" s="223">
        <v>0</v>
      </c>
      <c r="AU139" s="284">
        <v>672</v>
      </c>
      <c r="AV139" s="221">
        <v>42654</v>
      </c>
      <c r="AW139" s="221">
        <v>42654.793417361099</v>
      </c>
      <c r="AX139" s="220" t="s">
        <v>293</v>
      </c>
      <c r="AY139" s="219" t="s">
        <v>2615</v>
      </c>
    </row>
    <row r="140" spans="1:51" ht="20.399999999999999" hidden="1" outlineLevel="1" collapsed="1">
      <c r="A140" s="227" t="s">
        <v>289</v>
      </c>
      <c r="B140" s="220" t="s">
        <v>2614</v>
      </c>
      <c r="C140" s="220" t="s">
        <v>2614</v>
      </c>
      <c r="D140" s="220" t="s">
        <v>2613</v>
      </c>
      <c r="E140" s="220" t="s">
        <v>2551</v>
      </c>
      <c r="F140" s="220" t="s">
        <v>2551</v>
      </c>
      <c r="G140" s="220" t="s">
        <v>2551</v>
      </c>
      <c r="H140" s="220" t="s">
        <v>2612</v>
      </c>
      <c r="I140" s="220" t="s">
        <v>329</v>
      </c>
      <c r="J140" s="220" t="s">
        <v>297</v>
      </c>
      <c r="K140" s="220" t="s">
        <v>397</v>
      </c>
      <c r="L140" s="220" t="s">
        <v>2211</v>
      </c>
      <c r="M140" s="220" t="s">
        <v>2210</v>
      </c>
      <c r="N140" s="220" t="s">
        <v>298</v>
      </c>
      <c r="O140" s="220" t="s">
        <v>297</v>
      </c>
      <c r="P140" s="220" t="s">
        <v>296</v>
      </c>
      <c r="Q140" s="220" t="s">
        <v>2209</v>
      </c>
      <c r="R140" s="220" t="s">
        <v>2208</v>
      </c>
      <c r="S140" s="220" t="s">
        <v>2129</v>
      </c>
      <c r="T140" s="220" t="s">
        <v>2145</v>
      </c>
      <c r="U140" s="220" t="s">
        <v>2127</v>
      </c>
      <c r="V140" s="220" t="s">
        <v>2126</v>
      </c>
      <c r="W140" s="220"/>
      <c r="X140" s="220"/>
      <c r="Y140" s="283"/>
      <c r="Z140" s="220"/>
      <c r="AA140" s="220"/>
      <c r="AB140" s="220"/>
      <c r="AC140" s="220"/>
      <c r="AD140" s="220"/>
      <c r="AE140" s="283"/>
      <c r="AF140" s="220"/>
      <c r="AG140" s="220"/>
      <c r="AH140" s="220"/>
      <c r="AI140" s="220"/>
      <c r="AJ140" s="226">
        <v>3</v>
      </c>
      <c r="AK140" s="226">
        <v>0</v>
      </c>
      <c r="AL140" s="225">
        <v>0.395034</v>
      </c>
      <c r="AM140" s="220"/>
      <c r="AN140" s="225">
        <v>1851.048</v>
      </c>
      <c r="AO140" s="220"/>
      <c r="AP140" s="220"/>
      <c r="AQ140" s="283"/>
      <c r="AR140" s="283"/>
      <c r="AS140" s="283"/>
      <c r="AT140" s="223">
        <v>0</v>
      </c>
      <c r="AU140" s="284">
        <v>225</v>
      </c>
      <c r="AV140" s="221">
        <v>42654</v>
      </c>
      <c r="AW140" s="221">
        <v>42654.793417361099</v>
      </c>
      <c r="AX140" s="220" t="s">
        <v>293</v>
      </c>
      <c r="AY140" s="219" t="s">
        <v>2611</v>
      </c>
    </row>
    <row r="141" spans="1:51" ht="20.399999999999999" hidden="1" outlineLevel="1" collapsed="1">
      <c r="A141" s="227" t="s">
        <v>289</v>
      </c>
      <c r="B141" s="220" t="s">
        <v>2609</v>
      </c>
      <c r="C141" s="220" t="s">
        <v>2609</v>
      </c>
      <c r="D141" s="220" t="s">
        <v>2608</v>
      </c>
      <c r="E141" s="220" t="s">
        <v>2607</v>
      </c>
      <c r="F141" s="220" t="s">
        <v>2607</v>
      </c>
      <c r="G141" s="220" t="s">
        <v>2607</v>
      </c>
      <c r="H141" s="220" t="s">
        <v>2606</v>
      </c>
      <c r="I141" s="220" t="s">
        <v>329</v>
      </c>
      <c r="J141" s="220" t="s">
        <v>297</v>
      </c>
      <c r="K141" s="220" t="s">
        <v>397</v>
      </c>
      <c r="L141" s="220" t="s">
        <v>2315</v>
      </c>
      <c r="M141" s="220" t="s">
        <v>2314</v>
      </c>
      <c r="N141" s="220" t="s">
        <v>2313</v>
      </c>
      <c r="O141" s="220" t="s">
        <v>2312</v>
      </c>
      <c r="P141" s="220" t="s">
        <v>2311</v>
      </c>
      <c r="Q141" s="220" t="s">
        <v>2310</v>
      </c>
      <c r="R141" s="220"/>
      <c r="S141" s="220" t="s">
        <v>2129</v>
      </c>
      <c r="T141" s="220" t="s">
        <v>2147</v>
      </c>
      <c r="U141" s="220" t="s">
        <v>2193</v>
      </c>
      <c r="V141" s="220" t="s">
        <v>2126</v>
      </c>
      <c r="W141" s="220"/>
      <c r="X141" s="220"/>
      <c r="Y141" s="283"/>
      <c r="Z141" s="220"/>
      <c r="AA141" s="220"/>
      <c r="AB141" s="220"/>
      <c r="AC141" s="220"/>
      <c r="AD141" s="220"/>
      <c r="AE141" s="283"/>
      <c r="AF141" s="220"/>
      <c r="AG141" s="220"/>
      <c r="AH141" s="220"/>
      <c r="AI141" s="220"/>
      <c r="AJ141" s="226">
        <v>96</v>
      </c>
      <c r="AK141" s="226">
        <v>0</v>
      </c>
      <c r="AL141" s="225">
        <v>2.8684799999999999</v>
      </c>
      <c r="AM141" s="220"/>
      <c r="AN141" s="225">
        <v>8385.2160000000003</v>
      </c>
      <c r="AO141" s="220"/>
      <c r="AP141" s="220"/>
      <c r="AQ141" s="283"/>
      <c r="AR141" s="283"/>
      <c r="AS141" s="283"/>
      <c r="AT141" s="223">
        <v>0</v>
      </c>
      <c r="AU141" s="284">
        <v>1536</v>
      </c>
      <c r="AV141" s="221">
        <v>42667</v>
      </c>
      <c r="AW141" s="221">
        <v>42667.512082060202</v>
      </c>
      <c r="AX141" s="220" t="s">
        <v>293</v>
      </c>
      <c r="AY141" s="219" t="s">
        <v>2610</v>
      </c>
    </row>
    <row r="142" spans="1:51" hidden="1" outlineLevel="1" collapsed="1">
      <c r="A142" s="227" t="s">
        <v>289</v>
      </c>
      <c r="B142" s="220" t="s">
        <v>2609</v>
      </c>
      <c r="C142" s="220" t="s">
        <v>2609</v>
      </c>
      <c r="D142" s="220" t="s">
        <v>2608</v>
      </c>
      <c r="E142" s="220" t="s">
        <v>2607</v>
      </c>
      <c r="F142" s="220" t="s">
        <v>2607</v>
      </c>
      <c r="G142" s="220" t="s">
        <v>2607</v>
      </c>
      <c r="H142" s="220" t="s">
        <v>2606</v>
      </c>
      <c r="I142" s="220" t="s">
        <v>329</v>
      </c>
      <c r="J142" s="220" t="s">
        <v>297</v>
      </c>
      <c r="K142" s="220" t="s">
        <v>397</v>
      </c>
      <c r="L142" s="220" t="s">
        <v>2315</v>
      </c>
      <c r="M142" s="220" t="s">
        <v>2314</v>
      </c>
      <c r="N142" s="220" t="s">
        <v>2313</v>
      </c>
      <c r="O142" s="220" t="s">
        <v>2312</v>
      </c>
      <c r="P142" s="220" t="s">
        <v>2311</v>
      </c>
      <c r="Q142" s="220" t="s">
        <v>2310</v>
      </c>
      <c r="R142" s="220"/>
      <c r="S142" s="220" t="s">
        <v>2129</v>
      </c>
      <c r="T142" s="220" t="s">
        <v>2408</v>
      </c>
      <c r="U142" s="220" t="s">
        <v>2193</v>
      </c>
      <c r="V142" s="220" t="s">
        <v>2126</v>
      </c>
      <c r="W142" s="220"/>
      <c r="X142" s="220"/>
      <c r="Y142" s="283"/>
      <c r="Z142" s="220"/>
      <c r="AA142" s="220"/>
      <c r="AB142" s="220"/>
      <c r="AC142" s="220"/>
      <c r="AD142" s="220"/>
      <c r="AE142" s="283"/>
      <c r="AF142" s="220"/>
      <c r="AG142" s="220"/>
      <c r="AH142" s="220"/>
      <c r="AI142" s="220"/>
      <c r="AJ142" s="226">
        <v>164</v>
      </c>
      <c r="AK142" s="226">
        <v>0</v>
      </c>
      <c r="AL142" s="225">
        <v>7.5954959999999998</v>
      </c>
      <c r="AM142" s="220"/>
      <c r="AN142" s="225">
        <v>22203.304</v>
      </c>
      <c r="AO142" s="220"/>
      <c r="AP142" s="220"/>
      <c r="AQ142" s="283"/>
      <c r="AR142" s="283"/>
      <c r="AS142" s="283"/>
      <c r="AT142" s="223">
        <v>0</v>
      </c>
      <c r="AU142" s="284">
        <v>3772</v>
      </c>
      <c r="AV142" s="221">
        <v>42667</v>
      </c>
      <c r="AW142" s="221">
        <v>42667.512082060202</v>
      </c>
      <c r="AX142" s="220" t="s">
        <v>293</v>
      </c>
      <c r="AY142" s="219" t="s">
        <v>2605</v>
      </c>
    </row>
    <row r="143" spans="1:51" ht="20.399999999999999" hidden="1" outlineLevel="1" collapsed="1">
      <c r="A143" s="227" t="s">
        <v>289</v>
      </c>
      <c r="B143" s="220" t="s">
        <v>2603</v>
      </c>
      <c r="C143" s="220" t="s">
        <v>2603</v>
      </c>
      <c r="D143" s="220" t="s">
        <v>2602</v>
      </c>
      <c r="E143" s="220" t="s">
        <v>2601</v>
      </c>
      <c r="F143" s="220" t="s">
        <v>2601</v>
      </c>
      <c r="G143" s="220" t="s">
        <v>2601</v>
      </c>
      <c r="H143" s="220" t="s">
        <v>2600</v>
      </c>
      <c r="I143" s="220" t="s">
        <v>329</v>
      </c>
      <c r="J143" s="220" t="s">
        <v>297</v>
      </c>
      <c r="K143" s="220" t="s">
        <v>397</v>
      </c>
      <c r="L143" s="220" t="s">
        <v>2599</v>
      </c>
      <c r="M143" s="220" t="s">
        <v>2598</v>
      </c>
      <c r="N143" s="220" t="s">
        <v>2597</v>
      </c>
      <c r="O143" s="220" t="s">
        <v>297</v>
      </c>
      <c r="P143" s="220" t="s">
        <v>2596</v>
      </c>
      <c r="Q143" s="220" t="s">
        <v>2595</v>
      </c>
      <c r="R143" s="220"/>
      <c r="S143" s="220" t="s">
        <v>2129</v>
      </c>
      <c r="T143" s="220" t="s">
        <v>2147</v>
      </c>
      <c r="U143" s="220" t="s">
        <v>2309</v>
      </c>
      <c r="V143" s="220" t="s">
        <v>2126</v>
      </c>
      <c r="W143" s="220"/>
      <c r="X143" s="220"/>
      <c r="Y143" s="283"/>
      <c r="Z143" s="220"/>
      <c r="AA143" s="220"/>
      <c r="AB143" s="220"/>
      <c r="AC143" s="220"/>
      <c r="AD143" s="220"/>
      <c r="AE143" s="283"/>
      <c r="AF143" s="220"/>
      <c r="AG143" s="220"/>
      <c r="AH143" s="220"/>
      <c r="AI143" s="220"/>
      <c r="AJ143" s="226">
        <v>1120</v>
      </c>
      <c r="AK143" s="226">
        <v>0</v>
      </c>
      <c r="AL143" s="225">
        <v>29.635200000000001</v>
      </c>
      <c r="AM143" s="220"/>
      <c r="AN143" s="225">
        <v>151532.64000000001</v>
      </c>
      <c r="AO143" s="220"/>
      <c r="AP143" s="220"/>
      <c r="AQ143" s="283"/>
      <c r="AR143" s="283"/>
      <c r="AS143" s="283"/>
      <c r="AT143" s="223">
        <v>0</v>
      </c>
      <c r="AU143" s="284">
        <v>17920</v>
      </c>
      <c r="AV143" s="221">
        <v>42670</v>
      </c>
      <c r="AW143" s="221">
        <v>42670.4809193287</v>
      </c>
      <c r="AX143" s="220" t="s">
        <v>293</v>
      </c>
      <c r="AY143" s="219" t="s">
        <v>2604</v>
      </c>
    </row>
    <row r="144" spans="1:51" ht="20.399999999999999" hidden="1" outlineLevel="1" collapsed="1">
      <c r="A144" s="227" t="s">
        <v>289</v>
      </c>
      <c r="B144" s="220" t="s">
        <v>2603</v>
      </c>
      <c r="C144" s="220" t="s">
        <v>2603</v>
      </c>
      <c r="D144" s="220" t="s">
        <v>2602</v>
      </c>
      <c r="E144" s="220" t="s">
        <v>2601</v>
      </c>
      <c r="F144" s="220" t="s">
        <v>2601</v>
      </c>
      <c r="G144" s="220" t="s">
        <v>2601</v>
      </c>
      <c r="H144" s="220" t="s">
        <v>2600</v>
      </c>
      <c r="I144" s="220" t="s">
        <v>329</v>
      </c>
      <c r="J144" s="220" t="s">
        <v>297</v>
      </c>
      <c r="K144" s="220" t="s">
        <v>397</v>
      </c>
      <c r="L144" s="220" t="s">
        <v>2599</v>
      </c>
      <c r="M144" s="220" t="s">
        <v>2598</v>
      </c>
      <c r="N144" s="220" t="s">
        <v>2597</v>
      </c>
      <c r="O144" s="220" t="s">
        <v>297</v>
      </c>
      <c r="P144" s="220" t="s">
        <v>2596</v>
      </c>
      <c r="Q144" s="220" t="s">
        <v>2595</v>
      </c>
      <c r="R144" s="220"/>
      <c r="S144" s="220" t="s">
        <v>2129</v>
      </c>
      <c r="T144" s="220" t="s">
        <v>2173</v>
      </c>
      <c r="U144" s="220" t="s">
        <v>2309</v>
      </c>
      <c r="V144" s="220" t="s">
        <v>2126</v>
      </c>
      <c r="W144" s="220"/>
      <c r="X144" s="220"/>
      <c r="Y144" s="283"/>
      <c r="Z144" s="220"/>
      <c r="AA144" s="220"/>
      <c r="AB144" s="220"/>
      <c r="AC144" s="220"/>
      <c r="AD144" s="220"/>
      <c r="AE144" s="283"/>
      <c r="AF144" s="220"/>
      <c r="AG144" s="220"/>
      <c r="AH144" s="220"/>
      <c r="AI144" s="220"/>
      <c r="AJ144" s="226">
        <v>162</v>
      </c>
      <c r="AK144" s="226">
        <v>0</v>
      </c>
      <c r="AL144" s="225">
        <v>2.1432600000000002</v>
      </c>
      <c r="AM144" s="220"/>
      <c r="AN144" s="225">
        <v>10959.138000000001</v>
      </c>
      <c r="AO144" s="220"/>
      <c r="AP144" s="220"/>
      <c r="AQ144" s="283"/>
      <c r="AR144" s="283"/>
      <c r="AS144" s="283"/>
      <c r="AT144" s="223">
        <v>0</v>
      </c>
      <c r="AU144" s="284">
        <v>1296</v>
      </c>
      <c r="AV144" s="221">
        <v>42670</v>
      </c>
      <c r="AW144" s="221">
        <v>42670.4809193287</v>
      </c>
      <c r="AX144" s="220" t="s">
        <v>293</v>
      </c>
      <c r="AY144" s="219" t="s">
        <v>2594</v>
      </c>
    </row>
    <row r="145" spans="1:51" hidden="1" outlineLevel="1" collapsed="1">
      <c r="A145" s="227" t="s">
        <v>289</v>
      </c>
      <c r="B145" s="220" t="s">
        <v>2591</v>
      </c>
      <c r="C145" s="220" t="s">
        <v>2591</v>
      </c>
      <c r="D145" s="220" t="s">
        <v>2590</v>
      </c>
      <c r="E145" s="220" t="s">
        <v>2589</v>
      </c>
      <c r="F145" s="220" t="s">
        <v>2589</v>
      </c>
      <c r="G145" s="220" t="s">
        <v>2589</v>
      </c>
      <c r="H145" s="220" t="s">
        <v>2588</v>
      </c>
      <c r="I145" s="220" t="s">
        <v>329</v>
      </c>
      <c r="J145" s="220" t="s">
        <v>297</v>
      </c>
      <c r="K145" s="220" t="s">
        <v>397</v>
      </c>
      <c r="L145" s="220" t="s">
        <v>2315</v>
      </c>
      <c r="M145" s="220" t="s">
        <v>2314</v>
      </c>
      <c r="N145" s="220" t="s">
        <v>2313</v>
      </c>
      <c r="O145" s="220" t="s">
        <v>2312</v>
      </c>
      <c r="P145" s="220" t="s">
        <v>2311</v>
      </c>
      <c r="Q145" s="220" t="s">
        <v>2310</v>
      </c>
      <c r="R145" s="220"/>
      <c r="S145" s="220" t="s">
        <v>2129</v>
      </c>
      <c r="T145" s="220" t="s">
        <v>2145</v>
      </c>
      <c r="U145" s="220" t="s">
        <v>2127</v>
      </c>
      <c r="V145" s="220" t="s">
        <v>2126</v>
      </c>
      <c r="W145" s="220"/>
      <c r="X145" s="220"/>
      <c r="Y145" s="283"/>
      <c r="Z145" s="220"/>
      <c r="AA145" s="220"/>
      <c r="AB145" s="220"/>
      <c r="AC145" s="220"/>
      <c r="AD145" s="220"/>
      <c r="AE145" s="283"/>
      <c r="AF145" s="220"/>
      <c r="AG145" s="220"/>
      <c r="AH145" s="220"/>
      <c r="AI145" s="220"/>
      <c r="AJ145" s="226">
        <v>6</v>
      </c>
      <c r="AK145" s="226">
        <v>0</v>
      </c>
      <c r="AL145" s="225">
        <v>0.79006799999999999</v>
      </c>
      <c r="AM145" s="220"/>
      <c r="AN145" s="225">
        <v>3702.096</v>
      </c>
      <c r="AO145" s="220"/>
      <c r="AP145" s="220"/>
      <c r="AQ145" s="283"/>
      <c r="AR145" s="283"/>
      <c r="AS145" s="283"/>
      <c r="AT145" s="223">
        <v>0</v>
      </c>
      <c r="AU145" s="284">
        <v>450</v>
      </c>
      <c r="AV145" s="221">
        <v>42675</v>
      </c>
      <c r="AW145" s="221">
        <v>42674.699255590298</v>
      </c>
      <c r="AX145" s="220" t="s">
        <v>293</v>
      </c>
      <c r="AY145" s="219" t="s">
        <v>2592</v>
      </c>
    </row>
    <row r="146" spans="1:51" ht="20.399999999999999" hidden="1" outlineLevel="1" collapsed="1">
      <c r="A146" s="227" t="s">
        <v>289</v>
      </c>
      <c r="B146" s="220" t="s">
        <v>2591</v>
      </c>
      <c r="C146" s="220" t="s">
        <v>2591</v>
      </c>
      <c r="D146" s="220" t="s">
        <v>2590</v>
      </c>
      <c r="E146" s="220" t="s">
        <v>2589</v>
      </c>
      <c r="F146" s="220" t="s">
        <v>2589</v>
      </c>
      <c r="G146" s="220" t="s">
        <v>2589</v>
      </c>
      <c r="H146" s="220" t="s">
        <v>2588</v>
      </c>
      <c r="I146" s="220" t="s">
        <v>329</v>
      </c>
      <c r="J146" s="220" t="s">
        <v>297</v>
      </c>
      <c r="K146" s="220" t="s">
        <v>397</v>
      </c>
      <c r="L146" s="220" t="s">
        <v>2315</v>
      </c>
      <c r="M146" s="220" t="s">
        <v>2314</v>
      </c>
      <c r="N146" s="220" t="s">
        <v>2313</v>
      </c>
      <c r="O146" s="220" t="s">
        <v>2312</v>
      </c>
      <c r="P146" s="220" t="s">
        <v>2311</v>
      </c>
      <c r="Q146" s="220" t="s">
        <v>2310</v>
      </c>
      <c r="R146" s="220"/>
      <c r="S146" s="220" t="s">
        <v>2129</v>
      </c>
      <c r="T146" s="220" t="s">
        <v>2147</v>
      </c>
      <c r="U146" s="220" t="s">
        <v>2127</v>
      </c>
      <c r="V146" s="220" t="s">
        <v>2126</v>
      </c>
      <c r="W146" s="220"/>
      <c r="X146" s="220"/>
      <c r="Y146" s="283"/>
      <c r="Z146" s="220"/>
      <c r="AA146" s="220"/>
      <c r="AB146" s="220"/>
      <c r="AC146" s="220"/>
      <c r="AD146" s="220"/>
      <c r="AE146" s="283"/>
      <c r="AF146" s="220"/>
      <c r="AG146" s="220"/>
      <c r="AH146" s="220"/>
      <c r="AI146" s="220"/>
      <c r="AJ146" s="226">
        <v>210</v>
      </c>
      <c r="AK146" s="226">
        <v>0</v>
      </c>
      <c r="AL146" s="225">
        <v>5.0893920000000001</v>
      </c>
      <c r="AM146" s="220"/>
      <c r="AN146" s="225">
        <v>23847.81</v>
      </c>
      <c r="AO146" s="220"/>
      <c r="AP146" s="220"/>
      <c r="AQ146" s="283"/>
      <c r="AR146" s="283"/>
      <c r="AS146" s="283"/>
      <c r="AT146" s="223">
        <v>0</v>
      </c>
      <c r="AU146" s="284">
        <v>3360</v>
      </c>
      <c r="AV146" s="221">
        <v>42675</v>
      </c>
      <c r="AW146" s="221">
        <v>42674.699255590298</v>
      </c>
      <c r="AX146" s="220" t="s">
        <v>293</v>
      </c>
      <c r="AY146" s="219" t="s">
        <v>2587</v>
      </c>
    </row>
    <row r="147" spans="1:51" hidden="1" outlineLevel="1" collapsed="1">
      <c r="A147" s="227" t="s">
        <v>289</v>
      </c>
      <c r="B147" s="220" t="s">
        <v>2591</v>
      </c>
      <c r="C147" s="220" t="s">
        <v>2591</v>
      </c>
      <c r="D147" s="220" t="s">
        <v>2590</v>
      </c>
      <c r="E147" s="220" t="s">
        <v>2589</v>
      </c>
      <c r="F147" s="220" t="s">
        <v>2589</v>
      </c>
      <c r="G147" s="220" t="s">
        <v>2589</v>
      </c>
      <c r="H147" s="220" t="s">
        <v>2588</v>
      </c>
      <c r="I147" s="220" t="s">
        <v>329</v>
      </c>
      <c r="J147" s="220" t="s">
        <v>297</v>
      </c>
      <c r="K147" s="220" t="s">
        <v>397</v>
      </c>
      <c r="L147" s="220" t="s">
        <v>2315</v>
      </c>
      <c r="M147" s="220" t="s">
        <v>2314</v>
      </c>
      <c r="N147" s="220" t="s">
        <v>2313</v>
      </c>
      <c r="O147" s="220" t="s">
        <v>2312</v>
      </c>
      <c r="P147" s="220" t="s">
        <v>2311</v>
      </c>
      <c r="Q147" s="220" t="s">
        <v>2310</v>
      </c>
      <c r="R147" s="220"/>
      <c r="S147" s="220" t="s">
        <v>2129</v>
      </c>
      <c r="T147" s="220" t="s">
        <v>2408</v>
      </c>
      <c r="U147" s="220" t="s">
        <v>2127</v>
      </c>
      <c r="V147" s="220" t="s">
        <v>2126</v>
      </c>
      <c r="W147" s="220"/>
      <c r="X147" s="220"/>
      <c r="Y147" s="283"/>
      <c r="Z147" s="220"/>
      <c r="AA147" s="220"/>
      <c r="AB147" s="220"/>
      <c r="AC147" s="220"/>
      <c r="AD147" s="220"/>
      <c r="AE147" s="283"/>
      <c r="AF147" s="220"/>
      <c r="AG147" s="220"/>
      <c r="AH147" s="220"/>
      <c r="AI147" s="220"/>
      <c r="AJ147" s="226">
        <v>169</v>
      </c>
      <c r="AK147" s="226">
        <v>0</v>
      </c>
      <c r="AL147" s="225">
        <v>6.3484109999999996</v>
      </c>
      <c r="AM147" s="220"/>
      <c r="AN147" s="225">
        <v>29747.38</v>
      </c>
      <c r="AO147" s="220"/>
      <c r="AP147" s="220"/>
      <c r="AQ147" s="283"/>
      <c r="AR147" s="283"/>
      <c r="AS147" s="283"/>
      <c r="AT147" s="223">
        <v>0</v>
      </c>
      <c r="AU147" s="284">
        <v>3887</v>
      </c>
      <c r="AV147" s="221">
        <v>42675</v>
      </c>
      <c r="AW147" s="221">
        <v>42674.699255590298</v>
      </c>
      <c r="AX147" s="220" t="s">
        <v>293</v>
      </c>
      <c r="AY147" s="219" t="s">
        <v>2593</v>
      </c>
    </row>
    <row r="148" spans="1:51" ht="20.399999999999999" hidden="1" outlineLevel="1" collapsed="1">
      <c r="A148" s="227" t="s">
        <v>289</v>
      </c>
      <c r="B148" s="220" t="s">
        <v>2581</v>
      </c>
      <c r="C148" s="220" t="s">
        <v>2581</v>
      </c>
      <c r="D148" s="220" t="s">
        <v>2580</v>
      </c>
      <c r="E148" s="220" t="s">
        <v>2579</v>
      </c>
      <c r="F148" s="220" t="s">
        <v>2579</v>
      </c>
      <c r="G148" s="220" t="s">
        <v>2579</v>
      </c>
      <c r="H148" s="220" t="s">
        <v>2578</v>
      </c>
      <c r="I148" s="220" t="s">
        <v>308</v>
      </c>
      <c r="J148" s="220" t="s">
        <v>297</v>
      </c>
      <c r="K148" s="220" t="s">
        <v>307</v>
      </c>
      <c r="L148" s="220" t="s">
        <v>2315</v>
      </c>
      <c r="M148" s="220" t="s">
        <v>2314</v>
      </c>
      <c r="N148" s="220" t="s">
        <v>2313</v>
      </c>
      <c r="O148" s="220" t="s">
        <v>2312</v>
      </c>
      <c r="P148" s="220" t="s">
        <v>2311</v>
      </c>
      <c r="Q148" s="220" t="s">
        <v>2310</v>
      </c>
      <c r="R148" s="220"/>
      <c r="S148" s="220" t="s">
        <v>2129</v>
      </c>
      <c r="T148" s="220" t="s">
        <v>2147</v>
      </c>
      <c r="U148" s="220" t="s">
        <v>2172</v>
      </c>
      <c r="V148" s="220" t="s">
        <v>2126</v>
      </c>
      <c r="W148" s="220"/>
      <c r="X148" s="220"/>
      <c r="Y148" s="283"/>
      <c r="Z148" s="220"/>
      <c r="AA148" s="220"/>
      <c r="AB148" s="220"/>
      <c r="AC148" s="220"/>
      <c r="AD148" s="220"/>
      <c r="AE148" s="283"/>
      <c r="AF148" s="220"/>
      <c r="AG148" s="220"/>
      <c r="AH148" s="220"/>
      <c r="AI148" s="220"/>
      <c r="AJ148" s="226">
        <v>37</v>
      </c>
      <c r="AK148" s="226">
        <v>0</v>
      </c>
      <c r="AL148" s="225">
        <v>0.82717200000000002</v>
      </c>
      <c r="AM148" s="220"/>
      <c r="AN148" s="225">
        <v>3694.9679999999998</v>
      </c>
      <c r="AO148" s="220"/>
      <c r="AP148" s="220"/>
      <c r="AQ148" s="283"/>
      <c r="AR148" s="283"/>
      <c r="AS148" s="283"/>
      <c r="AT148" s="223">
        <v>0</v>
      </c>
      <c r="AU148" s="284">
        <v>592</v>
      </c>
      <c r="AV148" s="221">
        <v>42678</v>
      </c>
      <c r="AW148" s="221">
        <v>42678.695870451404</v>
      </c>
      <c r="AX148" s="220" t="s">
        <v>293</v>
      </c>
      <c r="AY148" s="219" t="s">
        <v>2584</v>
      </c>
    </row>
    <row r="149" spans="1:51" hidden="1" outlineLevel="1" collapsed="1">
      <c r="A149" s="227" t="s">
        <v>289</v>
      </c>
      <c r="B149" s="220" t="s">
        <v>2581</v>
      </c>
      <c r="C149" s="220" t="s">
        <v>2581</v>
      </c>
      <c r="D149" s="220" t="s">
        <v>2580</v>
      </c>
      <c r="E149" s="220" t="s">
        <v>2579</v>
      </c>
      <c r="F149" s="220" t="s">
        <v>2579</v>
      </c>
      <c r="G149" s="220" t="s">
        <v>2579</v>
      </c>
      <c r="H149" s="220" t="s">
        <v>2578</v>
      </c>
      <c r="I149" s="220" t="s">
        <v>308</v>
      </c>
      <c r="J149" s="220" t="s">
        <v>297</v>
      </c>
      <c r="K149" s="220" t="s">
        <v>307</v>
      </c>
      <c r="L149" s="220" t="s">
        <v>2315</v>
      </c>
      <c r="M149" s="220" t="s">
        <v>2314</v>
      </c>
      <c r="N149" s="220" t="s">
        <v>2313</v>
      </c>
      <c r="O149" s="220" t="s">
        <v>2312</v>
      </c>
      <c r="P149" s="220" t="s">
        <v>2311</v>
      </c>
      <c r="Q149" s="220" t="s">
        <v>2310</v>
      </c>
      <c r="R149" s="220"/>
      <c r="S149" s="220" t="s">
        <v>2129</v>
      </c>
      <c r="T149" s="220" t="s">
        <v>2139</v>
      </c>
      <c r="U149" s="220" t="s">
        <v>2172</v>
      </c>
      <c r="V149" s="220" t="s">
        <v>2126</v>
      </c>
      <c r="W149" s="220"/>
      <c r="X149" s="220"/>
      <c r="Y149" s="283"/>
      <c r="Z149" s="220"/>
      <c r="AA149" s="220"/>
      <c r="AB149" s="220"/>
      <c r="AC149" s="220"/>
      <c r="AD149" s="220"/>
      <c r="AE149" s="283"/>
      <c r="AF149" s="220"/>
      <c r="AG149" s="220"/>
      <c r="AH149" s="220"/>
      <c r="AI149" s="220"/>
      <c r="AJ149" s="226">
        <v>2</v>
      </c>
      <c r="AK149" s="226">
        <v>0</v>
      </c>
      <c r="AL149" s="225">
        <v>0.45568999999999998</v>
      </c>
      <c r="AM149" s="220"/>
      <c r="AN149" s="225">
        <v>2035.5619999999999</v>
      </c>
      <c r="AO149" s="220"/>
      <c r="AP149" s="220"/>
      <c r="AQ149" s="283"/>
      <c r="AR149" s="283"/>
      <c r="AS149" s="283"/>
      <c r="AT149" s="223">
        <v>0</v>
      </c>
      <c r="AU149" s="284">
        <v>200</v>
      </c>
      <c r="AV149" s="221">
        <v>42678</v>
      </c>
      <c r="AW149" s="221">
        <v>42678.695870451404</v>
      </c>
      <c r="AX149" s="220" t="s">
        <v>293</v>
      </c>
      <c r="AY149" s="219" t="s">
        <v>2583</v>
      </c>
    </row>
    <row r="150" spans="1:51" hidden="1" outlineLevel="1" collapsed="1">
      <c r="A150" s="227" t="s">
        <v>289</v>
      </c>
      <c r="B150" s="220" t="s">
        <v>2581</v>
      </c>
      <c r="C150" s="220" t="s">
        <v>2581</v>
      </c>
      <c r="D150" s="220" t="s">
        <v>2580</v>
      </c>
      <c r="E150" s="220" t="s">
        <v>2579</v>
      </c>
      <c r="F150" s="220" t="s">
        <v>2579</v>
      </c>
      <c r="G150" s="220" t="s">
        <v>2579</v>
      </c>
      <c r="H150" s="220" t="s">
        <v>2578</v>
      </c>
      <c r="I150" s="220" t="s">
        <v>308</v>
      </c>
      <c r="J150" s="220" t="s">
        <v>297</v>
      </c>
      <c r="K150" s="220" t="s">
        <v>307</v>
      </c>
      <c r="L150" s="220" t="s">
        <v>2315</v>
      </c>
      <c r="M150" s="220" t="s">
        <v>2314</v>
      </c>
      <c r="N150" s="220" t="s">
        <v>2313</v>
      </c>
      <c r="O150" s="220" t="s">
        <v>2312</v>
      </c>
      <c r="P150" s="220" t="s">
        <v>2311</v>
      </c>
      <c r="Q150" s="220" t="s">
        <v>2310</v>
      </c>
      <c r="R150" s="220"/>
      <c r="S150" s="220" t="s">
        <v>2129</v>
      </c>
      <c r="T150" s="220" t="s">
        <v>2145</v>
      </c>
      <c r="U150" s="220" t="s">
        <v>2172</v>
      </c>
      <c r="V150" s="220" t="s">
        <v>2126</v>
      </c>
      <c r="W150" s="220"/>
      <c r="X150" s="220"/>
      <c r="Y150" s="283"/>
      <c r="Z150" s="220"/>
      <c r="AA150" s="220"/>
      <c r="AB150" s="220"/>
      <c r="AC150" s="220"/>
      <c r="AD150" s="220"/>
      <c r="AE150" s="283"/>
      <c r="AF150" s="220"/>
      <c r="AG150" s="220"/>
      <c r="AH150" s="220"/>
      <c r="AI150" s="220"/>
      <c r="AJ150" s="226">
        <v>3</v>
      </c>
      <c r="AK150" s="226">
        <v>0</v>
      </c>
      <c r="AL150" s="225">
        <v>0.36440299999999998</v>
      </c>
      <c r="AM150" s="220"/>
      <c r="AN150" s="225">
        <v>1627.7819999999999</v>
      </c>
      <c r="AO150" s="220"/>
      <c r="AP150" s="220"/>
      <c r="AQ150" s="283"/>
      <c r="AR150" s="283"/>
      <c r="AS150" s="283"/>
      <c r="AT150" s="223">
        <v>0</v>
      </c>
      <c r="AU150" s="284">
        <v>225</v>
      </c>
      <c r="AV150" s="221">
        <v>42678</v>
      </c>
      <c r="AW150" s="221">
        <v>42678.695870451404</v>
      </c>
      <c r="AX150" s="220" t="s">
        <v>293</v>
      </c>
      <c r="AY150" s="219" t="s">
        <v>2582</v>
      </c>
    </row>
    <row r="151" spans="1:51" hidden="1" outlineLevel="1" collapsed="1">
      <c r="A151" s="227" t="s">
        <v>289</v>
      </c>
      <c r="B151" s="220" t="s">
        <v>2581</v>
      </c>
      <c r="C151" s="220" t="s">
        <v>2581</v>
      </c>
      <c r="D151" s="220" t="s">
        <v>2580</v>
      </c>
      <c r="E151" s="220" t="s">
        <v>2579</v>
      </c>
      <c r="F151" s="220" t="s">
        <v>2579</v>
      </c>
      <c r="G151" s="220" t="s">
        <v>2579</v>
      </c>
      <c r="H151" s="220" t="s">
        <v>2578</v>
      </c>
      <c r="I151" s="220" t="s">
        <v>308</v>
      </c>
      <c r="J151" s="220" t="s">
        <v>297</v>
      </c>
      <c r="K151" s="220" t="s">
        <v>307</v>
      </c>
      <c r="L151" s="220" t="s">
        <v>2315</v>
      </c>
      <c r="M151" s="220" t="s">
        <v>2314</v>
      </c>
      <c r="N151" s="220" t="s">
        <v>2313</v>
      </c>
      <c r="O151" s="220" t="s">
        <v>2312</v>
      </c>
      <c r="P151" s="220" t="s">
        <v>2311</v>
      </c>
      <c r="Q151" s="220" t="s">
        <v>2310</v>
      </c>
      <c r="R151" s="220"/>
      <c r="S151" s="220" t="s">
        <v>2129</v>
      </c>
      <c r="T151" s="220" t="s">
        <v>2128</v>
      </c>
      <c r="U151" s="220" t="s">
        <v>2172</v>
      </c>
      <c r="V151" s="220" t="s">
        <v>2126</v>
      </c>
      <c r="W151" s="220"/>
      <c r="X151" s="220"/>
      <c r="Y151" s="283"/>
      <c r="Z151" s="220"/>
      <c r="AA151" s="220"/>
      <c r="AB151" s="220"/>
      <c r="AC151" s="220"/>
      <c r="AD151" s="220"/>
      <c r="AE151" s="283"/>
      <c r="AF151" s="220"/>
      <c r="AG151" s="220"/>
      <c r="AH151" s="220"/>
      <c r="AI151" s="220"/>
      <c r="AJ151" s="226">
        <v>11</v>
      </c>
      <c r="AK151" s="226">
        <v>0</v>
      </c>
      <c r="AL151" s="225">
        <v>0.245916</v>
      </c>
      <c r="AM151" s="220"/>
      <c r="AN151" s="225">
        <v>1098.5039999999999</v>
      </c>
      <c r="AO151" s="220"/>
      <c r="AP151" s="220"/>
      <c r="AQ151" s="283"/>
      <c r="AR151" s="283"/>
      <c r="AS151" s="283"/>
      <c r="AT151" s="223">
        <v>0</v>
      </c>
      <c r="AU151" s="284">
        <v>66</v>
      </c>
      <c r="AV151" s="221">
        <v>42678</v>
      </c>
      <c r="AW151" s="221">
        <v>42678.695870451404</v>
      </c>
      <c r="AX151" s="220" t="s">
        <v>293</v>
      </c>
      <c r="AY151" s="219" t="s">
        <v>2577</v>
      </c>
    </row>
    <row r="152" spans="1:51" hidden="1" outlineLevel="1" collapsed="1">
      <c r="A152" s="227" t="s">
        <v>289</v>
      </c>
      <c r="B152" s="220" t="s">
        <v>2581</v>
      </c>
      <c r="C152" s="220" t="s">
        <v>2581</v>
      </c>
      <c r="D152" s="220" t="s">
        <v>2580</v>
      </c>
      <c r="E152" s="220" t="s">
        <v>2579</v>
      </c>
      <c r="F152" s="220" t="s">
        <v>2579</v>
      </c>
      <c r="G152" s="220" t="s">
        <v>2579</v>
      </c>
      <c r="H152" s="220" t="s">
        <v>2578</v>
      </c>
      <c r="I152" s="220" t="s">
        <v>308</v>
      </c>
      <c r="J152" s="220" t="s">
        <v>297</v>
      </c>
      <c r="K152" s="220" t="s">
        <v>307</v>
      </c>
      <c r="L152" s="220" t="s">
        <v>2315</v>
      </c>
      <c r="M152" s="220" t="s">
        <v>2314</v>
      </c>
      <c r="N152" s="220" t="s">
        <v>2313</v>
      </c>
      <c r="O152" s="220" t="s">
        <v>2312</v>
      </c>
      <c r="P152" s="220" t="s">
        <v>2311</v>
      </c>
      <c r="Q152" s="220" t="s">
        <v>2310</v>
      </c>
      <c r="R152" s="220"/>
      <c r="S152" s="220" t="s">
        <v>2129</v>
      </c>
      <c r="T152" s="220" t="s">
        <v>2408</v>
      </c>
      <c r="U152" s="220" t="s">
        <v>2172</v>
      </c>
      <c r="V152" s="220" t="s">
        <v>2126</v>
      </c>
      <c r="W152" s="220"/>
      <c r="X152" s="220"/>
      <c r="Y152" s="283"/>
      <c r="Z152" s="220"/>
      <c r="AA152" s="220"/>
      <c r="AB152" s="220"/>
      <c r="AC152" s="220"/>
      <c r="AD152" s="220"/>
      <c r="AE152" s="283"/>
      <c r="AF152" s="220"/>
      <c r="AG152" s="220"/>
      <c r="AH152" s="220"/>
      <c r="AI152" s="220"/>
      <c r="AJ152" s="226">
        <v>248</v>
      </c>
      <c r="AK152" s="226">
        <v>0</v>
      </c>
      <c r="AL152" s="225">
        <v>8.5936459999999997</v>
      </c>
      <c r="AM152" s="220"/>
      <c r="AN152" s="225">
        <v>38387.671999999999</v>
      </c>
      <c r="AO152" s="220"/>
      <c r="AP152" s="220"/>
      <c r="AQ152" s="283"/>
      <c r="AR152" s="283"/>
      <c r="AS152" s="283"/>
      <c r="AT152" s="223">
        <v>0</v>
      </c>
      <c r="AU152" s="284">
        <v>5704</v>
      </c>
      <c r="AV152" s="221">
        <v>42678</v>
      </c>
      <c r="AW152" s="221">
        <v>42678.695870451404</v>
      </c>
      <c r="AX152" s="220" t="s">
        <v>293</v>
      </c>
      <c r="AY152" s="219" t="s">
        <v>2586</v>
      </c>
    </row>
    <row r="153" spans="1:51" hidden="1" outlineLevel="1" collapsed="1">
      <c r="A153" s="227" t="s">
        <v>289</v>
      </c>
      <c r="B153" s="220" t="s">
        <v>2581</v>
      </c>
      <c r="C153" s="220" t="s">
        <v>2581</v>
      </c>
      <c r="D153" s="220" t="s">
        <v>2580</v>
      </c>
      <c r="E153" s="220" t="s">
        <v>2579</v>
      </c>
      <c r="F153" s="220" t="s">
        <v>2579</v>
      </c>
      <c r="G153" s="220" t="s">
        <v>2579</v>
      </c>
      <c r="H153" s="220" t="s">
        <v>2578</v>
      </c>
      <c r="I153" s="220" t="s">
        <v>308</v>
      </c>
      <c r="J153" s="220" t="s">
        <v>297</v>
      </c>
      <c r="K153" s="220" t="s">
        <v>307</v>
      </c>
      <c r="L153" s="220" t="s">
        <v>2315</v>
      </c>
      <c r="M153" s="220" t="s">
        <v>2314</v>
      </c>
      <c r="N153" s="220" t="s">
        <v>2313</v>
      </c>
      <c r="O153" s="220" t="s">
        <v>2312</v>
      </c>
      <c r="P153" s="220" t="s">
        <v>2311</v>
      </c>
      <c r="Q153" s="220" t="s">
        <v>2310</v>
      </c>
      <c r="R153" s="220"/>
      <c r="S153" s="220" t="s">
        <v>2129</v>
      </c>
      <c r="T153" s="220" t="s">
        <v>2166</v>
      </c>
      <c r="U153" s="220" t="s">
        <v>2172</v>
      </c>
      <c r="V153" s="220" t="s">
        <v>2126</v>
      </c>
      <c r="W153" s="220"/>
      <c r="X153" s="220"/>
      <c r="Y153" s="283"/>
      <c r="Z153" s="220"/>
      <c r="AA153" s="220"/>
      <c r="AB153" s="220"/>
      <c r="AC153" s="220"/>
      <c r="AD153" s="220"/>
      <c r="AE153" s="283"/>
      <c r="AF153" s="220"/>
      <c r="AG153" s="220"/>
      <c r="AH153" s="220"/>
      <c r="AI153" s="220"/>
      <c r="AJ153" s="226">
        <v>1</v>
      </c>
      <c r="AK153" s="226">
        <v>0</v>
      </c>
      <c r="AL153" s="225">
        <v>3.5396999999999998E-2</v>
      </c>
      <c r="AM153" s="220"/>
      <c r="AN153" s="225">
        <v>158.11799999999999</v>
      </c>
      <c r="AO153" s="220"/>
      <c r="AP153" s="220"/>
      <c r="AQ153" s="283"/>
      <c r="AR153" s="283"/>
      <c r="AS153" s="283"/>
      <c r="AT153" s="223">
        <v>0</v>
      </c>
      <c r="AU153" s="284">
        <v>8</v>
      </c>
      <c r="AV153" s="221">
        <v>42678</v>
      </c>
      <c r="AW153" s="221">
        <v>42678.695870451404</v>
      </c>
      <c r="AX153" s="220" t="s">
        <v>293</v>
      </c>
      <c r="AY153" s="219" t="s">
        <v>2585</v>
      </c>
    </row>
    <row r="154" spans="1:51" hidden="1" outlineLevel="1" collapsed="1">
      <c r="A154" s="227" t="s">
        <v>289</v>
      </c>
      <c r="B154" s="220" t="s">
        <v>2574</v>
      </c>
      <c r="C154" s="220" t="s">
        <v>2574</v>
      </c>
      <c r="D154" s="220" t="s">
        <v>722</v>
      </c>
      <c r="E154" s="220" t="s">
        <v>2573</v>
      </c>
      <c r="F154" s="220" t="s">
        <v>2573</v>
      </c>
      <c r="G154" s="220" t="s">
        <v>658</v>
      </c>
      <c r="H154" s="220" t="s">
        <v>719</v>
      </c>
      <c r="I154" s="220" t="s">
        <v>298</v>
      </c>
      <c r="J154" s="220" t="s">
        <v>297</v>
      </c>
      <c r="K154" s="220" t="s">
        <v>296</v>
      </c>
      <c r="L154" s="220" t="s">
        <v>2340</v>
      </c>
      <c r="M154" s="220" t="s">
        <v>2339</v>
      </c>
      <c r="N154" s="220" t="s">
        <v>298</v>
      </c>
      <c r="O154" s="220" t="s">
        <v>297</v>
      </c>
      <c r="P154" s="220" t="s">
        <v>296</v>
      </c>
      <c r="Q154" s="220" t="s">
        <v>2338</v>
      </c>
      <c r="R154" s="220"/>
      <c r="S154" s="220" t="s">
        <v>2129</v>
      </c>
      <c r="T154" s="220" t="s">
        <v>2145</v>
      </c>
      <c r="U154" s="220" t="s">
        <v>2373</v>
      </c>
      <c r="V154" s="220" t="s">
        <v>2126</v>
      </c>
      <c r="W154" s="220"/>
      <c r="X154" s="220"/>
      <c r="Y154" s="283"/>
      <c r="Z154" s="220"/>
      <c r="AA154" s="220"/>
      <c r="AB154" s="220"/>
      <c r="AC154" s="220"/>
      <c r="AD154" s="220"/>
      <c r="AE154" s="283"/>
      <c r="AF154" s="220"/>
      <c r="AG154" s="220"/>
      <c r="AH154" s="220"/>
      <c r="AI154" s="220"/>
      <c r="AJ154" s="226">
        <v>31</v>
      </c>
      <c r="AK154" s="226">
        <v>0</v>
      </c>
      <c r="AL154" s="225">
        <v>1.280632</v>
      </c>
      <c r="AM154" s="220"/>
      <c r="AN154" s="225">
        <v>11758.331</v>
      </c>
      <c r="AO154" s="220"/>
      <c r="AP154" s="220"/>
      <c r="AQ154" s="283"/>
      <c r="AR154" s="283"/>
      <c r="AS154" s="283"/>
      <c r="AT154" s="223">
        <v>0</v>
      </c>
      <c r="AU154" s="284">
        <v>2325</v>
      </c>
      <c r="AV154" s="221">
        <v>42718</v>
      </c>
      <c r="AW154" s="221">
        <v>42681.4730405093</v>
      </c>
      <c r="AX154" s="220" t="s">
        <v>293</v>
      </c>
      <c r="AY154" s="219" t="s">
        <v>2575</v>
      </c>
    </row>
    <row r="155" spans="1:51" hidden="1" outlineLevel="1" collapsed="1">
      <c r="A155" s="227" t="s">
        <v>289</v>
      </c>
      <c r="B155" s="220" t="s">
        <v>2574</v>
      </c>
      <c r="C155" s="220" t="s">
        <v>2574</v>
      </c>
      <c r="D155" s="220" t="s">
        <v>722</v>
      </c>
      <c r="E155" s="220" t="s">
        <v>2573</v>
      </c>
      <c r="F155" s="220" t="s">
        <v>2573</v>
      </c>
      <c r="G155" s="220" t="s">
        <v>658</v>
      </c>
      <c r="H155" s="220" t="s">
        <v>719</v>
      </c>
      <c r="I155" s="220" t="s">
        <v>298</v>
      </c>
      <c r="J155" s="220" t="s">
        <v>297</v>
      </c>
      <c r="K155" s="220" t="s">
        <v>296</v>
      </c>
      <c r="L155" s="220" t="s">
        <v>2340</v>
      </c>
      <c r="M155" s="220" t="s">
        <v>2339</v>
      </c>
      <c r="N155" s="220" t="s">
        <v>298</v>
      </c>
      <c r="O155" s="220" t="s">
        <v>297</v>
      </c>
      <c r="P155" s="220" t="s">
        <v>296</v>
      </c>
      <c r="Q155" s="220" t="s">
        <v>2338</v>
      </c>
      <c r="R155" s="220"/>
      <c r="S155" s="220" t="s">
        <v>2129</v>
      </c>
      <c r="T155" s="220" t="s">
        <v>2166</v>
      </c>
      <c r="U155" s="220" t="s">
        <v>2373</v>
      </c>
      <c r="V155" s="220" t="s">
        <v>2126</v>
      </c>
      <c r="W155" s="220"/>
      <c r="X155" s="220"/>
      <c r="Y155" s="283"/>
      <c r="Z155" s="220"/>
      <c r="AA155" s="220"/>
      <c r="AB155" s="220"/>
      <c r="AC155" s="220"/>
      <c r="AD155" s="220"/>
      <c r="AE155" s="283"/>
      <c r="AF155" s="220"/>
      <c r="AG155" s="220"/>
      <c r="AH155" s="220"/>
      <c r="AI155" s="220"/>
      <c r="AJ155" s="226">
        <v>2</v>
      </c>
      <c r="AK155" s="226">
        <v>0</v>
      </c>
      <c r="AL155" s="225">
        <v>2.4077000000000001E-2</v>
      </c>
      <c r="AM155" s="220"/>
      <c r="AN155" s="225">
        <v>221.066</v>
      </c>
      <c r="AO155" s="220"/>
      <c r="AP155" s="220"/>
      <c r="AQ155" s="283"/>
      <c r="AR155" s="283"/>
      <c r="AS155" s="283"/>
      <c r="AT155" s="223">
        <v>0</v>
      </c>
      <c r="AU155" s="284">
        <v>16.34</v>
      </c>
      <c r="AV155" s="221">
        <v>42718</v>
      </c>
      <c r="AW155" s="221">
        <v>42681.4730405093</v>
      </c>
      <c r="AX155" s="220" t="s">
        <v>293</v>
      </c>
      <c r="AY155" s="219" t="s">
        <v>2576</v>
      </c>
    </row>
    <row r="156" spans="1:51" hidden="1" outlineLevel="1" collapsed="1">
      <c r="A156" s="227" t="s">
        <v>289</v>
      </c>
      <c r="B156" s="220" t="s">
        <v>2574</v>
      </c>
      <c r="C156" s="220" t="s">
        <v>2574</v>
      </c>
      <c r="D156" s="220" t="s">
        <v>722</v>
      </c>
      <c r="E156" s="220" t="s">
        <v>2573</v>
      </c>
      <c r="F156" s="220" t="s">
        <v>2573</v>
      </c>
      <c r="G156" s="220" t="s">
        <v>658</v>
      </c>
      <c r="H156" s="220" t="s">
        <v>719</v>
      </c>
      <c r="I156" s="220" t="s">
        <v>298</v>
      </c>
      <c r="J156" s="220" t="s">
        <v>297</v>
      </c>
      <c r="K156" s="220" t="s">
        <v>296</v>
      </c>
      <c r="L156" s="220" t="s">
        <v>2340</v>
      </c>
      <c r="M156" s="220" t="s">
        <v>2339</v>
      </c>
      <c r="N156" s="220" t="s">
        <v>298</v>
      </c>
      <c r="O156" s="220" t="s">
        <v>297</v>
      </c>
      <c r="P156" s="220" t="s">
        <v>296</v>
      </c>
      <c r="Q156" s="220" t="s">
        <v>2338</v>
      </c>
      <c r="R156" s="220"/>
      <c r="S156" s="220" t="s">
        <v>2129</v>
      </c>
      <c r="T156" s="220" t="s">
        <v>2145</v>
      </c>
      <c r="U156" s="220" t="s">
        <v>2373</v>
      </c>
      <c r="V156" s="220" t="s">
        <v>2126</v>
      </c>
      <c r="W156" s="220"/>
      <c r="X156" s="220"/>
      <c r="Y156" s="283"/>
      <c r="Z156" s="220"/>
      <c r="AA156" s="220"/>
      <c r="AB156" s="220"/>
      <c r="AC156" s="220"/>
      <c r="AD156" s="220"/>
      <c r="AE156" s="283"/>
      <c r="AF156" s="220"/>
      <c r="AG156" s="220"/>
      <c r="AH156" s="220"/>
      <c r="AI156" s="220"/>
      <c r="AJ156" s="226">
        <v>1</v>
      </c>
      <c r="AK156" s="226">
        <v>0</v>
      </c>
      <c r="AL156" s="225">
        <v>4.1311E-2</v>
      </c>
      <c r="AM156" s="220"/>
      <c r="AN156" s="225">
        <v>379.30099999999999</v>
      </c>
      <c r="AO156" s="220"/>
      <c r="AP156" s="220"/>
      <c r="AQ156" s="283"/>
      <c r="AR156" s="283"/>
      <c r="AS156" s="283"/>
      <c r="AT156" s="223">
        <v>0</v>
      </c>
      <c r="AU156" s="284">
        <v>75</v>
      </c>
      <c r="AV156" s="221">
        <v>42718</v>
      </c>
      <c r="AW156" s="221">
        <v>42681.4730405093</v>
      </c>
      <c r="AX156" s="220" t="s">
        <v>293</v>
      </c>
      <c r="AY156" s="219" t="s">
        <v>2572</v>
      </c>
    </row>
    <row r="157" spans="1:51" ht="20.399999999999999" hidden="1" outlineLevel="1" collapsed="1">
      <c r="A157" s="227" t="s">
        <v>289</v>
      </c>
      <c r="B157" s="220" t="s">
        <v>2569</v>
      </c>
      <c r="C157" s="220" t="s">
        <v>2569</v>
      </c>
      <c r="D157" s="220" t="s">
        <v>2568</v>
      </c>
      <c r="E157" s="220" t="s">
        <v>2567</v>
      </c>
      <c r="F157" s="220" t="s">
        <v>2567</v>
      </c>
      <c r="G157" s="220" t="s">
        <v>2567</v>
      </c>
      <c r="H157" s="220" t="s">
        <v>2566</v>
      </c>
      <c r="I157" s="220" t="s">
        <v>329</v>
      </c>
      <c r="J157" s="220" t="s">
        <v>297</v>
      </c>
      <c r="K157" s="220" t="s">
        <v>397</v>
      </c>
      <c r="L157" s="220" t="s">
        <v>2565</v>
      </c>
      <c r="M157" s="220" t="s">
        <v>2564</v>
      </c>
      <c r="N157" s="220" t="s">
        <v>2563</v>
      </c>
      <c r="O157" s="220" t="s">
        <v>2562</v>
      </c>
      <c r="P157" s="220" t="s">
        <v>2561</v>
      </c>
      <c r="Q157" s="220" t="s">
        <v>2560</v>
      </c>
      <c r="R157" s="220"/>
      <c r="S157" s="220" t="s">
        <v>2129</v>
      </c>
      <c r="T157" s="220" t="s">
        <v>2173</v>
      </c>
      <c r="U157" s="220" t="s">
        <v>2193</v>
      </c>
      <c r="V157" s="220" t="s">
        <v>2126</v>
      </c>
      <c r="W157" s="220"/>
      <c r="X157" s="220"/>
      <c r="Y157" s="283"/>
      <c r="Z157" s="220"/>
      <c r="AA157" s="220"/>
      <c r="AB157" s="220"/>
      <c r="AC157" s="220"/>
      <c r="AD157" s="220"/>
      <c r="AE157" s="283"/>
      <c r="AF157" s="220"/>
      <c r="AG157" s="220"/>
      <c r="AH157" s="220"/>
      <c r="AI157" s="220"/>
      <c r="AJ157" s="226">
        <v>400</v>
      </c>
      <c r="AK157" s="226">
        <v>0</v>
      </c>
      <c r="AL157" s="225">
        <v>5.976</v>
      </c>
      <c r="AM157" s="220"/>
      <c r="AN157" s="225">
        <v>17469.2</v>
      </c>
      <c r="AO157" s="220"/>
      <c r="AP157" s="220"/>
      <c r="AQ157" s="283"/>
      <c r="AR157" s="283"/>
      <c r="AS157" s="283"/>
      <c r="AT157" s="223">
        <v>0</v>
      </c>
      <c r="AU157" s="284">
        <v>3200</v>
      </c>
      <c r="AV157" s="221">
        <v>42772</v>
      </c>
      <c r="AW157" s="221">
        <v>42683.771857210602</v>
      </c>
      <c r="AX157" s="220" t="s">
        <v>293</v>
      </c>
      <c r="AY157" s="219" t="s">
        <v>2571</v>
      </c>
    </row>
    <row r="158" spans="1:51" ht="20.399999999999999" hidden="1" outlineLevel="1" collapsed="1">
      <c r="A158" s="227" t="s">
        <v>289</v>
      </c>
      <c r="B158" s="220" t="s">
        <v>2569</v>
      </c>
      <c r="C158" s="220" t="s">
        <v>2569</v>
      </c>
      <c r="D158" s="220" t="s">
        <v>2568</v>
      </c>
      <c r="E158" s="220" t="s">
        <v>2567</v>
      </c>
      <c r="F158" s="220" t="s">
        <v>2567</v>
      </c>
      <c r="G158" s="220" t="s">
        <v>2567</v>
      </c>
      <c r="H158" s="220" t="s">
        <v>2566</v>
      </c>
      <c r="I158" s="220" t="s">
        <v>329</v>
      </c>
      <c r="J158" s="220" t="s">
        <v>297</v>
      </c>
      <c r="K158" s="220" t="s">
        <v>397</v>
      </c>
      <c r="L158" s="220" t="s">
        <v>2565</v>
      </c>
      <c r="M158" s="220" t="s">
        <v>2564</v>
      </c>
      <c r="N158" s="220" t="s">
        <v>2563</v>
      </c>
      <c r="O158" s="220" t="s">
        <v>2562</v>
      </c>
      <c r="P158" s="220" t="s">
        <v>2561</v>
      </c>
      <c r="Q158" s="220" t="s">
        <v>2560</v>
      </c>
      <c r="R158" s="220"/>
      <c r="S158" s="220" t="s">
        <v>2129</v>
      </c>
      <c r="T158" s="220" t="s">
        <v>2173</v>
      </c>
      <c r="U158" s="220" t="s">
        <v>2193</v>
      </c>
      <c r="V158" s="220" t="s">
        <v>2126</v>
      </c>
      <c r="W158" s="220"/>
      <c r="X158" s="220"/>
      <c r="Y158" s="283"/>
      <c r="Z158" s="220"/>
      <c r="AA158" s="220"/>
      <c r="AB158" s="220"/>
      <c r="AC158" s="220"/>
      <c r="AD158" s="220"/>
      <c r="AE158" s="283"/>
      <c r="AF158" s="220"/>
      <c r="AG158" s="220"/>
      <c r="AH158" s="220"/>
      <c r="AI158" s="220"/>
      <c r="AJ158" s="226">
        <v>1224</v>
      </c>
      <c r="AK158" s="226">
        <v>0</v>
      </c>
      <c r="AL158" s="225">
        <v>18.286560000000001</v>
      </c>
      <c r="AM158" s="220"/>
      <c r="AN158" s="225">
        <v>53455.752</v>
      </c>
      <c r="AO158" s="220"/>
      <c r="AP158" s="220"/>
      <c r="AQ158" s="283"/>
      <c r="AR158" s="283"/>
      <c r="AS158" s="283"/>
      <c r="AT158" s="223">
        <v>0</v>
      </c>
      <c r="AU158" s="284">
        <v>9792</v>
      </c>
      <c r="AV158" s="221">
        <v>42772</v>
      </c>
      <c r="AW158" s="221">
        <v>42683.771857210602</v>
      </c>
      <c r="AX158" s="220" t="s">
        <v>293</v>
      </c>
      <c r="AY158" s="219" t="s">
        <v>2570</v>
      </c>
    </row>
    <row r="159" spans="1:51" ht="20.399999999999999" hidden="1" outlineLevel="1" collapsed="1">
      <c r="A159" s="227" t="s">
        <v>289</v>
      </c>
      <c r="B159" s="220" t="s">
        <v>2569</v>
      </c>
      <c r="C159" s="220" t="s">
        <v>2569</v>
      </c>
      <c r="D159" s="220" t="s">
        <v>2568</v>
      </c>
      <c r="E159" s="220" t="s">
        <v>2567</v>
      </c>
      <c r="F159" s="220" t="s">
        <v>2567</v>
      </c>
      <c r="G159" s="220" t="s">
        <v>2567</v>
      </c>
      <c r="H159" s="220" t="s">
        <v>2566</v>
      </c>
      <c r="I159" s="220" t="s">
        <v>329</v>
      </c>
      <c r="J159" s="220" t="s">
        <v>297</v>
      </c>
      <c r="K159" s="220" t="s">
        <v>397</v>
      </c>
      <c r="L159" s="220" t="s">
        <v>2565</v>
      </c>
      <c r="M159" s="220" t="s">
        <v>2564</v>
      </c>
      <c r="N159" s="220" t="s">
        <v>2563</v>
      </c>
      <c r="O159" s="220" t="s">
        <v>2562</v>
      </c>
      <c r="P159" s="220" t="s">
        <v>2561</v>
      </c>
      <c r="Q159" s="220" t="s">
        <v>2560</v>
      </c>
      <c r="R159" s="220"/>
      <c r="S159" s="220" t="s">
        <v>2129</v>
      </c>
      <c r="T159" s="220" t="s">
        <v>2145</v>
      </c>
      <c r="U159" s="220" t="s">
        <v>2193</v>
      </c>
      <c r="V159" s="220" t="s">
        <v>2126</v>
      </c>
      <c r="W159" s="220"/>
      <c r="X159" s="220"/>
      <c r="Y159" s="283"/>
      <c r="Z159" s="220"/>
      <c r="AA159" s="220"/>
      <c r="AB159" s="220"/>
      <c r="AC159" s="220"/>
      <c r="AD159" s="220"/>
      <c r="AE159" s="283"/>
      <c r="AF159" s="220"/>
      <c r="AG159" s="220"/>
      <c r="AH159" s="220"/>
      <c r="AI159" s="220"/>
      <c r="AJ159" s="226">
        <v>44</v>
      </c>
      <c r="AK159" s="226">
        <v>0</v>
      </c>
      <c r="AL159" s="225">
        <v>7.1433119999999999</v>
      </c>
      <c r="AM159" s="220"/>
      <c r="AN159" s="225">
        <v>20881.432000000001</v>
      </c>
      <c r="AO159" s="220"/>
      <c r="AP159" s="220"/>
      <c r="AQ159" s="283"/>
      <c r="AR159" s="283"/>
      <c r="AS159" s="283"/>
      <c r="AT159" s="223">
        <v>0</v>
      </c>
      <c r="AU159" s="284">
        <v>3300</v>
      </c>
      <c r="AV159" s="221">
        <v>42772</v>
      </c>
      <c r="AW159" s="221">
        <v>42683.771857210602</v>
      </c>
      <c r="AX159" s="220" t="s">
        <v>293</v>
      </c>
      <c r="AY159" s="219" t="s">
        <v>2559</v>
      </c>
    </row>
    <row r="160" spans="1:51" hidden="1" outlineLevel="1" collapsed="1">
      <c r="A160" s="227" t="s">
        <v>289</v>
      </c>
      <c r="B160" s="220" t="s">
        <v>2557</v>
      </c>
      <c r="C160" s="220" t="s">
        <v>2557</v>
      </c>
      <c r="D160" s="220" t="s">
        <v>2349</v>
      </c>
      <c r="E160" s="220" t="s">
        <v>2556</v>
      </c>
      <c r="F160" s="220" t="s">
        <v>2347</v>
      </c>
      <c r="G160" s="220" t="s">
        <v>2347</v>
      </c>
      <c r="H160" s="220" t="s">
        <v>2346</v>
      </c>
      <c r="I160" s="220" t="s">
        <v>329</v>
      </c>
      <c r="J160" s="220" t="s">
        <v>297</v>
      </c>
      <c r="K160" s="220" t="s">
        <v>397</v>
      </c>
      <c r="L160" s="220" t="s">
        <v>2211</v>
      </c>
      <c r="M160" s="220" t="s">
        <v>2210</v>
      </c>
      <c r="N160" s="220" t="s">
        <v>298</v>
      </c>
      <c r="O160" s="220" t="s">
        <v>297</v>
      </c>
      <c r="P160" s="220" t="s">
        <v>296</v>
      </c>
      <c r="Q160" s="220" t="s">
        <v>2209</v>
      </c>
      <c r="R160" s="220" t="s">
        <v>2208</v>
      </c>
      <c r="S160" s="220" t="s">
        <v>2129</v>
      </c>
      <c r="T160" s="220" t="s">
        <v>2139</v>
      </c>
      <c r="U160" s="220" t="s">
        <v>2127</v>
      </c>
      <c r="V160" s="220" t="s">
        <v>2126</v>
      </c>
      <c r="W160" s="220"/>
      <c r="X160" s="220"/>
      <c r="Y160" s="283"/>
      <c r="Z160" s="220"/>
      <c r="AA160" s="220"/>
      <c r="AB160" s="220"/>
      <c r="AC160" s="220"/>
      <c r="AD160" s="220"/>
      <c r="AE160" s="283"/>
      <c r="AF160" s="220"/>
      <c r="AG160" s="220"/>
      <c r="AH160" s="220"/>
      <c r="AI160" s="220"/>
      <c r="AJ160" s="226">
        <v>1</v>
      </c>
      <c r="AK160" s="226">
        <v>0</v>
      </c>
      <c r="AL160" s="225">
        <v>0.24699699999999999</v>
      </c>
      <c r="AM160" s="220"/>
      <c r="AN160" s="225">
        <v>1157.3789999999999</v>
      </c>
      <c r="AO160" s="220"/>
      <c r="AP160" s="220"/>
      <c r="AQ160" s="283"/>
      <c r="AR160" s="283"/>
      <c r="AS160" s="283"/>
      <c r="AT160" s="223">
        <v>0</v>
      </c>
      <c r="AU160" s="284">
        <v>60</v>
      </c>
      <c r="AV160" s="221">
        <v>42685</v>
      </c>
      <c r="AW160" s="221">
        <v>42685.460930671303</v>
      </c>
      <c r="AX160" s="220" t="s">
        <v>293</v>
      </c>
      <c r="AY160" s="219" t="s">
        <v>2555</v>
      </c>
    </row>
    <row r="161" spans="1:51" ht="20.399999999999999" hidden="1" outlineLevel="1" collapsed="1">
      <c r="A161" s="227" t="s">
        <v>289</v>
      </c>
      <c r="B161" s="220" t="s">
        <v>2557</v>
      </c>
      <c r="C161" s="220" t="s">
        <v>2557</v>
      </c>
      <c r="D161" s="220" t="s">
        <v>2349</v>
      </c>
      <c r="E161" s="220" t="s">
        <v>2556</v>
      </c>
      <c r="F161" s="220" t="s">
        <v>2347</v>
      </c>
      <c r="G161" s="220" t="s">
        <v>2347</v>
      </c>
      <c r="H161" s="220" t="s">
        <v>2346</v>
      </c>
      <c r="I161" s="220" t="s">
        <v>329</v>
      </c>
      <c r="J161" s="220" t="s">
        <v>297</v>
      </c>
      <c r="K161" s="220" t="s">
        <v>397</v>
      </c>
      <c r="L161" s="220" t="s">
        <v>2211</v>
      </c>
      <c r="M161" s="220" t="s">
        <v>2210</v>
      </c>
      <c r="N161" s="220" t="s">
        <v>298</v>
      </c>
      <c r="O161" s="220" t="s">
        <v>297</v>
      </c>
      <c r="P161" s="220" t="s">
        <v>296</v>
      </c>
      <c r="Q161" s="220" t="s">
        <v>2209</v>
      </c>
      <c r="R161" s="220" t="s">
        <v>2208</v>
      </c>
      <c r="S161" s="220" t="s">
        <v>2129</v>
      </c>
      <c r="T161" s="220" t="s">
        <v>2173</v>
      </c>
      <c r="U161" s="220" t="s">
        <v>2127</v>
      </c>
      <c r="V161" s="220" t="s">
        <v>2126</v>
      </c>
      <c r="W161" s="220"/>
      <c r="X161" s="220"/>
      <c r="Y161" s="283"/>
      <c r="Z161" s="220"/>
      <c r="AA161" s="220"/>
      <c r="AB161" s="220"/>
      <c r="AC161" s="220"/>
      <c r="AD161" s="220"/>
      <c r="AE161" s="283"/>
      <c r="AF161" s="220"/>
      <c r="AG161" s="220"/>
      <c r="AH161" s="220"/>
      <c r="AI161" s="220"/>
      <c r="AJ161" s="226">
        <v>10</v>
      </c>
      <c r="AK161" s="226">
        <v>0</v>
      </c>
      <c r="AL161" s="225">
        <v>0.12117600000000001</v>
      </c>
      <c r="AM161" s="220"/>
      <c r="AN161" s="225">
        <v>567.80999999999995</v>
      </c>
      <c r="AO161" s="220"/>
      <c r="AP161" s="220"/>
      <c r="AQ161" s="283"/>
      <c r="AR161" s="283"/>
      <c r="AS161" s="283"/>
      <c r="AT161" s="223">
        <v>0</v>
      </c>
      <c r="AU161" s="284">
        <v>80</v>
      </c>
      <c r="AV161" s="221">
        <v>42685</v>
      </c>
      <c r="AW161" s="221">
        <v>42685.460930671303</v>
      </c>
      <c r="AX161" s="220" t="s">
        <v>293</v>
      </c>
      <c r="AY161" s="219" t="s">
        <v>2558</v>
      </c>
    </row>
    <row r="162" spans="1:51" ht="20.399999999999999" hidden="1" outlineLevel="1" collapsed="1">
      <c r="A162" s="227" t="s">
        <v>289</v>
      </c>
      <c r="B162" s="220" t="s">
        <v>2554</v>
      </c>
      <c r="C162" s="220" t="s">
        <v>2554</v>
      </c>
      <c r="D162" s="220" t="s">
        <v>2553</v>
      </c>
      <c r="E162" s="220" t="s">
        <v>2552</v>
      </c>
      <c r="F162" s="220" t="s">
        <v>2551</v>
      </c>
      <c r="G162" s="220" t="s">
        <v>2551</v>
      </c>
      <c r="H162" s="220" t="s">
        <v>2550</v>
      </c>
      <c r="I162" s="220" t="s">
        <v>329</v>
      </c>
      <c r="J162" s="220" t="s">
        <v>297</v>
      </c>
      <c r="K162" s="220" t="s">
        <v>397</v>
      </c>
      <c r="L162" s="220" t="s">
        <v>2211</v>
      </c>
      <c r="M162" s="220" t="s">
        <v>2210</v>
      </c>
      <c r="N162" s="220" t="s">
        <v>298</v>
      </c>
      <c r="O162" s="220" t="s">
        <v>297</v>
      </c>
      <c r="P162" s="220" t="s">
        <v>296</v>
      </c>
      <c r="Q162" s="220" t="s">
        <v>2209</v>
      </c>
      <c r="R162" s="220" t="s">
        <v>2208</v>
      </c>
      <c r="S162" s="220" t="s">
        <v>2129</v>
      </c>
      <c r="T162" s="220" t="s">
        <v>2173</v>
      </c>
      <c r="U162" s="220" t="s">
        <v>2202</v>
      </c>
      <c r="V162" s="220" t="s">
        <v>2126</v>
      </c>
      <c r="W162" s="220"/>
      <c r="X162" s="220"/>
      <c r="Y162" s="283"/>
      <c r="Z162" s="220"/>
      <c r="AA162" s="220"/>
      <c r="AB162" s="220"/>
      <c r="AC162" s="220"/>
      <c r="AD162" s="220"/>
      <c r="AE162" s="283"/>
      <c r="AF162" s="220"/>
      <c r="AG162" s="220"/>
      <c r="AH162" s="220"/>
      <c r="AI162" s="220"/>
      <c r="AJ162" s="226">
        <v>134</v>
      </c>
      <c r="AK162" s="226">
        <v>0</v>
      </c>
      <c r="AL162" s="225">
        <v>1.496405</v>
      </c>
      <c r="AM162" s="220"/>
      <c r="AN162" s="225">
        <v>6653.77</v>
      </c>
      <c r="AO162" s="220"/>
      <c r="AP162" s="220"/>
      <c r="AQ162" s="283"/>
      <c r="AR162" s="283"/>
      <c r="AS162" s="283"/>
      <c r="AT162" s="223">
        <v>0</v>
      </c>
      <c r="AU162" s="284">
        <v>1072</v>
      </c>
      <c r="AV162" s="221">
        <v>42718</v>
      </c>
      <c r="AW162" s="221">
        <v>42688.652053969898</v>
      </c>
      <c r="AX162" s="220" t="s">
        <v>293</v>
      </c>
      <c r="AY162" s="219" t="s">
        <v>2549</v>
      </c>
    </row>
    <row r="163" spans="1:51" hidden="1" outlineLevel="1" collapsed="1">
      <c r="A163" s="227" t="s">
        <v>289</v>
      </c>
      <c r="B163" s="220" t="s">
        <v>2547</v>
      </c>
      <c r="C163" s="220" t="s">
        <v>2547</v>
      </c>
      <c r="D163" s="220" t="s">
        <v>2546</v>
      </c>
      <c r="E163" s="220" t="s">
        <v>2545</v>
      </c>
      <c r="F163" s="220" t="s">
        <v>2544</v>
      </c>
      <c r="G163" s="220" t="s">
        <v>2544</v>
      </c>
      <c r="H163" s="220" t="s">
        <v>2543</v>
      </c>
      <c r="I163" s="220" t="s">
        <v>329</v>
      </c>
      <c r="J163" s="220" t="s">
        <v>297</v>
      </c>
      <c r="K163" s="220" t="s">
        <v>397</v>
      </c>
      <c r="L163" s="220" t="s">
        <v>601</v>
      </c>
      <c r="M163" s="220" t="s">
        <v>600</v>
      </c>
      <c r="N163" s="220" t="s">
        <v>329</v>
      </c>
      <c r="O163" s="220" t="s">
        <v>297</v>
      </c>
      <c r="P163" s="220" t="s">
        <v>599</v>
      </c>
      <c r="Q163" s="220" t="s">
        <v>598</v>
      </c>
      <c r="R163" s="220"/>
      <c r="S163" s="220" t="s">
        <v>2129</v>
      </c>
      <c r="T163" s="220" t="s">
        <v>2139</v>
      </c>
      <c r="U163" s="220" t="s">
        <v>2193</v>
      </c>
      <c r="V163" s="220" t="s">
        <v>2126</v>
      </c>
      <c r="W163" s="220"/>
      <c r="X163" s="220"/>
      <c r="Y163" s="283"/>
      <c r="Z163" s="220"/>
      <c r="AA163" s="220"/>
      <c r="AB163" s="220"/>
      <c r="AC163" s="220"/>
      <c r="AD163" s="220"/>
      <c r="AE163" s="283"/>
      <c r="AF163" s="220"/>
      <c r="AG163" s="220"/>
      <c r="AH163" s="220"/>
      <c r="AI163" s="220"/>
      <c r="AJ163" s="226">
        <v>3</v>
      </c>
      <c r="AK163" s="226">
        <v>0</v>
      </c>
      <c r="AL163" s="225">
        <v>0.91358099999999998</v>
      </c>
      <c r="AM163" s="220"/>
      <c r="AN163" s="225">
        <v>2670.5909999999999</v>
      </c>
      <c r="AO163" s="220"/>
      <c r="AP163" s="220"/>
      <c r="AQ163" s="283"/>
      <c r="AR163" s="283"/>
      <c r="AS163" s="283"/>
      <c r="AT163" s="223">
        <v>0</v>
      </c>
      <c r="AU163" s="284">
        <v>305.33999999999997</v>
      </c>
      <c r="AV163" s="221">
        <v>42705</v>
      </c>
      <c r="AW163" s="221">
        <v>42705.432560069399</v>
      </c>
      <c r="AX163" s="220" t="s">
        <v>293</v>
      </c>
      <c r="AY163" s="219" t="s">
        <v>2542</v>
      </c>
    </row>
    <row r="164" spans="1:51" hidden="1" outlineLevel="1" collapsed="1">
      <c r="A164" s="227" t="s">
        <v>289</v>
      </c>
      <c r="B164" s="220" t="s">
        <v>2547</v>
      </c>
      <c r="C164" s="220" t="s">
        <v>2547</v>
      </c>
      <c r="D164" s="220" t="s">
        <v>2546</v>
      </c>
      <c r="E164" s="220" t="s">
        <v>2545</v>
      </c>
      <c r="F164" s="220" t="s">
        <v>2544</v>
      </c>
      <c r="G164" s="220" t="s">
        <v>2544</v>
      </c>
      <c r="H164" s="220" t="s">
        <v>2543</v>
      </c>
      <c r="I164" s="220" t="s">
        <v>329</v>
      </c>
      <c r="J164" s="220" t="s">
        <v>297</v>
      </c>
      <c r="K164" s="220" t="s">
        <v>397</v>
      </c>
      <c r="L164" s="220" t="s">
        <v>601</v>
      </c>
      <c r="M164" s="220" t="s">
        <v>600</v>
      </c>
      <c r="N164" s="220" t="s">
        <v>329</v>
      </c>
      <c r="O164" s="220" t="s">
        <v>297</v>
      </c>
      <c r="P164" s="220" t="s">
        <v>599</v>
      </c>
      <c r="Q164" s="220" t="s">
        <v>598</v>
      </c>
      <c r="R164" s="220"/>
      <c r="S164" s="220" t="s">
        <v>2129</v>
      </c>
      <c r="T164" s="220" t="s">
        <v>2145</v>
      </c>
      <c r="U164" s="220" t="s">
        <v>2193</v>
      </c>
      <c r="V164" s="220" t="s">
        <v>2126</v>
      </c>
      <c r="W164" s="220"/>
      <c r="X164" s="220"/>
      <c r="Y164" s="283"/>
      <c r="Z164" s="220"/>
      <c r="AA164" s="220"/>
      <c r="AB164" s="220"/>
      <c r="AC164" s="220"/>
      <c r="AD164" s="220"/>
      <c r="AE164" s="283"/>
      <c r="AF164" s="220"/>
      <c r="AG164" s="220"/>
      <c r="AH164" s="220"/>
      <c r="AI164" s="220"/>
      <c r="AJ164" s="226">
        <v>8</v>
      </c>
      <c r="AK164" s="226">
        <v>0</v>
      </c>
      <c r="AL164" s="225">
        <v>1.2987839999999999</v>
      </c>
      <c r="AM164" s="220"/>
      <c r="AN164" s="225">
        <v>3796.6239999999998</v>
      </c>
      <c r="AO164" s="220"/>
      <c r="AP164" s="220"/>
      <c r="AQ164" s="283"/>
      <c r="AR164" s="283"/>
      <c r="AS164" s="283"/>
      <c r="AT164" s="223">
        <v>0</v>
      </c>
      <c r="AU164" s="284">
        <v>600</v>
      </c>
      <c r="AV164" s="221">
        <v>42705</v>
      </c>
      <c r="AW164" s="221">
        <v>42705.432560069399</v>
      </c>
      <c r="AX164" s="220" t="s">
        <v>293</v>
      </c>
      <c r="AY164" s="219" t="s">
        <v>2548</v>
      </c>
    </row>
    <row r="165" spans="1:51" ht="20.399999999999999" hidden="1" outlineLevel="1" collapsed="1">
      <c r="A165" s="227" t="s">
        <v>289</v>
      </c>
      <c r="B165" s="220" t="s">
        <v>2540</v>
      </c>
      <c r="C165" s="220" t="s">
        <v>2540</v>
      </c>
      <c r="D165" s="220" t="s">
        <v>2539</v>
      </c>
      <c r="E165" s="220" t="s">
        <v>2538</v>
      </c>
      <c r="F165" s="220" t="s">
        <v>2538</v>
      </c>
      <c r="G165" s="220" t="s">
        <v>2538</v>
      </c>
      <c r="H165" s="220" t="s">
        <v>2537</v>
      </c>
      <c r="I165" s="220" t="s">
        <v>329</v>
      </c>
      <c r="J165" s="220" t="s">
        <v>297</v>
      </c>
      <c r="K165" s="220" t="s">
        <v>397</v>
      </c>
      <c r="L165" s="220" t="s">
        <v>1017</v>
      </c>
      <c r="M165" s="220" t="s">
        <v>1016</v>
      </c>
      <c r="N165" s="220" t="s">
        <v>329</v>
      </c>
      <c r="O165" s="220" t="s">
        <v>297</v>
      </c>
      <c r="P165" s="220" t="s">
        <v>848</v>
      </c>
      <c r="Q165" s="220" t="s">
        <v>1015</v>
      </c>
      <c r="R165" s="220" t="s">
        <v>1014</v>
      </c>
      <c r="S165" s="220" t="s">
        <v>2129</v>
      </c>
      <c r="T165" s="220" t="s">
        <v>2147</v>
      </c>
      <c r="U165" s="220" t="s">
        <v>2127</v>
      </c>
      <c r="V165" s="220" t="s">
        <v>2126</v>
      </c>
      <c r="W165" s="220"/>
      <c r="X165" s="220"/>
      <c r="Y165" s="283"/>
      <c r="Z165" s="220"/>
      <c r="AA165" s="220"/>
      <c r="AB165" s="220"/>
      <c r="AC165" s="220"/>
      <c r="AD165" s="220"/>
      <c r="AE165" s="283"/>
      <c r="AF165" s="220"/>
      <c r="AG165" s="220"/>
      <c r="AH165" s="220"/>
      <c r="AI165" s="220"/>
      <c r="AJ165" s="226">
        <v>270</v>
      </c>
      <c r="AK165" s="226">
        <v>0</v>
      </c>
      <c r="AL165" s="225">
        <v>6.5435040000000004</v>
      </c>
      <c r="AM165" s="220"/>
      <c r="AN165" s="225">
        <v>30661.47</v>
      </c>
      <c r="AO165" s="220"/>
      <c r="AP165" s="220"/>
      <c r="AQ165" s="283"/>
      <c r="AR165" s="283"/>
      <c r="AS165" s="283"/>
      <c r="AT165" s="223">
        <v>0</v>
      </c>
      <c r="AU165" s="284">
        <v>4320</v>
      </c>
      <c r="AV165" s="221">
        <v>42705</v>
      </c>
      <c r="AW165" s="221">
        <v>42705.821729976902</v>
      </c>
      <c r="AX165" s="220" t="s">
        <v>293</v>
      </c>
      <c r="AY165" s="219" t="s">
        <v>2536</v>
      </c>
    </row>
    <row r="166" spans="1:51" ht="20.399999999999999" hidden="1" outlineLevel="1" collapsed="1">
      <c r="A166" s="227" t="s">
        <v>289</v>
      </c>
      <c r="B166" s="220" t="s">
        <v>2540</v>
      </c>
      <c r="C166" s="220" t="s">
        <v>2540</v>
      </c>
      <c r="D166" s="220" t="s">
        <v>2539</v>
      </c>
      <c r="E166" s="220" t="s">
        <v>2538</v>
      </c>
      <c r="F166" s="220" t="s">
        <v>2538</v>
      </c>
      <c r="G166" s="220" t="s">
        <v>2538</v>
      </c>
      <c r="H166" s="220" t="s">
        <v>2537</v>
      </c>
      <c r="I166" s="220" t="s">
        <v>329</v>
      </c>
      <c r="J166" s="220" t="s">
        <v>297</v>
      </c>
      <c r="K166" s="220" t="s">
        <v>397</v>
      </c>
      <c r="L166" s="220" t="s">
        <v>1017</v>
      </c>
      <c r="M166" s="220" t="s">
        <v>1016</v>
      </c>
      <c r="N166" s="220" t="s">
        <v>329</v>
      </c>
      <c r="O166" s="220" t="s">
        <v>297</v>
      </c>
      <c r="P166" s="220" t="s">
        <v>848</v>
      </c>
      <c r="Q166" s="220" t="s">
        <v>1015</v>
      </c>
      <c r="R166" s="220" t="s">
        <v>1014</v>
      </c>
      <c r="S166" s="220" t="s">
        <v>2129</v>
      </c>
      <c r="T166" s="220" t="s">
        <v>2173</v>
      </c>
      <c r="U166" s="220" t="s">
        <v>2127</v>
      </c>
      <c r="V166" s="220" t="s">
        <v>2126</v>
      </c>
      <c r="W166" s="220"/>
      <c r="X166" s="220"/>
      <c r="Y166" s="283"/>
      <c r="Z166" s="220"/>
      <c r="AA166" s="220"/>
      <c r="AB166" s="220"/>
      <c r="AC166" s="220"/>
      <c r="AD166" s="220"/>
      <c r="AE166" s="283"/>
      <c r="AF166" s="220"/>
      <c r="AG166" s="220"/>
      <c r="AH166" s="220"/>
      <c r="AI166" s="220"/>
      <c r="AJ166" s="226">
        <v>24</v>
      </c>
      <c r="AK166" s="226">
        <v>0</v>
      </c>
      <c r="AL166" s="225">
        <v>0.29082200000000002</v>
      </c>
      <c r="AM166" s="220"/>
      <c r="AN166" s="225">
        <v>1362.7439999999999</v>
      </c>
      <c r="AO166" s="220"/>
      <c r="AP166" s="220"/>
      <c r="AQ166" s="283"/>
      <c r="AR166" s="283"/>
      <c r="AS166" s="283"/>
      <c r="AT166" s="223">
        <v>0</v>
      </c>
      <c r="AU166" s="284">
        <v>192</v>
      </c>
      <c r="AV166" s="221">
        <v>42705</v>
      </c>
      <c r="AW166" s="221">
        <v>42705.821729976902</v>
      </c>
      <c r="AX166" s="220" t="s">
        <v>293</v>
      </c>
      <c r="AY166" s="219" t="s">
        <v>2541</v>
      </c>
    </row>
    <row r="167" spans="1:51" hidden="1" outlineLevel="1" collapsed="1">
      <c r="A167" s="227" t="s">
        <v>289</v>
      </c>
      <c r="B167" s="220" t="s">
        <v>2534</v>
      </c>
      <c r="C167" s="220" t="s">
        <v>2534</v>
      </c>
      <c r="D167" s="220" t="s">
        <v>2533</v>
      </c>
      <c r="E167" s="220" t="s">
        <v>2532</v>
      </c>
      <c r="F167" s="220" t="s">
        <v>2532</v>
      </c>
      <c r="G167" s="220" t="s">
        <v>2532</v>
      </c>
      <c r="H167" s="220" t="s">
        <v>2531</v>
      </c>
      <c r="I167" s="220" t="s">
        <v>329</v>
      </c>
      <c r="J167" s="220" t="s">
        <v>297</v>
      </c>
      <c r="K167" s="220" t="s">
        <v>328</v>
      </c>
      <c r="L167" s="220" t="s">
        <v>1017</v>
      </c>
      <c r="M167" s="220" t="s">
        <v>1016</v>
      </c>
      <c r="N167" s="220" t="s">
        <v>329</v>
      </c>
      <c r="O167" s="220" t="s">
        <v>297</v>
      </c>
      <c r="P167" s="220" t="s">
        <v>848</v>
      </c>
      <c r="Q167" s="220" t="s">
        <v>1015</v>
      </c>
      <c r="R167" s="220" t="s">
        <v>1014</v>
      </c>
      <c r="S167" s="220" t="s">
        <v>2129</v>
      </c>
      <c r="T167" s="220" t="s">
        <v>2166</v>
      </c>
      <c r="U167" s="220" t="s">
        <v>2127</v>
      </c>
      <c r="V167" s="220" t="s">
        <v>2126</v>
      </c>
      <c r="W167" s="220"/>
      <c r="X167" s="220"/>
      <c r="Y167" s="283"/>
      <c r="Z167" s="220"/>
      <c r="AA167" s="220"/>
      <c r="AB167" s="220"/>
      <c r="AC167" s="220"/>
      <c r="AD167" s="220"/>
      <c r="AE167" s="283"/>
      <c r="AF167" s="220"/>
      <c r="AG167" s="220"/>
      <c r="AH167" s="220"/>
      <c r="AI167" s="220"/>
      <c r="AJ167" s="226">
        <v>155</v>
      </c>
      <c r="AK167" s="226">
        <v>0</v>
      </c>
      <c r="AL167" s="225">
        <v>5.9477219999999997</v>
      </c>
      <c r="AM167" s="220"/>
      <c r="AN167" s="225">
        <v>27869.775000000001</v>
      </c>
      <c r="AO167" s="220"/>
      <c r="AP167" s="220"/>
      <c r="AQ167" s="283"/>
      <c r="AR167" s="283"/>
      <c r="AS167" s="283"/>
      <c r="AT167" s="223">
        <v>0</v>
      </c>
      <c r="AU167" s="284">
        <v>1117.55</v>
      </c>
      <c r="AV167" s="221">
        <v>42710</v>
      </c>
      <c r="AW167" s="221">
        <v>42710.773168136599</v>
      </c>
      <c r="AX167" s="220" t="s">
        <v>293</v>
      </c>
      <c r="AY167" s="219" t="s">
        <v>2530</v>
      </c>
    </row>
    <row r="168" spans="1:51" hidden="1" outlineLevel="1" collapsed="1">
      <c r="A168" s="227" t="s">
        <v>289</v>
      </c>
      <c r="B168" s="220" t="s">
        <v>2534</v>
      </c>
      <c r="C168" s="220" t="s">
        <v>2534</v>
      </c>
      <c r="D168" s="220" t="s">
        <v>2533</v>
      </c>
      <c r="E168" s="220" t="s">
        <v>2532</v>
      </c>
      <c r="F168" s="220" t="s">
        <v>2532</v>
      </c>
      <c r="G168" s="220" t="s">
        <v>2532</v>
      </c>
      <c r="H168" s="220" t="s">
        <v>2531</v>
      </c>
      <c r="I168" s="220" t="s">
        <v>329</v>
      </c>
      <c r="J168" s="220" t="s">
        <v>297</v>
      </c>
      <c r="K168" s="220" t="s">
        <v>328</v>
      </c>
      <c r="L168" s="220" t="s">
        <v>1017</v>
      </c>
      <c r="M168" s="220" t="s">
        <v>1016</v>
      </c>
      <c r="N168" s="220" t="s">
        <v>329</v>
      </c>
      <c r="O168" s="220" t="s">
        <v>297</v>
      </c>
      <c r="P168" s="220" t="s">
        <v>848</v>
      </c>
      <c r="Q168" s="220" t="s">
        <v>1015</v>
      </c>
      <c r="R168" s="220" t="s">
        <v>1014</v>
      </c>
      <c r="S168" s="220" t="s">
        <v>2129</v>
      </c>
      <c r="T168" s="220" t="s">
        <v>2166</v>
      </c>
      <c r="U168" s="220" t="s">
        <v>2127</v>
      </c>
      <c r="V168" s="220" t="s">
        <v>2126</v>
      </c>
      <c r="W168" s="220"/>
      <c r="X168" s="220"/>
      <c r="Y168" s="283"/>
      <c r="Z168" s="220"/>
      <c r="AA168" s="220"/>
      <c r="AB168" s="220"/>
      <c r="AC168" s="220"/>
      <c r="AD168" s="220"/>
      <c r="AE168" s="283"/>
      <c r="AF168" s="220"/>
      <c r="AG168" s="220"/>
      <c r="AH168" s="220"/>
      <c r="AI168" s="220"/>
      <c r="AJ168" s="226">
        <v>54</v>
      </c>
      <c r="AK168" s="226">
        <v>0</v>
      </c>
      <c r="AL168" s="225">
        <v>2.0721099999999999</v>
      </c>
      <c r="AM168" s="220"/>
      <c r="AN168" s="225">
        <v>9709.4699999999993</v>
      </c>
      <c r="AO168" s="220"/>
      <c r="AP168" s="220"/>
      <c r="AQ168" s="283"/>
      <c r="AR168" s="283"/>
      <c r="AS168" s="283"/>
      <c r="AT168" s="223">
        <v>0</v>
      </c>
      <c r="AU168" s="284">
        <v>473.04</v>
      </c>
      <c r="AV168" s="221">
        <v>42710</v>
      </c>
      <c r="AW168" s="221">
        <v>42710.773168136599</v>
      </c>
      <c r="AX168" s="220" t="s">
        <v>293</v>
      </c>
      <c r="AY168" s="219" t="s">
        <v>2535</v>
      </c>
    </row>
    <row r="169" spans="1:51" ht="20.399999999999999" hidden="1" outlineLevel="1" collapsed="1">
      <c r="A169" s="227" t="s">
        <v>289</v>
      </c>
      <c r="B169" s="220" t="s">
        <v>2529</v>
      </c>
      <c r="C169" s="220" t="s">
        <v>2529</v>
      </c>
      <c r="D169" s="220" t="s">
        <v>2528</v>
      </c>
      <c r="E169" s="220" t="s">
        <v>2527</v>
      </c>
      <c r="F169" s="220" t="s">
        <v>2527</v>
      </c>
      <c r="G169" s="220" t="s">
        <v>2527</v>
      </c>
      <c r="H169" s="220" t="s">
        <v>2526</v>
      </c>
      <c r="I169" s="220" t="s">
        <v>329</v>
      </c>
      <c r="J169" s="220" t="s">
        <v>297</v>
      </c>
      <c r="K169" s="220" t="s">
        <v>848</v>
      </c>
      <c r="L169" s="220" t="s">
        <v>2525</v>
      </c>
      <c r="M169" s="220" t="s">
        <v>2524</v>
      </c>
      <c r="N169" s="220" t="s">
        <v>329</v>
      </c>
      <c r="O169" s="220" t="s">
        <v>297</v>
      </c>
      <c r="P169" s="220" t="s">
        <v>328</v>
      </c>
      <c r="Q169" s="220" t="s">
        <v>2523</v>
      </c>
      <c r="R169" s="220" t="s">
        <v>2522</v>
      </c>
      <c r="S169" s="220" t="s">
        <v>2129</v>
      </c>
      <c r="T169" s="220" t="s">
        <v>2147</v>
      </c>
      <c r="U169" s="220" t="s">
        <v>2127</v>
      </c>
      <c r="V169" s="220" t="s">
        <v>2126</v>
      </c>
      <c r="W169" s="220"/>
      <c r="X169" s="220"/>
      <c r="Y169" s="283"/>
      <c r="Z169" s="220"/>
      <c r="AA169" s="220"/>
      <c r="AB169" s="220"/>
      <c r="AC169" s="220"/>
      <c r="AD169" s="220"/>
      <c r="AE169" s="283"/>
      <c r="AF169" s="220"/>
      <c r="AG169" s="220"/>
      <c r="AH169" s="220"/>
      <c r="AI169" s="220"/>
      <c r="AJ169" s="226">
        <v>98</v>
      </c>
      <c r="AK169" s="226">
        <v>0</v>
      </c>
      <c r="AL169" s="225">
        <v>2.3750499999999999</v>
      </c>
      <c r="AM169" s="220"/>
      <c r="AN169" s="225">
        <v>11128.977999999999</v>
      </c>
      <c r="AO169" s="220"/>
      <c r="AP169" s="220"/>
      <c r="AQ169" s="283"/>
      <c r="AR169" s="283"/>
      <c r="AS169" s="283"/>
      <c r="AT169" s="223">
        <v>0</v>
      </c>
      <c r="AU169" s="284">
        <v>1568</v>
      </c>
      <c r="AV169" s="221">
        <v>42711</v>
      </c>
      <c r="AW169" s="221">
        <v>42711.686807557897</v>
      </c>
      <c r="AX169" s="220" t="s">
        <v>293</v>
      </c>
      <c r="AY169" s="219" t="s">
        <v>2521</v>
      </c>
    </row>
    <row r="170" spans="1:51" ht="20.399999999999999" hidden="1" outlineLevel="1" collapsed="1">
      <c r="A170" s="227" t="s">
        <v>289</v>
      </c>
      <c r="B170" s="220" t="s">
        <v>2519</v>
      </c>
      <c r="C170" s="220" t="s">
        <v>2519</v>
      </c>
      <c r="D170" s="220" t="s">
        <v>2518</v>
      </c>
      <c r="E170" s="220" t="s">
        <v>2517</v>
      </c>
      <c r="F170" s="220" t="s">
        <v>2517</v>
      </c>
      <c r="G170" s="220" t="s">
        <v>2517</v>
      </c>
      <c r="H170" s="220" t="s">
        <v>2516</v>
      </c>
      <c r="I170" s="220" t="s">
        <v>329</v>
      </c>
      <c r="J170" s="220" t="s">
        <v>297</v>
      </c>
      <c r="K170" s="220" t="s">
        <v>397</v>
      </c>
      <c r="L170" s="220" t="s">
        <v>2515</v>
      </c>
      <c r="M170" s="220" t="s">
        <v>2514</v>
      </c>
      <c r="N170" s="220" t="s">
        <v>2513</v>
      </c>
      <c r="O170" s="220" t="s">
        <v>2512</v>
      </c>
      <c r="P170" s="220" t="s">
        <v>2511</v>
      </c>
      <c r="Q170" s="220" t="s">
        <v>2510</v>
      </c>
      <c r="R170" s="220" t="s">
        <v>2509</v>
      </c>
      <c r="S170" s="220" t="s">
        <v>2129</v>
      </c>
      <c r="T170" s="220" t="s">
        <v>2139</v>
      </c>
      <c r="U170" s="220" t="s">
        <v>2193</v>
      </c>
      <c r="V170" s="220" t="s">
        <v>2126</v>
      </c>
      <c r="W170" s="220"/>
      <c r="X170" s="220"/>
      <c r="Y170" s="283"/>
      <c r="Z170" s="220"/>
      <c r="AA170" s="220"/>
      <c r="AB170" s="220"/>
      <c r="AC170" s="220"/>
      <c r="AD170" s="220"/>
      <c r="AE170" s="283"/>
      <c r="AF170" s="220"/>
      <c r="AG170" s="220"/>
      <c r="AH170" s="220"/>
      <c r="AI170" s="220"/>
      <c r="AJ170" s="226">
        <v>10</v>
      </c>
      <c r="AK170" s="226">
        <v>0</v>
      </c>
      <c r="AL170" s="225">
        <v>3.0452699999999999</v>
      </c>
      <c r="AM170" s="220"/>
      <c r="AN170" s="225">
        <v>8901.9699999999993</v>
      </c>
      <c r="AO170" s="220"/>
      <c r="AP170" s="220"/>
      <c r="AQ170" s="283"/>
      <c r="AR170" s="283"/>
      <c r="AS170" s="283"/>
      <c r="AT170" s="223">
        <v>0</v>
      </c>
      <c r="AU170" s="284">
        <v>1000</v>
      </c>
      <c r="AV170" s="221">
        <v>42740</v>
      </c>
      <c r="AW170" s="221">
        <v>42740.498401273202</v>
      </c>
      <c r="AX170" s="220" t="s">
        <v>293</v>
      </c>
      <c r="AY170" s="219" t="s">
        <v>2520</v>
      </c>
    </row>
    <row r="171" spans="1:51" ht="20.399999999999999" hidden="1" outlineLevel="1" collapsed="1">
      <c r="A171" s="227" t="s">
        <v>289</v>
      </c>
      <c r="B171" s="220" t="s">
        <v>2519</v>
      </c>
      <c r="C171" s="220" t="s">
        <v>2519</v>
      </c>
      <c r="D171" s="220" t="s">
        <v>2518</v>
      </c>
      <c r="E171" s="220" t="s">
        <v>2517</v>
      </c>
      <c r="F171" s="220" t="s">
        <v>2517</v>
      </c>
      <c r="G171" s="220" t="s">
        <v>2517</v>
      </c>
      <c r="H171" s="220" t="s">
        <v>2516</v>
      </c>
      <c r="I171" s="220" t="s">
        <v>329</v>
      </c>
      <c r="J171" s="220" t="s">
        <v>297</v>
      </c>
      <c r="K171" s="220" t="s">
        <v>397</v>
      </c>
      <c r="L171" s="220" t="s">
        <v>2515</v>
      </c>
      <c r="M171" s="220" t="s">
        <v>2514</v>
      </c>
      <c r="N171" s="220" t="s">
        <v>2513</v>
      </c>
      <c r="O171" s="220" t="s">
        <v>2512</v>
      </c>
      <c r="P171" s="220" t="s">
        <v>2511</v>
      </c>
      <c r="Q171" s="220" t="s">
        <v>2510</v>
      </c>
      <c r="R171" s="220" t="s">
        <v>2509</v>
      </c>
      <c r="S171" s="220" t="s">
        <v>2129</v>
      </c>
      <c r="T171" s="220" t="s">
        <v>2145</v>
      </c>
      <c r="U171" s="220" t="s">
        <v>2193</v>
      </c>
      <c r="V171" s="220" t="s">
        <v>2126</v>
      </c>
      <c r="W171" s="220"/>
      <c r="X171" s="220"/>
      <c r="Y171" s="283"/>
      <c r="Z171" s="220"/>
      <c r="AA171" s="220"/>
      <c r="AB171" s="220"/>
      <c r="AC171" s="220"/>
      <c r="AD171" s="220"/>
      <c r="AE171" s="283"/>
      <c r="AF171" s="220"/>
      <c r="AG171" s="220"/>
      <c r="AH171" s="220"/>
      <c r="AI171" s="220"/>
      <c r="AJ171" s="226">
        <v>7</v>
      </c>
      <c r="AK171" s="226">
        <v>0</v>
      </c>
      <c r="AL171" s="225">
        <v>1.136436</v>
      </c>
      <c r="AM171" s="220"/>
      <c r="AN171" s="225">
        <v>3322.0459999999998</v>
      </c>
      <c r="AO171" s="220"/>
      <c r="AP171" s="220"/>
      <c r="AQ171" s="283"/>
      <c r="AR171" s="283"/>
      <c r="AS171" s="283"/>
      <c r="AT171" s="223">
        <v>0</v>
      </c>
      <c r="AU171" s="284">
        <v>525</v>
      </c>
      <c r="AV171" s="221">
        <v>42740</v>
      </c>
      <c r="AW171" s="221">
        <v>42740.498401273202</v>
      </c>
      <c r="AX171" s="220" t="s">
        <v>293</v>
      </c>
      <c r="AY171" s="219" t="s">
        <v>2508</v>
      </c>
    </row>
    <row r="172" spans="1:51" ht="20.399999999999999" hidden="1" outlineLevel="1" collapsed="1">
      <c r="A172" s="227" t="s">
        <v>289</v>
      </c>
      <c r="B172" s="220" t="s">
        <v>2507</v>
      </c>
      <c r="C172" s="220" t="s">
        <v>2507</v>
      </c>
      <c r="D172" s="220" t="s">
        <v>2506</v>
      </c>
      <c r="E172" s="220" t="s">
        <v>2505</v>
      </c>
      <c r="F172" s="220" t="s">
        <v>2504</v>
      </c>
      <c r="G172" s="220" t="s">
        <v>2504</v>
      </c>
      <c r="H172" s="220" t="s">
        <v>2503</v>
      </c>
      <c r="I172" s="220" t="s">
        <v>345</v>
      </c>
      <c r="J172" s="220" t="s">
        <v>297</v>
      </c>
      <c r="K172" s="220" t="s">
        <v>344</v>
      </c>
      <c r="L172" s="220" t="s">
        <v>2211</v>
      </c>
      <c r="M172" s="220" t="s">
        <v>2210</v>
      </c>
      <c r="N172" s="220" t="s">
        <v>298</v>
      </c>
      <c r="O172" s="220" t="s">
        <v>297</v>
      </c>
      <c r="P172" s="220" t="s">
        <v>296</v>
      </c>
      <c r="Q172" s="220" t="s">
        <v>2209</v>
      </c>
      <c r="R172" s="220" t="s">
        <v>2208</v>
      </c>
      <c r="S172" s="220" t="s">
        <v>2129</v>
      </c>
      <c r="T172" s="220" t="s">
        <v>2147</v>
      </c>
      <c r="U172" s="220" t="s">
        <v>2127</v>
      </c>
      <c r="V172" s="220" t="s">
        <v>2126</v>
      </c>
      <c r="W172" s="220"/>
      <c r="X172" s="220"/>
      <c r="Y172" s="283"/>
      <c r="Z172" s="220"/>
      <c r="AA172" s="220"/>
      <c r="AB172" s="220"/>
      <c r="AC172" s="220"/>
      <c r="AD172" s="220"/>
      <c r="AE172" s="283"/>
      <c r="AF172" s="220"/>
      <c r="AG172" s="220"/>
      <c r="AH172" s="220"/>
      <c r="AI172" s="220"/>
      <c r="AJ172" s="226">
        <v>100</v>
      </c>
      <c r="AK172" s="226">
        <v>0</v>
      </c>
      <c r="AL172" s="225">
        <v>2.4235199999999999</v>
      </c>
      <c r="AM172" s="220"/>
      <c r="AN172" s="225">
        <v>11356.1</v>
      </c>
      <c r="AO172" s="220"/>
      <c r="AP172" s="220"/>
      <c r="AQ172" s="283"/>
      <c r="AR172" s="283"/>
      <c r="AS172" s="283"/>
      <c r="AT172" s="223">
        <v>0</v>
      </c>
      <c r="AU172" s="284">
        <v>1491</v>
      </c>
      <c r="AV172" s="221">
        <v>42745</v>
      </c>
      <c r="AW172" s="221">
        <v>42745.681562002297</v>
      </c>
      <c r="AX172" s="220" t="s">
        <v>293</v>
      </c>
      <c r="AY172" s="219" t="s">
        <v>2502</v>
      </c>
    </row>
    <row r="173" spans="1:51" ht="20.399999999999999" hidden="1" outlineLevel="1" collapsed="1">
      <c r="A173" s="227" t="s">
        <v>289</v>
      </c>
      <c r="B173" s="220" t="s">
        <v>2501</v>
      </c>
      <c r="C173" s="220" t="s">
        <v>2501</v>
      </c>
      <c r="D173" s="220" t="s">
        <v>2500</v>
      </c>
      <c r="E173" s="220" t="s">
        <v>2499</v>
      </c>
      <c r="F173" s="220" t="s">
        <v>2499</v>
      </c>
      <c r="G173" s="220" t="s">
        <v>2499</v>
      </c>
      <c r="H173" s="220" t="s">
        <v>2498</v>
      </c>
      <c r="I173" s="220" t="s">
        <v>329</v>
      </c>
      <c r="J173" s="220" t="s">
        <v>297</v>
      </c>
      <c r="K173" s="220" t="s">
        <v>397</v>
      </c>
      <c r="L173" s="220" t="s">
        <v>2497</v>
      </c>
      <c r="M173" s="220" t="s">
        <v>2496</v>
      </c>
      <c r="N173" s="220" t="s">
        <v>2495</v>
      </c>
      <c r="O173" s="220" t="s">
        <v>2494</v>
      </c>
      <c r="P173" s="220" t="s">
        <v>2493</v>
      </c>
      <c r="Q173" s="220" t="s">
        <v>2492</v>
      </c>
      <c r="R173" s="220" t="s">
        <v>2491</v>
      </c>
      <c r="S173" s="220" t="s">
        <v>2129</v>
      </c>
      <c r="T173" s="220" t="s">
        <v>2173</v>
      </c>
      <c r="U173" s="220" t="s">
        <v>2490</v>
      </c>
      <c r="V173" s="220" t="s">
        <v>2126</v>
      </c>
      <c r="W173" s="220"/>
      <c r="X173" s="220"/>
      <c r="Y173" s="283"/>
      <c r="Z173" s="220"/>
      <c r="AA173" s="220"/>
      <c r="AB173" s="220"/>
      <c r="AC173" s="220"/>
      <c r="AD173" s="220"/>
      <c r="AE173" s="283"/>
      <c r="AF173" s="220"/>
      <c r="AG173" s="220"/>
      <c r="AH173" s="220"/>
      <c r="AI173" s="220"/>
      <c r="AJ173" s="226">
        <v>2965</v>
      </c>
      <c r="AK173" s="226">
        <v>0</v>
      </c>
      <c r="AL173" s="225">
        <v>44.001786000000003</v>
      </c>
      <c r="AM173" s="220"/>
      <c r="AN173" s="225">
        <v>129490.44500000001</v>
      </c>
      <c r="AO173" s="220"/>
      <c r="AP173" s="220"/>
      <c r="AQ173" s="283"/>
      <c r="AR173" s="283"/>
      <c r="AS173" s="283"/>
      <c r="AT173" s="223">
        <v>0</v>
      </c>
      <c r="AU173" s="284">
        <v>23720</v>
      </c>
      <c r="AV173" s="221">
        <v>42829</v>
      </c>
      <c r="AW173" s="221">
        <v>42746.554173807897</v>
      </c>
      <c r="AX173" s="220" t="s">
        <v>293</v>
      </c>
      <c r="AY173" s="219" t="s">
        <v>2489</v>
      </c>
    </row>
    <row r="174" spans="1:51" hidden="1" outlineLevel="1" collapsed="1">
      <c r="A174" s="227" t="s">
        <v>289</v>
      </c>
      <c r="B174" s="220" t="s">
        <v>2488</v>
      </c>
      <c r="C174" s="220" t="s">
        <v>2488</v>
      </c>
      <c r="D174" s="220" t="s">
        <v>2487</v>
      </c>
      <c r="E174" s="220" t="s">
        <v>2486</v>
      </c>
      <c r="F174" s="220" t="s">
        <v>2485</v>
      </c>
      <c r="G174" s="220" t="s">
        <v>2442</v>
      </c>
      <c r="H174" s="220" t="s">
        <v>2484</v>
      </c>
      <c r="I174" s="220" t="s">
        <v>329</v>
      </c>
      <c r="J174" s="220" t="s">
        <v>297</v>
      </c>
      <c r="K174" s="220" t="s">
        <v>397</v>
      </c>
      <c r="L174" s="220" t="s">
        <v>2132</v>
      </c>
      <c r="M174" s="220" t="s">
        <v>2131</v>
      </c>
      <c r="N174" s="220" t="s">
        <v>329</v>
      </c>
      <c r="O174" s="220" t="s">
        <v>297</v>
      </c>
      <c r="P174" s="220" t="s">
        <v>599</v>
      </c>
      <c r="Q174" s="220" t="s">
        <v>2130</v>
      </c>
      <c r="R174" s="220"/>
      <c r="S174" s="220" t="s">
        <v>2129</v>
      </c>
      <c r="T174" s="220" t="s">
        <v>2145</v>
      </c>
      <c r="U174" s="220" t="s">
        <v>2404</v>
      </c>
      <c r="V174" s="220" t="s">
        <v>2126</v>
      </c>
      <c r="W174" s="220"/>
      <c r="X174" s="220"/>
      <c r="Y174" s="283"/>
      <c r="Z174" s="220"/>
      <c r="AA174" s="220"/>
      <c r="AB174" s="220"/>
      <c r="AC174" s="220"/>
      <c r="AD174" s="220"/>
      <c r="AE174" s="283"/>
      <c r="AF174" s="220"/>
      <c r="AG174" s="220"/>
      <c r="AH174" s="220"/>
      <c r="AI174" s="220"/>
      <c r="AJ174" s="226">
        <v>2</v>
      </c>
      <c r="AK174" s="226">
        <v>0</v>
      </c>
      <c r="AL174" s="225">
        <v>0.266538</v>
      </c>
      <c r="AM174" s="220"/>
      <c r="AN174" s="225">
        <v>1220.3800000000001</v>
      </c>
      <c r="AO174" s="220"/>
      <c r="AP174" s="220"/>
      <c r="AQ174" s="283"/>
      <c r="AR174" s="283"/>
      <c r="AS174" s="283"/>
      <c r="AT174" s="223">
        <v>0</v>
      </c>
      <c r="AU174" s="284">
        <v>150</v>
      </c>
      <c r="AV174" s="221">
        <v>42752</v>
      </c>
      <c r="AW174" s="221">
        <v>42752.773998298602</v>
      </c>
      <c r="AX174" s="220" t="s">
        <v>293</v>
      </c>
      <c r="AY174" s="219" t="s">
        <v>2483</v>
      </c>
    </row>
    <row r="175" spans="1:51" hidden="1" outlineLevel="1" collapsed="1">
      <c r="A175" s="227" t="s">
        <v>289</v>
      </c>
      <c r="B175" s="220" t="s">
        <v>2481</v>
      </c>
      <c r="C175" s="220" t="s">
        <v>2481</v>
      </c>
      <c r="D175" s="220" t="s">
        <v>2480</v>
      </c>
      <c r="E175" s="220" t="s">
        <v>2479</v>
      </c>
      <c r="F175" s="220" t="s">
        <v>2479</v>
      </c>
      <c r="G175" s="220" t="s">
        <v>2479</v>
      </c>
      <c r="H175" s="220" t="s">
        <v>2478</v>
      </c>
      <c r="I175" s="220" t="s">
        <v>730</v>
      </c>
      <c r="J175" s="220" t="s">
        <v>297</v>
      </c>
      <c r="K175" s="220" t="s">
        <v>729</v>
      </c>
      <c r="L175" s="220" t="s">
        <v>2367</v>
      </c>
      <c r="M175" s="220" t="s">
        <v>2366</v>
      </c>
      <c r="N175" s="220" t="s">
        <v>2365</v>
      </c>
      <c r="O175" s="220" t="s">
        <v>297</v>
      </c>
      <c r="P175" s="220" t="s">
        <v>2364</v>
      </c>
      <c r="Q175" s="220" t="s">
        <v>2363</v>
      </c>
      <c r="R175" s="220"/>
      <c r="S175" s="220" t="s">
        <v>2129</v>
      </c>
      <c r="T175" s="220" t="s">
        <v>2145</v>
      </c>
      <c r="U175" s="220" t="s">
        <v>2127</v>
      </c>
      <c r="V175" s="220" t="s">
        <v>2126</v>
      </c>
      <c r="W175" s="220"/>
      <c r="X175" s="220"/>
      <c r="Y175" s="283"/>
      <c r="Z175" s="220"/>
      <c r="AA175" s="220"/>
      <c r="AB175" s="220"/>
      <c r="AC175" s="220"/>
      <c r="AD175" s="220"/>
      <c r="AE175" s="283"/>
      <c r="AF175" s="220"/>
      <c r="AG175" s="220"/>
      <c r="AH175" s="220"/>
      <c r="AI175" s="220"/>
      <c r="AJ175" s="226">
        <v>5</v>
      </c>
      <c r="AK175" s="226">
        <v>0</v>
      </c>
      <c r="AL175" s="225">
        <v>0.65839000000000003</v>
      </c>
      <c r="AM175" s="220"/>
      <c r="AN175" s="225">
        <v>3085.08</v>
      </c>
      <c r="AO175" s="220"/>
      <c r="AP175" s="220"/>
      <c r="AQ175" s="283"/>
      <c r="AR175" s="283"/>
      <c r="AS175" s="283"/>
      <c r="AT175" s="223">
        <v>0</v>
      </c>
      <c r="AU175" s="284">
        <v>85</v>
      </c>
      <c r="AV175" s="221">
        <v>42755</v>
      </c>
      <c r="AW175" s="221">
        <v>42755.638858599501</v>
      </c>
      <c r="AX175" s="220" t="s">
        <v>293</v>
      </c>
      <c r="AY175" s="219" t="s">
        <v>2477</v>
      </c>
    </row>
    <row r="176" spans="1:51" ht="20.399999999999999" hidden="1" outlineLevel="1" collapsed="1">
      <c r="A176" s="227" t="s">
        <v>289</v>
      </c>
      <c r="B176" s="220" t="s">
        <v>2481</v>
      </c>
      <c r="C176" s="220" t="s">
        <v>2481</v>
      </c>
      <c r="D176" s="220" t="s">
        <v>2480</v>
      </c>
      <c r="E176" s="220" t="s">
        <v>2479</v>
      </c>
      <c r="F176" s="220" t="s">
        <v>2479</v>
      </c>
      <c r="G176" s="220" t="s">
        <v>2479</v>
      </c>
      <c r="H176" s="220" t="s">
        <v>2478</v>
      </c>
      <c r="I176" s="220" t="s">
        <v>730</v>
      </c>
      <c r="J176" s="220" t="s">
        <v>297</v>
      </c>
      <c r="K176" s="220" t="s">
        <v>729</v>
      </c>
      <c r="L176" s="220" t="s">
        <v>2367</v>
      </c>
      <c r="M176" s="220" t="s">
        <v>2366</v>
      </c>
      <c r="N176" s="220" t="s">
        <v>2365</v>
      </c>
      <c r="O176" s="220" t="s">
        <v>297</v>
      </c>
      <c r="P176" s="220" t="s">
        <v>2364</v>
      </c>
      <c r="Q176" s="220" t="s">
        <v>2363</v>
      </c>
      <c r="R176" s="220"/>
      <c r="S176" s="220" t="s">
        <v>2129</v>
      </c>
      <c r="T176" s="220" t="s">
        <v>2147</v>
      </c>
      <c r="U176" s="220" t="s">
        <v>2127</v>
      </c>
      <c r="V176" s="220" t="s">
        <v>2126</v>
      </c>
      <c r="W176" s="220"/>
      <c r="X176" s="220"/>
      <c r="Y176" s="283"/>
      <c r="Z176" s="220"/>
      <c r="AA176" s="220"/>
      <c r="AB176" s="220"/>
      <c r="AC176" s="220"/>
      <c r="AD176" s="220"/>
      <c r="AE176" s="283"/>
      <c r="AF176" s="220"/>
      <c r="AG176" s="220"/>
      <c r="AH176" s="220"/>
      <c r="AI176" s="220"/>
      <c r="AJ176" s="226">
        <v>102</v>
      </c>
      <c r="AK176" s="226">
        <v>0</v>
      </c>
      <c r="AL176" s="225">
        <v>2.4719899999999999</v>
      </c>
      <c r="AM176" s="220"/>
      <c r="AN176" s="225">
        <v>11583.222</v>
      </c>
      <c r="AO176" s="220"/>
      <c r="AP176" s="220"/>
      <c r="AQ176" s="283"/>
      <c r="AR176" s="283"/>
      <c r="AS176" s="283"/>
      <c r="AT176" s="223">
        <v>0</v>
      </c>
      <c r="AU176" s="284">
        <v>1632</v>
      </c>
      <c r="AV176" s="221">
        <v>42755</v>
      </c>
      <c r="AW176" s="221">
        <v>42755.638858599501</v>
      </c>
      <c r="AX176" s="220" t="s">
        <v>293</v>
      </c>
      <c r="AY176" s="219" t="s">
        <v>2482</v>
      </c>
    </row>
    <row r="177" spans="1:51" ht="20.399999999999999" hidden="1" outlineLevel="1" collapsed="1">
      <c r="A177" s="227" t="s">
        <v>289</v>
      </c>
      <c r="B177" s="220" t="s">
        <v>2475</v>
      </c>
      <c r="C177" s="220" t="s">
        <v>2475</v>
      </c>
      <c r="D177" s="220" t="s">
        <v>2474</v>
      </c>
      <c r="E177" s="220" t="s">
        <v>2473</v>
      </c>
      <c r="F177" s="220" t="s">
        <v>2473</v>
      </c>
      <c r="G177" s="220" t="s">
        <v>2472</v>
      </c>
      <c r="H177" s="220" t="s">
        <v>2471</v>
      </c>
      <c r="I177" s="220" t="s">
        <v>329</v>
      </c>
      <c r="J177" s="220" t="s">
        <v>297</v>
      </c>
      <c r="K177" s="220" t="s">
        <v>328</v>
      </c>
      <c r="L177" s="220" t="s">
        <v>1017</v>
      </c>
      <c r="M177" s="220" t="s">
        <v>1016</v>
      </c>
      <c r="N177" s="220" t="s">
        <v>329</v>
      </c>
      <c r="O177" s="220" t="s">
        <v>297</v>
      </c>
      <c r="P177" s="220" t="s">
        <v>848</v>
      </c>
      <c r="Q177" s="220" t="s">
        <v>1015</v>
      </c>
      <c r="R177" s="220" t="s">
        <v>1014</v>
      </c>
      <c r="S177" s="220" t="s">
        <v>2129</v>
      </c>
      <c r="T177" s="220" t="s">
        <v>2147</v>
      </c>
      <c r="U177" s="220" t="s">
        <v>2127</v>
      </c>
      <c r="V177" s="220" t="s">
        <v>2126</v>
      </c>
      <c r="W177" s="220"/>
      <c r="X177" s="220"/>
      <c r="Y177" s="283"/>
      <c r="Z177" s="220"/>
      <c r="AA177" s="220"/>
      <c r="AB177" s="220"/>
      <c r="AC177" s="220"/>
      <c r="AD177" s="220"/>
      <c r="AE177" s="283"/>
      <c r="AF177" s="220"/>
      <c r="AG177" s="220"/>
      <c r="AH177" s="220"/>
      <c r="AI177" s="220"/>
      <c r="AJ177" s="226">
        <v>136</v>
      </c>
      <c r="AK177" s="226">
        <v>0</v>
      </c>
      <c r="AL177" s="225">
        <v>3.2959870000000002</v>
      </c>
      <c r="AM177" s="220"/>
      <c r="AN177" s="225">
        <v>15444.296</v>
      </c>
      <c r="AO177" s="220"/>
      <c r="AP177" s="220"/>
      <c r="AQ177" s="283"/>
      <c r="AR177" s="283"/>
      <c r="AS177" s="283"/>
      <c r="AT177" s="223">
        <v>0</v>
      </c>
      <c r="AU177" s="284">
        <v>1931.2</v>
      </c>
      <c r="AV177" s="221">
        <v>42761</v>
      </c>
      <c r="AW177" s="221">
        <v>42761.645441932902</v>
      </c>
      <c r="AX177" s="220" t="s">
        <v>293</v>
      </c>
      <c r="AY177" s="219" t="s">
        <v>2470</v>
      </c>
    </row>
    <row r="178" spans="1:51" hidden="1" outlineLevel="1" collapsed="1">
      <c r="A178" s="227" t="s">
        <v>289</v>
      </c>
      <c r="B178" s="220" t="s">
        <v>2475</v>
      </c>
      <c r="C178" s="220" t="s">
        <v>2475</v>
      </c>
      <c r="D178" s="220" t="s">
        <v>2474</v>
      </c>
      <c r="E178" s="220" t="s">
        <v>2473</v>
      </c>
      <c r="F178" s="220" t="s">
        <v>2473</v>
      </c>
      <c r="G178" s="220" t="s">
        <v>2472</v>
      </c>
      <c r="H178" s="220" t="s">
        <v>2471</v>
      </c>
      <c r="I178" s="220" t="s">
        <v>329</v>
      </c>
      <c r="J178" s="220" t="s">
        <v>297</v>
      </c>
      <c r="K178" s="220" t="s">
        <v>328</v>
      </c>
      <c r="L178" s="220" t="s">
        <v>1017</v>
      </c>
      <c r="M178" s="220" t="s">
        <v>1016</v>
      </c>
      <c r="N178" s="220" t="s">
        <v>329</v>
      </c>
      <c r="O178" s="220" t="s">
        <v>297</v>
      </c>
      <c r="P178" s="220" t="s">
        <v>848</v>
      </c>
      <c r="Q178" s="220" t="s">
        <v>1015</v>
      </c>
      <c r="R178" s="220" t="s">
        <v>1014</v>
      </c>
      <c r="S178" s="220" t="s">
        <v>2129</v>
      </c>
      <c r="T178" s="220" t="s">
        <v>2145</v>
      </c>
      <c r="U178" s="220" t="s">
        <v>2127</v>
      </c>
      <c r="V178" s="220" t="s">
        <v>2126</v>
      </c>
      <c r="W178" s="220"/>
      <c r="X178" s="220"/>
      <c r="Y178" s="283"/>
      <c r="Z178" s="220"/>
      <c r="AA178" s="220"/>
      <c r="AB178" s="220"/>
      <c r="AC178" s="220"/>
      <c r="AD178" s="220"/>
      <c r="AE178" s="283"/>
      <c r="AF178" s="220"/>
      <c r="AG178" s="220"/>
      <c r="AH178" s="220"/>
      <c r="AI178" s="220"/>
      <c r="AJ178" s="226">
        <v>1</v>
      </c>
      <c r="AK178" s="226">
        <v>0</v>
      </c>
      <c r="AL178" s="225">
        <v>0.13167799999999999</v>
      </c>
      <c r="AM178" s="220"/>
      <c r="AN178" s="225">
        <v>617.01599999999996</v>
      </c>
      <c r="AO178" s="220"/>
      <c r="AP178" s="220"/>
      <c r="AQ178" s="283"/>
      <c r="AR178" s="283"/>
      <c r="AS178" s="283"/>
      <c r="AT178" s="223">
        <v>0</v>
      </c>
      <c r="AU178" s="284">
        <v>75</v>
      </c>
      <c r="AV178" s="221">
        <v>42761</v>
      </c>
      <c r="AW178" s="221">
        <v>42761.645441932902</v>
      </c>
      <c r="AX178" s="220" t="s">
        <v>293</v>
      </c>
      <c r="AY178" s="219" t="s">
        <v>2476</v>
      </c>
    </row>
    <row r="179" spans="1:51" hidden="1" outlineLevel="1" collapsed="1">
      <c r="A179" s="227" t="s">
        <v>289</v>
      </c>
      <c r="B179" s="220" t="s">
        <v>2468</v>
      </c>
      <c r="C179" s="220" t="s">
        <v>2468</v>
      </c>
      <c r="D179" s="220" t="s">
        <v>2467</v>
      </c>
      <c r="E179" s="220" t="s">
        <v>2466</v>
      </c>
      <c r="F179" s="220" t="s">
        <v>2465</v>
      </c>
      <c r="G179" s="220" t="s">
        <v>2465</v>
      </c>
      <c r="H179" s="220" t="s">
        <v>2464</v>
      </c>
      <c r="I179" s="220" t="s">
        <v>308</v>
      </c>
      <c r="J179" s="220" t="s">
        <v>297</v>
      </c>
      <c r="K179" s="220" t="s">
        <v>307</v>
      </c>
      <c r="L179" s="220" t="s">
        <v>2463</v>
      </c>
      <c r="M179" s="220" t="s">
        <v>2462</v>
      </c>
      <c r="N179" s="220" t="s">
        <v>329</v>
      </c>
      <c r="O179" s="220" t="s">
        <v>297</v>
      </c>
      <c r="P179" s="220" t="s">
        <v>397</v>
      </c>
      <c r="Q179" s="220" t="s">
        <v>2461</v>
      </c>
      <c r="R179" s="220" t="s">
        <v>2460</v>
      </c>
      <c r="S179" s="220" t="s">
        <v>2129</v>
      </c>
      <c r="T179" s="220" t="s">
        <v>2128</v>
      </c>
      <c r="U179" s="220" t="s">
        <v>2244</v>
      </c>
      <c r="V179" s="220" t="s">
        <v>2459</v>
      </c>
      <c r="W179" s="220"/>
      <c r="X179" s="220"/>
      <c r="Y179" s="283"/>
      <c r="Z179" s="220"/>
      <c r="AA179" s="220"/>
      <c r="AB179" s="220"/>
      <c r="AC179" s="220"/>
      <c r="AD179" s="220"/>
      <c r="AE179" s="283"/>
      <c r="AF179" s="220"/>
      <c r="AG179" s="220"/>
      <c r="AH179" s="220"/>
      <c r="AI179" s="220"/>
      <c r="AJ179" s="226">
        <v>444</v>
      </c>
      <c r="AK179" s="226">
        <v>0</v>
      </c>
      <c r="AL179" s="225">
        <v>3.4909059999999998</v>
      </c>
      <c r="AM179" s="220"/>
      <c r="AN179" s="225">
        <v>58079.64</v>
      </c>
      <c r="AO179" s="220"/>
      <c r="AP179" s="220"/>
      <c r="AQ179" s="283"/>
      <c r="AR179" s="283"/>
      <c r="AS179" s="283"/>
      <c r="AT179" s="223">
        <v>0</v>
      </c>
      <c r="AU179" s="284">
        <v>943.5</v>
      </c>
      <c r="AV179" s="221">
        <v>42769</v>
      </c>
      <c r="AW179" s="221">
        <v>42769.497099189801</v>
      </c>
      <c r="AX179" s="220" t="s">
        <v>293</v>
      </c>
      <c r="AY179" s="219" t="s">
        <v>2469</v>
      </c>
    </row>
    <row r="180" spans="1:51" hidden="1" outlineLevel="1" collapsed="1">
      <c r="A180" s="227" t="s">
        <v>289</v>
      </c>
      <c r="B180" s="220" t="s">
        <v>2468</v>
      </c>
      <c r="C180" s="220" t="s">
        <v>2468</v>
      </c>
      <c r="D180" s="220" t="s">
        <v>2467</v>
      </c>
      <c r="E180" s="220" t="s">
        <v>2466</v>
      </c>
      <c r="F180" s="220" t="s">
        <v>2465</v>
      </c>
      <c r="G180" s="220" t="s">
        <v>2465</v>
      </c>
      <c r="H180" s="220" t="s">
        <v>2464</v>
      </c>
      <c r="I180" s="220" t="s">
        <v>308</v>
      </c>
      <c r="J180" s="220" t="s">
        <v>297</v>
      </c>
      <c r="K180" s="220" t="s">
        <v>307</v>
      </c>
      <c r="L180" s="220" t="s">
        <v>2463</v>
      </c>
      <c r="M180" s="220" t="s">
        <v>2462</v>
      </c>
      <c r="N180" s="220" t="s">
        <v>329</v>
      </c>
      <c r="O180" s="220" t="s">
        <v>297</v>
      </c>
      <c r="P180" s="220" t="s">
        <v>397</v>
      </c>
      <c r="Q180" s="220" t="s">
        <v>2461</v>
      </c>
      <c r="R180" s="220" t="s">
        <v>2460</v>
      </c>
      <c r="S180" s="220" t="s">
        <v>2129</v>
      </c>
      <c r="T180" s="220" t="s">
        <v>2139</v>
      </c>
      <c r="U180" s="220" t="s">
        <v>2244</v>
      </c>
      <c r="V180" s="220" t="s">
        <v>2459</v>
      </c>
      <c r="W180" s="220"/>
      <c r="X180" s="220"/>
      <c r="Y180" s="283"/>
      <c r="Z180" s="220"/>
      <c r="AA180" s="220"/>
      <c r="AB180" s="220"/>
      <c r="AC180" s="220"/>
      <c r="AD180" s="220"/>
      <c r="AE180" s="283"/>
      <c r="AF180" s="220"/>
      <c r="AG180" s="220"/>
      <c r="AH180" s="220"/>
      <c r="AI180" s="220"/>
      <c r="AJ180" s="226">
        <v>9</v>
      </c>
      <c r="AK180" s="226">
        <v>0</v>
      </c>
      <c r="AL180" s="225">
        <v>0.72117900000000001</v>
      </c>
      <c r="AM180" s="220"/>
      <c r="AN180" s="225">
        <v>11998.512000000001</v>
      </c>
      <c r="AO180" s="220"/>
      <c r="AP180" s="220"/>
      <c r="AQ180" s="283"/>
      <c r="AR180" s="283"/>
      <c r="AS180" s="283"/>
      <c r="AT180" s="223">
        <v>0</v>
      </c>
      <c r="AU180" s="284">
        <v>225</v>
      </c>
      <c r="AV180" s="221">
        <v>42769</v>
      </c>
      <c r="AW180" s="221">
        <v>42769.497099189801</v>
      </c>
      <c r="AX180" s="220" t="s">
        <v>293</v>
      </c>
      <c r="AY180" s="219" t="s">
        <v>2458</v>
      </c>
    </row>
    <row r="181" spans="1:51" hidden="1" outlineLevel="1" collapsed="1">
      <c r="A181" s="227" t="s">
        <v>289</v>
      </c>
      <c r="B181" s="220" t="s">
        <v>2457</v>
      </c>
      <c r="C181" s="220" t="s">
        <v>2457</v>
      </c>
      <c r="D181" s="220" t="s">
        <v>2456</v>
      </c>
      <c r="E181" s="220" t="s">
        <v>2455</v>
      </c>
      <c r="F181" s="220" t="s">
        <v>2455</v>
      </c>
      <c r="G181" s="220" t="s">
        <v>2455</v>
      </c>
      <c r="H181" s="220" t="s">
        <v>2454</v>
      </c>
      <c r="I181" s="220" t="s">
        <v>329</v>
      </c>
      <c r="J181" s="220" t="s">
        <v>297</v>
      </c>
      <c r="K181" s="220" t="s">
        <v>328</v>
      </c>
      <c r="L181" s="220" t="s">
        <v>2270</v>
      </c>
      <c r="M181" s="220" t="s">
        <v>2269</v>
      </c>
      <c r="N181" s="220" t="s">
        <v>329</v>
      </c>
      <c r="O181" s="220" t="s">
        <v>297</v>
      </c>
      <c r="P181" s="220" t="s">
        <v>328</v>
      </c>
      <c r="Q181" s="220" t="s">
        <v>2268</v>
      </c>
      <c r="R181" s="220"/>
      <c r="S181" s="220" t="s">
        <v>2129</v>
      </c>
      <c r="T181" s="220" t="s">
        <v>2145</v>
      </c>
      <c r="U181" s="220" t="s">
        <v>2127</v>
      </c>
      <c r="V181" s="220" t="s">
        <v>2126</v>
      </c>
      <c r="W181" s="220"/>
      <c r="X181" s="220"/>
      <c r="Y181" s="283"/>
      <c r="Z181" s="220"/>
      <c r="AA181" s="220"/>
      <c r="AB181" s="220"/>
      <c r="AC181" s="220"/>
      <c r="AD181" s="220"/>
      <c r="AE181" s="283"/>
      <c r="AF181" s="220"/>
      <c r="AG181" s="220"/>
      <c r="AH181" s="220"/>
      <c r="AI181" s="220"/>
      <c r="AJ181" s="226">
        <v>25</v>
      </c>
      <c r="AK181" s="226">
        <v>0</v>
      </c>
      <c r="AL181" s="225">
        <v>3.2919480000000001</v>
      </c>
      <c r="AM181" s="220"/>
      <c r="AN181" s="225">
        <v>15425.4</v>
      </c>
      <c r="AO181" s="220"/>
      <c r="AP181" s="220"/>
      <c r="AQ181" s="283"/>
      <c r="AR181" s="283"/>
      <c r="AS181" s="283"/>
      <c r="AT181" s="223">
        <v>0</v>
      </c>
      <c r="AU181" s="284">
        <v>1875</v>
      </c>
      <c r="AV181" s="221">
        <v>42772</v>
      </c>
      <c r="AW181" s="221">
        <v>42772.445572835597</v>
      </c>
      <c r="AX181" s="220" t="s">
        <v>293</v>
      </c>
      <c r="AY181" s="219" t="s">
        <v>2453</v>
      </c>
    </row>
    <row r="182" spans="1:51" hidden="1" outlineLevel="1" collapsed="1">
      <c r="A182" s="227" t="s">
        <v>289</v>
      </c>
      <c r="B182" s="220" t="s">
        <v>2451</v>
      </c>
      <c r="C182" s="220" t="s">
        <v>2451</v>
      </c>
      <c r="D182" s="220" t="s">
        <v>2450</v>
      </c>
      <c r="E182" s="220" t="s">
        <v>2449</v>
      </c>
      <c r="F182" s="220" t="s">
        <v>2448</v>
      </c>
      <c r="G182" s="220" t="s">
        <v>2447</v>
      </c>
      <c r="H182" s="220" t="s">
        <v>2446</v>
      </c>
      <c r="I182" s="220" t="s">
        <v>329</v>
      </c>
      <c r="J182" s="220" t="s">
        <v>297</v>
      </c>
      <c r="K182" s="220" t="s">
        <v>397</v>
      </c>
      <c r="L182" s="220" t="s">
        <v>2132</v>
      </c>
      <c r="M182" s="220" t="s">
        <v>2131</v>
      </c>
      <c r="N182" s="220" t="s">
        <v>329</v>
      </c>
      <c r="O182" s="220" t="s">
        <v>297</v>
      </c>
      <c r="P182" s="220" t="s">
        <v>599</v>
      </c>
      <c r="Q182" s="220" t="s">
        <v>2130</v>
      </c>
      <c r="R182" s="220"/>
      <c r="S182" s="220" t="s">
        <v>2129</v>
      </c>
      <c r="T182" s="220" t="s">
        <v>2408</v>
      </c>
      <c r="U182" s="220" t="s">
        <v>2202</v>
      </c>
      <c r="V182" s="220" t="s">
        <v>2126</v>
      </c>
      <c r="W182" s="220"/>
      <c r="X182" s="220"/>
      <c r="Y182" s="283"/>
      <c r="Z182" s="220"/>
      <c r="AA182" s="220"/>
      <c r="AB182" s="220"/>
      <c r="AC182" s="220"/>
      <c r="AD182" s="220"/>
      <c r="AE182" s="283"/>
      <c r="AF182" s="220"/>
      <c r="AG182" s="220"/>
      <c r="AH182" s="220"/>
      <c r="AI182" s="220"/>
      <c r="AJ182" s="226">
        <v>16</v>
      </c>
      <c r="AK182" s="226">
        <v>0</v>
      </c>
      <c r="AL182" s="225">
        <v>0.55389299999999997</v>
      </c>
      <c r="AM182" s="220"/>
      <c r="AN182" s="225">
        <v>2462.8960000000002</v>
      </c>
      <c r="AO182" s="220"/>
      <c r="AP182" s="220"/>
      <c r="AQ182" s="283"/>
      <c r="AR182" s="283"/>
      <c r="AS182" s="283"/>
      <c r="AT182" s="223">
        <v>0</v>
      </c>
      <c r="AU182" s="284">
        <v>368</v>
      </c>
      <c r="AV182" s="221">
        <v>42773</v>
      </c>
      <c r="AW182" s="221">
        <v>42773.443283449102</v>
      </c>
      <c r="AX182" s="220" t="s">
        <v>293</v>
      </c>
      <c r="AY182" s="219" t="s">
        <v>2445</v>
      </c>
    </row>
    <row r="183" spans="1:51" ht="20.399999999999999" hidden="1" outlineLevel="1" collapsed="1">
      <c r="A183" s="227" t="s">
        <v>289</v>
      </c>
      <c r="B183" s="220" t="s">
        <v>2451</v>
      </c>
      <c r="C183" s="220" t="s">
        <v>2451</v>
      </c>
      <c r="D183" s="220" t="s">
        <v>2450</v>
      </c>
      <c r="E183" s="220" t="s">
        <v>2449</v>
      </c>
      <c r="F183" s="220" t="s">
        <v>2448</v>
      </c>
      <c r="G183" s="220" t="s">
        <v>2447</v>
      </c>
      <c r="H183" s="220" t="s">
        <v>2446</v>
      </c>
      <c r="I183" s="220" t="s">
        <v>329</v>
      </c>
      <c r="J183" s="220" t="s">
        <v>297</v>
      </c>
      <c r="K183" s="220" t="s">
        <v>397</v>
      </c>
      <c r="L183" s="220" t="s">
        <v>2132</v>
      </c>
      <c r="M183" s="220" t="s">
        <v>2131</v>
      </c>
      <c r="N183" s="220" t="s">
        <v>329</v>
      </c>
      <c r="O183" s="220" t="s">
        <v>297</v>
      </c>
      <c r="P183" s="220" t="s">
        <v>599</v>
      </c>
      <c r="Q183" s="220" t="s">
        <v>2130</v>
      </c>
      <c r="R183" s="220"/>
      <c r="S183" s="220" t="s">
        <v>2129</v>
      </c>
      <c r="T183" s="220" t="s">
        <v>2173</v>
      </c>
      <c r="U183" s="220" t="s">
        <v>2202</v>
      </c>
      <c r="V183" s="220" t="s">
        <v>2126</v>
      </c>
      <c r="W183" s="220"/>
      <c r="X183" s="220"/>
      <c r="Y183" s="283"/>
      <c r="Z183" s="220"/>
      <c r="AA183" s="220"/>
      <c r="AB183" s="220"/>
      <c r="AC183" s="220"/>
      <c r="AD183" s="220"/>
      <c r="AE183" s="283"/>
      <c r="AF183" s="220"/>
      <c r="AG183" s="220"/>
      <c r="AH183" s="220"/>
      <c r="AI183" s="220"/>
      <c r="AJ183" s="226">
        <v>20</v>
      </c>
      <c r="AK183" s="226">
        <v>0</v>
      </c>
      <c r="AL183" s="225">
        <v>0.22334399999999999</v>
      </c>
      <c r="AM183" s="220"/>
      <c r="AN183" s="225">
        <v>993.1</v>
      </c>
      <c r="AO183" s="220"/>
      <c r="AP183" s="220"/>
      <c r="AQ183" s="283"/>
      <c r="AR183" s="283"/>
      <c r="AS183" s="283"/>
      <c r="AT183" s="223">
        <v>0</v>
      </c>
      <c r="AU183" s="284">
        <v>160</v>
      </c>
      <c r="AV183" s="221">
        <v>42773</v>
      </c>
      <c r="AW183" s="221">
        <v>42773.443283449102</v>
      </c>
      <c r="AX183" s="220" t="s">
        <v>293</v>
      </c>
      <c r="AY183" s="219" t="s">
        <v>2452</v>
      </c>
    </row>
    <row r="184" spans="1:51" hidden="1" outlineLevel="1" collapsed="1">
      <c r="A184" s="227" t="s">
        <v>289</v>
      </c>
      <c r="B184" s="220" t="s">
        <v>2444</v>
      </c>
      <c r="C184" s="220" t="s">
        <v>2444</v>
      </c>
      <c r="D184" s="220" t="s">
        <v>2443</v>
      </c>
      <c r="E184" s="220" t="s">
        <v>2442</v>
      </c>
      <c r="F184" s="220" t="s">
        <v>2442</v>
      </c>
      <c r="G184" s="220" t="s">
        <v>2442</v>
      </c>
      <c r="H184" s="220" t="s">
        <v>2441</v>
      </c>
      <c r="I184" s="220" t="s">
        <v>329</v>
      </c>
      <c r="J184" s="220" t="s">
        <v>297</v>
      </c>
      <c r="K184" s="220" t="s">
        <v>328</v>
      </c>
      <c r="L184" s="220" t="s">
        <v>2132</v>
      </c>
      <c r="M184" s="220" t="s">
        <v>2131</v>
      </c>
      <c r="N184" s="220" t="s">
        <v>329</v>
      </c>
      <c r="O184" s="220" t="s">
        <v>297</v>
      </c>
      <c r="P184" s="220" t="s">
        <v>599</v>
      </c>
      <c r="Q184" s="220" t="s">
        <v>2130</v>
      </c>
      <c r="R184" s="220"/>
      <c r="S184" s="220" t="s">
        <v>2129</v>
      </c>
      <c r="T184" s="220" t="s">
        <v>2166</v>
      </c>
      <c r="U184" s="220" t="s">
        <v>2127</v>
      </c>
      <c r="V184" s="220" t="s">
        <v>2126</v>
      </c>
      <c r="W184" s="220"/>
      <c r="X184" s="220"/>
      <c r="Y184" s="283"/>
      <c r="Z184" s="220"/>
      <c r="AA184" s="220"/>
      <c r="AB184" s="220"/>
      <c r="AC184" s="220"/>
      <c r="AD184" s="220"/>
      <c r="AE184" s="283"/>
      <c r="AF184" s="220"/>
      <c r="AG184" s="220"/>
      <c r="AH184" s="220"/>
      <c r="AI184" s="220"/>
      <c r="AJ184" s="226">
        <v>6</v>
      </c>
      <c r="AK184" s="226">
        <v>0</v>
      </c>
      <c r="AL184" s="225">
        <v>0.23023399999999999</v>
      </c>
      <c r="AM184" s="220"/>
      <c r="AN184" s="225">
        <v>1078.83</v>
      </c>
      <c r="AO184" s="220"/>
      <c r="AP184" s="220"/>
      <c r="AQ184" s="283"/>
      <c r="AR184" s="283"/>
      <c r="AS184" s="283"/>
      <c r="AT184" s="223">
        <v>0</v>
      </c>
      <c r="AU184" s="284">
        <v>58.95</v>
      </c>
      <c r="AV184" s="221">
        <v>42774</v>
      </c>
      <c r="AW184" s="221">
        <v>42774.778149849502</v>
      </c>
      <c r="AX184" s="220" t="s">
        <v>293</v>
      </c>
      <c r="AY184" s="219" t="s">
        <v>2440</v>
      </c>
    </row>
    <row r="185" spans="1:51" hidden="1" outlineLevel="1" collapsed="1">
      <c r="A185" s="227" t="s">
        <v>289</v>
      </c>
      <c r="B185" s="220" t="s">
        <v>2432</v>
      </c>
      <c r="C185" s="220" t="s">
        <v>2432</v>
      </c>
      <c r="D185" s="220" t="s">
        <v>2431</v>
      </c>
      <c r="E185" s="220" t="s">
        <v>2430</v>
      </c>
      <c r="F185" s="220" t="s">
        <v>2430</v>
      </c>
      <c r="G185" s="220" t="s">
        <v>2429</v>
      </c>
      <c r="H185" s="220" t="s">
        <v>2428</v>
      </c>
      <c r="I185" s="220" t="s">
        <v>329</v>
      </c>
      <c r="J185" s="220" t="s">
        <v>297</v>
      </c>
      <c r="K185" s="220" t="s">
        <v>397</v>
      </c>
      <c r="L185" s="220" t="s">
        <v>2427</v>
      </c>
      <c r="M185" s="220" t="s">
        <v>2426</v>
      </c>
      <c r="N185" s="220" t="s">
        <v>329</v>
      </c>
      <c r="O185" s="220" t="s">
        <v>297</v>
      </c>
      <c r="P185" s="220" t="s">
        <v>328</v>
      </c>
      <c r="Q185" s="220" t="s">
        <v>2425</v>
      </c>
      <c r="R185" s="220" t="s">
        <v>2424</v>
      </c>
      <c r="S185" s="220" t="s">
        <v>2129</v>
      </c>
      <c r="T185" s="220" t="s">
        <v>2434</v>
      </c>
      <c r="U185" s="220" t="s">
        <v>2378</v>
      </c>
      <c r="V185" s="220" t="s">
        <v>2126</v>
      </c>
      <c r="W185" s="220"/>
      <c r="X185" s="220"/>
      <c r="Y185" s="283"/>
      <c r="Z185" s="220"/>
      <c r="AA185" s="220"/>
      <c r="AB185" s="220"/>
      <c r="AC185" s="220"/>
      <c r="AD185" s="220"/>
      <c r="AE185" s="283"/>
      <c r="AF185" s="220"/>
      <c r="AG185" s="220"/>
      <c r="AH185" s="220"/>
      <c r="AI185" s="220"/>
      <c r="AJ185" s="226">
        <v>8</v>
      </c>
      <c r="AK185" s="226">
        <v>0</v>
      </c>
      <c r="AL185" s="225">
        <v>0.13619200000000001</v>
      </c>
      <c r="AM185" s="220"/>
      <c r="AN185" s="225">
        <v>832.8</v>
      </c>
      <c r="AO185" s="220"/>
      <c r="AP185" s="220"/>
      <c r="AQ185" s="283"/>
      <c r="AR185" s="283"/>
      <c r="AS185" s="283"/>
      <c r="AT185" s="223">
        <v>0</v>
      </c>
      <c r="AU185" s="284">
        <v>30.32</v>
      </c>
      <c r="AV185" s="221">
        <v>42796</v>
      </c>
      <c r="AW185" s="221">
        <v>42796.520584490703</v>
      </c>
      <c r="AX185" s="220" t="s">
        <v>293</v>
      </c>
      <c r="AY185" s="219" t="s">
        <v>2433</v>
      </c>
    </row>
    <row r="186" spans="1:51" hidden="1" outlineLevel="1" collapsed="1">
      <c r="A186" s="227" t="s">
        <v>289</v>
      </c>
      <c r="B186" s="220" t="s">
        <v>2432</v>
      </c>
      <c r="C186" s="220" t="s">
        <v>2432</v>
      </c>
      <c r="D186" s="220" t="s">
        <v>2431</v>
      </c>
      <c r="E186" s="220" t="s">
        <v>2430</v>
      </c>
      <c r="F186" s="220" t="s">
        <v>2430</v>
      </c>
      <c r="G186" s="220" t="s">
        <v>2429</v>
      </c>
      <c r="H186" s="220" t="s">
        <v>2428</v>
      </c>
      <c r="I186" s="220" t="s">
        <v>329</v>
      </c>
      <c r="J186" s="220" t="s">
        <v>297</v>
      </c>
      <c r="K186" s="220" t="s">
        <v>397</v>
      </c>
      <c r="L186" s="220" t="s">
        <v>2427</v>
      </c>
      <c r="M186" s="220" t="s">
        <v>2426</v>
      </c>
      <c r="N186" s="220" t="s">
        <v>329</v>
      </c>
      <c r="O186" s="220" t="s">
        <v>297</v>
      </c>
      <c r="P186" s="220" t="s">
        <v>328</v>
      </c>
      <c r="Q186" s="220" t="s">
        <v>2425</v>
      </c>
      <c r="R186" s="220" t="s">
        <v>2424</v>
      </c>
      <c r="S186" s="220" t="s">
        <v>2129</v>
      </c>
      <c r="T186" s="220" t="s">
        <v>2128</v>
      </c>
      <c r="U186" s="220" t="s">
        <v>2378</v>
      </c>
      <c r="V186" s="220" t="s">
        <v>2126</v>
      </c>
      <c r="W186" s="220"/>
      <c r="X186" s="220"/>
      <c r="Y186" s="283"/>
      <c r="Z186" s="220"/>
      <c r="AA186" s="220"/>
      <c r="AB186" s="220"/>
      <c r="AC186" s="220"/>
      <c r="AD186" s="220"/>
      <c r="AE186" s="283"/>
      <c r="AF186" s="220"/>
      <c r="AG186" s="220"/>
      <c r="AH186" s="220"/>
      <c r="AI186" s="220"/>
      <c r="AJ186" s="226">
        <v>3</v>
      </c>
      <c r="AK186" s="226">
        <v>0</v>
      </c>
      <c r="AL186" s="225">
        <v>7.6607999999999996E-2</v>
      </c>
      <c r="AM186" s="220"/>
      <c r="AN186" s="225">
        <v>468.45</v>
      </c>
      <c r="AO186" s="220"/>
      <c r="AP186" s="220"/>
      <c r="AQ186" s="283"/>
      <c r="AR186" s="283"/>
      <c r="AS186" s="283"/>
      <c r="AT186" s="223">
        <v>0</v>
      </c>
      <c r="AU186" s="284">
        <v>12.24</v>
      </c>
      <c r="AV186" s="221">
        <v>42796</v>
      </c>
      <c r="AW186" s="221">
        <v>42796.520584490703</v>
      </c>
      <c r="AX186" s="220" t="s">
        <v>293</v>
      </c>
      <c r="AY186" s="219" t="s">
        <v>2437</v>
      </c>
    </row>
    <row r="187" spans="1:51" ht="20.399999999999999" hidden="1" outlineLevel="1" collapsed="1">
      <c r="A187" s="227" t="s">
        <v>289</v>
      </c>
      <c r="B187" s="220" t="s">
        <v>2432</v>
      </c>
      <c r="C187" s="220" t="s">
        <v>2432</v>
      </c>
      <c r="D187" s="220" t="s">
        <v>2431</v>
      </c>
      <c r="E187" s="220" t="s">
        <v>2430</v>
      </c>
      <c r="F187" s="220" t="s">
        <v>2430</v>
      </c>
      <c r="G187" s="220" t="s">
        <v>2429</v>
      </c>
      <c r="H187" s="220" t="s">
        <v>2428</v>
      </c>
      <c r="I187" s="220" t="s">
        <v>329</v>
      </c>
      <c r="J187" s="220" t="s">
        <v>297</v>
      </c>
      <c r="K187" s="220" t="s">
        <v>397</v>
      </c>
      <c r="L187" s="220" t="s">
        <v>2427</v>
      </c>
      <c r="M187" s="220" t="s">
        <v>2426</v>
      </c>
      <c r="N187" s="220" t="s">
        <v>329</v>
      </c>
      <c r="O187" s="220" t="s">
        <v>297</v>
      </c>
      <c r="P187" s="220" t="s">
        <v>328</v>
      </c>
      <c r="Q187" s="220" t="s">
        <v>2425</v>
      </c>
      <c r="R187" s="220" t="s">
        <v>2424</v>
      </c>
      <c r="S187" s="220" t="s">
        <v>2129</v>
      </c>
      <c r="T187" s="220" t="s">
        <v>2173</v>
      </c>
      <c r="U187" s="220" t="s">
        <v>2378</v>
      </c>
      <c r="V187" s="220" t="s">
        <v>2126</v>
      </c>
      <c r="W187" s="220"/>
      <c r="X187" s="220"/>
      <c r="Y187" s="283"/>
      <c r="Z187" s="220"/>
      <c r="AA187" s="220"/>
      <c r="AB187" s="220"/>
      <c r="AC187" s="220"/>
      <c r="AD187" s="220"/>
      <c r="AE187" s="283"/>
      <c r="AF187" s="220"/>
      <c r="AG187" s="220"/>
      <c r="AH187" s="220"/>
      <c r="AI187" s="220"/>
      <c r="AJ187" s="226">
        <v>2</v>
      </c>
      <c r="AK187" s="226">
        <v>0</v>
      </c>
      <c r="AL187" s="225">
        <v>2.5536E-2</v>
      </c>
      <c r="AM187" s="220"/>
      <c r="AN187" s="225">
        <v>156.15</v>
      </c>
      <c r="AO187" s="220"/>
      <c r="AP187" s="220"/>
      <c r="AQ187" s="283"/>
      <c r="AR187" s="283"/>
      <c r="AS187" s="283"/>
      <c r="AT187" s="223">
        <v>0</v>
      </c>
      <c r="AU187" s="284">
        <v>15.22</v>
      </c>
      <c r="AV187" s="221">
        <v>42796</v>
      </c>
      <c r="AW187" s="221">
        <v>42796.520584490703</v>
      </c>
      <c r="AX187" s="220" t="s">
        <v>293</v>
      </c>
      <c r="AY187" s="219" t="s">
        <v>2435</v>
      </c>
    </row>
    <row r="188" spans="1:51" hidden="1" outlineLevel="1" collapsed="1">
      <c r="A188" s="227" t="s">
        <v>289</v>
      </c>
      <c r="B188" s="220" t="s">
        <v>2432</v>
      </c>
      <c r="C188" s="220" t="s">
        <v>2432</v>
      </c>
      <c r="D188" s="220" t="s">
        <v>2431</v>
      </c>
      <c r="E188" s="220" t="s">
        <v>2430</v>
      </c>
      <c r="F188" s="220" t="s">
        <v>2430</v>
      </c>
      <c r="G188" s="220" t="s">
        <v>2429</v>
      </c>
      <c r="H188" s="220" t="s">
        <v>2428</v>
      </c>
      <c r="I188" s="220" t="s">
        <v>329</v>
      </c>
      <c r="J188" s="220" t="s">
        <v>297</v>
      </c>
      <c r="K188" s="220" t="s">
        <v>397</v>
      </c>
      <c r="L188" s="220" t="s">
        <v>2427</v>
      </c>
      <c r="M188" s="220" t="s">
        <v>2426</v>
      </c>
      <c r="N188" s="220" t="s">
        <v>329</v>
      </c>
      <c r="O188" s="220" t="s">
        <v>297</v>
      </c>
      <c r="P188" s="220" t="s">
        <v>328</v>
      </c>
      <c r="Q188" s="220" t="s">
        <v>2425</v>
      </c>
      <c r="R188" s="220" t="s">
        <v>2424</v>
      </c>
      <c r="S188" s="220" t="s">
        <v>2129</v>
      </c>
      <c r="T188" s="220" t="s">
        <v>2166</v>
      </c>
      <c r="U188" s="220" t="s">
        <v>2378</v>
      </c>
      <c r="V188" s="220" t="s">
        <v>2126</v>
      </c>
      <c r="W188" s="220"/>
      <c r="X188" s="220"/>
      <c r="Y188" s="283"/>
      <c r="Z188" s="220"/>
      <c r="AA188" s="220"/>
      <c r="AB188" s="220"/>
      <c r="AC188" s="220"/>
      <c r="AD188" s="220"/>
      <c r="AE188" s="283"/>
      <c r="AF188" s="220"/>
      <c r="AG188" s="220"/>
      <c r="AH188" s="220"/>
      <c r="AI188" s="220"/>
      <c r="AJ188" s="226">
        <v>12</v>
      </c>
      <c r="AK188" s="226">
        <v>0</v>
      </c>
      <c r="AL188" s="225">
        <v>0.485184</v>
      </c>
      <c r="AM188" s="220"/>
      <c r="AN188" s="225">
        <v>2966.8440000000001</v>
      </c>
      <c r="AO188" s="220"/>
      <c r="AP188" s="220"/>
      <c r="AQ188" s="283"/>
      <c r="AR188" s="283"/>
      <c r="AS188" s="283"/>
      <c r="AT188" s="223">
        <v>0</v>
      </c>
      <c r="AU188" s="284">
        <v>91.68</v>
      </c>
      <c r="AV188" s="221">
        <v>42796</v>
      </c>
      <c r="AW188" s="221">
        <v>42796.520584490703</v>
      </c>
      <c r="AX188" s="220" t="s">
        <v>293</v>
      </c>
      <c r="AY188" s="219" t="s">
        <v>2436</v>
      </c>
    </row>
    <row r="189" spans="1:51" ht="20.399999999999999" hidden="1" outlineLevel="1" collapsed="1">
      <c r="A189" s="227" t="s">
        <v>289</v>
      </c>
      <c r="B189" s="220" t="s">
        <v>2432</v>
      </c>
      <c r="C189" s="220" t="s">
        <v>2432</v>
      </c>
      <c r="D189" s="220" t="s">
        <v>2431</v>
      </c>
      <c r="E189" s="220" t="s">
        <v>2430</v>
      </c>
      <c r="F189" s="220" t="s">
        <v>2430</v>
      </c>
      <c r="G189" s="220" t="s">
        <v>2429</v>
      </c>
      <c r="H189" s="220" t="s">
        <v>2428</v>
      </c>
      <c r="I189" s="220" t="s">
        <v>329</v>
      </c>
      <c r="J189" s="220" t="s">
        <v>297</v>
      </c>
      <c r="K189" s="220" t="s">
        <v>397</v>
      </c>
      <c r="L189" s="220" t="s">
        <v>2427</v>
      </c>
      <c r="M189" s="220" t="s">
        <v>2426</v>
      </c>
      <c r="N189" s="220" t="s">
        <v>329</v>
      </c>
      <c r="O189" s="220" t="s">
        <v>297</v>
      </c>
      <c r="P189" s="220" t="s">
        <v>328</v>
      </c>
      <c r="Q189" s="220" t="s">
        <v>2425</v>
      </c>
      <c r="R189" s="220" t="s">
        <v>2424</v>
      </c>
      <c r="S189" s="220" t="s">
        <v>2129</v>
      </c>
      <c r="T189" s="220" t="s">
        <v>2173</v>
      </c>
      <c r="U189" s="220" t="s">
        <v>2378</v>
      </c>
      <c r="V189" s="220" t="s">
        <v>2126</v>
      </c>
      <c r="W189" s="220"/>
      <c r="X189" s="220"/>
      <c r="Y189" s="283"/>
      <c r="Z189" s="220"/>
      <c r="AA189" s="220"/>
      <c r="AB189" s="220"/>
      <c r="AC189" s="220"/>
      <c r="AD189" s="220"/>
      <c r="AE189" s="283"/>
      <c r="AF189" s="220"/>
      <c r="AG189" s="220"/>
      <c r="AH189" s="220"/>
      <c r="AI189" s="220"/>
      <c r="AJ189" s="226">
        <v>2</v>
      </c>
      <c r="AK189" s="226">
        <v>0</v>
      </c>
      <c r="AL189" s="225">
        <v>2.5536E-2</v>
      </c>
      <c r="AM189" s="220"/>
      <c r="AN189" s="225">
        <v>156.15</v>
      </c>
      <c r="AO189" s="220"/>
      <c r="AP189" s="220"/>
      <c r="AQ189" s="283"/>
      <c r="AR189" s="283"/>
      <c r="AS189" s="283"/>
      <c r="AT189" s="223">
        <v>0</v>
      </c>
      <c r="AU189" s="284">
        <v>13.74</v>
      </c>
      <c r="AV189" s="221">
        <v>42796</v>
      </c>
      <c r="AW189" s="221">
        <v>42796.520584490703</v>
      </c>
      <c r="AX189" s="220" t="s">
        <v>293</v>
      </c>
      <c r="AY189" s="219" t="s">
        <v>2423</v>
      </c>
    </row>
    <row r="190" spans="1:51" hidden="1" outlineLevel="1" collapsed="1">
      <c r="A190" s="227" t="s">
        <v>289</v>
      </c>
      <c r="B190" s="220" t="s">
        <v>2432</v>
      </c>
      <c r="C190" s="220" t="s">
        <v>2432</v>
      </c>
      <c r="D190" s="220" t="s">
        <v>2431</v>
      </c>
      <c r="E190" s="220" t="s">
        <v>2430</v>
      </c>
      <c r="F190" s="220" t="s">
        <v>2430</v>
      </c>
      <c r="G190" s="220" t="s">
        <v>2429</v>
      </c>
      <c r="H190" s="220" t="s">
        <v>2428</v>
      </c>
      <c r="I190" s="220" t="s">
        <v>329</v>
      </c>
      <c r="J190" s="220" t="s">
        <v>297</v>
      </c>
      <c r="K190" s="220" t="s">
        <v>397</v>
      </c>
      <c r="L190" s="220" t="s">
        <v>2427</v>
      </c>
      <c r="M190" s="220" t="s">
        <v>2426</v>
      </c>
      <c r="N190" s="220" t="s">
        <v>329</v>
      </c>
      <c r="O190" s="220" t="s">
        <v>297</v>
      </c>
      <c r="P190" s="220" t="s">
        <v>328</v>
      </c>
      <c r="Q190" s="220" t="s">
        <v>2425</v>
      </c>
      <c r="R190" s="220" t="s">
        <v>2424</v>
      </c>
      <c r="S190" s="220" t="s">
        <v>2129</v>
      </c>
      <c r="T190" s="220" t="s">
        <v>2128</v>
      </c>
      <c r="U190" s="220" t="s">
        <v>2378</v>
      </c>
      <c r="V190" s="220" t="s">
        <v>2126</v>
      </c>
      <c r="W190" s="220"/>
      <c r="X190" s="220"/>
      <c r="Y190" s="283"/>
      <c r="Z190" s="220"/>
      <c r="AA190" s="220"/>
      <c r="AB190" s="220"/>
      <c r="AC190" s="220"/>
      <c r="AD190" s="220"/>
      <c r="AE190" s="283"/>
      <c r="AF190" s="220"/>
      <c r="AG190" s="220"/>
      <c r="AH190" s="220"/>
      <c r="AI190" s="220"/>
      <c r="AJ190" s="226">
        <v>20</v>
      </c>
      <c r="AK190" s="226">
        <v>0</v>
      </c>
      <c r="AL190" s="225">
        <v>0.51071999999999995</v>
      </c>
      <c r="AM190" s="220"/>
      <c r="AN190" s="225">
        <v>3123</v>
      </c>
      <c r="AO190" s="220"/>
      <c r="AP190" s="220"/>
      <c r="AQ190" s="283"/>
      <c r="AR190" s="283"/>
      <c r="AS190" s="283"/>
      <c r="AT190" s="223">
        <v>0</v>
      </c>
      <c r="AU190" s="284">
        <v>114</v>
      </c>
      <c r="AV190" s="221">
        <v>42796</v>
      </c>
      <c r="AW190" s="221">
        <v>42796.520584490703</v>
      </c>
      <c r="AX190" s="220" t="s">
        <v>293</v>
      </c>
      <c r="AY190" s="219" t="s">
        <v>2439</v>
      </c>
    </row>
    <row r="191" spans="1:51" hidden="1" outlineLevel="1" collapsed="1">
      <c r="A191" s="227" t="s">
        <v>289</v>
      </c>
      <c r="B191" s="220" t="s">
        <v>2432</v>
      </c>
      <c r="C191" s="220" t="s">
        <v>2432</v>
      </c>
      <c r="D191" s="220" t="s">
        <v>2431</v>
      </c>
      <c r="E191" s="220" t="s">
        <v>2430</v>
      </c>
      <c r="F191" s="220" t="s">
        <v>2430</v>
      </c>
      <c r="G191" s="220" t="s">
        <v>2429</v>
      </c>
      <c r="H191" s="220" t="s">
        <v>2428</v>
      </c>
      <c r="I191" s="220" t="s">
        <v>329</v>
      </c>
      <c r="J191" s="220" t="s">
        <v>297</v>
      </c>
      <c r="K191" s="220" t="s">
        <v>397</v>
      </c>
      <c r="L191" s="220" t="s">
        <v>2427</v>
      </c>
      <c r="M191" s="220" t="s">
        <v>2426</v>
      </c>
      <c r="N191" s="220" t="s">
        <v>329</v>
      </c>
      <c r="O191" s="220" t="s">
        <v>297</v>
      </c>
      <c r="P191" s="220" t="s">
        <v>328</v>
      </c>
      <c r="Q191" s="220" t="s">
        <v>2425</v>
      </c>
      <c r="R191" s="220" t="s">
        <v>2424</v>
      </c>
      <c r="S191" s="220" t="s">
        <v>2129</v>
      </c>
      <c r="T191" s="220" t="s">
        <v>2128</v>
      </c>
      <c r="U191" s="220" t="s">
        <v>2378</v>
      </c>
      <c r="V191" s="220" t="s">
        <v>2126</v>
      </c>
      <c r="W191" s="220"/>
      <c r="X191" s="220"/>
      <c r="Y191" s="283"/>
      <c r="Z191" s="220"/>
      <c r="AA191" s="220"/>
      <c r="AB191" s="220"/>
      <c r="AC191" s="220"/>
      <c r="AD191" s="220"/>
      <c r="AE191" s="283"/>
      <c r="AF191" s="220"/>
      <c r="AG191" s="220"/>
      <c r="AH191" s="220"/>
      <c r="AI191" s="220"/>
      <c r="AJ191" s="226">
        <v>12</v>
      </c>
      <c r="AK191" s="226">
        <v>0</v>
      </c>
      <c r="AL191" s="225">
        <v>0.30643199999999998</v>
      </c>
      <c r="AM191" s="220"/>
      <c r="AN191" s="225">
        <v>1873.8</v>
      </c>
      <c r="AO191" s="220"/>
      <c r="AP191" s="220"/>
      <c r="AQ191" s="283"/>
      <c r="AR191" s="283"/>
      <c r="AS191" s="283"/>
      <c r="AT191" s="223">
        <v>0</v>
      </c>
      <c r="AU191" s="284">
        <v>45.36</v>
      </c>
      <c r="AV191" s="221">
        <v>42796</v>
      </c>
      <c r="AW191" s="221">
        <v>42796.520584490703</v>
      </c>
      <c r="AX191" s="220" t="s">
        <v>293</v>
      </c>
      <c r="AY191" s="219" t="s">
        <v>2438</v>
      </c>
    </row>
    <row r="192" spans="1:51" hidden="1" outlineLevel="1" collapsed="1">
      <c r="A192" s="227" t="s">
        <v>289</v>
      </c>
      <c r="B192" s="220" t="s">
        <v>2421</v>
      </c>
      <c r="C192" s="220" t="s">
        <v>2421</v>
      </c>
      <c r="D192" s="220" t="s">
        <v>2420</v>
      </c>
      <c r="E192" s="220" t="s">
        <v>2419</v>
      </c>
      <c r="F192" s="220" t="s">
        <v>2419</v>
      </c>
      <c r="G192" s="220" t="s">
        <v>2419</v>
      </c>
      <c r="H192" s="220" t="s">
        <v>2418</v>
      </c>
      <c r="I192" s="220" t="s">
        <v>337</v>
      </c>
      <c r="J192" s="220" t="s">
        <v>297</v>
      </c>
      <c r="K192" s="220" t="s">
        <v>336</v>
      </c>
      <c r="L192" s="220" t="s">
        <v>601</v>
      </c>
      <c r="M192" s="220" t="s">
        <v>600</v>
      </c>
      <c r="N192" s="220" t="s">
        <v>329</v>
      </c>
      <c r="O192" s="220" t="s">
        <v>297</v>
      </c>
      <c r="P192" s="220" t="s">
        <v>599</v>
      </c>
      <c r="Q192" s="220" t="s">
        <v>598</v>
      </c>
      <c r="R192" s="220"/>
      <c r="S192" s="220" t="s">
        <v>2129</v>
      </c>
      <c r="T192" s="220" t="s">
        <v>2128</v>
      </c>
      <c r="U192" s="220" t="s">
        <v>2127</v>
      </c>
      <c r="V192" s="220" t="s">
        <v>2126</v>
      </c>
      <c r="W192" s="220"/>
      <c r="X192" s="220"/>
      <c r="Y192" s="283"/>
      <c r="Z192" s="220"/>
      <c r="AA192" s="220"/>
      <c r="AB192" s="220"/>
      <c r="AC192" s="220"/>
      <c r="AD192" s="220"/>
      <c r="AE192" s="283"/>
      <c r="AF192" s="220"/>
      <c r="AG192" s="220"/>
      <c r="AH192" s="220"/>
      <c r="AI192" s="220"/>
      <c r="AJ192" s="226">
        <v>3</v>
      </c>
      <c r="AK192" s="226">
        <v>0</v>
      </c>
      <c r="AL192" s="225">
        <v>7.2706000000000007E-2</v>
      </c>
      <c r="AM192" s="220"/>
      <c r="AN192" s="225">
        <v>340.68299999999999</v>
      </c>
      <c r="AO192" s="220"/>
      <c r="AP192" s="220"/>
      <c r="AQ192" s="283"/>
      <c r="AR192" s="283"/>
      <c r="AS192" s="283"/>
      <c r="AT192" s="223">
        <v>0</v>
      </c>
      <c r="AU192" s="284">
        <v>12.81</v>
      </c>
      <c r="AV192" s="221">
        <v>42796</v>
      </c>
      <c r="AW192" s="221">
        <v>42796.677917673602</v>
      </c>
      <c r="AX192" s="220" t="s">
        <v>293</v>
      </c>
      <c r="AY192" s="219" t="s">
        <v>2417</v>
      </c>
    </row>
    <row r="193" spans="1:51" hidden="1" outlineLevel="1" collapsed="1">
      <c r="A193" s="227" t="s">
        <v>289</v>
      </c>
      <c r="B193" s="220" t="s">
        <v>2421</v>
      </c>
      <c r="C193" s="220" t="s">
        <v>2421</v>
      </c>
      <c r="D193" s="220" t="s">
        <v>2420</v>
      </c>
      <c r="E193" s="220" t="s">
        <v>2419</v>
      </c>
      <c r="F193" s="220" t="s">
        <v>2419</v>
      </c>
      <c r="G193" s="220" t="s">
        <v>2419</v>
      </c>
      <c r="H193" s="220" t="s">
        <v>2418</v>
      </c>
      <c r="I193" s="220" t="s">
        <v>337</v>
      </c>
      <c r="J193" s="220" t="s">
        <v>297</v>
      </c>
      <c r="K193" s="220" t="s">
        <v>336</v>
      </c>
      <c r="L193" s="220" t="s">
        <v>601</v>
      </c>
      <c r="M193" s="220" t="s">
        <v>600</v>
      </c>
      <c r="N193" s="220" t="s">
        <v>329</v>
      </c>
      <c r="O193" s="220" t="s">
        <v>297</v>
      </c>
      <c r="P193" s="220" t="s">
        <v>599</v>
      </c>
      <c r="Q193" s="220" t="s">
        <v>598</v>
      </c>
      <c r="R193" s="220"/>
      <c r="S193" s="220" t="s">
        <v>2129</v>
      </c>
      <c r="T193" s="220" t="s">
        <v>2145</v>
      </c>
      <c r="U193" s="220" t="s">
        <v>2127</v>
      </c>
      <c r="V193" s="220" t="s">
        <v>2126</v>
      </c>
      <c r="W193" s="220"/>
      <c r="X193" s="220"/>
      <c r="Y193" s="283"/>
      <c r="Z193" s="220"/>
      <c r="AA193" s="220"/>
      <c r="AB193" s="220"/>
      <c r="AC193" s="220"/>
      <c r="AD193" s="220"/>
      <c r="AE193" s="283"/>
      <c r="AF193" s="220"/>
      <c r="AG193" s="220"/>
      <c r="AH193" s="220"/>
      <c r="AI193" s="220"/>
      <c r="AJ193" s="226">
        <v>1</v>
      </c>
      <c r="AK193" s="226">
        <v>0</v>
      </c>
      <c r="AL193" s="225">
        <v>0.13167799999999999</v>
      </c>
      <c r="AM193" s="220"/>
      <c r="AN193" s="225">
        <v>617.01599999999996</v>
      </c>
      <c r="AO193" s="220"/>
      <c r="AP193" s="220"/>
      <c r="AQ193" s="283"/>
      <c r="AR193" s="283"/>
      <c r="AS193" s="283"/>
      <c r="AT193" s="223">
        <v>0</v>
      </c>
      <c r="AU193" s="284">
        <v>75</v>
      </c>
      <c r="AV193" s="221">
        <v>42796</v>
      </c>
      <c r="AW193" s="221">
        <v>42796.677917673602</v>
      </c>
      <c r="AX193" s="220" t="s">
        <v>293</v>
      </c>
      <c r="AY193" s="219" t="s">
        <v>2422</v>
      </c>
    </row>
    <row r="194" spans="1:51" hidden="1" outlineLevel="1" collapsed="1">
      <c r="A194" s="227" t="s">
        <v>289</v>
      </c>
      <c r="B194" s="220" t="s">
        <v>2412</v>
      </c>
      <c r="C194" s="220" t="s">
        <v>2412</v>
      </c>
      <c r="D194" s="220" t="s">
        <v>2411</v>
      </c>
      <c r="E194" s="220" t="s">
        <v>2410</v>
      </c>
      <c r="F194" s="220" t="s">
        <v>2410</v>
      </c>
      <c r="G194" s="220" t="s">
        <v>2410</v>
      </c>
      <c r="H194" s="220" t="s">
        <v>2409</v>
      </c>
      <c r="I194" s="220" t="s">
        <v>329</v>
      </c>
      <c r="J194" s="220" t="s">
        <v>297</v>
      </c>
      <c r="K194" s="220" t="s">
        <v>328</v>
      </c>
      <c r="L194" s="220" t="s">
        <v>2356</v>
      </c>
      <c r="M194" s="220" t="s">
        <v>2355</v>
      </c>
      <c r="N194" s="220" t="s">
        <v>329</v>
      </c>
      <c r="O194" s="220" t="s">
        <v>297</v>
      </c>
      <c r="P194" s="220" t="s">
        <v>328</v>
      </c>
      <c r="Q194" s="220" t="s">
        <v>2354</v>
      </c>
      <c r="R194" s="220" t="s">
        <v>2353</v>
      </c>
      <c r="S194" s="220" t="s">
        <v>2129</v>
      </c>
      <c r="T194" s="220" t="s">
        <v>2408</v>
      </c>
      <c r="U194" s="220" t="s">
        <v>2378</v>
      </c>
      <c r="V194" s="220" t="s">
        <v>2126</v>
      </c>
      <c r="W194" s="220"/>
      <c r="X194" s="220"/>
      <c r="Y194" s="283"/>
      <c r="Z194" s="220"/>
      <c r="AA194" s="220"/>
      <c r="AB194" s="220"/>
      <c r="AC194" s="220"/>
      <c r="AD194" s="220"/>
      <c r="AE194" s="283"/>
      <c r="AF194" s="220"/>
      <c r="AG194" s="220"/>
      <c r="AH194" s="220"/>
      <c r="AI194" s="220"/>
      <c r="AJ194" s="226">
        <v>20</v>
      </c>
      <c r="AK194" s="226">
        <v>0</v>
      </c>
      <c r="AL194" s="225">
        <v>0.79161599999999999</v>
      </c>
      <c r="AM194" s="220"/>
      <c r="AN194" s="225">
        <v>4840.6400000000003</v>
      </c>
      <c r="AO194" s="220"/>
      <c r="AP194" s="220"/>
      <c r="AQ194" s="283"/>
      <c r="AR194" s="283"/>
      <c r="AS194" s="283"/>
      <c r="AT194" s="223">
        <v>0</v>
      </c>
      <c r="AU194" s="284">
        <v>460</v>
      </c>
      <c r="AV194" s="221">
        <v>42796</v>
      </c>
      <c r="AW194" s="221">
        <v>42796.702790740703</v>
      </c>
      <c r="AX194" s="220" t="s">
        <v>293</v>
      </c>
      <c r="AY194" s="219" t="s">
        <v>2407</v>
      </c>
    </row>
    <row r="195" spans="1:51" hidden="1" outlineLevel="1" collapsed="1">
      <c r="A195" s="227" t="s">
        <v>289</v>
      </c>
      <c r="B195" s="220" t="s">
        <v>2412</v>
      </c>
      <c r="C195" s="220" t="s">
        <v>2412</v>
      </c>
      <c r="D195" s="220" t="s">
        <v>2411</v>
      </c>
      <c r="E195" s="220" t="s">
        <v>2410</v>
      </c>
      <c r="F195" s="220" t="s">
        <v>2410</v>
      </c>
      <c r="G195" s="220" t="s">
        <v>2410</v>
      </c>
      <c r="H195" s="220" t="s">
        <v>2409</v>
      </c>
      <c r="I195" s="220" t="s">
        <v>329</v>
      </c>
      <c r="J195" s="220" t="s">
        <v>297</v>
      </c>
      <c r="K195" s="220" t="s">
        <v>328</v>
      </c>
      <c r="L195" s="220" t="s">
        <v>2356</v>
      </c>
      <c r="M195" s="220" t="s">
        <v>2355</v>
      </c>
      <c r="N195" s="220" t="s">
        <v>329</v>
      </c>
      <c r="O195" s="220" t="s">
        <v>297</v>
      </c>
      <c r="P195" s="220" t="s">
        <v>328</v>
      </c>
      <c r="Q195" s="220" t="s">
        <v>2354</v>
      </c>
      <c r="R195" s="220" t="s">
        <v>2353</v>
      </c>
      <c r="S195" s="220" t="s">
        <v>2129</v>
      </c>
      <c r="T195" s="220" t="s">
        <v>2128</v>
      </c>
      <c r="U195" s="220" t="s">
        <v>2378</v>
      </c>
      <c r="V195" s="220" t="s">
        <v>2126</v>
      </c>
      <c r="W195" s="220"/>
      <c r="X195" s="220"/>
      <c r="Y195" s="283"/>
      <c r="Z195" s="220"/>
      <c r="AA195" s="220"/>
      <c r="AB195" s="220"/>
      <c r="AC195" s="220"/>
      <c r="AD195" s="220"/>
      <c r="AE195" s="283"/>
      <c r="AF195" s="220"/>
      <c r="AG195" s="220"/>
      <c r="AH195" s="220"/>
      <c r="AI195" s="220"/>
      <c r="AJ195" s="226">
        <v>101</v>
      </c>
      <c r="AK195" s="226">
        <v>0</v>
      </c>
      <c r="AL195" s="225">
        <v>2.5791360000000001</v>
      </c>
      <c r="AM195" s="220"/>
      <c r="AN195" s="225">
        <v>15771.15</v>
      </c>
      <c r="AO195" s="220"/>
      <c r="AP195" s="220"/>
      <c r="AQ195" s="283"/>
      <c r="AR195" s="283"/>
      <c r="AS195" s="283"/>
      <c r="AT195" s="223">
        <v>0</v>
      </c>
      <c r="AU195" s="284">
        <v>277.75</v>
      </c>
      <c r="AV195" s="221">
        <v>42796</v>
      </c>
      <c r="AW195" s="221">
        <v>42796.702790740703</v>
      </c>
      <c r="AX195" s="220" t="s">
        <v>293</v>
      </c>
      <c r="AY195" s="219" t="s">
        <v>2414</v>
      </c>
    </row>
    <row r="196" spans="1:51" ht="20.399999999999999" hidden="1" outlineLevel="1" collapsed="1">
      <c r="A196" s="227" t="s">
        <v>289</v>
      </c>
      <c r="B196" s="220" t="s">
        <v>2412</v>
      </c>
      <c r="C196" s="220" t="s">
        <v>2412</v>
      </c>
      <c r="D196" s="220" t="s">
        <v>2411</v>
      </c>
      <c r="E196" s="220" t="s">
        <v>2410</v>
      </c>
      <c r="F196" s="220" t="s">
        <v>2410</v>
      </c>
      <c r="G196" s="220" t="s">
        <v>2410</v>
      </c>
      <c r="H196" s="220" t="s">
        <v>2409</v>
      </c>
      <c r="I196" s="220" t="s">
        <v>329</v>
      </c>
      <c r="J196" s="220" t="s">
        <v>297</v>
      </c>
      <c r="K196" s="220" t="s">
        <v>328</v>
      </c>
      <c r="L196" s="220" t="s">
        <v>2356</v>
      </c>
      <c r="M196" s="220" t="s">
        <v>2355</v>
      </c>
      <c r="N196" s="220" t="s">
        <v>329</v>
      </c>
      <c r="O196" s="220" t="s">
        <v>297</v>
      </c>
      <c r="P196" s="220" t="s">
        <v>328</v>
      </c>
      <c r="Q196" s="220" t="s">
        <v>2354</v>
      </c>
      <c r="R196" s="220" t="s">
        <v>2353</v>
      </c>
      <c r="S196" s="220" t="s">
        <v>2129</v>
      </c>
      <c r="T196" s="220" t="s">
        <v>2173</v>
      </c>
      <c r="U196" s="220" t="s">
        <v>2378</v>
      </c>
      <c r="V196" s="220" t="s">
        <v>2126</v>
      </c>
      <c r="W196" s="220"/>
      <c r="X196" s="220"/>
      <c r="Y196" s="283"/>
      <c r="Z196" s="220"/>
      <c r="AA196" s="220"/>
      <c r="AB196" s="220"/>
      <c r="AC196" s="220"/>
      <c r="AD196" s="220"/>
      <c r="AE196" s="283"/>
      <c r="AF196" s="220"/>
      <c r="AG196" s="220"/>
      <c r="AH196" s="220"/>
      <c r="AI196" s="220"/>
      <c r="AJ196" s="226">
        <v>24</v>
      </c>
      <c r="AK196" s="226">
        <v>0</v>
      </c>
      <c r="AL196" s="225">
        <v>0.30643199999999998</v>
      </c>
      <c r="AM196" s="220"/>
      <c r="AN196" s="225">
        <v>1873.8</v>
      </c>
      <c r="AO196" s="220"/>
      <c r="AP196" s="220"/>
      <c r="AQ196" s="283"/>
      <c r="AR196" s="283"/>
      <c r="AS196" s="283"/>
      <c r="AT196" s="223">
        <v>0</v>
      </c>
      <c r="AU196" s="284">
        <v>165.36</v>
      </c>
      <c r="AV196" s="221">
        <v>42796</v>
      </c>
      <c r="AW196" s="221">
        <v>42796.702790740703</v>
      </c>
      <c r="AX196" s="220" t="s">
        <v>293</v>
      </c>
      <c r="AY196" s="219" t="s">
        <v>2415</v>
      </c>
    </row>
    <row r="197" spans="1:51" hidden="1" outlineLevel="1" collapsed="1">
      <c r="A197" s="227" t="s">
        <v>289</v>
      </c>
      <c r="B197" s="220" t="s">
        <v>2412</v>
      </c>
      <c r="C197" s="220" t="s">
        <v>2412</v>
      </c>
      <c r="D197" s="220" t="s">
        <v>2411</v>
      </c>
      <c r="E197" s="220" t="s">
        <v>2410</v>
      </c>
      <c r="F197" s="220" t="s">
        <v>2410</v>
      </c>
      <c r="G197" s="220" t="s">
        <v>2410</v>
      </c>
      <c r="H197" s="220" t="s">
        <v>2409</v>
      </c>
      <c r="I197" s="220" t="s">
        <v>329</v>
      </c>
      <c r="J197" s="220" t="s">
        <v>297</v>
      </c>
      <c r="K197" s="220" t="s">
        <v>328</v>
      </c>
      <c r="L197" s="220" t="s">
        <v>2356</v>
      </c>
      <c r="M197" s="220" t="s">
        <v>2355</v>
      </c>
      <c r="N197" s="220" t="s">
        <v>329</v>
      </c>
      <c r="O197" s="220" t="s">
        <v>297</v>
      </c>
      <c r="P197" s="220" t="s">
        <v>328</v>
      </c>
      <c r="Q197" s="220" t="s">
        <v>2354</v>
      </c>
      <c r="R197" s="220" t="s">
        <v>2353</v>
      </c>
      <c r="S197" s="220" t="s">
        <v>2129</v>
      </c>
      <c r="T197" s="220" t="s">
        <v>2218</v>
      </c>
      <c r="U197" s="220" t="s">
        <v>2378</v>
      </c>
      <c r="V197" s="220" t="s">
        <v>2126</v>
      </c>
      <c r="W197" s="220"/>
      <c r="X197" s="220"/>
      <c r="Y197" s="283"/>
      <c r="Z197" s="220"/>
      <c r="AA197" s="220"/>
      <c r="AB197" s="220"/>
      <c r="AC197" s="220"/>
      <c r="AD197" s="220"/>
      <c r="AE197" s="283"/>
      <c r="AF197" s="220"/>
      <c r="AG197" s="220"/>
      <c r="AH197" s="220"/>
      <c r="AI197" s="220"/>
      <c r="AJ197" s="226">
        <v>14</v>
      </c>
      <c r="AK197" s="226">
        <v>0</v>
      </c>
      <c r="AL197" s="225">
        <v>1.5745070000000001</v>
      </c>
      <c r="AM197" s="220"/>
      <c r="AN197" s="225">
        <v>9627.94</v>
      </c>
      <c r="AO197" s="220"/>
      <c r="AP197" s="220"/>
      <c r="AQ197" s="283"/>
      <c r="AR197" s="283"/>
      <c r="AS197" s="283"/>
      <c r="AT197" s="223">
        <v>0</v>
      </c>
      <c r="AU197" s="284">
        <v>126.56</v>
      </c>
      <c r="AV197" s="221">
        <v>42796</v>
      </c>
      <c r="AW197" s="221">
        <v>42796.702790740703</v>
      </c>
      <c r="AX197" s="220" t="s">
        <v>293</v>
      </c>
      <c r="AY197" s="219" t="s">
        <v>2416</v>
      </c>
    </row>
    <row r="198" spans="1:51" hidden="1" outlineLevel="1" collapsed="1">
      <c r="A198" s="227" t="s">
        <v>289</v>
      </c>
      <c r="B198" s="220" t="s">
        <v>2412</v>
      </c>
      <c r="C198" s="220" t="s">
        <v>2412</v>
      </c>
      <c r="D198" s="220" t="s">
        <v>2411</v>
      </c>
      <c r="E198" s="220" t="s">
        <v>2410</v>
      </c>
      <c r="F198" s="220" t="s">
        <v>2410</v>
      </c>
      <c r="G198" s="220" t="s">
        <v>2410</v>
      </c>
      <c r="H198" s="220" t="s">
        <v>2409</v>
      </c>
      <c r="I198" s="220" t="s">
        <v>329</v>
      </c>
      <c r="J198" s="220" t="s">
        <v>297</v>
      </c>
      <c r="K198" s="220" t="s">
        <v>328</v>
      </c>
      <c r="L198" s="220" t="s">
        <v>2356</v>
      </c>
      <c r="M198" s="220" t="s">
        <v>2355</v>
      </c>
      <c r="N198" s="220" t="s">
        <v>329</v>
      </c>
      <c r="O198" s="220" t="s">
        <v>297</v>
      </c>
      <c r="P198" s="220" t="s">
        <v>328</v>
      </c>
      <c r="Q198" s="220" t="s">
        <v>2354</v>
      </c>
      <c r="R198" s="220" t="s">
        <v>2353</v>
      </c>
      <c r="S198" s="220" t="s">
        <v>2129</v>
      </c>
      <c r="T198" s="220" t="s">
        <v>2166</v>
      </c>
      <c r="U198" s="220" t="s">
        <v>2378</v>
      </c>
      <c r="V198" s="220" t="s">
        <v>2126</v>
      </c>
      <c r="W198" s="220"/>
      <c r="X198" s="220"/>
      <c r="Y198" s="283"/>
      <c r="Z198" s="220"/>
      <c r="AA198" s="220"/>
      <c r="AB198" s="220"/>
      <c r="AC198" s="220"/>
      <c r="AD198" s="220"/>
      <c r="AE198" s="283"/>
      <c r="AF198" s="220"/>
      <c r="AG198" s="220"/>
      <c r="AH198" s="220"/>
      <c r="AI198" s="220"/>
      <c r="AJ198" s="226">
        <v>38</v>
      </c>
      <c r="AK198" s="226">
        <v>0</v>
      </c>
      <c r="AL198" s="225">
        <v>1.536416</v>
      </c>
      <c r="AM198" s="220"/>
      <c r="AN198" s="225">
        <v>9395.0059999999994</v>
      </c>
      <c r="AO198" s="220"/>
      <c r="AP198" s="220"/>
      <c r="AQ198" s="283"/>
      <c r="AR198" s="283"/>
      <c r="AS198" s="283"/>
      <c r="AT198" s="223">
        <v>0</v>
      </c>
      <c r="AU198" s="284">
        <v>242.06</v>
      </c>
      <c r="AV198" s="221">
        <v>42796</v>
      </c>
      <c r="AW198" s="221">
        <v>42796.702790740703</v>
      </c>
      <c r="AX198" s="220" t="s">
        <v>293</v>
      </c>
      <c r="AY198" s="219" t="s">
        <v>2413</v>
      </c>
    </row>
    <row r="199" spans="1:51" ht="20.399999999999999" hidden="1" outlineLevel="1" collapsed="1">
      <c r="A199" s="227" t="s">
        <v>289</v>
      </c>
      <c r="B199" s="220" t="s">
        <v>2406</v>
      </c>
      <c r="C199" s="220" t="s">
        <v>2406</v>
      </c>
      <c r="D199" s="220" t="s">
        <v>2405</v>
      </c>
      <c r="E199" s="220" t="s">
        <v>2052</v>
      </c>
      <c r="F199" s="220" t="s">
        <v>2052</v>
      </c>
      <c r="G199" s="220" t="s">
        <v>2052</v>
      </c>
      <c r="H199" s="220" t="s">
        <v>2051</v>
      </c>
      <c r="I199" s="220" t="s">
        <v>928</v>
      </c>
      <c r="J199" s="220" t="s">
        <v>297</v>
      </c>
      <c r="K199" s="220" t="s">
        <v>412</v>
      </c>
      <c r="L199" s="220" t="s">
        <v>2270</v>
      </c>
      <c r="M199" s="220" t="s">
        <v>2269</v>
      </c>
      <c r="N199" s="220" t="s">
        <v>329</v>
      </c>
      <c r="O199" s="220" t="s">
        <v>297</v>
      </c>
      <c r="P199" s="220" t="s">
        <v>328</v>
      </c>
      <c r="Q199" s="220" t="s">
        <v>2268</v>
      </c>
      <c r="R199" s="220"/>
      <c r="S199" s="220" t="s">
        <v>2129</v>
      </c>
      <c r="T199" s="220" t="s">
        <v>2173</v>
      </c>
      <c r="U199" s="220" t="s">
        <v>2404</v>
      </c>
      <c r="V199" s="220" t="s">
        <v>2126</v>
      </c>
      <c r="W199" s="220"/>
      <c r="X199" s="220"/>
      <c r="Y199" s="283"/>
      <c r="Z199" s="220"/>
      <c r="AA199" s="220"/>
      <c r="AB199" s="220"/>
      <c r="AC199" s="220"/>
      <c r="AD199" s="220"/>
      <c r="AE199" s="283"/>
      <c r="AF199" s="220"/>
      <c r="AG199" s="220"/>
      <c r="AH199" s="220"/>
      <c r="AI199" s="220"/>
      <c r="AJ199" s="226">
        <v>32</v>
      </c>
      <c r="AK199" s="226">
        <v>0</v>
      </c>
      <c r="AL199" s="225">
        <v>0.39244800000000002</v>
      </c>
      <c r="AM199" s="220"/>
      <c r="AN199" s="225">
        <v>1796.864</v>
      </c>
      <c r="AO199" s="220"/>
      <c r="AP199" s="220"/>
      <c r="AQ199" s="283"/>
      <c r="AR199" s="283"/>
      <c r="AS199" s="283"/>
      <c r="AT199" s="223">
        <v>0</v>
      </c>
      <c r="AU199" s="284">
        <v>256</v>
      </c>
      <c r="AV199" s="221">
        <v>42796</v>
      </c>
      <c r="AW199" s="221">
        <v>42796.756497071801</v>
      </c>
      <c r="AX199" s="220" t="s">
        <v>293</v>
      </c>
      <c r="AY199" s="219" t="s">
        <v>2403</v>
      </c>
    </row>
    <row r="200" spans="1:51" ht="20.399999999999999" hidden="1" outlineLevel="1" collapsed="1">
      <c r="A200" s="227" t="s">
        <v>289</v>
      </c>
      <c r="B200" s="220" t="s">
        <v>2398</v>
      </c>
      <c r="C200" s="220" t="s">
        <v>2398</v>
      </c>
      <c r="D200" s="220" t="s">
        <v>2397</v>
      </c>
      <c r="E200" s="220" t="s">
        <v>2396</v>
      </c>
      <c r="F200" s="220" t="s">
        <v>2396</v>
      </c>
      <c r="G200" s="220" t="s">
        <v>2396</v>
      </c>
      <c r="H200" s="220" t="s">
        <v>2395</v>
      </c>
      <c r="I200" s="220" t="s">
        <v>568</v>
      </c>
      <c r="J200" s="220" t="s">
        <v>297</v>
      </c>
      <c r="K200" s="220" t="s">
        <v>567</v>
      </c>
      <c r="L200" s="220" t="s">
        <v>2211</v>
      </c>
      <c r="M200" s="220" t="s">
        <v>2210</v>
      </c>
      <c r="N200" s="220" t="s">
        <v>298</v>
      </c>
      <c r="O200" s="220" t="s">
        <v>297</v>
      </c>
      <c r="P200" s="220" t="s">
        <v>296</v>
      </c>
      <c r="Q200" s="220" t="s">
        <v>2209</v>
      </c>
      <c r="R200" s="220" t="s">
        <v>2208</v>
      </c>
      <c r="S200" s="220" t="s">
        <v>2129</v>
      </c>
      <c r="T200" s="220" t="s">
        <v>2173</v>
      </c>
      <c r="U200" s="220" t="s">
        <v>2373</v>
      </c>
      <c r="V200" s="220" t="s">
        <v>2126</v>
      </c>
      <c r="W200" s="220"/>
      <c r="X200" s="220"/>
      <c r="Y200" s="283"/>
      <c r="Z200" s="220"/>
      <c r="AA200" s="220"/>
      <c r="AB200" s="220"/>
      <c r="AC200" s="220"/>
      <c r="AD200" s="220"/>
      <c r="AE200" s="283"/>
      <c r="AF200" s="220"/>
      <c r="AG200" s="220"/>
      <c r="AH200" s="220"/>
      <c r="AI200" s="220"/>
      <c r="AJ200" s="226">
        <v>512</v>
      </c>
      <c r="AK200" s="226">
        <v>0</v>
      </c>
      <c r="AL200" s="225">
        <v>1.9464189999999999</v>
      </c>
      <c r="AM200" s="220"/>
      <c r="AN200" s="225">
        <v>17871.36</v>
      </c>
      <c r="AO200" s="220"/>
      <c r="AP200" s="220"/>
      <c r="AQ200" s="283"/>
      <c r="AR200" s="283"/>
      <c r="AS200" s="283"/>
      <c r="AT200" s="223">
        <v>0</v>
      </c>
      <c r="AU200" s="284">
        <v>4096</v>
      </c>
      <c r="AV200" s="221">
        <v>42796</v>
      </c>
      <c r="AW200" s="221">
        <v>42796.784825659699</v>
      </c>
      <c r="AX200" s="220" t="s">
        <v>293</v>
      </c>
      <c r="AY200" s="219" t="s">
        <v>2402</v>
      </c>
    </row>
    <row r="201" spans="1:51" hidden="1" outlineLevel="1" collapsed="1">
      <c r="A201" s="227" t="s">
        <v>289</v>
      </c>
      <c r="B201" s="220" t="s">
        <v>2398</v>
      </c>
      <c r="C201" s="220" t="s">
        <v>2398</v>
      </c>
      <c r="D201" s="220" t="s">
        <v>2397</v>
      </c>
      <c r="E201" s="220" t="s">
        <v>2396</v>
      </c>
      <c r="F201" s="220" t="s">
        <v>2396</v>
      </c>
      <c r="G201" s="220" t="s">
        <v>2396</v>
      </c>
      <c r="H201" s="220" t="s">
        <v>2395</v>
      </c>
      <c r="I201" s="220" t="s">
        <v>568</v>
      </c>
      <c r="J201" s="220" t="s">
        <v>297</v>
      </c>
      <c r="K201" s="220" t="s">
        <v>567</v>
      </c>
      <c r="L201" s="220" t="s">
        <v>2211</v>
      </c>
      <c r="M201" s="220" t="s">
        <v>2210</v>
      </c>
      <c r="N201" s="220" t="s">
        <v>298</v>
      </c>
      <c r="O201" s="220" t="s">
        <v>297</v>
      </c>
      <c r="P201" s="220" t="s">
        <v>296</v>
      </c>
      <c r="Q201" s="220" t="s">
        <v>2209</v>
      </c>
      <c r="R201" s="220" t="s">
        <v>2208</v>
      </c>
      <c r="S201" s="220" t="s">
        <v>2129</v>
      </c>
      <c r="T201" s="220" t="s">
        <v>2139</v>
      </c>
      <c r="U201" s="220" t="s">
        <v>2373</v>
      </c>
      <c r="V201" s="220" t="s">
        <v>2126</v>
      </c>
      <c r="W201" s="220"/>
      <c r="X201" s="220"/>
      <c r="Y201" s="283"/>
      <c r="Z201" s="220"/>
      <c r="AA201" s="220"/>
      <c r="AB201" s="220"/>
      <c r="AC201" s="220"/>
      <c r="AD201" s="220"/>
      <c r="AE201" s="283"/>
      <c r="AF201" s="220"/>
      <c r="AG201" s="220"/>
      <c r="AH201" s="220"/>
      <c r="AI201" s="220"/>
      <c r="AJ201" s="226">
        <v>1</v>
      </c>
      <c r="AK201" s="226">
        <v>0</v>
      </c>
      <c r="AL201" s="225">
        <v>7.7489000000000002E-2</v>
      </c>
      <c r="AM201" s="220"/>
      <c r="AN201" s="225">
        <v>711.48</v>
      </c>
      <c r="AO201" s="220"/>
      <c r="AP201" s="220"/>
      <c r="AQ201" s="283"/>
      <c r="AR201" s="283"/>
      <c r="AS201" s="283"/>
      <c r="AT201" s="223">
        <v>0</v>
      </c>
      <c r="AU201" s="284">
        <v>100</v>
      </c>
      <c r="AV201" s="221">
        <v>42796</v>
      </c>
      <c r="AW201" s="221">
        <v>42796.784825659699</v>
      </c>
      <c r="AX201" s="220" t="s">
        <v>293</v>
      </c>
      <c r="AY201" s="219" t="s">
        <v>2399</v>
      </c>
    </row>
    <row r="202" spans="1:51" hidden="1" outlineLevel="1" collapsed="1">
      <c r="A202" s="227" t="s">
        <v>289</v>
      </c>
      <c r="B202" s="220" t="s">
        <v>2398</v>
      </c>
      <c r="C202" s="220" t="s">
        <v>2398</v>
      </c>
      <c r="D202" s="220" t="s">
        <v>2397</v>
      </c>
      <c r="E202" s="220" t="s">
        <v>2396</v>
      </c>
      <c r="F202" s="220" t="s">
        <v>2396</v>
      </c>
      <c r="G202" s="220" t="s">
        <v>2396</v>
      </c>
      <c r="H202" s="220" t="s">
        <v>2395</v>
      </c>
      <c r="I202" s="220" t="s">
        <v>568</v>
      </c>
      <c r="J202" s="220" t="s">
        <v>297</v>
      </c>
      <c r="K202" s="220" t="s">
        <v>567</v>
      </c>
      <c r="L202" s="220" t="s">
        <v>2211</v>
      </c>
      <c r="M202" s="220" t="s">
        <v>2210</v>
      </c>
      <c r="N202" s="220" t="s">
        <v>298</v>
      </c>
      <c r="O202" s="220" t="s">
        <v>297</v>
      </c>
      <c r="P202" s="220" t="s">
        <v>296</v>
      </c>
      <c r="Q202" s="220" t="s">
        <v>2209</v>
      </c>
      <c r="R202" s="220" t="s">
        <v>2208</v>
      </c>
      <c r="S202" s="220" t="s">
        <v>2129</v>
      </c>
      <c r="T202" s="220" t="s">
        <v>2145</v>
      </c>
      <c r="U202" s="220" t="s">
        <v>2373</v>
      </c>
      <c r="V202" s="220" t="s">
        <v>2126</v>
      </c>
      <c r="W202" s="220"/>
      <c r="X202" s="220"/>
      <c r="Y202" s="283"/>
      <c r="Z202" s="220"/>
      <c r="AA202" s="220"/>
      <c r="AB202" s="220"/>
      <c r="AC202" s="220"/>
      <c r="AD202" s="220"/>
      <c r="AE202" s="283"/>
      <c r="AF202" s="220"/>
      <c r="AG202" s="220"/>
      <c r="AH202" s="220"/>
      <c r="AI202" s="220"/>
      <c r="AJ202" s="226">
        <v>4</v>
      </c>
      <c r="AK202" s="226">
        <v>0</v>
      </c>
      <c r="AL202" s="225">
        <v>0.165243</v>
      </c>
      <c r="AM202" s="220"/>
      <c r="AN202" s="225">
        <v>1517.204</v>
      </c>
      <c r="AO202" s="220"/>
      <c r="AP202" s="220"/>
      <c r="AQ202" s="283"/>
      <c r="AR202" s="283"/>
      <c r="AS202" s="283"/>
      <c r="AT202" s="223">
        <v>0</v>
      </c>
      <c r="AU202" s="284">
        <v>300</v>
      </c>
      <c r="AV202" s="221">
        <v>42796</v>
      </c>
      <c r="AW202" s="221">
        <v>42796.784825659699</v>
      </c>
      <c r="AX202" s="220" t="s">
        <v>293</v>
      </c>
      <c r="AY202" s="219" t="s">
        <v>2394</v>
      </c>
    </row>
    <row r="203" spans="1:51" ht="20.399999999999999" hidden="1" outlineLevel="1" collapsed="1">
      <c r="A203" s="227" t="s">
        <v>289</v>
      </c>
      <c r="B203" s="220" t="s">
        <v>2398</v>
      </c>
      <c r="C203" s="220" t="s">
        <v>2398</v>
      </c>
      <c r="D203" s="220" t="s">
        <v>2397</v>
      </c>
      <c r="E203" s="220" t="s">
        <v>2396</v>
      </c>
      <c r="F203" s="220" t="s">
        <v>2396</v>
      </c>
      <c r="G203" s="220" t="s">
        <v>2396</v>
      </c>
      <c r="H203" s="220" t="s">
        <v>2395</v>
      </c>
      <c r="I203" s="220" t="s">
        <v>568</v>
      </c>
      <c r="J203" s="220" t="s">
        <v>297</v>
      </c>
      <c r="K203" s="220" t="s">
        <v>567</v>
      </c>
      <c r="L203" s="220" t="s">
        <v>2211</v>
      </c>
      <c r="M203" s="220" t="s">
        <v>2210</v>
      </c>
      <c r="N203" s="220" t="s">
        <v>298</v>
      </c>
      <c r="O203" s="220" t="s">
        <v>297</v>
      </c>
      <c r="P203" s="220" t="s">
        <v>296</v>
      </c>
      <c r="Q203" s="220" t="s">
        <v>2209</v>
      </c>
      <c r="R203" s="220" t="s">
        <v>2208</v>
      </c>
      <c r="S203" s="220" t="s">
        <v>2129</v>
      </c>
      <c r="T203" s="220" t="s">
        <v>2173</v>
      </c>
      <c r="U203" s="220" t="s">
        <v>2373</v>
      </c>
      <c r="V203" s="220" t="s">
        <v>2126</v>
      </c>
      <c r="W203" s="220"/>
      <c r="X203" s="220"/>
      <c r="Y203" s="283"/>
      <c r="Z203" s="220"/>
      <c r="AA203" s="220"/>
      <c r="AB203" s="220"/>
      <c r="AC203" s="220"/>
      <c r="AD203" s="220"/>
      <c r="AE203" s="283"/>
      <c r="AF203" s="220"/>
      <c r="AG203" s="220"/>
      <c r="AH203" s="220"/>
      <c r="AI203" s="220"/>
      <c r="AJ203" s="226">
        <v>100</v>
      </c>
      <c r="AK203" s="226">
        <v>0</v>
      </c>
      <c r="AL203" s="225">
        <v>0.38016</v>
      </c>
      <c r="AM203" s="220"/>
      <c r="AN203" s="225">
        <v>3490.5</v>
      </c>
      <c r="AO203" s="220"/>
      <c r="AP203" s="220"/>
      <c r="AQ203" s="283"/>
      <c r="AR203" s="283"/>
      <c r="AS203" s="283"/>
      <c r="AT203" s="223">
        <v>0</v>
      </c>
      <c r="AU203" s="284">
        <v>800</v>
      </c>
      <c r="AV203" s="221">
        <v>42796</v>
      </c>
      <c r="AW203" s="221">
        <v>42796.784825659699</v>
      </c>
      <c r="AX203" s="220" t="s">
        <v>293</v>
      </c>
      <c r="AY203" s="219" t="s">
        <v>2401</v>
      </c>
    </row>
    <row r="204" spans="1:51" hidden="1" outlineLevel="1" collapsed="1">
      <c r="A204" s="227" t="s">
        <v>289</v>
      </c>
      <c r="B204" s="220" t="s">
        <v>2398</v>
      </c>
      <c r="C204" s="220" t="s">
        <v>2398</v>
      </c>
      <c r="D204" s="220" t="s">
        <v>2397</v>
      </c>
      <c r="E204" s="220" t="s">
        <v>2396</v>
      </c>
      <c r="F204" s="220" t="s">
        <v>2396</v>
      </c>
      <c r="G204" s="220" t="s">
        <v>2396</v>
      </c>
      <c r="H204" s="220" t="s">
        <v>2395</v>
      </c>
      <c r="I204" s="220" t="s">
        <v>568</v>
      </c>
      <c r="J204" s="220" t="s">
        <v>297</v>
      </c>
      <c r="K204" s="220" t="s">
        <v>567</v>
      </c>
      <c r="L204" s="220" t="s">
        <v>2211</v>
      </c>
      <c r="M204" s="220" t="s">
        <v>2210</v>
      </c>
      <c r="N204" s="220" t="s">
        <v>298</v>
      </c>
      <c r="O204" s="220" t="s">
        <v>297</v>
      </c>
      <c r="P204" s="220" t="s">
        <v>296</v>
      </c>
      <c r="Q204" s="220" t="s">
        <v>2209</v>
      </c>
      <c r="R204" s="220" t="s">
        <v>2208</v>
      </c>
      <c r="S204" s="220" t="s">
        <v>2129</v>
      </c>
      <c r="T204" s="220" t="s">
        <v>2166</v>
      </c>
      <c r="U204" s="220" t="s">
        <v>2373</v>
      </c>
      <c r="V204" s="220" t="s">
        <v>2126</v>
      </c>
      <c r="W204" s="220"/>
      <c r="X204" s="220"/>
      <c r="Y204" s="283"/>
      <c r="Z204" s="220"/>
      <c r="AA204" s="220"/>
      <c r="AB204" s="220"/>
      <c r="AC204" s="220"/>
      <c r="AD204" s="220"/>
      <c r="AE204" s="283"/>
      <c r="AF204" s="220"/>
      <c r="AG204" s="220"/>
      <c r="AH204" s="220"/>
      <c r="AI204" s="220"/>
      <c r="AJ204" s="226">
        <v>28</v>
      </c>
      <c r="AK204" s="226">
        <v>0</v>
      </c>
      <c r="AL204" s="225">
        <v>0.33707500000000001</v>
      </c>
      <c r="AM204" s="220"/>
      <c r="AN204" s="225">
        <v>3094.924</v>
      </c>
      <c r="AO204" s="220"/>
      <c r="AP204" s="220"/>
      <c r="AQ204" s="283"/>
      <c r="AR204" s="283"/>
      <c r="AS204" s="283"/>
      <c r="AT204" s="223">
        <v>0</v>
      </c>
      <c r="AU204" s="284">
        <v>350</v>
      </c>
      <c r="AV204" s="221">
        <v>42796</v>
      </c>
      <c r="AW204" s="221">
        <v>42796.784825659699</v>
      </c>
      <c r="AX204" s="220" t="s">
        <v>293</v>
      </c>
      <c r="AY204" s="219" t="s">
        <v>2400</v>
      </c>
    </row>
    <row r="205" spans="1:51" hidden="1" outlineLevel="1" collapsed="1">
      <c r="A205" s="227" t="s">
        <v>289</v>
      </c>
      <c r="B205" s="220" t="s">
        <v>2393</v>
      </c>
      <c r="C205" s="220" t="s">
        <v>2393</v>
      </c>
      <c r="D205" s="220" t="s">
        <v>2392</v>
      </c>
      <c r="E205" s="220" t="s">
        <v>2391</v>
      </c>
      <c r="F205" s="220" t="s">
        <v>2391</v>
      </c>
      <c r="G205" s="220" t="s">
        <v>2391</v>
      </c>
      <c r="H205" s="220" t="s">
        <v>2390</v>
      </c>
      <c r="I205" s="220" t="s">
        <v>329</v>
      </c>
      <c r="J205" s="220" t="s">
        <v>297</v>
      </c>
      <c r="K205" s="220" t="s">
        <v>397</v>
      </c>
      <c r="L205" s="220" t="s">
        <v>2389</v>
      </c>
      <c r="M205" s="220" t="s">
        <v>2388</v>
      </c>
      <c r="N205" s="220" t="s">
        <v>329</v>
      </c>
      <c r="O205" s="220" t="s">
        <v>297</v>
      </c>
      <c r="P205" s="220" t="s">
        <v>397</v>
      </c>
      <c r="Q205" s="220" t="s">
        <v>2387</v>
      </c>
      <c r="R205" s="220" t="s">
        <v>2386</v>
      </c>
      <c r="S205" s="220" t="s">
        <v>2129</v>
      </c>
      <c r="T205" s="220" t="s">
        <v>2145</v>
      </c>
      <c r="U205" s="220" t="s">
        <v>2202</v>
      </c>
      <c r="V205" s="220" t="s">
        <v>2126</v>
      </c>
      <c r="W205" s="220"/>
      <c r="X205" s="220"/>
      <c r="Y205" s="283"/>
      <c r="Z205" s="220"/>
      <c r="AA205" s="220"/>
      <c r="AB205" s="220"/>
      <c r="AC205" s="220"/>
      <c r="AD205" s="220"/>
      <c r="AE205" s="283"/>
      <c r="AF205" s="220"/>
      <c r="AG205" s="220"/>
      <c r="AH205" s="220"/>
      <c r="AI205" s="220"/>
      <c r="AJ205" s="226">
        <v>5</v>
      </c>
      <c r="AK205" s="226">
        <v>0</v>
      </c>
      <c r="AL205" s="225">
        <v>0.60675100000000004</v>
      </c>
      <c r="AM205" s="220"/>
      <c r="AN205" s="225">
        <v>2697.9250000000002</v>
      </c>
      <c r="AO205" s="220"/>
      <c r="AP205" s="220"/>
      <c r="AQ205" s="283"/>
      <c r="AR205" s="283"/>
      <c r="AS205" s="283"/>
      <c r="AT205" s="223">
        <v>0</v>
      </c>
      <c r="AU205" s="284">
        <v>375</v>
      </c>
      <c r="AV205" s="221">
        <v>42797</v>
      </c>
      <c r="AW205" s="221">
        <v>42797.695157523201</v>
      </c>
      <c r="AX205" s="220" t="s">
        <v>293</v>
      </c>
      <c r="AY205" s="219" t="s">
        <v>2385</v>
      </c>
    </row>
    <row r="206" spans="1:51" ht="20.399999999999999" hidden="1" outlineLevel="1" collapsed="1">
      <c r="A206" s="227" t="s">
        <v>289</v>
      </c>
      <c r="B206" s="220" t="s">
        <v>2383</v>
      </c>
      <c r="C206" s="220" t="s">
        <v>2383</v>
      </c>
      <c r="D206" s="220" t="s">
        <v>2382</v>
      </c>
      <c r="E206" s="220" t="s">
        <v>2381</v>
      </c>
      <c r="F206" s="220" t="s">
        <v>2380</v>
      </c>
      <c r="G206" s="220" t="s">
        <v>2380</v>
      </c>
      <c r="H206" s="220" t="s">
        <v>2379</v>
      </c>
      <c r="I206" s="220" t="s">
        <v>298</v>
      </c>
      <c r="J206" s="220" t="s">
        <v>297</v>
      </c>
      <c r="K206" s="220" t="s">
        <v>296</v>
      </c>
      <c r="L206" s="220" t="s">
        <v>601</v>
      </c>
      <c r="M206" s="220" t="s">
        <v>600</v>
      </c>
      <c r="N206" s="220" t="s">
        <v>329</v>
      </c>
      <c r="O206" s="220" t="s">
        <v>297</v>
      </c>
      <c r="P206" s="220" t="s">
        <v>599</v>
      </c>
      <c r="Q206" s="220" t="s">
        <v>598</v>
      </c>
      <c r="R206" s="220"/>
      <c r="S206" s="220" t="s">
        <v>2129</v>
      </c>
      <c r="T206" s="220" t="s">
        <v>2147</v>
      </c>
      <c r="U206" s="220" t="s">
        <v>2378</v>
      </c>
      <c r="V206" s="220" t="s">
        <v>2126</v>
      </c>
      <c r="W206" s="220"/>
      <c r="X206" s="220"/>
      <c r="Y206" s="283"/>
      <c r="Z206" s="220"/>
      <c r="AA206" s="220"/>
      <c r="AB206" s="220"/>
      <c r="AC206" s="220"/>
      <c r="AD206" s="220"/>
      <c r="AE206" s="283"/>
      <c r="AF206" s="220"/>
      <c r="AG206" s="220"/>
      <c r="AH206" s="220"/>
      <c r="AI206" s="220"/>
      <c r="AJ206" s="226">
        <v>24</v>
      </c>
      <c r="AK206" s="226">
        <v>0</v>
      </c>
      <c r="AL206" s="225">
        <v>0.61286399999999996</v>
      </c>
      <c r="AM206" s="220"/>
      <c r="AN206" s="225">
        <v>3747.6</v>
      </c>
      <c r="AO206" s="220"/>
      <c r="AP206" s="220"/>
      <c r="AQ206" s="283"/>
      <c r="AR206" s="283"/>
      <c r="AS206" s="283"/>
      <c r="AT206" s="223">
        <v>0</v>
      </c>
      <c r="AU206" s="284">
        <v>240.49992</v>
      </c>
      <c r="AV206" s="221">
        <v>42801</v>
      </c>
      <c r="AW206" s="221">
        <v>42801.629139780103</v>
      </c>
      <c r="AX206" s="220" t="s">
        <v>293</v>
      </c>
      <c r="AY206" s="219" t="s">
        <v>2384</v>
      </c>
    </row>
    <row r="207" spans="1:51" hidden="1" outlineLevel="1" collapsed="1">
      <c r="A207" s="227" t="s">
        <v>289</v>
      </c>
      <c r="B207" s="220" t="s">
        <v>2383</v>
      </c>
      <c r="C207" s="220" t="s">
        <v>2383</v>
      </c>
      <c r="D207" s="220" t="s">
        <v>2382</v>
      </c>
      <c r="E207" s="220" t="s">
        <v>2381</v>
      </c>
      <c r="F207" s="220" t="s">
        <v>2380</v>
      </c>
      <c r="G207" s="220" t="s">
        <v>2380</v>
      </c>
      <c r="H207" s="220" t="s">
        <v>2379</v>
      </c>
      <c r="I207" s="220" t="s">
        <v>298</v>
      </c>
      <c r="J207" s="220" t="s">
        <v>297</v>
      </c>
      <c r="K207" s="220" t="s">
        <v>296</v>
      </c>
      <c r="L207" s="220" t="s">
        <v>601</v>
      </c>
      <c r="M207" s="220" t="s">
        <v>600</v>
      </c>
      <c r="N207" s="220" t="s">
        <v>329</v>
      </c>
      <c r="O207" s="220" t="s">
        <v>297</v>
      </c>
      <c r="P207" s="220" t="s">
        <v>599</v>
      </c>
      <c r="Q207" s="220" t="s">
        <v>598</v>
      </c>
      <c r="R207" s="220"/>
      <c r="S207" s="220" t="s">
        <v>2129</v>
      </c>
      <c r="T207" s="220" t="s">
        <v>2128</v>
      </c>
      <c r="U207" s="220" t="s">
        <v>2378</v>
      </c>
      <c r="V207" s="220" t="s">
        <v>2126</v>
      </c>
      <c r="W207" s="220"/>
      <c r="X207" s="220"/>
      <c r="Y207" s="283"/>
      <c r="Z207" s="220"/>
      <c r="AA207" s="220"/>
      <c r="AB207" s="220"/>
      <c r="AC207" s="220"/>
      <c r="AD207" s="220"/>
      <c r="AE207" s="283"/>
      <c r="AF207" s="220"/>
      <c r="AG207" s="220"/>
      <c r="AH207" s="220"/>
      <c r="AI207" s="220"/>
      <c r="AJ207" s="226">
        <v>56</v>
      </c>
      <c r="AK207" s="226">
        <v>0</v>
      </c>
      <c r="AL207" s="225">
        <v>1.430016</v>
      </c>
      <c r="AM207" s="220"/>
      <c r="AN207" s="225">
        <v>8744.4</v>
      </c>
      <c r="AO207" s="220"/>
      <c r="AP207" s="220"/>
      <c r="AQ207" s="283"/>
      <c r="AR207" s="283"/>
      <c r="AS207" s="283"/>
      <c r="AT207" s="223">
        <v>0</v>
      </c>
      <c r="AU207" s="284">
        <v>287.50008000000003</v>
      </c>
      <c r="AV207" s="221">
        <v>42801</v>
      </c>
      <c r="AW207" s="221">
        <v>42801.629139780103</v>
      </c>
      <c r="AX207" s="220" t="s">
        <v>293</v>
      </c>
      <c r="AY207" s="219" t="s">
        <v>2377</v>
      </c>
    </row>
    <row r="208" spans="1:51" hidden="1" outlineLevel="1" collapsed="1">
      <c r="A208" s="227" t="s">
        <v>289</v>
      </c>
      <c r="B208" s="220" t="s">
        <v>2375</v>
      </c>
      <c r="C208" s="220" t="s">
        <v>2375</v>
      </c>
      <c r="D208" s="220" t="s">
        <v>660</v>
      </c>
      <c r="E208" s="220" t="s">
        <v>710</v>
      </c>
      <c r="F208" s="220" t="s">
        <v>2374</v>
      </c>
      <c r="G208" s="220" t="s">
        <v>710</v>
      </c>
      <c r="H208" s="220" t="s">
        <v>657</v>
      </c>
      <c r="I208" s="220" t="s">
        <v>531</v>
      </c>
      <c r="J208" s="220" t="s">
        <v>297</v>
      </c>
      <c r="K208" s="220" t="s">
        <v>530</v>
      </c>
      <c r="L208" s="220" t="s">
        <v>2340</v>
      </c>
      <c r="M208" s="220" t="s">
        <v>2339</v>
      </c>
      <c r="N208" s="220" t="s">
        <v>298</v>
      </c>
      <c r="O208" s="220" t="s">
        <v>297</v>
      </c>
      <c r="P208" s="220" t="s">
        <v>296</v>
      </c>
      <c r="Q208" s="220" t="s">
        <v>2338</v>
      </c>
      <c r="R208" s="220"/>
      <c r="S208" s="220" t="s">
        <v>2129</v>
      </c>
      <c r="T208" s="220" t="s">
        <v>2166</v>
      </c>
      <c r="U208" s="220" t="s">
        <v>2373</v>
      </c>
      <c r="V208" s="220" t="s">
        <v>2126</v>
      </c>
      <c r="W208" s="220"/>
      <c r="X208" s="220"/>
      <c r="Y208" s="283"/>
      <c r="Z208" s="220"/>
      <c r="AA208" s="220"/>
      <c r="AB208" s="220"/>
      <c r="AC208" s="220"/>
      <c r="AD208" s="220"/>
      <c r="AE208" s="283"/>
      <c r="AF208" s="220"/>
      <c r="AG208" s="220"/>
      <c r="AH208" s="220"/>
      <c r="AI208" s="220"/>
      <c r="AJ208" s="226">
        <v>10</v>
      </c>
      <c r="AK208" s="226">
        <v>0</v>
      </c>
      <c r="AL208" s="225">
        <v>0.120384</v>
      </c>
      <c r="AM208" s="220"/>
      <c r="AN208" s="225">
        <v>1105.33</v>
      </c>
      <c r="AO208" s="220"/>
      <c r="AP208" s="220"/>
      <c r="AQ208" s="283"/>
      <c r="AR208" s="283"/>
      <c r="AS208" s="283"/>
      <c r="AT208" s="223">
        <v>0</v>
      </c>
      <c r="AU208" s="284">
        <v>81.7</v>
      </c>
      <c r="AV208" s="221">
        <v>42803</v>
      </c>
      <c r="AW208" s="221">
        <v>42803.467709340301</v>
      </c>
      <c r="AX208" s="220" t="s">
        <v>293</v>
      </c>
      <c r="AY208" s="219" t="s">
        <v>2376</v>
      </c>
    </row>
    <row r="209" spans="1:51" hidden="1" outlineLevel="1" collapsed="1">
      <c r="A209" s="227" t="s">
        <v>289</v>
      </c>
      <c r="B209" s="220" t="s">
        <v>2375</v>
      </c>
      <c r="C209" s="220" t="s">
        <v>2375</v>
      </c>
      <c r="D209" s="220" t="s">
        <v>660</v>
      </c>
      <c r="E209" s="220" t="s">
        <v>710</v>
      </c>
      <c r="F209" s="220" t="s">
        <v>2374</v>
      </c>
      <c r="G209" s="220" t="s">
        <v>710</v>
      </c>
      <c r="H209" s="220" t="s">
        <v>657</v>
      </c>
      <c r="I209" s="220" t="s">
        <v>531</v>
      </c>
      <c r="J209" s="220" t="s">
        <v>297</v>
      </c>
      <c r="K209" s="220" t="s">
        <v>530</v>
      </c>
      <c r="L209" s="220" t="s">
        <v>2340</v>
      </c>
      <c r="M209" s="220" t="s">
        <v>2339</v>
      </c>
      <c r="N209" s="220" t="s">
        <v>298</v>
      </c>
      <c r="O209" s="220" t="s">
        <v>297</v>
      </c>
      <c r="P209" s="220" t="s">
        <v>296</v>
      </c>
      <c r="Q209" s="220" t="s">
        <v>2338</v>
      </c>
      <c r="R209" s="220"/>
      <c r="S209" s="220" t="s">
        <v>2129</v>
      </c>
      <c r="T209" s="220" t="s">
        <v>2145</v>
      </c>
      <c r="U209" s="220" t="s">
        <v>2373</v>
      </c>
      <c r="V209" s="220" t="s">
        <v>2126</v>
      </c>
      <c r="W209" s="220"/>
      <c r="X209" s="220"/>
      <c r="Y209" s="283"/>
      <c r="Z209" s="220"/>
      <c r="AA209" s="220"/>
      <c r="AB209" s="220"/>
      <c r="AC209" s="220"/>
      <c r="AD209" s="220"/>
      <c r="AE209" s="283"/>
      <c r="AF209" s="220"/>
      <c r="AG209" s="220"/>
      <c r="AH209" s="220"/>
      <c r="AI209" s="220"/>
      <c r="AJ209" s="226">
        <v>37</v>
      </c>
      <c r="AK209" s="226">
        <v>0</v>
      </c>
      <c r="AL209" s="225">
        <v>1.528497</v>
      </c>
      <c r="AM209" s="220"/>
      <c r="AN209" s="225">
        <v>14034.137000000001</v>
      </c>
      <c r="AO209" s="220"/>
      <c r="AP209" s="220"/>
      <c r="AQ209" s="283"/>
      <c r="AR209" s="283"/>
      <c r="AS209" s="283"/>
      <c r="AT209" s="223">
        <v>0</v>
      </c>
      <c r="AU209" s="284">
        <v>2775</v>
      </c>
      <c r="AV209" s="221">
        <v>42803</v>
      </c>
      <c r="AW209" s="221">
        <v>42803.467709340301</v>
      </c>
      <c r="AX209" s="220" t="s">
        <v>293</v>
      </c>
      <c r="AY209" s="219" t="s">
        <v>2372</v>
      </c>
    </row>
    <row r="210" spans="1:51" ht="20.399999999999999" hidden="1" outlineLevel="1" collapsed="1">
      <c r="A210" s="227" t="s">
        <v>289</v>
      </c>
      <c r="B210" s="220" t="s">
        <v>2371</v>
      </c>
      <c r="C210" s="220" t="s">
        <v>2371</v>
      </c>
      <c r="D210" s="220" t="s">
        <v>2370</v>
      </c>
      <c r="E210" s="220" t="s">
        <v>2369</v>
      </c>
      <c r="F210" s="220" t="s">
        <v>2369</v>
      </c>
      <c r="G210" s="220" t="s">
        <v>2369</v>
      </c>
      <c r="H210" s="220" t="s">
        <v>2368</v>
      </c>
      <c r="I210" s="220" t="s">
        <v>320</v>
      </c>
      <c r="J210" s="220" t="s">
        <v>297</v>
      </c>
      <c r="K210" s="220" t="s">
        <v>319</v>
      </c>
      <c r="L210" s="220" t="s">
        <v>2367</v>
      </c>
      <c r="M210" s="220" t="s">
        <v>2366</v>
      </c>
      <c r="N210" s="220" t="s">
        <v>2365</v>
      </c>
      <c r="O210" s="220" t="s">
        <v>297</v>
      </c>
      <c r="P210" s="220" t="s">
        <v>2364</v>
      </c>
      <c r="Q210" s="220" t="s">
        <v>2363</v>
      </c>
      <c r="R210" s="220"/>
      <c r="S210" s="220" t="s">
        <v>2129</v>
      </c>
      <c r="T210" s="220" t="s">
        <v>2147</v>
      </c>
      <c r="U210" s="220" t="s">
        <v>2127</v>
      </c>
      <c r="V210" s="220" t="s">
        <v>2126</v>
      </c>
      <c r="W210" s="220"/>
      <c r="X210" s="220"/>
      <c r="Y210" s="283"/>
      <c r="Z210" s="220"/>
      <c r="AA210" s="220"/>
      <c r="AB210" s="220"/>
      <c r="AC210" s="220"/>
      <c r="AD210" s="220"/>
      <c r="AE210" s="283"/>
      <c r="AF210" s="220"/>
      <c r="AG210" s="220"/>
      <c r="AH210" s="220"/>
      <c r="AI210" s="220"/>
      <c r="AJ210" s="226">
        <v>100</v>
      </c>
      <c r="AK210" s="226">
        <v>0</v>
      </c>
      <c r="AL210" s="225">
        <v>2.4235199999999999</v>
      </c>
      <c r="AM210" s="220"/>
      <c r="AN210" s="225">
        <v>11356.1</v>
      </c>
      <c r="AO210" s="220"/>
      <c r="AP210" s="220"/>
      <c r="AQ210" s="283"/>
      <c r="AR210" s="283"/>
      <c r="AS210" s="283"/>
      <c r="AT210" s="223">
        <v>0</v>
      </c>
      <c r="AU210" s="284">
        <v>1600</v>
      </c>
      <c r="AV210" s="221">
        <v>42837</v>
      </c>
      <c r="AW210" s="221">
        <v>42803.631562499999</v>
      </c>
      <c r="AX210" s="220" t="s">
        <v>293</v>
      </c>
      <c r="AY210" s="219" t="s">
        <v>2362</v>
      </c>
    </row>
    <row r="211" spans="1:51" hidden="1" outlineLevel="1" collapsed="1">
      <c r="A211" s="227" t="s">
        <v>289</v>
      </c>
      <c r="B211" s="220" t="s">
        <v>2360</v>
      </c>
      <c r="C211" s="220" t="s">
        <v>2360</v>
      </c>
      <c r="D211" s="220" t="s">
        <v>2359</v>
      </c>
      <c r="E211" s="220" t="s">
        <v>2358</v>
      </c>
      <c r="F211" s="220" t="s">
        <v>2358</v>
      </c>
      <c r="G211" s="220" t="s">
        <v>2358</v>
      </c>
      <c r="H211" s="220" t="s">
        <v>2357</v>
      </c>
      <c r="I211" s="220" t="s">
        <v>413</v>
      </c>
      <c r="J211" s="220" t="s">
        <v>297</v>
      </c>
      <c r="K211" s="220" t="s">
        <v>412</v>
      </c>
      <c r="L211" s="220" t="s">
        <v>2356</v>
      </c>
      <c r="M211" s="220" t="s">
        <v>2355</v>
      </c>
      <c r="N211" s="220" t="s">
        <v>329</v>
      </c>
      <c r="O211" s="220" t="s">
        <v>297</v>
      </c>
      <c r="P211" s="220" t="s">
        <v>328</v>
      </c>
      <c r="Q211" s="220" t="s">
        <v>2354</v>
      </c>
      <c r="R211" s="220" t="s">
        <v>2353</v>
      </c>
      <c r="S211" s="220" t="s">
        <v>2129</v>
      </c>
      <c r="T211" s="220" t="s">
        <v>2218</v>
      </c>
      <c r="U211" s="220" t="s">
        <v>2127</v>
      </c>
      <c r="V211" s="220" t="s">
        <v>2126</v>
      </c>
      <c r="W211" s="220"/>
      <c r="X211" s="220"/>
      <c r="Y211" s="283"/>
      <c r="Z211" s="220"/>
      <c r="AA211" s="220"/>
      <c r="AB211" s="220"/>
      <c r="AC211" s="220"/>
      <c r="AD211" s="220"/>
      <c r="AE211" s="283"/>
      <c r="AF211" s="220"/>
      <c r="AG211" s="220"/>
      <c r="AH211" s="220"/>
      <c r="AI211" s="220"/>
      <c r="AJ211" s="226">
        <v>12</v>
      </c>
      <c r="AK211" s="226">
        <v>0</v>
      </c>
      <c r="AL211" s="225">
        <v>1.2808299999999999</v>
      </c>
      <c r="AM211" s="220"/>
      <c r="AN211" s="225">
        <v>6001.7160000000003</v>
      </c>
      <c r="AO211" s="220"/>
      <c r="AP211" s="220"/>
      <c r="AQ211" s="283"/>
      <c r="AR211" s="283"/>
      <c r="AS211" s="283"/>
      <c r="AT211" s="223">
        <v>0</v>
      </c>
      <c r="AU211" s="284">
        <v>105</v>
      </c>
      <c r="AV211" s="221">
        <v>42811</v>
      </c>
      <c r="AW211" s="221">
        <v>42811.6521103009</v>
      </c>
      <c r="AX211" s="220" t="s">
        <v>293</v>
      </c>
      <c r="AY211" s="219" t="s">
        <v>2352</v>
      </c>
    </row>
    <row r="212" spans="1:51" ht="20.399999999999999" hidden="1" outlineLevel="1" collapsed="1">
      <c r="A212" s="227" t="s">
        <v>289</v>
      </c>
      <c r="B212" s="220" t="s">
        <v>2360</v>
      </c>
      <c r="C212" s="220" t="s">
        <v>2360</v>
      </c>
      <c r="D212" s="220" t="s">
        <v>2359</v>
      </c>
      <c r="E212" s="220" t="s">
        <v>2358</v>
      </c>
      <c r="F212" s="220" t="s">
        <v>2358</v>
      </c>
      <c r="G212" s="220" t="s">
        <v>2358</v>
      </c>
      <c r="H212" s="220" t="s">
        <v>2357</v>
      </c>
      <c r="I212" s="220" t="s">
        <v>413</v>
      </c>
      <c r="J212" s="220" t="s">
        <v>297</v>
      </c>
      <c r="K212" s="220" t="s">
        <v>412</v>
      </c>
      <c r="L212" s="220" t="s">
        <v>2356</v>
      </c>
      <c r="M212" s="220" t="s">
        <v>2355</v>
      </c>
      <c r="N212" s="220" t="s">
        <v>329</v>
      </c>
      <c r="O212" s="220" t="s">
        <v>297</v>
      </c>
      <c r="P212" s="220" t="s">
        <v>328</v>
      </c>
      <c r="Q212" s="220" t="s">
        <v>2354</v>
      </c>
      <c r="R212" s="220" t="s">
        <v>2353</v>
      </c>
      <c r="S212" s="220" t="s">
        <v>2129</v>
      </c>
      <c r="T212" s="220" t="s">
        <v>2173</v>
      </c>
      <c r="U212" s="220" t="s">
        <v>2127</v>
      </c>
      <c r="V212" s="220" t="s">
        <v>2126</v>
      </c>
      <c r="W212" s="220"/>
      <c r="X212" s="220"/>
      <c r="Y212" s="283"/>
      <c r="Z212" s="220"/>
      <c r="AA212" s="220"/>
      <c r="AB212" s="220"/>
      <c r="AC212" s="220"/>
      <c r="AD212" s="220"/>
      <c r="AE212" s="283"/>
      <c r="AF212" s="220"/>
      <c r="AG212" s="220"/>
      <c r="AH212" s="220"/>
      <c r="AI212" s="220"/>
      <c r="AJ212" s="226">
        <v>514</v>
      </c>
      <c r="AK212" s="226">
        <v>0</v>
      </c>
      <c r="AL212" s="225">
        <v>6.2284459999999999</v>
      </c>
      <c r="AM212" s="220"/>
      <c r="AN212" s="225">
        <v>29185.434000000001</v>
      </c>
      <c r="AO212" s="220"/>
      <c r="AP212" s="220"/>
      <c r="AQ212" s="283"/>
      <c r="AR212" s="283"/>
      <c r="AS212" s="283"/>
      <c r="AT212" s="223">
        <v>0</v>
      </c>
      <c r="AU212" s="284">
        <v>3554.50018</v>
      </c>
      <c r="AV212" s="221">
        <v>42811</v>
      </c>
      <c r="AW212" s="221">
        <v>42811.6521103009</v>
      </c>
      <c r="AX212" s="220" t="s">
        <v>293</v>
      </c>
      <c r="AY212" s="219" t="s">
        <v>2361</v>
      </c>
    </row>
    <row r="213" spans="1:51" ht="20.399999999999999" hidden="1" outlineLevel="1" collapsed="1">
      <c r="A213" s="227" t="s">
        <v>289</v>
      </c>
      <c r="B213" s="220" t="s">
        <v>2350</v>
      </c>
      <c r="C213" s="220" t="s">
        <v>2350</v>
      </c>
      <c r="D213" s="220" t="s">
        <v>2349</v>
      </c>
      <c r="E213" s="220" t="s">
        <v>2348</v>
      </c>
      <c r="F213" s="220" t="s">
        <v>2347</v>
      </c>
      <c r="G213" s="220" t="s">
        <v>2347</v>
      </c>
      <c r="H213" s="220" t="s">
        <v>2346</v>
      </c>
      <c r="I213" s="220" t="s">
        <v>329</v>
      </c>
      <c r="J213" s="220" t="s">
        <v>297</v>
      </c>
      <c r="K213" s="220" t="s">
        <v>397</v>
      </c>
      <c r="L213" s="220" t="s">
        <v>1017</v>
      </c>
      <c r="M213" s="220" t="s">
        <v>1016</v>
      </c>
      <c r="N213" s="220" t="s">
        <v>329</v>
      </c>
      <c r="O213" s="220" t="s">
        <v>297</v>
      </c>
      <c r="P213" s="220" t="s">
        <v>848</v>
      </c>
      <c r="Q213" s="220" t="s">
        <v>1015</v>
      </c>
      <c r="R213" s="220" t="s">
        <v>1014</v>
      </c>
      <c r="S213" s="220" t="s">
        <v>2129</v>
      </c>
      <c r="T213" s="220" t="s">
        <v>2166</v>
      </c>
      <c r="U213" s="220" t="s">
        <v>2202</v>
      </c>
      <c r="V213" s="220" t="s">
        <v>2126</v>
      </c>
      <c r="W213" s="220"/>
      <c r="X213" s="220"/>
      <c r="Y213" s="283"/>
      <c r="Z213" s="220"/>
      <c r="AA213" s="220"/>
      <c r="AB213" s="220"/>
      <c r="AC213" s="220"/>
      <c r="AD213" s="220"/>
      <c r="AE213" s="283"/>
      <c r="AF213" s="220"/>
      <c r="AG213" s="220"/>
      <c r="AH213" s="220"/>
      <c r="AI213" s="220"/>
      <c r="AJ213" s="226">
        <v>10</v>
      </c>
      <c r="AK213" s="226">
        <v>0</v>
      </c>
      <c r="AL213" s="225">
        <v>0.353628</v>
      </c>
      <c r="AM213" s="220"/>
      <c r="AN213" s="225">
        <v>1572.41</v>
      </c>
      <c r="AO213" s="220"/>
      <c r="AP213" s="220"/>
      <c r="AQ213" s="283"/>
      <c r="AR213" s="283"/>
      <c r="AS213" s="283"/>
      <c r="AT213" s="223">
        <v>0</v>
      </c>
      <c r="AU213" s="284">
        <v>112.5</v>
      </c>
      <c r="AV213" s="221">
        <v>42823</v>
      </c>
      <c r="AW213" s="221">
        <v>42823.785489467598</v>
      </c>
      <c r="AX213" s="220" t="s">
        <v>293</v>
      </c>
      <c r="AY213" s="219" t="s">
        <v>2345</v>
      </c>
    </row>
    <row r="214" spans="1:51" ht="20.399999999999999" hidden="1" outlineLevel="1" collapsed="1">
      <c r="A214" s="227" t="s">
        <v>289</v>
      </c>
      <c r="B214" s="220" t="s">
        <v>2350</v>
      </c>
      <c r="C214" s="220" t="s">
        <v>2350</v>
      </c>
      <c r="D214" s="220" t="s">
        <v>2349</v>
      </c>
      <c r="E214" s="220" t="s">
        <v>2348</v>
      </c>
      <c r="F214" s="220" t="s">
        <v>2347</v>
      </c>
      <c r="G214" s="220" t="s">
        <v>2347</v>
      </c>
      <c r="H214" s="220" t="s">
        <v>2346</v>
      </c>
      <c r="I214" s="220" t="s">
        <v>329</v>
      </c>
      <c r="J214" s="220" t="s">
        <v>297</v>
      </c>
      <c r="K214" s="220" t="s">
        <v>397</v>
      </c>
      <c r="L214" s="220" t="s">
        <v>1017</v>
      </c>
      <c r="M214" s="220" t="s">
        <v>1016</v>
      </c>
      <c r="N214" s="220" t="s">
        <v>329</v>
      </c>
      <c r="O214" s="220" t="s">
        <v>297</v>
      </c>
      <c r="P214" s="220" t="s">
        <v>848</v>
      </c>
      <c r="Q214" s="220" t="s">
        <v>1015</v>
      </c>
      <c r="R214" s="220" t="s">
        <v>1014</v>
      </c>
      <c r="S214" s="220" t="s">
        <v>2129</v>
      </c>
      <c r="T214" s="220" t="s">
        <v>2173</v>
      </c>
      <c r="U214" s="220" t="s">
        <v>2202</v>
      </c>
      <c r="V214" s="220" t="s">
        <v>2126</v>
      </c>
      <c r="W214" s="220"/>
      <c r="X214" s="220"/>
      <c r="Y214" s="283"/>
      <c r="Z214" s="220"/>
      <c r="AA214" s="220"/>
      <c r="AB214" s="220"/>
      <c r="AC214" s="220"/>
      <c r="AD214" s="220"/>
      <c r="AE214" s="283"/>
      <c r="AF214" s="220"/>
      <c r="AG214" s="220"/>
      <c r="AH214" s="220"/>
      <c r="AI214" s="220"/>
      <c r="AJ214" s="226">
        <v>24</v>
      </c>
      <c r="AK214" s="226">
        <v>0</v>
      </c>
      <c r="AL214" s="225">
        <v>0.268013</v>
      </c>
      <c r="AM214" s="220"/>
      <c r="AN214" s="225">
        <v>1191.72</v>
      </c>
      <c r="AO214" s="220"/>
      <c r="AP214" s="220"/>
      <c r="AQ214" s="283"/>
      <c r="AR214" s="283"/>
      <c r="AS214" s="283"/>
      <c r="AT214" s="223">
        <v>0</v>
      </c>
      <c r="AU214" s="284">
        <v>192</v>
      </c>
      <c r="AV214" s="221">
        <v>42823</v>
      </c>
      <c r="AW214" s="221">
        <v>42823.785489467598</v>
      </c>
      <c r="AX214" s="220" t="s">
        <v>293</v>
      </c>
      <c r="AY214" s="219" t="s">
        <v>2351</v>
      </c>
    </row>
    <row r="215" spans="1:51" ht="20.399999999999999" hidden="1" outlineLevel="1" collapsed="1">
      <c r="A215" s="227" t="s">
        <v>289</v>
      </c>
      <c r="B215" s="220" t="s">
        <v>2344</v>
      </c>
      <c r="C215" s="220" t="s">
        <v>2344</v>
      </c>
      <c r="D215" s="220" t="s">
        <v>2343</v>
      </c>
      <c r="E215" s="220" t="s">
        <v>2342</v>
      </c>
      <c r="F215" s="220" t="s">
        <v>2342</v>
      </c>
      <c r="G215" s="220" t="s">
        <v>2342</v>
      </c>
      <c r="H215" s="220" t="s">
        <v>2341</v>
      </c>
      <c r="I215" s="220" t="s">
        <v>413</v>
      </c>
      <c r="J215" s="220" t="s">
        <v>297</v>
      </c>
      <c r="K215" s="220" t="s">
        <v>412</v>
      </c>
      <c r="L215" s="220" t="s">
        <v>2340</v>
      </c>
      <c r="M215" s="220" t="s">
        <v>2339</v>
      </c>
      <c r="N215" s="220" t="s">
        <v>298</v>
      </c>
      <c r="O215" s="220" t="s">
        <v>297</v>
      </c>
      <c r="P215" s="220" t="s">
        <v>296</v>
      </c>
      <c r="Q215" s="220" t="s">
        <v>2338</v>
      </c>
      <c r="R215" s="220"/>
      <c r="S215" s="220" t="s">
        <v>2129</v>
      </c>
      <c r="T215" s="220" t="s">
        <v>2139</v>
      </c>
      <c r="U215" s="220" t="s">
        <v>2127</v>
      </c>
      <c r="V215" s="220" t="s">
        <v>2126</v>
      </c>
      <c r="W215" s="220"/>
      <c r="X215" s="220"/>
      <c r="Y215" s="283"/>
      <c r="Z215" s="220"/>
      <c r="AA215" s="220"/>
      <c r="AB215" s="220"/>
      <c r="AC215" s="220"/>
      <c r="AD215" s="220"/>
      <c r="AE215" s="283"/>
      <c r="AF215" s="220"/>
      <c r="AG215" s="220"/>
      <c r="AH215" s="220"/>
      <c r="AI215" s="220"/>
      <c r="AJ215" s="226">
        <v>1</v>
      </c>
      <c r="AK215" s="226">
        <v>0</v>
      </c>
      <c r="AL215" s="225">
        <v>0.24699699999999999</v>
      </c>
      <c r="AM215" s="220"/>
      <c r="AN215" s="225">
        <v>1157.3789999999999</v>
      </c>
      <c r="AO215" s="220"/>
      <c r="AP215" s="220"/>
      <c r="AQ215" s="283"/>
      <c r="AR215" s="283"/>
      <c r="AS215" s="283"/>
      <c r="AT215" s="223">
        <v>0</v>
      </c>
      <c r="AU215" s="284">
        <v>100</v>
      </c>
      <c r="AV215" s="221">
        <v>42829</v>
      </c>
      <c r="AW215" s="221">
        <v>42825.459288078702</v>
      </c>
      <c r="AX215" s="220" t="s">
        <v>293</v>
      </c>
      <c r="AY215" s="219" t="s">
        <v>2337</v>
      </c>
    </row>
    <row r="216" spans="1:51" hidden="1" outlineLevel="1" collapsed="1">
      <c r="A216" s="227" t="s">
        <v>289</v>
      </c>
      <c r="B216" s="220" t="s">
        <v>2336</v>
      </c>
      <c r="C216" s="220" t="s">
        <v>2336</v>
      </c>
      <c r="D216" s="220" t="s">
        <v>2335</v>
      </c>
      <c r="E216" s="220" t="s">
        <v>2334</v>
      </c>
      <c r="F216" s="220" t="s">
        <v>2334</v>
      </c>
      <c r="G216" s="220" t="s">
        <v>2334</v>
      </c>
      <c r="H216" s="220" t="s">
        <v>2333</v>
      </c>
      <c r="I216" s="220" t="s">
        <v>337</v>
      </c>
      <c r="J216" s="220" t="s">
        <v>297</v>
      </c>
      <c r="K216" s="220" t="s">
        <v>336</v>
      </c>
      <c r="L216" s="220" t="s">
        <v>2257</v>
      </c>
      <c r="M216" s="220" t="s">
        <v>2256</v>
      </c>
      <c r="N216" s="220" t="s">
        <v>337</v>
      </c>
      <c r="O216" s="220" t="s">
        <v>297</v>
      </c>
      <c r="P216" s="220" t="s">
        <v>336</v>
      </c>
      <c r="Q216" s="220" t="s">
        <v>2255</v>
      </c>
      <c r="R216" s="220" t="s">
        <v>2254</v>
      </c>
      <c r="S216" s="220" t="s">
        <v>2129</v>
      </c>
      <c r="T216" s="220" t="s">
        <v>2139</v>
      </c>
      <c r="U216" s="220" t="s">
        <v>2332</v>
      </c>
      <c r="V216" s="220" t="s">
        <v>2126</v>
      </c>
      <c r="W216" s="220"/>
      <c r="X216" s="220"/>
      <c r="Y216" s="283"/>
      <c r="Z216" s="220"/>
      <c r="AA216" s="220"/>
      <c r="AB216" s="220"/>
      <c r="AC216" s="220"/>
      <c r="AD216" s="220"/>
      <c r="AE216" s="283"/>
      <c r="AF216" s="220"/>
      <c r="AG216" s="220"/>
      <c r="AH216" s="220"/>
      <c r="AI216" s="220"/>
      <c r="AJ216" s="226">
        <v>8</v>
      </c>
      <c r="AK216" s="226">
        <v>0</v>
      </c>
      <c r="AL216" s="225">
        <v>2.0657939999999999</v>
      </c>
      <c r="AM216" s="220"/>
      <c r="AN216" s="225">
        <v>9570.7119999999995</v>
      </c>
      <c r="AO216" s="220"/>
      <c r="AP216" s="220"/>
      <c r="AQ216" s="283"/>
      <c r="AR216" s="283"/>
      <c r="AS216" s="283"/>
      <c r="AT216" s="223">
        <v>0</v>
      </c>
      <c r="AU216" s="284">
        <v>800</v>
      </c>
      <c r="AV216" s="221">
        <v>42828</v>
      </c>
      <c r="AW216" s="221">
        <v>42825.490190659701</v>
      </c>
      <c r="AX216" s="220" t="s">
        <v>293</v>
      </c>
      <c r="AY216" s="219" t="s">
        <v>2331</v>
      </c>
    </row>
    <row r="217" spans="1:51" hidden="1" outlineLevel="1" collapsed="1">
      <c r="A217" s="227" t="s">
        <v>289</v>
      </c>
      <c r="B217" s="220" t="s">
        <v>2319</v>
      </c>
      <c r="C217" s="220" t="s">
        <v>2319</v>
      </c>
      <c r="D217" s="220" t="s">
        <v>2318</v>
      </c>
      <c r="E217" s="220" t="s">
        <v>2317</v>
      </c>
      <c r="F217" s="220" t="s">
        <v>2317</v>
      </c>
      <c r="G217" s="220" t="s">
        <v>2317</v>
      </c>
      <c r="H217" s="220" t="s">
        <v>2316</v>
      </c>
      <c r="I217" s="220" t="s">
        <v>329</v>
      </c>
      <c r="J217" s="220" t="s">
        <v>297</v>
      </c>
      <c r="K217" s="220" t="s">
        <v>397</v>
      </c>
      <c r="L217" s="220" t="s">
        <v>2315</v>
      </c>
      <c r="M217" s="220" t="s">
        <v>2314</v>
      </c>
      <c r="N217" s="220" t="s">
        <v>2313</v>
      </c>
      <c r="O217" s="220" t="s">
        <v>2312</v>
      </c>
      <c r="P217" s="220" t="s">
        <v>2311</v>
      </c>
      <c r="Q217" s="220" t="s">
        <v>2310</v>
      </c>
      <c r="R217" s="220"/>
      <c r="S217" s="220" t="s">
        <v>2129</v>
      </c>
      <c r="T217" s="220" t="s">
        <v>2166</v>
      </c>
      <c r="U217" s="220" t="s">
        <v>2309</v>
      </c>
      <c r="V217" s="220" t="s">
        <v>2126</v>
      </c>
      <c r="W217" s="220"/>
      <c r="X217" s="220"/>
      <c r="Y217" s="283"/>
      <c r="Z217" s="220"/>
      <c r="AA217" s="220"/>
      <c r="AB217" s="220"/>
      <c r="AC217" s="220"/>
      <c r="AD217" s="220"/>
      <c r="AE217" s="283"/>
      <c r="AF217" s="220"/>
      <c r="AG217" s="220"/>
      <c r="AH217" s="220"/>
      <c r="AI217" s="220"/>
      <c r="AJ217" s="226">
        <v>98</v>
      </c>
      <c r="AK217" s="226">
        <v>0</v>
      </c>
      <c r="AL217" s="225">
        <v>4.1057100000000002</v>
      </c>
      <c r="AM217" s="220"/>
      <c r="AN217" s="225">
        <v>20993.56</v>
      </c>
      <c r="AO217" s="220"/>
      <c r="AP217" s="220"/>
      <c r="AQ217" s="283"/>
      <c r="AR217" s="283"/>
      <c r="AS217" s="283"/>
      <c r="AT217" s="223">
        <v>0</v>
      </c>
      <c r="AU217" s="284">
        <v>1061.3399999999999</v>
      </c>
      <c r="AV217" s="221">
        <v>42836</v>
      </c>
      <c r="AW217" s="221">
        <v>42836.753146099501</v>
      </c>
      <c r="AX217" s="220" t="s">
        <v>293</v>
      </c>
      <c r="AY217" s="219" t="s">
        <v>2325</v>
      </c>
    </row>
    <row r="218" spans="1:51" ht="20.399999999999999" hidden="1" outlineLevel="1" collapsed="1">
      <c r="A218" s="227" t="s">
        <v>289</v>
      </c>
      <c r="B218" s="220" t="s">
        <v>2319</v>
      </c>
      <c r="C218" s="220" t="s">
        <v>2319</v>
      </c>
      <c r="D218" s="220" t="s">
        <v>2318</v>
      </c>
      <c r="E218" s="220" t="s">
        <v>2317</v>
      </c>
      <c r="F218" s="220" t="s">
        <v>2317</v>
      </c>
      <c r="G218" s="220" t="s">
        <v>2317</v>
      </c>
      <c r="H218" s="220" t="s">
        <v>2316</v>
      </c>
      <c r="I218" s="220" t="s">
        <v>329</v>
      </c>
      <c r="J218" s="220" t="s">
        <v>297</v>
      </c>
      <c r="K218" s="220" t="s">
        <v>397</v>
      </c>
      <c r="L218" s="220" t="s">
        <v>2315</v>
      </c>
      <c r="M218" s="220" t="s">
        <v>2314</v>
      </c>
      <c r="N218" s="220" t="s">
        <v>2313</v>
      </c>
      <c r="O218" s="220" t="s">
        <v>2312</v>
      </c>
      <c r="P218" s="220" t="s">
        <v>2311</v>
      </c>
      <c r="Q218" s="220" t="s">
        <v>2310</v>
      </c>
      <c r="R218" s="220"/>
      <c r="S218" s="220" t="s">
        <v>2129</v>
      </c>
      <c r="T218" s="220" t="s">
        <v>2173</v>
      </c>
      <c r="U218" s="220" t="s">
        <v>2309</v>
      </c>
      <c r="V218" s="220" t="s">
        <v>2126</v>
      </c>
      <c r="W218" s="220"/>
      <c r="X218" s="220"/>
      <c r="Y218" s="283"/>
      <c r="Z218" s="220"/>
      <c r="AA218" s="220"/>
      <c r="AB218" s="220"/>
      <c r="AC218" s="220"/>
      <c r="AD218" s="220"/>
      <c r="AE218" s="283"/>
      <c r="AF218" s="220"/>
      <c r="AG218" s="220"/>
      <c r="AH218" s="220"/>
      <c r="AI218" s="220"/>
      <c r="AJ218" s="226">
        <v>16</v>
      </c>
      <c r="AK218" s="226">
        <v>0</v>
      </c>
      <c r="AL218" s="225">
        <v>0.21168000000000001</v>
      </c>
      <c r="AM218" s="220"/>
      <c r="AN218" s="225">
        <v>1082.384</v>
      </c>
      <c r="AO218" s="220"/>
      <c r="AP218" s="220"/>
      <c r="AQ218" s="283"/>
      <c r="AR218" s="283"/>
      <c r="AS218" s="283"/>
      <c r="AT218" s="223">
        <v>0</v>
      </c>
      <c r="AU218" s="284">
        <v>128</v>
      </c>
      <c r="AV218" s="221">
        <v>42836</v>
      </c>
      <c r="AW218" s="221">
        <v>42836.753146099501</v>
      </c>
      <c r="AX218" s="220" t="s">
        <v>293</v>
      </c>
      <c r="AY218" s="219" t="s">
        <v>2324</v>
      </c>
    </row>
    <row r="219" spans="1:51" hidden="1" outlineLevel="1" collapsed="1">
      <c r="A219" s="227" t="s">
        <v>289</v>
      </c>
      <c r="B219" s="220" t="s">
        <v>2319</v>
      </c>
      <c r="C219" s="220" t="s">
        <v>2319</v>
      </c>
      <c r="D219" s="220" t="s">
        <v>2318</v>
      </c>
      <c r="E219" s="220" t="s">
        <v>2317</v>
      </c>
      <c r="F219" s="220" t="s">
        <v>2317</v>
      </c>
      <c r="G219" s="220" t="s">
        <v>2317</v>
      </c>
      <c r="H219" s="220" t="s">
        <v>2316</v>
      </c>
      <c r="I219" s="220" t="s">
        <v>329</v>
      </c>
      <c r="J219" s="220" t="s">
        <v>297</v>
      </c>
      <c r="K219" s="220" t="s">
        <v>397</v>
      </c>
      <c r="L219" s="220" t="s">
        <v>2315</v>
      </c>
      <c r="M219" s="220" t="s">
        <v>2314</v>
      </c>
      <c r="N219" s="220" t="s">
        <v>2313</v>
      </c>
      <c r="O219" s="220" t="s">
        <v>2312</v>
      </c>
      <c r="P219" s="220" t="s">
        <v>2311</v>
      </c>
      <c r="Q219" s="220" t="s">
        <v>2310</v>
      </c>
      <c r="R219" s="220"/>
      <c r="S219" s="220" t="s">
        <v>2129</v>
      </c>
      <c r="T219" s="220" t="s">
        <v>2145</v>
      </c>
      <c r="U219" s="220" t="s">
        <v>2309</v>
      </c>
      <c r="V219" s="220" t="s">
        <v>2126</v>
      </c>
      <c r="W219" s="220"/>
      <c r="X219" s="220"/>
      <c r="Y219" s="283"/>
      <c r="Z219" s="220"/>
      <c r="AA219" s="220"/>
      <c r="AB219" s="220"/>
      <c r="AC219" s="220"/>
      <c r="AD219" s="220"/>
      <c r="AE219" s="283"/>
      <c r="AF219" s="220"/>
      <c r="AG219" s="220"/>
      <c r="AH219" s="220"/>
      <c r="AI219" s="220"/>
      <c r="AJ219" s="226">
        <v>1</v>
      </c>
      <c r="AK219" s="226">
        <v>0</v>
      </c>
      <c r="AL219" s="225">
        <v>0.143766</v>
      </c>
      <c r="AM219" s="220"/>
      <c r="AN219" s="225">
        <v>735.11400000000003</v>
      </c>
      <c r="AO219" s="220"/>
      <c r="AP219" s="220"/>
      <c r="AQ219" s="283"/>
      <c r="AR219" s="283"/>
      <c r="AS219" s="283"/>
      <c r="AT219" s="223">
        <v>0</v>
      </c>
      <c r="AU219" s="284">
        <v>75</v>
      </c>
      <c r="AV219" s="221">
        <v>42836</v>
      </c>
      <c r="AW219" s="221">
        <v>42836.753146099501</v>
      </c>
      <c r="AX219" s="220" t="s">
        <v>293</v>
      </c>
      <c r="AY219" s="219" t="s">
        <v>2322</v>
      </c>
    </row>
    <row r="220" spans="1:51" hidden="1" outlineLevel="1" collapsed="1">
      <c r="A220" s="227" t="s">
        <v>289</v>
      </c>
      <c r="B220" s="220" t="s">
        <v>2319</v>
      </c>
      <c r="C220" s="220" t="s">
        <v>2319</v>
      </c>
      <c r="D220" s="220" t="s">
        <v>2318</v>
      </c>
      <c r="E220" s="220" t="s">
        <v>2317</v>
      </c>
      <c r="F220" s="220" t="s">
        <v>2317</v>
      </c>
      <c r="G220" s="220" t="s">
        <v>2317</v>
      </c>
      <c r="H220" s="220" t="s">
        <v>2316</v>
      </c>
      <c r="I220" s="220" t="s">
        <v>329</v>
      </c>
      <c r="J220" s="220" t="s">
        <v>297</v>
      </c>
      <c r="K220" s="220" t="s">
        <v>397</v>
      </c>
      <c r="L220" s="220" t="s">
        <v>2315</v>
      </c>
      <c r="M220" s="220" t="s">
        <v>2314</v>
      </c>
      <c r="N220" s="220" t="s">
        <v>2313</v>
      </c>
      <c r="O220" s="220" t="s">
        <v>2312</v>
      </c>
      <c r="P220" s="220" t="s">
        <v>2311</v>
      </c>
      <c r="Q220" s="220" t="s">
        <v>2310</v>
      </c>
      <c r="R220" s="220"/>
      <c r="S220" s="220" t="s">
        <v>2129</v>
      </c>
      <c r="T220" s="220" t="s">
        <v>2139</v>
      </c>
      <c r="U220" s="220" t="s">
        <v>2309</v>
      </c>
      <c r="V220" s="220" t="s">
        <v>2126</v>
      </c>
      <c r="W220" s="220"/>
      <c r="X220" s="220"/>
      <c r="Y220" s="283"/>
      <c r="Z220" s="220"/>
      <c r="AA220" s="220"/>
      <c r="AB220" s="220"/>
      <c r="AC220" s="220"/>
      <c r="AD220" s="220"/>
      <c r="AE220" s="283"/>
      <c r="AF220" s="220"/>
      <c r="AG220" s="220"/>
      <c r="AH220" s="220"/>
      <c r="AI220" s="220"/>
      <c r="AJ220" s="226">
        <v>11</v>
      </c>
      <c r="AK220" s="226">
        <v>0</v>
      </c>
      <c r="AL220" s="225">
        <v>2.9663870000000001</v>
      </c>
      <c r="AM220" s="220"/>
      <c r="AN220" s="225">
        <v>15167.933000000001</v>
      </c>
      <c r="AO220" s="220"/>
      <c r="AP220" s="220"/>
      <c r="AQ220" s="283"/>
      <c r="AR220" s="283"/>
      <c r="AS220" s="283"/>
      <c r="AT220" s="223">
        <v>0</v>
      </c>
      <c r="AU220" s="284">
        <v>1100</v>
      </c>
      <c r="AV220" s="221">
        <v>42836</v>
      </c>
      <c r="AW220" s="221">
        <v>42836.753146099501</v>
      </c>
      <c r="AX220" s="220" t="s">
        <v>293</v>
      </c>
      <c r="AY220" s="219" t="s">
        <v>2321</v>
      </c>
    </row>
    <row r="221" spans="1:51" hidden="1" outlineLevel="1" collapsed="1">
      <c r="A221" s="227" t="s">
        <v>289</v>
      </c>
      <c r="B221" s="220" t="s">
        <v>2319</v>
      </c>
      <c r="C221" s="220" t="s">
        <v>2319</v>
      </c>
      <c r="D221" s="220" t="s">
        <v>2318</v>
      </c>
      <c r="E221" s="220" t="s">
        <v>2317</v>
      </c>
      <c r="F221" s="220" t="s">
        <v>2317</v>
      </c>
      <c r="G221" s="220" t="s">
        <v>2317</v>
      </c>
      <c r="H221" s="220" t="s">
        <v>2316</v>
      </c>
      <c r="I221" s="220" t="s">
        <v>329</v>
      </c>
      <c r="J221" s="220" t="s">
        <v>297</v>
      </c>
      <c r="K221" s="220" t="s">
        <v>397</v>
      </c>
      <c r="L221" s="220" t="s">
        <v>2315</v>
      </c>
      <c r="M221" s="220" t="s">
        <v>2314</v>
      </c>
      <c r="N221" s="220" t="s">
        <v>2313</v>
      </c>
      <c r="O221" s="220" t="s">
        <v>2312</v>
      </c>
      <c r="P221" s="220" t="s">
        <v>2311</v>
      </c>
      <c r="Q221" s="220" t="s">
        <v>2310</v>
      </c>
      <c r="R221" s="220"/>
      <c r="S221" s="220" t="s">
        <v>2129</v>
      </c>
      <c r="T221" s="220" t="s">
        <v>2128</v>
      </c>
      <c r="U221" s="220" t="s">
        <v>2309</v>
      </c>
      <c r="V221" s="220" t="s">
        <v>2126</v>
      </c>
      <c r="W221" s="220"/>
      <c r="X221" s="220"/>
      <c r="Y221" s="283"/>
      <c r="Z221" s="220"/>
      <c r="AA221" s="220"/>
      <c r="AB221" s="220"/>
      <c r="AC221" s="220"/>
      <c r="AD221" s="220"/>
      <c r="AE221" s="283"/>
      <c r="AF221" s="220"/>
      <c r="AG221" s="220"/>
      <c r="AH221" s="220"/>
      <c r="AI221" s="220"/>
      <c r="AJ221" s="226">
        <v>8</v>
      </c>
      <c r="AK221" s="226">
        <v>0</v>
      </c>
      <c r="AL221" s="225">
        <v>0.21168000000000001</v>
      </c>
      <c r="AM221" s="220"/>
      <c r="AN221" s="225">
        <v>1082.376</v>
      </c>
      <c r="AO221" s="220"/>
      <c r="AP221" s="220"/>
      <c r="AQ221" s="283"/>
      <c r="AR221" s="283"/>
      <c r="AS221" s="283"/>
      <c r="AT221" s="223">
        <v>0</v>
      </c>
      <c r="AU221" s="284">
        <v>68</v>
      </c>
      <c r="AV221" s="221">
        <v>42836</v>
      </c>
      <c r="AW221" s="221">
        <v>42836.753146099501</v>
      </c>
      <c r="AX221" s="220" t="s">
        <v>293</v>
      </c>
      <c r="AY221" s="219" t="s">
        <v>2320</v>
      </c>
    </row>
    <row r="222" spans="1:51" hidden="1" outlineLevel="1" collapsed="1">
      <c r="A222" s="227" t="s">
        <v>289</v>
      </c>
      <c r="B222" s="220" t="s">
        <v>2319</v>
      </c>
      <c r="C222" s="220" t="s">
        <v>2319</v>
      </c>
      <c r="D222" s="220" t="s">
        <v>2318</v>
      </c>
      <c r="E222" s="220" t="s">
        <v>2317</v>
      </c>
      <c r="F222" s="220" t="s">
        <v>2317</v>
      </c>
      <c r="G222" s="220" t="s">
        <v>2317</v>
      </c>
      <c r="H222" s="220" t="s">
        <v>2316</v>
      </c>
      <c r="I222" s="220" t="s">
        <v>329</v>
      </c>
      <c r="J222" s="220" t="s">
        <v>297</v>
      </c>
      <c r="K222" s="220" t="s">
        <v>397</v>
      </c>
      <c r="L222" s="220" t="s">
        <v>2315</v>
      </c>
      <c r="M222" s="220" t="s">
        <v>2314</v>
      </c>
      <c r="N222" s="220" t="s">
        <v>2313</v>
      </c>
      <c r="O222" s="220" t="s">
        <v>2312</v>
      </c>
      <c r="P222" s="220" t="s">
        <v>2311</v>
      </c>
      <c r="Q222" s="220" t="s">
        <v>2310</v>
      </c>
      <c r="R222" s="220"/>
      <c r="S222" s="220" t="s">
        <v>2129</v>
      </c>
      <c r="T222" s="220" t="s">
        <v>2128</v>
      </c>
      <c r="U222" s="220" t="s">
        <v>2309</v>
      </c>
      <c r="V222" s="220" t="s">
        <v>2126</v>
      </c>
      <c r="W222" s="220"/>
      <c r="X222" s="220"/>
      <c r="Y222" s="283"/>
      <c r="Z222" s="220"/>
      <c r="AA222" s="220"/>
      <c r="AB222" s="220"/>
      <c r="AC222" s="220"/>
      <c r="AD222" s="220"/>
      <c r="AE222" s="283"/>
      <c r="AF222" s="220"/>
      <c r="AG222" s="220"/>
      <c r="AH222" s="220"/>
      <c r="AI222" s="220"/>
      <c r="AJ222" s="226">
        <v>12</v>
      </c>
      <c r="AK222" s="226">
        <v>0</v>
      </c>
      <c r="AL222" s="225">
        <v>0.31752000000000002</v>
      </c>
      <c r="AM222" s="220"/>
      <c r="AN222" s="225">
        <v>1623.5640000000001</v>
      </c>
      <c r="AO222" s="220"/>
      <c r="AP222" s="220"/>
      <c r="AQ222" s="283"/>
      <c r="AR222" s="283"/>
      <c r="AS222" s="283"/>
      <c r="AT222" s="223">
        <v>0</v>
      </c>
      <c r="AU222" s="284">
        <v>78</v>
      </c>
      <c r="AV222" s="221">
        <v>42836</v>
      </c>
      <c r="AW222" s="221">
        <v>42836.753146099501</v>
      </c>
      <c r="AX222" s="220" t="s">
        <v>293</v>
      </c>
      <c r="AY222" s="219" t="s">
        <v>2308</v>
      </c>
    </row>
    <row r="223" spans="1:51" hidden="1" outlineLevel="1" collapsed="1">
      <c r="A223" s="227" t="s">
        <v>289</v>
      </c>
      <c r="B223" s="220" t="s">
        <v>2319</v>
      </c>
      <c r="C223" s="220" t="s">
        <v>2319</v>
      </c>
      <c r="D223" s="220" t="s">
        <v>2318</v>
      </c>
      <c r="E223" s="220" t="s">
        <v>2317</v>
      </c>
      <c r="F223" s="220" t="s">
        <v>2317</v>
      </c>
      <c r="G223" s="220" t="s">
        <v>2317</v>
      </c>
      <c r="H223" s="220" t="s">
        <v>2316</v>
      </c>
      <c r="I223" s="220" t="s">
        <v>329</v>
      </c>
      <c r="J223" s="220" t="s">
        <v>297</v>
      </c>
      <c r="K223" s="220" t="s">
        <v>397</v>
      </c>
      <c r="L223" s="220" t="s">
        <v>2315</v>
      </c>
      <c r="M223" s="220" t="s">
        <v>2314</v>
      </c>
      <c r="N223" s="220" t="s">
        <v>2313</v>
      </c>
      <c r="O223" s="220" t="s">
        <v>2312</v>
      </c>
      <c r="P223" s="220" t="s">
        <v>2311</v>
      </c>
      <c r="Q223" s="220" t="s">
        <v>2310</v>
      </c>
      <c r="R223" s="220"/>
      <c r="S223" s="220" t="s">
        <v>2129</v>
      </c>
      <c r="T223" s="220" t="s">
        <v>2145</v>
      </c>
      <c r="U223" s="220" t="s">
        <v>2309</v>
      </c>
      <c r="V223" s="220" t="s">
        <v>2126</v>
      </c>
      <c r="W223" s="220"/>
      <c r="X223" s="220"/>
      <c r="Y223" s="283"/>
      <c r="Z223" s="220"/>
      <c r="AA223" s="220"/>
      <c r="AB223" s="220"/>
      <c r="AC223" s="220"/>
      <c r="AD223" s="220"/>
      <c r="AE223" s="283"/>
      <c r="AF223" s="220"/>
      <c r="AG223" s="220"/>
      <c r="AH223" s="220"/>
      <c r="AI223" s="220"/>
      <c r="AJ223" s="226">
        <v>51</v>
      </c>
      <c r="AK223" s="226">
        <v>0</v>
      </c>
      <c r="AL223" s="225">
        <v>7.3320660000000002</v>
      </c>
      <c r="AM223" s="220"/>
      <c r="AN223" s="225">
        <v>37490.813999999998</v>
      </c>
      <c r="AO223" s="220"/>
      <c r="AP223" s="220"/>
      <c r="AQ223" s="283"/>
      <c r="AR223" s="283"/>
      <c r="AS223" s="283"/>
      <c r="AT223" s="223">
        <v>0</v>
      </c>
      <c r="AU223" s="284">
        <v>1096.5</v>
      </c>
      <c r="AV223" s="221">
        <v>42836</v>
      </c>
      <c r="AW223" s="221">
        <v>42836.753146099501</v>
      </c>
      <c r="AX223" s="220" t="s">
        <v>293</v>
      </c>
      <c r="AY223" s="219" t="s">
        <v>2329</v>
      </c>
    </row>
    <row r="224" spans="1:51" ht="20.399999999999999" hidden="1" outlineLevel="1" collapsed="1">
      <c r="A224" s="227" t="s">
        <v>289</v>
      </c>
      <c r="B224" s="220" t="s">
        <v>2319</v>
      </c>
      <c r="C224" s="220" t="s">
        <v>2319</v>
      </c>
      <c r="D224" s="220" t="s">
        <v>2318</v>
      </c>
      <c r="E224" s="220" t="s">
        <v>2317</v>
      </c>
      <c r="F224" s="220" t="s">
        <v>2317</v>
      </c>
      <c r="G224" s="220" t="s">
        <v>2317</v>
      </c>
      <c r="H224" s="220" t="s">
        <v>2316</v>
      </c>
      <c r="I224" s="220" t="s">
        <v>329</v>
      </c>
      <c r="J224" s="220" t="s">
        <v>297</v>
      </c>
      <c r="K224" s="220" t="s">
        <v>397</v>
      </c>
      <c r="L224" s="220" t="s">
        <v>2315</v>
      </c>
      <c r="M224" s="220" t="s">
        <v>2314</v>
      </c>
      <c r="N224" s="220" t="s">
        <v>2313</v>
      </c>
      <c r="O224" s="220" t="s">
        <v>2312</v>
      </c>
      <c r="P224" s="220" t="s">
        <v>2311</v>
      </c>
      <c r="Q224" s="220" t="s">
        <v>2310</v>
      </c>
      <c r="R224" s="220"/>
      <c r="S224" s="220" t="s">
        <v>2129</v>
      </c>
      <c r="T224" s="220" t="s">
        <v>2173</v>
      </c>
      <c r="U224" s="220" t="s">
        <v>2309</v>
      </c>
      <c r="V224" s="220" t="s">
        <v>2126</v>
      </c>
      <c r="W224" s="220"/>
      <c r="X224" s="220"/>
      <c r="Y224" s="283"/>
      <c r="Z224" s="220"/>
      <c r="AA224" s="220"/>
      <c r="AB224" s="220"/>
      <c r="AC224" s="220"/>
      <c r="AD224" s="220"/>
      <c r="AE224" s="283"/>
      <c r="AF224" s="220"/>
      <c r="AG224" s="220"/>
      <c r="AH224" s="220"/>
      <c r="AI224" s="220"/>
      <c r="AJ224" s="226">
        <v>60</v>
      </c>
      <c r="AK224" s="226">
        <v>0</v>
      </c>
      <c r="AL224" s="225">
        <v>0.79379999999999995</v>
      </c>
      <c r="AM224" s="220"/>
      <c r="AN224" s="225">
        <v>4058.94</v>
      </c>
      <c r="AO224" s="220"/>
      <c r="AP224" s="220"/>
      <c r="AQ224" s="283"/>
      <c r="AR224" s="283"/>
      <c r="AS224" s="283"/>
      <c r="AT224" s="223">
        <v>0</v>
      </c>
      <c r="AU224" s="284">
        <v>480</v>
      </c>
      <c r="AV224" s="221">
        <v>42836</v>
      </c>
      <c r="AW224" s="221">
        <v>42836.753146099501</v>
      </c>
      <c r="AX224" s="220" t="s">
        <v>293</v>
      </c>
      <c r="AY224" s="219" t="s">
        <v>2328</v>
      </c>
    </row>
    <row r="225" spans="1:51" ht="20.399999999999999" hidden="1" outlineLevel="1" collapsed="1">
      <c r="A225" s="227" t="s">
        <v>289</v>
      </c>
      <c r="B225" s="220" t="s">
        <v>2319</v>
      </c>
      <c r="C225" s="220" t="s">
        <v>2319</v>
      </c>
      <c r="D225" s="220" t="s">
        <v>2318</v>
      </c>
      <c r="E225" s="220" t="s">
        <v>2317</v>
      </c>
      <c r="F225" s="220" t="s">
        <v>2317</v>
      </c>
      <c r="G225" s="220" t="s">
        <v>2317</v>
      </c>
      <c r="H225" s="220" t="s">
        <v>2316</v>
      </c>
      <c r="I225" s="220" t="s">
        <v>329</v>
      </c>
      <c r="J225" s="220" t="s">
        <v>297</v>
      </c>
      <c r="K225" s="220" t="s">
        <v>397</v>
      </c>
      <c r="L225" s="220" t="s">
        <v>2315</v>
      </c>
      <c r="M225" s="220" t="s">
        <v>2314</v>
      </c>
      <c r="N225" s="220" t="s">
        <v>2313</v>
      </c>
      <c r="O225" s="220" t="s">
        <v>2312</v>
      </c>
      <c r="P225" s="220" t="s">
        <v>2311</v>
      </c>
      <c r="Q225" s="220" t="s">
        <v>2310</v>
      </c>
      <c r="R225" s="220"/>
      <c r="S225" s="220" t="s">
        <v>2129</v>
      </c>
      <c r="T225" s="220" t="s">
        <v>2173</v>
      </c>
      <c r="U225" s="220" t="s">
        <v>2309</v>
      </c>
      <c r="V225" s="220" t="s">
        <v>2126</v>
      </c>
      <c r="W225" s="220"/>
      <c r="X225" s="220"/>
      <c r="Y225" s="283"/>
      <c r="Z225" s="220"/>
      <c r="AA225" s="220"/>
      <c r="AB225" s="220"/>
      <c r="AC225" s="220"/>
      <c r="AD225" s="220"/>
      <c r="AE225" s="283"/>
      <c r="AF225" s="220"/>
      <c r="AG225" s="220"/>
      <c r="AH225" s="220"/>
      <c r="AI225" s="220"/>
      <c r="AJ225" s="226">
        <v>372</v>
      </c>
      <c r="AK225" s="226">
        <v>0</v>
      </c>
      <c r="AL225" s="225">
        <v>4.9215600000000004</v>
      </c>
      <c r="AM225" s="220"/>
      <c r="AN225" s="225">
        <v>25165.428</v>
      </c>
      <c r="AO225" s="220"/>
      <c r="AP225" s="220"/>
      <c r="AQ225" s="283"/>
      <c r="AR225" s="283"/>
      <c r="AS225" s="283"/>
      <c r="AT225" s="223">
        <v>0</v>
      </c>
      <c r="AU225" s="284">
        <v>2473.1601599999999</v>
      </c>
      <c r="AV225" s="221">
        <v>42836</v>
      </c>
      <c r="AW225" s="221">
        <v>42836.753146099501</v>
      </c>
      <c r="AX225" s="220" t="s">
        <v>293</v>
      </c>
      <c r="AY225" s="219" t="s">
        <v>2330</v>
      </c>
    </row>
    <row r="226" spans="1:51" hidden="1" outlineLevel="1" collapsed="1">
      <c r="A226" s="227" t="s">
        <v>289</v>
      </c>
      <c r="B226" s="220" t="s">
        <v>2319</v>
      </c>
      <c r="C226" s="220" t="s">
        <v>2319</v>
      </c>
      <c r="D226" s="220" t="s">
        <v>2318</v>
      </c>
      <c r="E226" s="220" t="s">
        <v>2317</v>
      </c>
      <c r="F226" s="220" t="s">
        <v>2317</v>
      </c>
      <c r="G226" s="220" t="s">
        <v>2317</v>
      </c>
      <c r="H226" s="220" t="s">
        <v>2316</v>
      </c>
      <c r="I226" s="220" t="s">
        <v>329</v>
      </c>
      <c r="J226" s="220" t="s">
        <v>297</v>
      </c>
      <c r="K226" s="220" t="s">
        <v>397</v>
      </c>
      <c r="L226" s="220" t="s">
        <v>2315</v>
      </c>
      <c r="M226" s="220" t="s">
        <v>2314</v>
      </c>
      <c r="N226" s="220" t="s">
        <v>2313</v>
      </c>
      <c r="O226" s="220" t="s">
        <v>2312</v>
      </c>
      <c r="P226" s="220" t="s">
        <v>2311</v>
      </c>
      <c r="Q226" s="220" t="s">
        <v>2310</v>
      </c>
      <c r="R226" s="220"/>
      <c r="S226" s="220" t="s">
        <v>2129</v>
      </c>
      <c r="T226" s="220" t="s">
        <v>2128</v>
      </c>
      <c r="U226" s="220" t="s">
        <v>2309</v>
      </c>
      <c r="V226" s="220" t="s">
        <v>2126</v>
      </c>
      <c r="W226" s="220"/>
      <c r="X226" s="220"/>
      <c r="Y226" s="283"/>
      <c r="Z226" s="220"/>
      <c r="AA226" s="220"/>
      <c r="AB226" s="220"/>
      <c r="AC226" s="220"/>
      <c r="AD226" s="220"/>
      <c r="AE226" s="283"/>
      <c r="AF226" s="220"/>
      <c r="AG226" s="220"/>
      <c r="AH226" s="220"/>
      <c r="AI226" s="220"/>
      <c r="AJ226" s="226">
        <v>28</v>
      </c>
      <c r="AK226" s="226">
        <v>0</v>
      </c>
      <c r="AL226" s="225">
        <v>0.74087999999999998</v>
      </c>
      <c r="AM226" s="220"/>
      <c r="AN226" s="225">
        <v>3788.3159999999998</v>
      </c>
      <c r="AO226" s="220"/>
      <c r="AP226" s="220"/>
      <c r="AQ226" s="283"/>
      <c r="AR226" s="283"/>
      <c r="AS226" s="283"/>
      <c r="AT226" s="223">
        <v>0</v>
      </c>
      <c r="AU226" s="284">
        <v>224</v>
      </c>
      <c r="AV226" s="221">
        <v>42836</v>
      </c>
      <c r="AW226" s="221">
        <v>42836.753146099501</v>
      </c>
      <c r="AX226" s="220" t="s">
        <v>293</v>
      </c>
      <c r="AY226" s="219" t="s">
        <v>2326</v>
      </c>
    </row>
    <row r="227" spans="1:51" ht="20.399999999999999" hidden="1" outlineLevel="1" collapsed="1">
      <c r="A227" s="227" t="s">
        <v>289</v>
      </c>
      <c r="B227" s="220" t="s">
        <v>2319</v>
      </c>
      <c r="C227" s="220" t="s">
        <v>2319</v>
      </c>
      <c r="D227" s="220" t="s">
        <v>2318</v>
      </c>
      <c r="E227" s="220" t="s">
        <v>2317</v>
      </c>
      <c r="F227" s="220" t="s">
        <v>2317</v>
      </c>
      <c r="G227" s="220" t="s">
        <v>2317</v>
      </c>
      <c r="H227" s="220" t="s">
        <v>2316</v>
      </c>
      <c r="I227" s="220" t="s">
        <v>329</v>
      </c>
      <c r="J227" s="220" t="s">
        <v>297</v>
      </c>
      <c r="K227" s="220" t="s">
        <v>397</v>
      </c>
      <c r="L227" s="220" t="s">
        <v>2315</v>
      </c>
      <c r="M227" s="220" t="s">
        <v>2314</v>
      </c>
      <c r="N227" s="220" t="s">
        <v>2313</v>
      </c>
      <c r="O227" s="220" t="s">
        <v>2312</v>
      </c>
      <c r="P227" s="220" t="s">
        <v>2311</v>
      </c>
      <c r="Q227" s="220" t="s">
        <v>2310</v>
      </c>
      <c r="R227" s="220"/>
      <c r="S227" s="220" t="s">
        <v>2129</v>
      </c>
      <c r="T227" s="220" t="s">
        <v>2173</v>
      </c>
      <c r="U227" s="220" t="s">
        <v>2309</v>
      </c>
      <c r="V227" s="220" t="s">
        <v>2126</v>
      </c>
      <c r="W227" s="220"/>
      <c r="X227" s="220"/>
      <c r="Y227" s="283"/>
      <c r="Z227" s="220"/>
      <c r="AA227" s="220"/>
      <c r="AB227" s="220"/>
      <c r="AC227" s="220"/>
      <c r="AD227" s="220"/>
      <c r="AE227" s="283"/>
      <c r="AF227" s="220"/>
      <c r="AG227" s="220"/>
      <c r="AH227" s="220"/>
      <c r="AI227" s="220"/>
      <c r="AJ227" s="226">
        <v>11</v>
      </c>
      <c r="AK227" s="226">
        <v>0</v>
      </c>
      <c r="AL227" s="225">
        <v>0.14552999999999999</v>
      </c>
      <c r="AM227" s="220"/>
      <c r="AN227" s="225">
        <v>744.13900000000001</v>
      </c>
      <c r="AO227" s="220"/>
      <c r="AP227" s="220"/>
      <c r="AQ227" s="283"/>
      <c r="AR227" s="283"/>
      <c r="AS227" s="283"/>
      <c r="AT227" s="223">
        <v>0</v>
      </c>
      <c r="AU227" s="284">
        <v>88</v>
      </c>
      <c r="AV227" s="221">
        <v>42836</v>
      </c>
      <c r="AW227" s="221">
        <v>42836.753146099501</v>
      </c>
      <c r="AX227" s="220" t="s">
        <v>293</v>
      </c>
      <c r="AY227" s="219" t="s">
        <v>2327</v>
      </c>
    </row>
    <row r="228" spans="1:51" ht="20.399999999999999" hidden="1" outlineLevel="1" collapsed="1">
      <c r="A228" s="227" t="s">
        <v>289</v>
      </c>
      <c r="B228" s="220" t="s">
        <v>2319</v>
      </c>
      <c r="C228" s="220" t="s">
        <v>2319</v>
      </c>
      <c r="D228" s="220" t="s">
        <v>2318</v>
      </c>
      <c r="E228" s="220" t="s">
        <v>2317</v>
      </c>
      <c r="F228" s="220" t="s">
        <v>2317</v>
      </c>
      <c r="G228" s="220" t="s">
        <v>2317</v>
      </c>
      <c r="H228" s="220" t="s">
        <v>2316</v>
      </c>
      <c r="I228" s="220" t="s">
        <v>329</v>
      </c>
      <c r="J228" s="220" t="s">
        <v>297</v>
      </c>
      <c r="K228" s="220" t="s">
        <v>397</v>
      </c>
      <c r="L228" s="220" t="s">
        <v>2315</v>
      </c>
      <c r="M228" s="220" t="s">
        <v>2314</v>
      </c>
      <c r="N228" s="220" t="s">
        <v>2313</v>
      </c>
      <c r="O228" s="220" t="s">
        <v>2312</v>
      </c>
      <c r="P228" s="220" t="s">
        <v>2311</v>
      </c>
      <c r="Q228" s="220" t="s">
        <v>2310</v>
      </c>
      <c r="R228" s="220"/>
      <c r="S228" s="220" t="s">
        <v>2129</v>
      </c>
      <c r="T228" s="220" t="s">
        <v>2173</v>
      </c>
      <c r="U228" s="220" t="s">
        <v>2309</v>
      </c>
      <c r="V228" s="220" t="s">
        <v>2126</v>
      </c>
      <c r="W228" s="220"/>
      <c r="X228" s="220"/>
      <c r="Y228" s="283"/>
      <c r="Z228" s="220"/>
      <c r="AA228" s="220"/>
      <c r="AB228" s="220"/>
      <c r="AC228" s="220"/>
      <c r="AD228" s="220"/>
      <c r="AE228" s="283"/>
      <c r="AF228" s="220"/>
      <c r="AG228" s="220"/>
      <c r="AH228" s="220"/>
      <c r="AI228" s="220"/>
      <c r="AJ228" s="226">
        <v>1</v>
      </c>
      <c r="AK228" s="226">
        <v>0</v>
      </c>
      <c r="AL228" s="225">
        <v>1.323E-2</v>
      </c>
      <c r="AM228" s="220"/>
      <c r="AN228" s="225">
        <v>67.649000000000001</v>
      </c>
      <c r="AO228" s="220"/>
      <c r="AP228" s="220"/>
      <c r="AQ228" s="283"/>
      <c r="AR228" s="283"/>
      <c r="AS228" s="283"/>
      <c r="AT228" s="223">
        <v>0</v>
      </c>
      <c r="AU228" s="284">
        <v>8</v>
      </c>
      <c r="AV228" s="221">
        <v>42836</v>
      </c>
      <c r="AW228" s="221">
        <v>42836.753146099501</v>
      </c>
      <c r="AX228" s="220" t="s">
        <v>293</v>
      </c>
      <c r="AY228" s="219" t="s">
        <v>2323</v>
      </c>
    </row>
    <row r="229" spans="1:51" hidden="1" outlineLevel="1" collapsed="1">
      <c r="A229" s="227" t="s">
        <v>289</v>
      </c>
      <c r="B229" s="220" t="s">
        <v>2304</v>
      </c>
      <c r="C229" s="220" t="s">
        <v>2304</v>
      </c>
      <c r="D229" s="220" t="s">
        <v>2303</v>
      </c>
      <c r="E229" s="220" t="s">
        <v>2301</v>
      </c>
      <c r="F229" s="220" t="s">
        <v>2302</v>
      </c>
      <c r="G229" s="220" t="s">
        <v>2301</v>
      </c>
      <c r="H229" s="220" t="s">
        <v>2300</v>
      </c>
      <c r="I229" s="220" t="s">
        <v>329</v>
      </c>
      <c r="J229" s="220" t="s">
        <v>297</v>
      </c>
      <c r="K229" s="220" t="s">
        <v>397</v>
      </c>
      <c r="L229" s="220" t="s">
        <v>2299</v>
      </c>
      <c r="M229" s="220" t="s">
        <v>2298</v>
      </c>
      <c r="N229" s="220" t="s">
        <v>329</v>
      </c>
      <c r="O229" s="220" t="s">
        <v>297</v>
      </c>
      <c r="P229" s="220" t="s">
        <v>397</v>
      </c>
      <c r="Q229" s="220" t="s">
        <v>2297</v>
      </c>
      <c r="R229" s="220"/>
      <c r="S229" s="220" t="s">
        <v>2129</v>
      </c>
      <c r="T229" s="220" t="s">
        <v>2166</v>
      </c>
      <c r="U229" s="220" t="s">
        <v>2127</v>
      </c>
      <c r="V229" s="220" t="s">
        <v>2126</v>
      </c>
      <c r="W229" s="220"/>
      <c r="X229" s="220"/>
      <c r="Y229" s="283"/>
      <c r="Z229" s="220"/>
      <c r="AA229" s="220"/>
      <c r="AB229" s="220"/>
      <c r="AC229" s="220"/>
      <c r="AD229" s="220"/>
      <c r="AE229" s="283"/>
      <c r="AF229" s="220"/>
      <c r="AG229" s="220"/>
      <c r="AH229" s="220"/>
      <c r="AI229" s="220"/>
      <c r="AJ229" s="226">
        <v>8</v>
      </c>
      <c r="AK229" s="226">
        <v>0</v>
      </c>
      <c r="AL229" s="225">
        <v>0.306979</v>
      </c>
      <c r="AM229" s="220"/>
      <c r="AN229" s="225">
        <v>1438.44</v>
      </c>
      <c r="AO229" s="220"/>
      <c r="AP229" s="220"/>
      <c r="AQ229" s="283"/>
      <c r="AR229" s="283"/>
      <c r="AS229" s="283"/>
      <c r="AT229" s="223">
        <v>0</v>
      </c>
      <c r="AU229" s="284">
        <v>62.56</v>
      </c>
      <c r="AV229" s="221">
        <v>42837</v>
      </c>
      <c r="AW229" s="221">
        <v>42837.652539618102</v>
      </c>
      <c r="AX229" s="220" t="s">
        <v>293</v>
      </c>
      <c r="AY229" s="219" t="s">
        <v>2306</v>
      </c>
    </row>
    <row r="230" spans="1:51" hidden="1" outlineLevel="1" collapsed="1">
      <c r="A230" s="227" t="s">
        <v>289</v>
      </c>
      <c r="B230" s="220" t="s">
        <v>2304</v>
      </c>
      <c r="C230" s="220" t="s">
        <v>2304</v>
      </c>
      <c r="D230" s="220" t="s">
        <v>2303</v>
      </c>
      <c r="E230" s="220" t="s">
        <v>2301</v>
      </c>
      <c r="F230" s="220" t="s">
        <v>2302</v>
      </c>
      <c r="G230" s="220" t="s">
        <v>2301</v>
      </c>
      <c r="H230" s="220" t="s">
        <v>2300</v>
      </c>
      <c r="I230" s="220" t="s">
        <v>329</v>
      </c>
      <c r="J230" s="220" t="s">
        <v>297</v>
      </c>
      <c r="K230" s="220" t="s">
        <v>397</v>
      </c>
      <c r="L230" s="220" t="s">
        <v>2299</v>
      </c>
      <c r="M230" s="220" t="s">
        <v>2298</v>
      </c>
      <c r="N230" s="220" t="s">
        <v>329</v>
      </c>
      <c r="O230" s="220" t="s">
        <v>297</v>
      </c>
      <c r="P230" s="220" t="s">
        <v>397</v>
      </c>
      <c r="Q230" s="220" t="s">
        <v>2297</v>
      </c>
      <c r="R230" s="220"/>
      <c r="S230" s="220" t="s">
        <v>2129</v>
      </c>
      <c r="T230" s="220" t="s">
        <v>2128</v>
      </c>
      <c r="U230" s="220" t="s">
        <v>2127</v>
      </c>
      <c r="V230" s="220" t="s">
        <v>2126</v>
      </c>
      <c r="W230" s="220"/>
      <c r="X230" s="220"/>
      <c r="Y230" s="283"/>
      <c r="Z230" s="220"/>
      <c r="AA230" s="220"/>
      <c r="AB230" s="220"/>
      <c r="AC230" s="220"/>
      <c r="AD230" s="220"/>
      <c r="AE230" s="283"/>
      <c r="AF230" s="220"/>
      <c r="AG230" s="220"/>
      <c r="AH230" s="220"/>
      <c r="AI230" s="220"/>
      <c r="AJ230" s="226">
        <v>20</v>
      </c>
      <c r="AK230" s="226">
        <v>0</v>
      </c>
      <c r="AL230" s="225">
        <v>0.48470400000000002</v>
      </c>
      <c r="AM230" s="220"/>
      <c r="AN230" s="225">
        <v>2271.2199999999998</v>
      </c>
      <c r="AO230" s="220"/>
      <c r="AP230" s="220"/>
      <c r="AQ230" s="283"/>
      <c r="AR230" s="283"/>
      <c r="AS230" s="283"/>
      <c r="AT230" s="223">
        <v>0</v>
      </c>
      <c r="AU230" s="284">
        <v>157</v>
      </c>
      <c r="AV230" s="221">
        <v>42837</v>
      </c>
      <c r="AW230" s="221">
        <v>42837.652539618102</v>
      </c>
      <c r="AX230" s="220" t="s">
        <v>293</v>
      </c>
      <c r="AY230" s="219" t="s">
        <v>2307</v>
      </c>
    </row>
    <row r="231" spans="1:51" hidden="1" outlineLevel="1" collapsed="1">
      <c r="A231" s="227" t="s">
        <v>289</v>
      </c>
      <c r="B231" s="220" t="s">
        <v>2304</v>
      </c>
      <c r="C231" s="220" t="s">
        <v>2304</v>
      </c>
      <c r="D231" s="220" t="s">
        <v>2303</v>
      </c>
      <c r="E231" s="220" t="s">
        <v>2301</v>
      </c>
      <c r="F231" s="220" t="s">
        <v>2302</v>
      </c>
      <c r="G231" s="220" t="s">
        <v>2301</v>
      </c>
      <c r="H231" s="220" t="s">
        <v>2300</v>
      </c>
      <c r="I231" s="220" t="s">
        <v>329</v>
      </c>
      <c r="J231" s="220" t="s">
        <v>297</v>
      </c>
      <c r="K231" s="220" t="s">
        <v>397</v>
      </c>
      <c r="L231" s="220" t="s">
        <v>2299</v>
      </c>
      <c r="M231" s="220" t="s">
        <v>2298</v>
      </c>
      <c r="N231" s="220" t="s">
        <v>329</v>
      </c>
      <c r="O231" s="220" t="s">
        <v>297</v>
      </c>
      <c r="P231" s="220" t="s">
        <v>397</v>
      </c>
      <c r="Q231" s="220" t="s">
        <v>2297</v>
      </c>
      <c r="R231" s="220"/>
      <c r="S231" s="220" t="s">
        <v>2129</v>
      </c>
      <c r="T231" s="220" t="s">
        <v>2166</v>
      </c>
      <c r="U231" s="220" t="s">
        <v>2127</v>
      </c>
      <c r="V231" s="220" t="s">
        <v>2126</v>
      </c>
      <c r="W231" s="220"/>
      <c r="X231" s="220"/>
      <c r="Y231" s="283"/>
      <c r="Z231" s="220"/>
      <c r="AA231" s="220"/>
      <c r="AB231" s="220"/>
      <c r="AC231" s="220"/>
      <c r="AD231" s="220"/>
      <c r="AE231" s="283"/>
      <c r="AF231" s="220"/>
      <c r="AG231" s="220"/>
      <c r="AH231" s="220"/>
      <c r="AI231" s="220"/>
      <c r="AJ231" s="226">
        <v>128</v>
      </c>
      <c r="AK231" s="226">
        <v>0</v>
      </c>
      <c r="AL231" s="225">
        <v>4.9116669999999996</v>
      </c>
      <c r="AM231" s="220"/>
      <c r="AN231" s="225">
        <v>23015.040000000001</v>
      </c>
      <c r="AO231" s="220"/>
      <c r="AP231" s="220"/>
      <c r="AQ231" s="283"/>
      <c r="AR231" s="283"/>
      <c r="AS231" s="283"/>
      <c r="AT231" s="223">
        <v>0</v>
      </c>
      <c r="AU231" s="284">
        <v>1047.04</v>
      </c>
      <c r="AV231" s="221">
        <v>42837</v>
      </c>
      <c r="AW231" s="221">
        <v>42837.652539618102</v>
      </c>
      <c r="AX231" s="220" t="s">
        <v>293</v>
      </c>
      <c r="AY231" s="219" t="s">
        <v>2305</v>
      </c>
    </row>
    <row r="232" spans="1:51" hidden="1" outlineLevel="1" collapsed="1">
      <c r="A232" s="227" t="s">
        <v>289</v>
      </c>
      <c r="B232" s="220" t="s">
        <v>2304</v>
      </c>
      <c r="C232" s="220" t="s">
        <v>2304</v>
      </c>
      <c r="D232" s="220" t="s">
        <v>2303</v>
      </c>
      <c r="E232" s="220" t="s">
        <v>2301</v>
      </c>
      <c r="F232" s="220" t="s">
        <v>2302</v>
      </c>
      <c r="G232" s="220" t="s">
        <v>2301</v>
      </c>
      <c r="H232" s="220" t="s">
        <v>2300</v>
      </c>
      <c r="I232" s="220" t="s">
        <v>329</v>
      </c>
      <c r="J232" s="220" t="s">
        <v>297</v>
      </c>
      <c r="K232" s="220" t="s">
        <v>397</v>
      </c>
      <c r="L232" s="220" t="s">
        <v>2299</v>
      </c>
      <c r="M232" s="220" t="s">
        <v>2298</v>
      </c>
      <c r="N232" s="220" t="s">
        <v>329</v>
      </c>
      <c r="O232" s="220" t="s">
        <v>297</v>
      </c>
      <c r="P232" s="220" t="s">
        <v>397</v>
      </c>
      <c r="Q232" s="220" t="s">
        <v>2297</v>
      </c>
      <c r="R232" s="220"/>
      <c r="S232" s="220" t="s">
        <v>2129</v>
      </c>
      <c r="T232" s="220" t="s">
        <v>2128</v>
      </c>
      <c r="U232" s="220" t="s">
        <v>2127</v>
      </c>
      <c r="V232" s="220" t="s">
        <v>2126</v>
      </c>
      <c r="W232" s="220"/>
      <c r="X232" s="220"/>
      <c r="Y232" s="283"/>
      <c r="Z232" s="220"/>
      <c r="AA232" s="220"/>
      <c r="AB232" s="220"/>
      <c r="AC232" s="220"/>
      <c r="AD232" s="220"/>
      <c r="AE232" s="283"/>
      <c r="AF232" s="220"/>
      <c r="AG232" s="220"/>
      <c r="AH232" s="220"/>
      <c r="AI232" s="220"/>
      <c r="AJ232" s="226">
        <v>20</v>
      </c>
      <c r="AK232" s="226">
        <v>0</v>
      </c>
      <c r="AL232" s="225">
        <v>0.48470400000000002</v>
      </c>
      <c r="AM232" s="220"/>
      <c r="AN232" s="225">
        <v>2271.2199999999998</v>
      </c>
      <c r="AO232" s="220"/>
      <c r="AP232" s="220"/>
      <c r="AQ232" s="283"/>
      <c r="AR232" s="283"/>
      <c r="AS232" s="283"/>
      <c r="AT232" s="223">
        <v>0</v>
      </c>
      <c r="AU232" s="284">
        <v>157</v>
      </c>
      <c r="AV232" s="221">
        <v>42837</v>
      </c>
      <c r="AW232" s="221">
        <v>42837.652539618102</v>
      </c>
      <c r="AX232" s="220" t="s">
        <v>293</v>
      </c>
      <c r="AY232" s="219" t="s">
        <v>2296</v>
      </c>
    </row>
    <row r="233" spans="1:51" ht="20.399999999999999" hidden="1" outlineLevel="1" collapsed="1">
      <c r="A233" s="227" t="s">
        <v>289</v>
      </c>
      <c r="B233" s="220" t="s">
        <v>2294</v>
      </c>
      <c r="C233" s="220" t="s">
        <v>2294</v>
      </c>
      <c r="D233" s="220" t="s">
        <v>2293</v>
      </c>
      <c r="E233" s="220" t="s">
        <v>2292</v>
      </c>
      <c r="F233" s="220" t="s">
        <v>2292</v>
      </c>
      <c r="G233" s="220" t="s">
        <v>2292</v>
      </c>
      <c r="H233" s="220" t="s">
        <v>2291</v>
      </c>
      <c r="I233" s="220" t="s">
        <v>329</v>
      </c>
      <c r="J233" s="220" t="s">
        <v>297</v>
      </c>
      <c r="K233" s="220" t="s">
        <v>328</v>
      </c>
      <c r="L233" s="220" t="s">
        <v>2211</v>
      </c>
      <c r="M233" s="220" t="s">
        <v>2210</v>
      </c>
      <c r="N233" s="220" t="s">
        <v>298</v>
      </c>
      <c r="O233" s="220" t="s">
        <v>297</v>
      </c>
      <c r="P233" s="220" t="s">
        <v>296</v>
      </c>
      <c r="Q233" s="220" t="s">
        <v>2209</v>
      </c>
      <c r="R233" s="220" t="s">
        <v>2208</v>
      </c>
      <c r="S233" s="220" t="s">
        <v>2129</v>
      </c>
      <c r="T233" s="220" t="s">
        <v>2166</v>
      </c>
      <c r="U233" s="220" t="s">
        <v>2202</v>
      </c>
      <c r="V233" s="220" t="s">
        <v>2126</v>
      </c>
      <c r="W233" s="220"/>
      <c r="X233" s="220"/>
      <c r="Y233" s="283"/>
      <c r="Z233" s="220"/>
      <c r="AA233" s="220"/>
      <c r="AB233" s="220"/>
      <c r="AC233" s="220"/>
      <c r="AD233" s="220"/>
      <c r="AE233" s="283"/>
      <c r="AF233" s="220"/>
      <c r="AG233" s="220"/>
      <c r="AH233" s="220"/>
      <c r="AI233" s="220"/>
      <c r="AJ233" s="226">
        <v>1</v>
      </c>
      <c r="AK233" s="226">
        <v>0</v>
      </c>
      <c r="AL233" s="225">
        <v>3.5362999999999999E-2</v>
      </c>
      <c r="AM233" s="220"/>
      <c r="AN233" s="225">
        <v>157.24100000000001</v>
      </c>
      <c r="AO233" s="220"/>
      <c r="AP233" s="220"/>
      <c r="AQ233" s="283"/>
      <c r="AR233" s="283"/>
      <c r="AS233" s="283"/>
      <c r="AT233" s="223">
        <v>0</v>
      </c>
      <c r="AU233" s="284">
        <v>12.5</v>
      </c>
      <c r="AV233" s="221">
        <v>42838</v>
      </c>
      <c r="AW233" s="221">
        <v>42838.684498611103</v>
      </c>
      <c r="AX233" s="220" t="s">
        <v>293</v>
      </c>
      <c r="AY233" s="219" t="s">
        <v>2295</v>
      </c>
    </row>
    <row r="234" spans="1:51" ht="20.399999999999999" hidden="1" outlineLevel="1" collapsed="1">
      <c r="A234" s="227" t="s">
        <v>289</v>
      </c>
      <c r="B234" s="220" t="s">
        <v>2294</v>
      </c>
      <c r="C234" s="220" t="s">
        <v>2294</v>
      </c>
      <c r="D234" s="220" t="s">
        <v>2293</v>
      </c>
      <c r="E234" s="220" t="s">
        <v>2292</v>
      </c>
      <c r="F234" s="220" t="s">
        <v>2292</v>
      </c>
      <c r="G234" s="220" t="s">
        <v>2292</v>
      </c>
      <c r="H234" s="220" t="s">
        <v>2291</v>
      </c>
      <c r="I234" s="220" t="s">
        <v>329</v>
      </c>
      <c r="J234" s="220" t="s">
        <v>297</v>
      </c>
      <c r="K234" s="220" t="s">
        <v>328</v>
      </c>
      <c r="L234" s="220" t="s">
        <v>2211</v>
      </c>
      <c r="M234" s="220" t="s">
        <v>2210</v>
      </c>
      <c r="N234" s="220" t="s">
        <v>298</v>
      </c>
      <c r="O234" s="220" t="s">
        <v>297</v>
      </c>
      <c r="P234" s="220" t="s">
        <v>296</v>
      </c>
      <c r="Q234" s="220" t="s">
        <v>2209</v>
      </c>
      <c r="R234" s="220" t="s">
        <v>2208</v>
      </c>
      <c r="S234" s="220" t="s">
        <v>2129</v>
      </c>
      <c r="T234" s="220" t="s">
        <v>2147</v>
      </c>
      <c r="U234" s="220" t="s">
        <v>2202</v>
      </c>
      <c r="V234" s="220" t="s">
        <v>2126</v>
      </c>
      <c r="W234" s="220"/>
      <c r="X234" s="220"/>
      <c r="Y234" s="283"/>
      <c r="Z234" s="220"/>
      <c r="AA234" s="220"/>
      <c r="AB234" s="220"/>
      <c r="AC234" s="220"/>
      <c r="AD234" s="220"/>
      <c r="AE234" s="283"/>
      <c r="AF234" s="220"/>
      <c r="AG234" s="220"/>
      <c r="AH234" s="220"/>
      <c r="AI234" s="220"/>
      <c r="AJ234" s="226">
        <v>96</v>
      </c>
      <c r="AK234" s="226">
        <v>0</v>
      </c>
      <c r="AL234" s="225">
        <v>2.1441020000000002</v>
      </c>
      <c r="AM234" s="220"/>
      <c r="AN234" s="225">
        <v>9533.76</v>
      </c>
      <c r="AO234" s="220"/>
      <c r="AP234" s="220"/>
      <c r="AQ234" s="283"/>
      <c r="AR234" s="283"/>
      <c r="AS234" s="283"/>
      <c r="AT234" s="223">
        <v>0</v>
      </c>
      <c r="AU234" s="284">
        <v>1536</v>
      </c>
      <c r="AV234" s="221">
        <v>42838</v>
      </c>
      <c r="AW234" s="221">
        <v>42838.684498611103</v>
      </c>
      <c r="AX234" s="220" t="s">
        <v>293</v>
      </c>
      <c r="AY234" s="219" t="s">
        <v>2290</v>
      </c>
    </row>
    <row r="235" spans="1:51" ht="20.399999999999999" hidden="1" outlineLevel="1" collapsed="1">
      <c r="A235" s="227" t="s">
        <v>289</v>
      </c>
      <c r="B235" s="220" t="s">
        <v>2288</v>
      </c>
      <c r="C235" s="220" t="s">
        <v>2288</v>
      </c>
      <c r="D235" s="220" t="s">
        <v>2287</v>
      </c>
      <c r="E235" s="220" t="s">
        <v>2213</v>
      </c>
      <c r="F235" s="220" t="s">
        <v>2213</v>
      </c>
      <c r="G235" s="220" t="s">
        <v>2213</v>
      </c>
      <c r="H235" s="220" t="s">
        <v>2286</v>
      </c>
      <c r="I235" s="220" t="s">
        <v>329</v>
      </c>
      <c r="J235" s="220" t="s">
        <v>297</v>
      </c>
      <c r="K235" s="220" t="s">
        <v>397</v>
      </c>
      <c r="L235" s="220" t="s">
        <v>2211</v>
      </c>
      <c r="M235" s="220" t="s">
        <v>2210</v>
      </c>
      <c r="N235" s="220" t="s">
        <v>298</v>
      </c>
      <c r="O235" s="220" t="s">
        <v>297</v>
      </c>
      <c r="P235" s="220" t="s">
        <v>296</v>
      </c>
      <c r="Q235" s="220" t="s">
        <v>2209</v>
      </c>
      <c r="R235" s="220" t="s">
        <v>2208</v>
      </c>
      <c r="S235" s="220" t="s">
        <v>2129</v>
      </c>
      <c r="T235" s="220" t="s">
        <v>2166</v>
      </c>
      <c r="U235" s="220" t="s">
        <v>2127</v>
      </c>
      <c r="V235" s="220" t="s">
        <v>2126</v>
      </c>
      <c r="W235" s="220"/>
      <c r="X235" s="220"/>
      <c r="Y235" s="283"/>
      <c r="Z235" s="220"/>
      <c r="AA235" s="220"/>
      <c r="AB235" s="220"/>
      <c r="AC235" s="220"/>
      <c r="AD235" s="220"/>
      <c r="AE235" s="283"/>
      <c r="AF235" s="220"/>
      <c r="AG235" s="220"/>
      <c r="AH235" s="220"/>
      <c r="AI235" s="220"/>
      <c r="AJ235" s="226">
        <v>9</v>
      </c>
      <c r="AK235" s="226">
        <v>0</v>
      </c>
      <c r="AL235" s="225">
        <v>0.34535199999999999</v>
      </c>
      <c r="AM235" s="220"/>
      <c r="AN235" s="225">
        <v>1618.2449999999999</v>
      </c>
      <c r="AO235" s="220"/>
      <c r="AP235" s="220"/>
      <c r="AQ235" s="283"/>
      <c r="AR235" s="283"/>
      <c r="AS235" s="283"/>
      <c r="AT235" s="223">
        <v>0</v>
      </c>
      <c r="AU235" s="284">
        <v>112.5</v>
      </c>
      <c r="AV235" s="221">
        <v>42839</v>
      </c>
      <c r="AW235" s="221">
        <v>42839.452269097201</v>
      </c>
      <c r="AX235" s="220" t="s">
        <v>293</v>
      </c>
      <c r="AY235" s="219" t="s">
        <v>2289</v>
      </c>
    </row>
    <row r="236" spans="1:51" ht="20.399999999999999" hidden="1" outlineLevel="1" collapsed="1">
      <c r="A236" s="227" t="s">
        <v>289</v>
      </c>
      <c r="B236" s="220" t="s">
        <v>2288</v>
      </c>
      <c r="C236" s="220" t="s">
        <v>2288</v>
      </c>
      <c r="D236" s="220" t="s">
        <v>2287</v>
      </c>
      <c r="E236" s="220" t="s">
        <v>2213</v>
      </c>
      <c r="F236" s="220" t="s">
        <v>2213</v>
      </c>
      <c r="G236" s="220" t="s">
        <v>2213</v>
      </c>
      <c r="H236" s="220" t="s">
        <v>2286</v>
      </c>
      <c r="I236" s="220" t="s">
        <v>329</v>
      </c>
      <c r="J236" s="220" t="s">
        <v>297</v>
      </c>
      <c r="K236" s="220" t="s">
        <v>397</v>
      </c>
      <c r="L236" s="220" t="s">
        <v>2211</v>
      </c>
      <c r="M236" s="220" t="s">
        <v>2210</v>
      </c>
      <c r="N236" s="220" t="s">
        <v>298</v>
      </c>
      <c r="O236" s="220" t="s">
        <v>297</v>
      </c>
      <c r="P236" s="220" t="s">
        <v>296</v>
      </c>
      <c r="Q236" s="220" t="s">
        <v>2209</v>
      </c>
      <c r="R236" s="220" t="s">
        <v>2208</v>
      </c>
      <c r="S236" s="220" t="s">
        <v>2129</v>
      </c>
      <c r="T236" s="220" t="s">
        <v>2173</v>
      </c>
      <c r="U236" s="220" t="s">
        <v>2127</v>
      </c>
      <c r="V236" s="220" t="s">
        <v>2126</v>
      </c>
      <c r="W236" s="220"/>
      <c r="X236" s="220"/>
      <c r="Y236" s="283"/>
      <c r="Z236" s="220"/>
      <c r="AA236" s="220"/>
      <c r="AB236" s="220"/>
      <c r="AC236" s="220"/>
      <c r="AD236" s="220"/>
      <c r="AE236" s="283"/>
      <c r="AF236" s="220"/>
      <c r="AG236" s="220"/>
      <c r="AH236" s="220"/>
      <c r="AI236" s="220"/>
      <c r="AJ236" s="226">
        <v>66</v>
      </c>
      <c r="AK236" s="226">
        <v>0</v>
      </c>
      <c r="AL236" s="225">
        <v>0.79976199999999997</v>
      </c>
      <c r="AM236" s="220"/>
      <c r="AN236" s="225">
        <v>3747.5459999999998</v>
      </c>
      <c r="AO236" s="220"/>
      <c r="AP236" s="220"/>
      <c r="AQ236" s="283"/>
      <c r="AR236" s="283"/>
      <c r="AS236" s="283"/>
      <c r="AT236" s="223">
        <v>0</v>
      </c>
      <c r="AU236" s="284">
        <v>528</v>
      </c>
      <c r="AV236" s="221">
        <v>42839</v>
      </c>
      <c r="AW236" s="221">
        <v>42839.452269097201</v>
      </c>
      <c r="AX236" s="220" t="s">
        <v>293</v>
      </c>
      <c r="AY236" s="219" t="s">
        <v>2285</v>
      </c>
    </row>
    <row r="237" spans="1:51" hidden="1" outlineLevel="1" collapsed="1">
      <c r="A237" s="227" t="s">
        <v>289</v>
      </c>
      <c r="B237" s="220" t="s">
        <v>2284</v>
      </c>
      <c r="C237" s="220" t="s">
        <v>2284</v>
      </c>
      <c r="D237" s="220" t="s">
        <v>2283</v>
      </c>
      <c r="E237" s="220" t="s">
        <v>2282</v>
      </c>
      <c r="F237" s="220" t="s">
        <v>2282</v>
      </c>
      <c r="G237" s="220" t="s">
        <v>2282</v>
      </c>
      <c r="H237" s="220" t="s">
        <v>2281</v>
      </c>
      <c r="I237" s="220" t="s">
        <v>329</v>
      </c>
      <c r="J237" s="220" t="s">
        <v>297</v>
      </c>
      <c r="K237" s="220" t="s">
        <v>397</v>
      </c>
      <c r="L237" s="220" t="s">
        <v>1017</v>
      </c>
      <c r="M237" s="220" t="s">
        <v>1016</v>
      </c>
      <c r="N237" s="220" t="s">
        <v>329</v>
      </c>
      <c r="O237" s="220" t="s">
        <v>297</v>
      </c>
      <c r="P237" s="220" t="s">
        <v>848</v>
      </c>
      <c r="Q237" s="220" t="s">
        <v>1015</v>
      </c>
      <c r="R237" s="220" t="s">
        <v>1014</v>
      </c>
      <c r="S237" s="220" t="s">
        <v>2129</v>
      </c>
      <c r="T237" s="220" t="s">
        <v>2139</v>
      </c>
      <c r="U237" s="220" t="s">
        <v>2244</v>
      </c>
      <c r="V237" s="220" t="s">
        <v>2126</v>
      </c>
      <c r="W237" s="220"/>
      <c r="X237" s="220"/>
      <c r="Y237" s="283"/>
      <c r="Z237" s="220"/>
      <c r="AA237" s="220"/>
      <c r="AB237" s="220"/>
      <c r="AC237" s="220"/>
      <c r="AD237" s="220"/>
      <c r="AE237" s="283"/>
      <c r="AF237" s="220"/>
      <c r="AG237" s="220"/>
      <c r="AH237" s="220"/>
      <c r="AI237" s="220"/>
      <c r="AJ237" s="226">
        <v>8</v>
      </c>
      <c r="AK237" s="226">
        <v>0</v>
      </c>
      <c r="AL237" s="225">
        <v>0.64104799999999995</v>
      </c>
      <c r="AM237" s="220"/>
      <c r="AN237" s="225">
        <v>10665.343999999999</v>
      </c>
      <c r="AO237" s="220"/>
      <c r="AP237" s="220"/>
      <c r="AQ237" s="283"/>
      <c r="AR237" s="283"/>
      <c r="AS237" s="283"/>
      <c r="AT237" s="223">
        <v>0</v>
      </c>
      <c r="AU237" s="284">
        <v>800</v>
      </c>
      <c r="AV237" s="221">
        <v>42839</v>
      </c>
      <c r="AW237" s="221">
        <v>42839.645592627297</v>
      </c>
      <c r="AX237" s="220" t="s">
        <v>293</v>
      </c>
      <c r="AY237" s="219" t="s">
        <v>2280</v>
      </c>
    </row>
    <row r="238" spans="1:51" hidden="1" outlineLevel="1" collapsed="1">
      <c r="A238" s="227" t="s">
        <v>289</v>
      </c>
      <c r="B238" s="220" t="s">
        <v>2279</v>
      </c>
      <c r="C238" s="220" t="s">
        <v>2279</v>
      </c>
      <c r="D238" s="220" t="s">
        <v>2278</v>
      </c>
      <c r="E238" s="220" t="s">
        <v>2277</v>
      </c>
      <c r="F238" s="220" t="s">
        <v>2277</v>
      </c>
      <c r="G238" s="220" t="s">
        <v>2277</v>
      </c>
      <c r="H238" s="220" t="s">
        <v>2276</v>
      </c>
      <c r="I238" s="220" t="s">
        <v>329</v>
      </c>
      <c r="J238" s="220" t="s">
        <v>297</v>
      </c>
      <c r="K238" s="220" t="s">
        <v>397</v>
      </c>
      <c r="L238" s="220" t="s">
        <v>2221</v>
      </c>
      <c r="M238" s="220" t="s">
        <v>2220</v>
      </c>
      <c r="N238" s="220" t="s">
        <v>329</v>
      </c>
      <c r="O238" s="220" t="s">
        <v>297</v>
      </c>
      <c r="P238" s="220" t="s">
        <v>848</v>
      </c>
      <c r="Q238" s="220" t="s">
        <v>2219</v>
      </c>
      <c r="R238" s="220"/>
      <c r="S238" s="220" t="s">
        <v>2129</v>
      </c>
      <c r="T238" s="220" t="s">
        <v>2139</v>
      </c>
      <c r="U238" s="220" t="s">
        <v>2127</v>
      </c>
      <c r="V238" s="220" t="s">
        <v>2126</v>
      </c>
      <c r="W238" s="220"/>
      <c r="X238" s="220"/>
      <c r="Y238" s="283"/>
      <c r="Z238" s="220"/>
      <c r="AA238" s="220"/>
      <c r="AB238" s="220"/>
      <c r="AC238" s="220"/>
      <c r="AD238" s="220"/>
      <c r="AE238" s="283"/>
      <c r="AF238" s="220"/>
      <c r="AG238" s="220"/>
      <c r="AH238" s="220"/>
      <c r="AI238" s="220"/>
      <c r="AJ238" s="226">
        <v>9</v>
      </c>
      <c r="AK238" s="226">
        <v>0</v>
      </c>
      <c r="AL238" s="225">
        <v>2.2229739999999998</v>
      </c>
      <c r="AM238" s="220"/>
      <c r="AN238" s="225">
        <v>10416.411</v>
      </c>
      <c r="AO238" s="220"/>
      <c r="AP238" s="220"/>
      <c r="AQ238" s="283"/>
      <c r="AR238" s="283"/>
      <c r="AS238" s="283"/>
      <c r="AT238" s="223">
        <v>0</v>
      </c>
      <c r="AU238" s="284">
        <v>900</v>
      </c>
      <c r="AV238" s="221">
        <v>42839</v>
      </c>
      <c r="AW238" s="221">
        <v>42839.671523958299</v>
      </c>
      <c r="AX238" s="220" t="s">
        <v>293</v>
      </c>
      <c r="AY238" s="219" t="s">
        <v>2275</v>
      </c>
    </row>
    <row r="239" spans="1:51" ht="20.399999999999999" hidden="1" outlineLevel="1" collapsed="1">
      <c r="A239" s="227" t="s">
        <v>289</v>
      </c>
      <c r="B239" s="220" t="s">
        <v>2274</v>
      </c>
      <c r="C239" s="220" t="s">
        <v>2274</v>
      </c>
      <c r="D239" s="220" t="s">
        <v>2273</v>
      </c>
      <c r="E239" s="220" t="s">
        <v>2272</v>
      </c>
      <c r="F239" s="220" t="s">
        <v>2272</v>
      </c>
      <c r="G239" s="220" t="s">
        <v>2272</v>
      </c>
      <c r="H239" s="220" t="s">
        <v>2271</v>
      </c>
      <c r="I239" s="220" t="s">
        <v>329</v>
      </c>
      <c r="J239" s="220" t="s">
        <v>297</v>
      </c>
      <c r="K239" s="220" t="s">
        <v>328</v>
      </c>
      <c r="L239" s="220" t="s">
        <v>2270</v>
      </c>
      <c r="M239" s="220" t="s">
        <v>2269</v>
      </c>
      <c r="N239" s="220" t="s">
        <v>329</v>
      </c>
      <c r="O239" s="220" t="s">
        <v>297</v>
      </c>
      <c r="P239" s="220" t="s">
        <v>328</v>
      </c>
      <c r="Q239" s="220" t="s">
        <v>2268</v>
      </c>
      <c r="R239" s="220"/>
      <c r="S239" s="220" t="s">
        <v>2129</v>
      </c>
      <c r="T239" s="220" t="s">
        <v>2147</v>
      </c>
      <c r="U239" s="220" t="s">
        <v>2202</v>
      </c>
      <c r="V239" s="220" t="s">
        <v>2126</v>
      </c>
      <c r="W239" s="220"/>
      <c r="X239" s="220"/>
      <c r="Y239" s="283"/>
      <c r="Z239" s="220"/>
      <c r="AA239" s="220"/>
      <c r="AB239" s="220"/>
      <c r="AC239" s="220"/>
      <c r="AD239" s="220"/>
      <c r="AE239" s="283"/>
      <c r="AF239" s="220"/>
      <c r="AG239" s="220"/>
      <c r="AH239" s="220"/>
      <c r="AI239" s="220"/>
      <c r="AJ239" s="226">
        <v>60</v>
      </c>
      <c r="AK239" s="226">
        <v>0</v>
      </c>
      <c r="AL239" s="225">
        <v>1.3400639999999999</v>
      </c>
      <c r="AM239" s="220"/>
      <c r="AN239" s="225">
        <v>5958.6</v>
      </c>
      <c r="AO239" s="220"/>
      <c r="AP239" s="220"/>
      <c r="AQ239" s="283"/>
      <c r="AR239" s="283"/>
      <c r="AS239" s="283"/>
      <c r="AT239" s="223">
        <v>0</v>
      </c>
      <c r="AU239" s="284">
        <v>960</v>
      </c>
      <c r="AV239" s="221">
        <v>42839</v>
      </c>
      <c r="AW239" s="221">
        <v>42839.733336342601</v>
      </c>
      <c r="AX239" s="220" t="s">
        <v>293</v>
      </c>
      <c r="AY239" s="219" t="s">
        <v>2267</v>
      </c>
    </row>
    <row r="240" spans="1:51" hidden="1" outlineLevel="1" collapsed="1">
      <c r="A240" s="227" t="s">
        <v>289</v>
      </c>
      <c r="B240" s="220" t="s">
        <v>2266</v>
      </c>
      <c r="C240" s="220" t="s">
        <v>2266</v>
      </c>
      <c r="D240" s="220" t="s">
        <v>2265</v>
      </c>
      <c r="E240" s="220" t="s">
        <v>2264</v>
      </c>
      <c r="F240" s="220" t="s">
        <v>2264</v>
      </c>
      <c r="G240" s="220" t="s">
        <v>2264</v>
      </c>
      <c r="H240" s="220" t="s">
        <v>2263</v>
      </c>
      <c r="I240" s="220" t="s">
        <v>329</v>
      </c>
      <c r="J240" s="220" t="s">
        <v>297</v>
      </c>
      <c r="K240" s="220" t="s">
        <v>397</v>
      </c>
      <c r="L240" s="220" t="s">
        <v>2177</v>
      </c>
      <c r="M240" s="220" t="s">
        <v>2176</v>
      </c>
      <c r="N240" s="220" t="s">
        <v>329</v>
      </c>
      <c r="O240" s="220" t="s">
        <v>297</v>
      </c>
      <c r="P240" s="220" t="s">
        <v>397</v>
      </c>
      <c r="Q240" s="220" t="s">
        <v>2175</v>
      </c>
      <c r="R240" s="220" t="s">
        <v>2174</v>
      </c>
      <c r="S240" s="220" t="s">
        <v>2129</v>
      </c>
      <c r="T240" s="220" t="s">
        <v>2145</v>
      </c>
      <c r="U240" s="220" t="s">
        <v>2127</v>
      </c>
      <c r="V240" s="220" t="s">
        <v>2126</v>
      </c>
      <c r="W240" s="220"/>
      <c r="X240" s="220"/>
      <c r="Y240" s="283"/>
      <c r="Z240" s="220"/>
      <c r="AA240" s="220"/>
      <c r="AB240" s="220"/>
      <c r="AC240" s="220"/>
      <c r="AD240" s="220"/>
      <c r="AE240" s="283"/>
      <c r="AF240" s="220"/>
      <c r="AG240" s="220"/>
      <c r="AH240" s="220"/>
      <c r="AI240" s="220"/>
      <c r="AJ240" s="226">
        <v>8</v>
      </c>
      <c r="AK240" s="226">
        <v>0</v>
      </c>
      <c r="AL240" s="225">
        <v>1.053423</v>
      </c>
      <c r="AM240" s="220"/>
      <c r="AN240" s="225">
        <v>4936.1279999999997</v>
      </c>
      <c r="AO240" s="220"/>
      <c r="AP240" s="220"/>
      <c r="AQ240" s="283"/>
      <c r="AR240" s="283"/>
      <c r="AS240" s="283"/>
      <c r="AT240" s="223">
        <v>0</v>
      </c>
      <c r="AU240" s="284">
        <v>600</v>
      </c>
      <c r="AV240" s="221">
        <v>42846</v>
      </c>
      <c r="AW240" s="221">
        <v>42846.473754976898</v>
      </c>
      <c r="AX240" s="220" t="s">
        <v>293</v>
      </c>
      <c r="AY240" s="219" t="s">
        <v>2262</v>
      </c>
    </row>
    <row r="241" spans="1:51" ht="20.399999999999999" hidden="1" outlineLevel="1" collapsed="1">
      <c r="A241" s="227" t="s">
        <v>289</v>
      </c>
      <c r="B241" s="220" t="s">
        <v>2261</v>
      </c>
      <c r="C241" s="220" t="s">
        <v>2261</v>
      </c>
      <c r="D241" s="220" t="s">
        <v>2260</v>
      </c>
      <c r="E241" s="220" t="s">
        <v>2259</v>
      </c>
      <c r="F241" s="220" t="s">
        <v>2259</v>
      </c>
      <c r="G241" s="220" t="s">
        <v>2259</v>
      </c>
      <c r="H241" s="220" t="s">
        <v>2258</v>
      </c>
      <c r="I241" s="220" t="s">
        <v>337</v>
      </c>
      <c r="J241" s="220" t="s">
        <v>297</v>
      </c>
      <c r="K241" s="220" t="s">
        <v>336</v>
      </c>
      <c r="L241" s="220" t="s">
        <v>2257</v>
      </c>
      <c r="M241" s="220" t="s">
        <v>2256</v>
      </c>
      <c r="N241" s="220" t="s">
        <v>337</v>
      </c>
      <c r="O241" s="220" t="s">
        <v>297</v>
      </c>
      <c r="P241" s="220" t="s">
        <v>336</v>
      </c>
      <c r="Q241" s="220" t="s">
        <v>2255</v>
      </c>
      <c r="R241" s="220" t="s">
        <v>2254</v>
      </c>
      <c r="S241" s="220" t="s">
        <v>2129</v>
      </c>
      <c r="T241" s="220" t="s">
        <v>2147</v>
      </c>
      <c r="U241" s="220" t="s">
        <v>2127</v>
      </c>
      <c r="V241" s="220" t="s">
        <v>2126</v>
      </c>
      <c r="W241" s="220"/>
      <c r="X241" s="220"/>
      <c r="Y241" s="283"/>
      <c r="Z241" s="220"/>
      <c r="AA241" s="220"/>
      <c r="AB241" s="220"/>
      <c r="AC241" s="220"/>
      <c r="AD241" s="220"/>
      <c r="AE241" s="283"/>
      <c r="AF241" s="220"/>
      <c r="AG241" s="220"/>
      <c r="AH241" s="220"/>
      <c r="AI241" s="220"/>
      <c r="AJ241" s="226">
        <v>12</v>
      </c>
      <c r="AK241" s="226">
        <v>0</v>
      </c>
      <c r="AL241" s="225">
        <v>0.29082200000000002</v>
      </c>
      <c r="AM241" s="220"/>
      <c r="AN241" s="225">
        <v>1362.732</v>
      </c>
      <c r="AO241" s="220"/>
      <c r="AP241" s="220"/>
      <c r="AQ241" s="283"/>
      <c r="AR241" s="283"/>
      <c r="AS241" s="283"/>
      <c r="AT241" s="223">
        <v>0</v>
      </c>
      <c r="AU241" s="284">
        <v>178.44</v>
      </c>
      <c r="AV241" s="221">
        <v>42866</v>
      </c>
      <c r="AW241" s="221">
        <v>42866.493438738398</v>
      </c>
      <c r="AX241" s="220" t="s">
        <v>293</v>
      </c>
      <c r="AY241" s="219" t="s">
        <v>2253</v>
      </c>
    </row>
    <row r="242" spans="1:51" hidden="1" outlineLevel="1" collapsed="1">
      <c r="A242" s="227" t="s">
        <v>289</v>
      </c>
      <c r="B242" s="220" t="s">
        <v>2252</v>
      </c>
      <c r="C242" s="220" t="s">
        <v>2252</v>
      </c>
      <c r="D242" s="220" t="s">
        <v>2251</v>
      </c>
      <c r="E242" s="220" t="s">
        <v>2250</v>
      </c>
      <c r="F242" s="220" t="s">
        <v>2250</v>
      </c>
      <c r="G242" s="220" t="s">
        <v>2250</v>
      </c>
      <c r="H242" s="220" t="s">
        <v>2249</v>
      </c>
      <c r="I242" s="220" t="s">
        <v>480</v>
      </c>
      <c r="J242" s="220" t="s">
        <v>297</v>
      </c>
      <c r="K242" s="220" t="s">
        <v>479</v>
      </c>
      <c r="L242" s="220" t="s">
        <v>2248</v>
      </c>
      <c r="M242" s="220" t="s">
        <v>2247</v>
      </c>
      <c r="N242" s="220" t="s">
        <v>329</v>
      </c>
      <c r="O242" s="220" t="s">
        <v>297</v>
      </c>
      <c r="P242" s="220" t="s">
        <v>328</v>
      </c>
      <c r="Q242" s="220" t="s">
        <v>2246</v>
      </c>
      <c r="R242" s="220" t="s">
        <v>2245</v>
      </c>
      <c r="S242" s="220" t="s">
        <v>2129</v>
      </c>
      <c r="T242" s="220" t="s">
        <v>2139</v>
      </c>
      <c r="U242" s="220" t="s">
        <v>2244</v>
      </c>
      <c r="V242" s="220" t="s">
        <v>2126</v>
      </c>
      <c r="W242" s="220"/>
      <c r="X242" s="220"/>
      <c r="Y242" s="283"/>
      <c r="Z242" s="220"/>
      <c r="AA242" s="220"/>
      <c r="AB242" s="220"/>
      <c r="AC242" s="220"/>
      <c r="AD242" s="220"/>
      <c r="AE242" s="283"/>
      <c r="AF242" s="220"/>
      <c r="AG242" s="220"/>
      <c r="AH242" s="220"/>
      <c r="AI242" s="220"/>
      <c r="AJ242" s="226">
        <v>29</v>
      </c>
      <c r="AK242" s="226">
        <v>0</v>
      </c>
      <c r="AL242" s="225">
        <v>2.323798</v>
      </c>
      <c r="AM242" s="220"/>
      <c r="AN242" s="225">
        <v>38661.872000000003</v>
      </c>
      <c r="AO242" s="220"/>
      <c r="AP242" s="220"/>
      <c r="AQ242" s="283"/>
      <c r="AR242" s="283"/>
      <c r="AS242" s="283"/>
      <c r="AT242" s="223">
        <v>0</v>
      </c>
      <c r="AU242" s="284">
        <v>2977.43</v>
      </c>
      <c r="AV242" s="221">
        <v>42867</v>
      </c>
      <c r="AW242" s="221">
        <v>42867.491538506903</v>
      </c>
      <c r="AX242" s="220" t="s">
        <v>293</v>
      </c>
      <c r="AY242" s="219" t="s">
        <v>2243</v>
      </c>
    </row>
    <row r="243" spans="1:51" ht="20.399999999999999" hidden="1" outlineLevel="1" collapsed="1">
      <c r="A243" s="227" t="s">
        <v>289</v>
      </c>
      <c r="B243" s="220" t="s">
        <v>2242</v>
      </c>
      <c r="C243" s="220" t="s">
        <v>2242</v>
      </c>
      <c r="D243" s="220" t="s">
        <v>2241</v>
      </c>
      <c r="E243" s="220" t="s">
        <v>2239</v>
      </c>
      <c r="F243" s="220" t="s">
        <v>2240</v>
      </c>
      <c r="G243" s="220" t="s">
        <v>2239</v>
      </c>
      <c r="H243" s="220" t="s">
        <v>2238</v>
      </c>
      <c r="I243" s="220" t="s">
        <v>337</v>
      </c>
      <c r="J243" s="220" t="s">
        <v>297</v>
      </c>
      <c r="K243" s="220" t="s">
        <v>336</v>
      </c>
      <c r="L243" s="220" t="s">
        <v>2237</v>
      </c>
      <c r="M243" s="220" t="s">
        <v>2236</v>
      </c>
      <c r="N243" s="220" t="s">
        <v>1252</v>
      </c>
      <c r="O243" s="220" t="s">
        <v>297</v>
      </c>
      <c r="P243" s="220" t="s">
        <v>1251</v>
      </c>
      <c r="Q243" s="220" t="s">
        <v>2235</v>
      </c>
      <c r="R243" s="220"/>
      <c r="S243" s="220" t="s">
        <v>2129</v>
      </c>
      <c r="T243" s="220" t="s">
        <v>2173</v>
      </c>
      <c r="U243" s="220" t="s">
        <v>2202</v>
      </c>
      <c r="V243" s="220" t="s">
        <v>2126</v>
      </c>
      <c r="W243" s="220"/>
      <c r="X243" s="220"/>
      <c r="Y243" s="283"/>
      <c r="Z243" s="220"/>
      <c r="AA243" s="220"/>
      <c r="AB243" s="220"/>
      <c r="AC243" s="220"/>
      <c r="AD243" s="220"/>
      <c r="AE243" s="283"/>
      <c r="AF243" s="220"/>
      <c r="AG243" s="220"/>
      <c r="AH243" s="220"/>
      <c r="AI243" s="220"/>
      <c r="AJ243" s="226">
        <v>600</v>
      </c>
      <c r="AK243" s="226">
        <v>0</v>
      </c>
      <c r="AL243" s="225">
        <v>6.7003199999999996</v>
      </c>
      <c r="AM243" s="220"/>
      <c r="AN243" s="225">
        <v>29793</v>
      </c>
      <c r="AO243" s="220"/>
      <c r="AP243" s="220"/>
      <c r="AQ243" s="283"/>
      <c r="AR243" s="283"/>
      <c r="AS243" s="283"/>
      <c r="AT243" s="223">
        <v>0</v>
      </c>
      <c r="AU243" s="284">
        <v>3450</v>
      </c>
      <c r="AV243" s="221">
        <v>42870</v>
      </c>
      <c r="AW243" s="221">
        <v>42870.451993287003</v>
      </c>
      <c r="AX243" s="220" t="s">
        <v>293</v>
      </c>
      <c r="AY243" s="219" t="s">
        <v>2234</v>
      </c>
    </row>
    <row r="244" spans="1:51" ht="20.399999999999999" hidden="1" outlineLevel="1" collapsed="1">
      <c r="A244" s="227" t="s">
        <v>289</v>
      </c>
      <c r="B244" s="220" t="s">
        <v>2232</v>
      </c>
      <c r="C244" s="220" t="s">
        <v>2232</v>
      </c>
      <c r="D244" s="220" t="s">
        <v>2189</v>
      </c>
      <c r="E244" s="220" t="s">
        <v>2188</v>
      </c>
      <c r="F244" s="220" t="s">
        <v>2188</v>
      </c>
      <c r="G244" s="220" t="s">
        <v>2188</v>
      </c>
      <c r="H244" s="220" t="s">
        <v>2187</v>
      </c>
      <c r="I244" s="220" t="s">
        <v>329</v>
      </c>
      <c r="J244" s="220" t="s">
        <v>297</v>
      </c>
      <c r="K244" s="220" t="s">
        <v>397</v>
      </c>
      <c r="L244" s="220" t="s">
        <v>2177</v>
      </c>
      <c r="M244" s="220" t="s">
        <v>2176</v>
      </c>
      <c r="N244" s="220" t="s">
        <v>329</v>
      </c>
      <c r="O244" s="220" t="s">
        <v>297</v>
      </c>
      <c r="P244" s="220" t="s">
        <v>397</v>
      </c>
      <c r="Q244" s="220" t="s">
        <v>2175</v>
      </c>
      <c r="R244" s="220" t="s">
        <v>2174</v>
      </c>
      <c r="S244" s="220" t="s">
        <v>2129</v>
      </c>
      <c r="T244" s="220" t="s">
        <v>2147</v>
      </c>
      <c r="U244" s="220" t="s">
        <v>2127</v>
      </c>
      <c r="V244" s="220" t="s">
        <v>2126</v>
      </c>
      <c r="W244" s="220"/>
      <c r="X244" s="220"/>
      <c r="Y244" s="283"/>
      <c r="Z244" s="220"/>
      <c r="AA244" s="220"/>
      <c r="AB244" s="220"/>
      <c r="AC244" s="220"/>
      <c r="AD244" s="220"/>
      <c r="AE244" s="283"/>
      <c r="AF244" s="220"/>
      <c r="AG244" s="220"/>
      <c r="AH244" s="220"/>
      <c r="AI244" s="220"/>
      <c r="AJ244" s="226">
        <v>36</v>
      </c>
      <c r="AK244" s="226">
        <v>0</v>
      </c>
      <c r="AL244" s="225">
        <v>0.87246699999999999</v>
      </c>
      <c r="AM244" s="220"/>
      <c r="AN244" s="225">
        <v>4088.1959999999999</v>
      </c>
      <c r="AO244" s="220"/>
      <c r="AP244" s="220"/>
      <c r="AQ244" s="283"/>
      <c r="AR244" s="283"/>
      <c r="AS244" s="283"/>
      <c r="AT244" s="223">
        <v>0</v>
      </c>
      <c r="AU244" s="284">
        <v>198.72</v>
      </c>
      <c r="AV244" s="221">
        <v>42878</v>
      </c>
      <c r="AW244" s="221">
        <v>42878.666603391197</v>
      </c>
      <c r="AX244" s="220" t="s">
        <v>293</v>
      </c>
      <c r="AY244" s="219" t="s">
        <v>2231</v>
      </c>
    </row>
    <row r="245" spans="1:51" ht="20.399999999999999" hidden="1" outlineLevel="1" collapsed="1">
      <c r="A245" s="227" t="s">
        <v>289</v>
      </c>
      <c r="B245" s="220" t="s">
        <v>2232</v>
      </c>
      <c r="C245" s="220" t="s">
        <v>2232</v>
      </c>
      <c r="D245" s="220" t="s">
        <v>2189</v>
      </c>
      <c r="E245" s="220" t="s">
        <v>2188</v>
      </c>
      <c r="F245" s="220" t="s">
        <v>2188</v>
      </c>
      <c r="G245" s="220" t="s">
        <v>2188</v>
      </c>
      <c r="H245" s="220" t="s">
        <v>2187</v>
      </c>
      <c r="I245" s="220" t="s">
        <v>329</v>
      </c>
      <c r="J245" s="220" t="s">
        <v>297</v>
      </c>
      <c r="K245" s="220" t="s">
        <v>397</v>
      </c>
      <c r="L245" s="220" t="s">
        <v>2177</v>
      </c>
      <c r="M245" s="220" t="s">
        <v>2176</v>
      </c>
      <c r="N245" s="220" t="s">
        <v>329</v>
      </c>
      <c r="O245" s="220" t="s">
        <v>297</v>
      </c>
      <c r="P245" s="220" t="s">
        <v>397</v>
      </c>
      <c r="Q245" s="220" t="s">
        <v>2175</v>
      </c>
      <c r="R245" s="220" t="s">
        <v>2174</v>
      </c>
      <c r="S245" s="220" t="s">
        <v>2129</v>
      </c>
      <c r="T245" s="220" t="s">
        <v>2173</v>
      </c>
      <c r="U245" s="220" t="s">
        <v>2127</v>
      </c>
      <c r="V245" s="220" t="s">
        <v>2126</v>
      </c>
      <c r="W245" s="220"/>
      <c r="X245" s="220"/>
      <c r="Y245" s="283"/>
      <c r="Z245" s="220"/>
      <c r="AA245" s="220"/>
      <c r="AB245" s="220"/>
      <c r="AC245" s="220"/>
      <c r="AD245" s="220"/>
      <c r="AE245" s="283"/>
      <c r="AF245" s="220"/>
      <c r="AG245" s="220"/>
      <c r="AH245" s="220"/>
      <c r="AI245" s="220"/>
      <c r="AJ245" s="226">
        <v>38</v>
      </c>
      <c r="AK245" s="226">
        <v>0</v>
      </c>
      <c r="AL245" s="225">
        <v>0.46046900000000002</v>
      </c>
      <c r="AM245" s="220"/>
      <c r="AN245" s="225">
        <v>2157.6779999999999</v>
      </c>
      <c r="AO245" s="220"/>
      <c r="AP245" s="220"/>
      <c r="AQ245" s="283"/>
      <c r="AR245" s="283"/>
      <c r="AS245" s="283"/>
      <c r="AT245" s="223">
        <v>0</v>
      </c>
      <c r="AU245" s="284">
        <v>209.76</v>
      </c>
      <c r="AV245" s="221">
        <v>42878</v>
      </c>
      <c r="AW245" s="221">
        <v>42878.666603391197</v>
      </c>
      <c r="AX245" s="220" t="s">
        <v>293</v>
      </c>
      <c r="AY245" s="219" t="s">
        <v>2233</v>
      </c>
    </row>
    <row r="246" spans="1:51" hidden="1" outlineLevel="1" collapsed="1">
      <c r="A246" s="227" t="s">
        <v>289</v>
      </c>
      <c r="B246" s="220" t="s">
        <v>2225</v>
      </c>
      <c r="C246" s="220" t="s">
        <v>2225</v>
      </c>
      <c r="D246" s="220" t="s">
        <v>2224</v>
      </c>
      <c r="E246" s="220" t="s">
        <v>2223</v>
      </c>
      <c r="F246" s="220" t="s">
        <v>2223</v>
      </c>
      <c r="G246" s="220" t="s">
        <v>2223</v>
      </c>
      <c r="H246" s="220" t="s">
        <v>2222</v>
      </c>
      <c r="I246" s="220" t="s">
        <v>329</v>
      </c>
      <c r="J246" s="220" t="s">
        <v>297</v>
      </c>
      <c r="K246" s="220" t="s">
        <v>848</v>
      </c>
      <c r="L246" s="220" t="s">
        <v>2221</v>
      </c>
      <c r="M246" s="220" t="s">
        <v>2220</v>
      </c>
      <c r="N246" s="220" t="s">
        <v>329</v>
      </c>
      <c r="O246" s="220" t="s">
        <v>297</v>
      </c>
      <c r="P246" s="220" t="s">
        <v>848</v>
      </c>
      <c r="Q246" s="220" t="s">
        <v>2219</v>
      </c>
      <c r="R246" s="220"/>
      <c r="S246" s="220" t="s">
        <v>2129</v>
      </c>
      <c r="T246" s="220" t="s">
        <v>2145</v>
      </c>
      <c r="U246" s="220" t="s">
        <v>2127</v>
      </c>
      <c r="V246" s="220" t="s">
        <v>2126</v>
      </c>
      <c r="W246" s="220"/>
      <c r="X246" s="220"/>
      <c r="Y246" s="283"/>
      <c r="Z246" s="220"/>
      <c r="AA246" s="220"/>
      <c r="AB246" s="220"/>
      <c r="AC246" s="220"/>
      <c r="AD246" s="220"/>
      <c r="AE246" s="283"/>
      <c r="AF246" s="220"/>
      <c r="AG246" s="220"/>
      <c r="AH246" s="220"/>
      <c r="AI246" s="220"/>
      <c r="AJ246" s="226">
        <v>4</v>
      </c>
      <c r="AK246" s="226">
        <v>0</v>
      </c>
      <c r="AL246" s="225">
        <v>0.52671199999999996</v>
      </c>
      <c r="AM246" s="220"/>
      <c r="AN246" s="225">
        <v>2468.0639999999999</v>
      </c>
      <c r="AO246" s="220"/>
      <c r="AP246" s="220"/>
      <c r="AQ246" s="283"/>
      <c r="AR246" s="283"/>
      <c r="AS246" s="283"/>
      <c r="AT246" s="223">
        <v>0</v>
      </c>
      <c r="AU246" s="284">
        <v>300</v>
      </c>
      <c r="AV246" s="221">
        <v>42888</v>
      </c>
      <c r="AW246" s="221">
        <v>42888.576423263898</v>
      </c>
      <c r="AX246" s="220" t="s">
        <v>293</v>
      </c>
      <c r="AY246" s="219" t="s">
        <v>2229</v>
      </c>
    </row>
    <row r="247" spans="1:51" hidden="1" outlineLevel="1" collapsed="1">
      <c r="A247" s="227" t="s">
        <v>289</v>
      </c>
      <c r="B247" s="220" t="s">
        <v>2225</v>
      </c>
      <c r="C247" s="220" t="s">
        <v>2225</v>
      </c>
      <c r="D247" s="220" t="s">
        <v>2224</v>
      </c>
      <c r="E247" s="220" t="s">
        <v>2223</v>
      </c>
      <c r="F247" s="220" t="s">
        <v>2223</v>
      </c>
      <c r="G247" s="220" t="s">
        <v>2223</v>
      </c>
      <c r="H247" s="220" t="s">
        <v>2222</v>
      </c>
      <c r="I247" s="220" t="s">
        <v>329</v>
      </c>
      <c r="J247" s="220" t="s">
        <v>297</v>
      </c>
      <c r="K247" s="220" t="s">
        <v>848</v>
      </c>
      <c r="L247" s="220" t="s">
        <v>2221</v>
      </c>
      <c r="M247" s="220" t="s">
        <v>2220</v>
      </c>
      <c r="N247" s="220" t="s">
        <v>329</v>
      </c>
      <c r="O247" s="220" t="s">
        <v>297</v>
      </c>
      <c r="P247" s="220" t="s">
        <v>848</v>
      </c>
      <c r="Q247" s="220" t="s">
        <v>2219</v>
      </c>
      <c r="R247" s="220"/>
      <c r="S247" s="220" t="s">
        <v>2129</v>
      </c>
      <c r="T247" s="220" t="s">
        <v>2218</v>
      </c>
      <c r="U247" s="220" t="s">
        <v>2127</v>
      </c>
      <c r="V247" s="220" t="s">
        <v>2126</v>
      </c>
      <c r="W247" s="220"/>
      <c r="X247" s="220"/>
      <c r="Y247" s="283"/>
      <c r="Z247" s="220"/>
      <c r="AA247" s="220"/>
      <c r="AB247" s="220"/>
      <c r="AC247" s="220"/>
      <c r="AD247" s="220"/>
      <c r="AE247" s="283"/>
      <c r="AF247" s="220"/>
      <c r="AG247" s="220"/>
      <c r="AH247" s="220"/>
      <c r="AI247" s="220"/>
      <c r="AJ247" s="226">
        <v>1</v>
      </c>
      <c r="AK247" s="226">
        <v>0</v>
      </c>
      <c r="AL247" s="225">
        <v>0.106736</v>
      </c>
      <c r="AM247" s="220"/>
      <c r="AN247" s="225">
        <v>500.14299999999997</v>
      </c>
      <c r="AO247" s="220"/>
      <c r="AP247" s="220"/>
      <c r="AQ247" s="283"/>
      <c r="AR247" s="283"/>
      <c r="AS247" s="283"/>
      <c r="AT247" s="223">
        <v>0</v>
      </c>
      <c r="AU247" s="284">
        <v>35</v>
      </c>
      <c r="AV247" s="221">
        <v>42888</v>
      </c>
      <c r="AW247" s="221">
        <v>42888.576423263898</v>
      </c>
      <c r="AX247" s="220" t="s">
        <v>293</v>
      </c>
      <c r="AY247" s="219" t="s">
        <v>2217</v>
      </c>
    </row>
    <row r="248" spans="1:51" ht="20.399999999999999" hidden="1" outlineLevel="1" collapsed="1">
      <c r="A248" s="227" t="s">
        <v>289</v>
      </c>
      <c r="B248" s="220" t="s">
        <v>2225</v>
      </c>
      <c r="C248" s="220" t="s">
        <v>2225</v>
      </c>
      <c r="D248" s="220" t="s">
        <v>2224</v>
      </c>
      <c r="E248" s="220" t="s">
        <v>2223</v>
      </c>
      <c r="F248" s="220" t="s">
        <v>2223</v>
      </c>
      <c r="G248" s="220" t="s">
        <v>2223</v>
      </c>
      <c r="H248" s="220" t="s">
        <v>2222</v>
      </c>
      <c r="I248" s="220" t="s">
        <v>329</v>
      </c>
      <c r="J248" s="220" t="s">
        <v>297</v>
      </c>
      <c r="K248" s="220" t="s">
        <v>848</v>
      </c>
      <c r="L248" s="220" t="s">
        <v>2221</v>
      </c>
      <c r="M248" s="220" t="s">
        <v>2220</v>
      </c>
      <c r="N248" s="220" t="s">
        <v>329</v>
      </c>
      <c r="O248" s="220" t="s">
        <v>297</v>
      </c>
      <c r="P248" s="220" t="s">
        <v>848</v>
      </c>
      <c r="Q248" s="220" t="s">
        <v>2219</v>
      </c>
      <c r="R248" s="220"/>
      <c r="S248" s="220" t="s">
        <v>2129</v>
      </c>
      <c r="T248" s="220" t="s">
        <v>2173</v>
      </c>
      <c r="U248" s="220" t="s">
        <v>2127</v>
      </c>
      <c r="V248" s="220" t="s">
        <v>2126</v>
      </c>
      <c r="W248" s="220"/>
      <c r="X248" s="220"/>
      <c r="Y248" s="283"/>
      <c r="Z248" s="220"/>
      <c r="AA248" s="220"/>
      <c r="AB248" s="220"/>
      <c r="AC248" s="220"/>
      <c r="AD248" s="220"/>
      <c r="AE248" s="283"/>
      <c r="AF248" s="220"/>
      <c r="AG248" s="220"/>
      <c r="AH248" s="220"/>
      <c r="AI248" s="220"/>
      <c r="AJ248" s="226">
        <v>616</v>
      </c>
      <c r="AK248" s="226">
        <v>0</v>
      </c>
      <c r="AL248" s="225">
        <v>7.464442</v>
      </c>
      <c r="AM248" s="220"/>
      <c r="AN248" s="225">
        <v>34977.095999999998</v>
      </c>
      <c r="AO248" s="220"/>
      <c r="AP248" s="220"/>
      <c r="AQ248" s="283"/>
      <c r="AR248" s="283"/>
      <c r="AS248" s="283"/>
      <c r="AT248" s="223">
        <v>0</v>
      </c>
      <c r="AU248" s="284">
        <v>4928</v>
      </c>
      <c r="AV248" s="221">
        <v>42888</v>
      </c>
      <c r="AW248" s="221">
        <v>42888.576423263898</v>
      </c>
      <c r="AX248" s="220" t="s">
        <v>293</v>
      </c>
      <c r="AY248" s="219" t="s">
        <v>2228</v>
      </c>
    </row>
    <row r="249" spans="1:51" ht="20.399999999999999" hidden="1" outlineLevel="1" collapsed="1">
      <c r="A249" s="227" t="s">
        <v>289</v>
      </c>
      <c r="B249" s="220" t="s">
        <v>2225</v>
      </c>
      <c r="C249" s="220" t="s">
        <v>2225</v>
      </c>
      <c r="D249" s="220" t="s">
        <v>2224</v>
      </c>
      <c r="E249" s="220" t="s">
        <v>2223</v>
      </c>
      <c r="F249" s="220" t="s">
        <v>2223</v>
      </c>
      <c r="G249" s="220" t="s">
        <v>2223</v>
      </c>
      <c r="H249" s="220" t="s">
        <v>2222</v>
      </c>
      <c r="I249" s="220" t="s">
        <v>329</v>
      </c>
      <c r="J249" s="220" t="s">
        <v>297</v>
      </c>
      <c r="K249" s="220" t="s">
        <v>848</v>
      </c>
      <c r="L249" s="220" t="s">
        <v>2221</v>
      </c>
      <c r="M249" s="220" t="s">
        <v>2220</v>
      </c>
      <c r="N249" s="220" t="s">
        <v>329</v>
      </c>
      <c r="O249" s="220" t="s">
        <v>297</v>
      </c>
      <c r="P249" s="220" t="s">
        <v>848</v>
      </c>
      <c r="Q249" s="220" t="s">
        <v>2219</v>
      </c>
      <c r="R249" s="220"/>
      <c r="S249" s="220" t="s">
        <v>2129</v>
      </c>
      <c r="T249" s="220" t="s">
        <v>2147</v>
      </c>
      <c r="U249" s="220" t="s">
        <v>2127</v>
      </c>
      <c r="V249" s="220" t="s">
        <v>2126</v>
      </c>
      <c r="W249" s="220"/>
      <c r="X249" s="220"/>
      <c r="Y249" s="283"/>
      <c r="Z249" s="220"/>
      <c r="AA249" s="220"/>
      <c r="AB249" s="220"/>
      <c r="AC249" s="220"/>
      <c r="AD249" s="220"/>
      <c r="AE249" s="283"/>
      <c r="AF249" s="220"/>
      <c r="AG249" s="220"/>
      <c r="AH249" s="220"/>
      <c r="AI249" s="220"/>
      <c r="AJ249" s="226">
        <v>74</v>
      </c>
      <c r="AK249" s="226">
        <v>0</v>
      </c>
      <c r="AL249" s="225">
        <v>1.7934049999999999</v>
      </c>
      <c r="AM249" s="220"/>
      <c r="AN249" s="225">
        <v>8403.5139999999992</v>
      </c>
      <c r="AO249" s="220"/>
      <c r="AP249" s="220"/>
      <c r="AQ249" s="283"/>
      <c r="AR249" s="283"/>
      <c r="AS249" s="283"/>
      <c r="AT249" s="223">
        <v>0</v>
      </c>
      <c r="AU249" s="284">
        <v>979.76</v>
      </c>
      <c r="AV249" s="221">
        <v>42888</v>
      </c>
      <c r="AW249" s="221">
        <v>42888.576423263898</v>
      </c>
      <c r="AX249" s="220" t="s">
        <v>293</v>
      </c>
      <c r="AY249" s="219" t="s">
        <v>2227</v>
      </c>
    </row>
    <row r="250" spans="1:51" ht="20.399999999999999" hidden="1" outlineLevel="1" collapsed="1">
      <c r="A250" s="227" t="s">
        <v>289</v>
      </c>
      <c r="B250" s="220" t="s">
        <v>2225</v>
      </c>
      <c r="C250" s="220" t="s">
        <v>2225</v>
      </c>
      <c r="D250" s="220" t="s">
        <v>2224</v>
      </c>
      <c r="E250" s="220" t="s">
        <v>2223</v>
      </c>
      <c r="F250" s="220" t="s">
        <v>2223</v>
      </c>
      <c r="G250" s="220" t="s">
        <v>2223</v>
      </c>
      <c r="H250" s="220" t="s">
        <v>2222</v>
      </c>
      <c r="I250" s="220" t="s">
        <v>329</v>
      </c>
      <c r="J250" s="220" t="s">
        <v>297</v>
      </c>
      <c r="K250" s="220" t="s">
        <v>848</v>
      </c>
      <c r="L250" s="220" t="s">
        <v>2221</v>
      </c>
      <c r="M250" s="220" t="s">
        <v>2220</v>
      </c>
      <c r="N250" s="220" t="s">
        <v>329</v>
      </c>
      <c r="O250" s="220" t="s">
        <v>297</v>
      </c>
      <c r="P250" s="220" t="s">
        <v>848</v>
      </c>
      <c r="Q250" s="220" t="s">
        <v>2219</v>
      </c>
      <c r="R250" s="220"/>
      <c r="S250" s="220" t="s">
        <v>2129</v>
      </c>
      <c r="T250" s="220" t="s">
        <v>2147</v>
      </c>
      <c r="U250" s="220" t="s">
        <v>2127</v>
      </c>
      <c r="V250" s="220" t="s">
        <v>2126</v>
      </c>
      <c r="W250" s="220"/>
      <c r="X250" s="220"/>
      <c r="Y250" s="283"/>
      <c r="Z250" s="220"/>
      <c r="AA250" s="220"/>
      <c r="AB250" s="220"/>
      <c r="AC250" s="220"/>
      <c r="AD250" s="220"/>
      <c r="AE250" s="283"/>
      <c r="AF250" s="220"/>
      <c r="AG250" s="220"/>
      <c r="AH250" s="220"/>
      <c r="AI250" s="220"/>
      <c r="AJ250" s="226">
        <v>236</v>
      </c>
      <c r="AK250" s="226">
        <v>0</v>
      </c>
      <c r="AL250" s="225">
        <v>5.7195070000000001</v>
      </c>
      <c r="AM250" s="220"/>
      <c r="AN250" s="225">
        <v>26800.396000000001</v>
      </c>
      <c r="AO250" s="220"/>
      <c r="AP250" s="220"/>
      <c r="AQ250" s="283"/>
      <c r="AR250" s="283"/>
      <c r="AS250" s="283"/>
      <c r="AT250" s="223">
        <v>0</v>
      </c>
      <c r="AU250" s="284">
        <v>2860.32</v>
      </c>
      <c r="AV250" s="221">
        <v>42888</v>
      </c>
      <c r="AW250" s="221">
        <v>42888.576423263898</v>
      </c>
      <c r="AX250" s="220" t="s">
        <v>293</v>
      </c>
      <c r="AY250" s="219" t="s">
        <v>2226</v>
      </c>
    </row>
    <row r="251" spans="1:51" ht="20.399999999999999" hidden="1" outlineLevel="1" collapsed="1">
      <c r="A251" s="227" t="s">
        <v>289</v>
      </c>
      <c r="B251" s="220" t="s">
        <v>2225</v>
      </c>
      <c r="C251" s="220" t="s">
        <v>2225</v>
      </c>
      <c r="D251" s="220" t="s">
        <v>2224</v>
      </c>
      <c r="E251" s="220" t="s">
        <v>2223</v>
      </c>
      <c r="F251" s="220" t="s">
        <v>2223</v>
      </c>
      <c r="G251" s="220" t="s">
        <v>2223</v>
      </c>
      <c r="H251" s="220" t="s">
        <v>2222</v>
      </c>
      <c r="I251" s="220" t="s">
        <v>329</v>
      </c>
      <c r="J251" s="220" t="s">
        <v>297</v>
      </c>
      <c r="K251" s="220" t="s">
        <v>848</v>
      </c>
      <c r="L251" s="220" t="s">
        <v>2221</v>
      </c>
      <c r="M251" s="220" t="s">
        <v>2220</v>
      </c>
      <c r="N251" s="220" t="s">
        <v>329</v>
      </c>
      <c r="O251" s="220" t="s">
        <v>297</v>
      </c>
      <c r="P251" s="220" t="s">
        <v>848</v>
      </c>
      <c r="Q251" s="220" t="s">
        <v>2219</v>
      </c>
      <c r="R251" s="220"/>
      <c r="S251" s="220" t="s">
        <v>2129</v>
      </c>
      <c r="T251" s="220" t="s">
        <v>2147</v>
      </c>
      <c r="U251" s="220" t="s">
        <v>2127</v>
      </c>
      <c r="V251" s="220" t="s">
        <v>2126</v>
      </c>
      <c r="W251" s="220"/>
      <c r="X251" s="220"/>
      <c r="Y251" s="283"/>
      <c r="Z251" s="220"/>
      <c r="AA251" s="220"/>
      <c r="AB251" s="220"/>
      <c r="AC251" s="220"/>
      <c r="AD251" s="220"/>
      <c r="AE251" s="283"/>
      <c r="AF251" s="220"/>
      <c r="AG251" s="220"/>
      <c r="AH251" s="220"/>
      <c r="AI251" s="220"/>
      <c r="AJ251" s="226">
        <v>4</v>
      </c>
      <c r="AK251" s="226">
        <v>0</v>
      </c>
      <c r="AL251" s="225">
        <v>9.6940999999999999E-2</v>
      </c>
      <c r="AM251" s="220"/>
      <c r="AN251" s="225">
        <v>454.24400000000003</v>
      </c>
      <c r="AO251" s="220"/>
      <c r="AP251" s="220"/>
      <c r="AQ251" s="283"/>
      <c r="AR251" s="283"/>
      <c r="AS251" s="283"/>
      <c r="AT251" s="223">
        <v>0</v>
      </c>
      <c r="AU251" s="284">
        <v>62.28</v>
      </c>
      <c r="AV251" s="221">
        <v>42888</v>
      </c>
      <c r="AW251" s="221">
        <v>42888.576423263898</v>
      </c>
      <c r="AX251" s="220" t="s">
        <v>293</v>
      </c>
      <c r="AY251" s="219" t="s">
        <v>2230</v>
      </c>
    </row>
    <row r="252" spans="1:51" ht="20.399999999999999" hidden="1" outlineLevel="1" collapsed="1">
      <c r="A252" s="227" t="s">
        <v>289</v>
      </c>
      <c r="B252" s="220" t="s">
        <v>2215</v>
      </c>
      <c r="C252" s="220" t="s">
        <v>2215</v>
      </c>
      <c r="D252" s="220" t="s">
        <v>2214</v>
      </c>
      <c r="E252" s="220" t="s">
        <v>2213</v>
      </c>
      <c r="F252" s="220" t="s">
        <v>2213</v>
      </c>
      <c r="G252" s="220" t="s">
        <v>2213</v>
      </c>
      <c r="H252" s="220" t="s">
        <v>2212</v>
      </c>
      <c r="I252" s="220" t="s">
        <v>329</v>
      </c>
      <c r="J252" s="220" t="s">
        <v>297</v>
      </c>
      <c r="K252" s="220" t="s">
        <v>328</v>
      </c>
      <c r="L252" s="220" t="s">
        <v>2211</v>
      </c>
      <c r="M252" s="220" t="s">
        <v>2210</v>
      </c>
      <c r="N252" s="220" t="s">
        <v>298</v>
      </c>
      <c r="O252" s="220" t="s">
        <v>297</v>
      </c>
      <c r="P252" s="220" t="s">
        <v>296</v>
      </c>
      <c r="Q252" s="220" t="s">
        <v>2209</v>
      </c>
      <c r="R252" s="220" t="s">
        <v>2208</v>
      </c>
      <c r="S252" s="220" t="s">
        <v>2129</v>
      </c>
      <c r="T252" s="220" t="s">
        <v>2128</v>
      </c>
      <c r="U252" s="220" t="s">
        <v>2127</v>
      </c>
      <c r="V252" s="220" t="s">
        <v>2126</v>
      </c>
      <c r="W252" s="220"/>
      <c r="X252" s="220"/>
      <c r="Y252" s="283"/>
      <c r="Z252" s="220"/>
      <c r="AA252" s="220"/>
      <c r="AB252" s="220"/>
      <c r="AC252" s="220"/>
      <c r="AD252" s="220"/>
      <c r="AE252" s="283"/>
      <c r="AF252" s="220"/>
      <c r="AG252" s="220"/>
      <c r="AH252" s="220"/>
      <c r="AI252" s="220"/>
      <c r="AJ252" s="226">
        <v>8</v>
      </c>
      <c r="AK252" s="226">
        <v>0</v>
      </c>
      <c r="AL252" s="225">
        <v>0.193882</v>
      </c>
      <c r="AM252" s="220"/>
      <c r="AN252" s="225">
        <v>908.48800000000006</v>
      </c>
      <c r="AO252" s="220"/>
      <c r="AP252" s="220"/>
      <c r="AQ252" s="283"/>
      <c r="AR252" s="283"/>
      <c r="AS252" s="283"/>
      <c r="AT252" s="223">
        <v>0</v>
      </c>
      <c r="AU252" s="284">
        <v>50</v>
      </c>
      <c r="AV252" s="221">
        <v>42891</v>
      </c>
      <c r="AW252" s="221">
        <v>42891.763463622701</v>
      </c>
      <c r="AX252" s="220" t="s">
        <v>293</v>
      </c>
      <c r="AY252" s="219" t="s">
        <v>2216</v>
      </c>
    </row>
    <row r="253" spans="1:51" ht="20.399999999999999" hidden="1" outlineLevel="1" collapsed="1">
      <c r="A253" s="227" t="s">
        <v>289</v>
      </c>
      <c r="B253" s="220" t="s">
        <v>2215</v>
      </c>
      <c r="C253" s="220" t="s">
        <v>2215</v>
      </c>
      <c r="D253" s="220" t="s">
        <v>2214</v>
      </c>
      <c r="E253" s="220" t="s">
        <v>2213</v>
      </c>
      <c r="F253" s="220" t="s">
        <v>2213</v>
      </c>
      <c r="G253" s="220" t="s">
        <v>2213</v>
      </c>
      <c r="H253" s="220" t="s">
        <v>2212</v>
      </c>
      <c r="I253" s="220" t="s">
        <v>329</v>
      </c>
      <c r="J253" s="220" t="s">
        <v>297</v>
      </c>
      <c r="K253" s="220" t="s">
        <v>328</v>
      </c>
      <c r="L253" s="220" t="s">
        <v>2211</v>
      </c>
      <c r="M253" s="220" t="s">
        <v>2210</v>
      </c>
      <c r="N253" s="220" t="s">
        <v>298</v>
      </c>
      <c r="O253" s="220" t="s">
        <v>297</v>
      </c>
      <c r="P253" s="220" t="s">
        <v>296</v>
      </c>
      <c r="Q253" s="220" t="s">
        <v>2209</v>
      </c>
      <c r="R253" s="220" t="s">
        <v>2208</v>
      </c>
      <c r="S253" s="220" t="s">
        <v>2129</v>
      </c>
      <c r="T253" s="220" t="s">
        <v>2173</v>
      </c>
      <c r="U253" s="220" t="s">
        <v>2127</v>
      </c>
      <c r="V253" s="220" t="s">
        <v>2126</v>
      </c>
      <c r="W253" s="220"/>
      <c r="X253" s="220"/>
      <c r="Y253" s="283"/>
      <c r="Z253" s="220"/>
      <c r="AA253" s="220"/>
      <c r="AB253" s="220"/>
      <c r="AC253" s="220"/>
      <c r="AD253" s="220"/>
      <c r="AE253" s="283"/>
      <c r="AF253" s="220"/>
      <c r="AG253" s="220"/>
      <c r="AH253" s="220"/>
      <c r="AI253" s="220"/>
      <c r="AJ253" s="226">
        <v>96</v>
      </c>
      <c r="AK253" s="226">
        <v>0</v>
      </c>
      <c r="AL253" s="225">
        <v>1.1632899999999999</v>
      </c>
      <c r="AM253" s="220"/>
      <c r="AN253" s="225">
        <v>5450.9759999999997</v>
      </c>
      <c r="AO253" s="220"/>
      <c r="AP253" s="220"/>
      <c r="AQ253" s="283"/>
      <c r="AR253" s="283"/>
      <c r="AS253" s="283"/>
      <c r="AT253" s="223">
        <v>0</v>
      </c>
      <c r="AU253" s="284">
        <v>768</v>
      </c>
      <c r="AV253" s="221">
        <v>42891</v>
      </c>
      <c r="AW253" s="221">
        <v>42891.763463622701</v>
      </c>
      <c r="AX253" s="220" t="s">
        <v>293</v>
      </c>
      <c r="AY253" s="219" t="s">
        <v>2207</v>
      </c>
    </row>
    <row r="254" spans="1:51" hidden="1" outlineLevel="1" collapsed="1">
      <c r="A254" s="227" t="s">
        <v>289</v>
      </c>
      <c r="B254" s="220" t="s">
        <v>2206</v>
      </c>
      <c r="C254" s="220" t="s">
        <v>2206</v>
      </c>
      <c r="D254" s="220" t="s">
        <v>2205</v>
      </c>
      <c r="E254" s="220"/>
      <c r="F254" s="220" t="s">
        <v>2204</v>
      </c>
      <c r="G254" s="220" t="s">
        <v>2204</v>
      </c>
      <c r="H254" s="220" t="s">
        <v>2203</v>
      </c>
      <c r="I254" s="220" t="s">
        <v>1252</v>
      </c>
      <c r="J254" s="220" t="s">
        <v>297</v>
      </c>
      <c r="K254" s="220" t="s">
        <v>1251</v>
      </c>
      <c r="L254" s="220" t="s">
        <v>601</v>
      </c>
      <c r="M254" s="220" t="s">
        <v>600</v>
      </c>
      <c r="N254" s="220" t="s">
        <v>329</v>
      </c>
      <c r="O254" s="220" t="s">
        <v>297</v>
      </c>
      <c r="P254" s="220" t="s">
        <v>599</v>
      </c>
      <c r="Q254" s="220" t="s">
        <v>598</v>
      </c>
      <c r="R254" s="220"/>
      <c r="S254" s="220" t="s">
        <v>2129</v>
      </c>
      <c r="T254" s="220" t="s">
        <v>2128</v>
      </c>
      <c r="U254" s="220" t="s">
        <v>2202</v>
      </c>
      <c r="V254" s="220" t="s">
        <v>2126</v>
      </c>
      <c r="W254" s="220"/>
      <c r="X254" s="220"/>
      <c r="Y254" s="283"/>
      <c r="Z254" s="220"/>
      <c r="AA254" s="220"/>
      <c r="AB254" s="220"/>
      <c r="AC254" s="220"/>
      <c r="AD254" s="220"/>
      <c r="AE254" s="283"/>
      <c r="AF254" s="220"/>
      <c r="AG254" s="220"/>
      <c r="AH254" s="220"/>
      <c r="AI254" s="220"/>
      <c r="AJ254" s="226">
        <v>188</v>
      </c>
      <c r="AK254" s="226">
        <v>0</v>
      </c>
      <c r="AL254" s="225">
        <v>4.1988669999999999</v>
      </c>
      <c r="AM254" s="220"/>
      <c r="AN254" s="225">
        <v>18670.28</v>
      </c>
      <c r="AO254" s="220"/>
      <c r="AP254" s="220"/>
      <c r="AQ254" s="283"/>
      <c r="AR254" s="283"/>
      <c r="AS254" s="283"/>
      <c r="AT254" s="223">
        <v>0</v>
      </c>
      <c r="AU254" s="284">
        <v>1598</v>
      </c>
      <c r="AV254" s="221">
        <v>42919</v>
      </c>
      <c r="AW254" s="221">
        <v>42899.433779282401</v>
      </c>
      <c r="AX254" s="220" t="s">
        <v>293</v>
      </c>
      <c r="AY254" s="219" t="s">
        <v>2201</v>
      </c>
    </row>
    <row r="255" spans="1:51" ht="20.399999999999999" hidden="1" outlineLevel="1" collapsed="1">
      <c r="A255" s="227" t="s">
        <v>289</v>
      </c>
      <c r="B255" s="220" t="s">
        <v>2200</v>
      </c>
      <c r="C255" s="220" t="s">
        <v>2200</v>
      </c>
      <c r="D255" s="220" t="s">
        <v>2199</v>
      </c>
      <c r="E255" s="220" t="s">
        <v>2198</v>
      </c>
      <c r="F255" s="220" t="s">
        <v>2198</v>
      </c>
      <c r="G255" s="220" t="s">
        <v>2198</v>
      </c>
      <c r="H255" s="220" t="s">
        <v>2197</v>
      </c>
      <c r="I255" s="220" t="s">
        <v>531</v>
      </c>
      <c r="J255" s="220" t="s">
        <v>297</v>
      </c>
      <c r="K255" s="220" t="s">
        <v>530</v>
      </c>
      <c r="L255" s="220" t="s">
        <v>2196</v>
      </c>
      <c r="M255" s="220" t="s">
        <v>2195</v>
      </c>
      <c r="N255" s="220" t="s">
        <v>531</v>
      </c>
      <c r="O255" s="220" t="s">
        <v>297</v>
      </c>
      <c r="P255" s="220" t="s">
        <v>530</v>
      </c>
      <c r="Q255" s="220"/>
      <c r="R255" s="220" t="s">
        <v>2194</v>
      </c>
      <c r="S255" s="220" t="s">
        <v>2129</v>
      </c>
      <c r="T255" s="220" t="s">
        <v>2147</v>
      </c>
      <c r="U255" s="220" t="s">
        <v>2193</v>
      </c>
      <c r="V255" s="220" t="s">
        <v>2126</v>
      </c>
      <c r="W255" s="220"/>
      <c r="X255" s="220"/>
      <c r="Y255" s="283"/>
      <c r="Z255" s="220"/>
      <c r="AA255" s="220"/>
      <c r="AB255" s="220"/>
      <c r="AC255" s="220"/>
      <c r="AD255" s="220"/>
      <c r="AE255" s="283"/>
      <c r="AF255" s="220"/>
      <c r="AG255" s="220"/>
      <c r="AH255" s="220"/>
      <c r="AI255" s="220"/>
      <c r="AJ255" s="226">
        <v>90</v>
      </c>
      <c r="AK255" s="226">
        <v>0</v>
      </c>
      <c r="AL255" s="225">
        <v>2.6892</v>
      </c>
      <c r="AM255" s="220"/>
      <c r="AN255" s="225">
        <v>7861.14</v>
      </c>
      <c r="AO255" s="220"/>
      <c r="AP255" s="220"/>
      <c r="AQ255" s="283"/>
      <c r="AR255" s="283"/>
      <c r="AS255" s="283"/>
      <c r="AT255" s="223">
        <v>0</v>
      </c>
      <c r="AU255" s="284">
        <v>1440</v>
      </c>
      <c r="AV255" s="221">
        <v>42919</v>
      </c>
      <c r="AW255" s="221">
        <v>42907.726920752299</v>
      </c>
      <c r="AX255" s="220" t="s">
        <v>293</v>
      </c>
      <c r="AY255" s="219" t="s">
        <v>2192</v>
      </c>
    </row>
    <row r="256" spans="1:51" ht="20.399999999999999" hidden="1" outlineLevel="1" collapsed="1">
      <c r="A256" s="227" t="s">
        <v>289</v>
      </c>
      <c r="B256" s="220" t="s">
        <v>2190</v>
      </c>
      <c r="C256" s="220" t="s">
        <v>2190</v>
      </c>
      <c r="D256" s="220" t="s">
        <v>2189</v>
      </c>
      <c r="E256" s="220" t="s">
        <v>2188</v>
      </c>
      <c r="F256" s="220" t="s">
        <v>2188</v>
      </c>
      <c r="G256" s="220" t="s">
        <v>2188</v>
      </c>
      <c r="H256" s="220" t="s">
        <v>2187</v>
      </c>
      <c r="I256" s="220" t="s">
        <v>329</v>
      </c>
      <c r="J256" s="220" t="s">
        <v>297</v>
      </c>
      <c r="K256" s="220" t="s">
        <v>397</v>
      </c>
      <c r="L256" s="220" t="s">
        <v>2177</v>
      </c>
      <c r="M256" s="220" t="s">
        <v>2176</v>
      </c>
      <c r="N256" s="220" t="s">
        <v>329</v>
      </c>
      <c r="O256" s="220" t="s">
        <v>297</v>
      </c>
      <c r="P256" s="220" t="s">
        <v>397</v>
      </c>
      <c r="Q256" s="220" t="s">
        <v>2175</v>
      </c>
      <c r="R256" s="220" t="s">
        <v>2174</v>
      </c>
      <c r="S256" s="220" t="s">
        <v>2129</v>
      </c>
      <c r="T256" s="220" t="s">
        <v>2147</v>
      </c>
      <c r="U256" s="220" t="s">
        <v>2127</v>
      </c>
      <c r="V256" s="220" t="s">
        <v>2126</v>
      </c>
      <c r="W256" s="220"/>
      <c r="X256" s="220"/>
      <c r="Y256" s="283"/>
      <c r="Z256" s="220"/>
      <c r="AA256" s="220"/>
      <c r="AB256" s="220"/>
      <c r="AC256" s="220"/>
      <c r="AD256" s="220"/>
      <c r="AE256" s="283"/>
      <c r="AF256" s="220"/>
      <c r="AG256" s="220"/>
      <c r="AH256" s="220"/>
      <c r="AI256" s="220"/>
      <c r="AJ256" s="226">
        <v>72</v>
      </c>
      <c r="AK256" s="226">
        <v>0</v>
      </c>
      <c r="AL256" s="225">
        <v>1.744934</v>
      </c>
      <c r="AM256" s="220"/>
      <c r="AN256" s="225">
        <v>8176.3919999999998</v>
      </c>
      <c r="AO256" s="220"/>
      <c r="AP256" s="220"/>
      <c r="AQ256" s="283"/>
      <c r="AR256" s="283"/>
      <c r="AS256" s="283"/>
      <c r="AT256" s="223">
        <v>0</v>
      </c>
      <c r="AU256" s="284">
        <v>310.32</v>
      </c>
      <c r="AV256" s="221">
        <v>42919</v>
      </c>
      <c r="AW256" s="221">
        <v>42915.7690427083</v>
      </c>
      <c r="AX256" s="220" t="s">
        <v>293</v>
      </c>
      <c r="AY256" s="219" t="s">
        <v>2186</v>
      </c>
    </row>
    <row r="257" spans="1:51" ht="20.399999999999999" hidden="1" outlineLevel="1" collapsed="1">
      <c r="A257" s="227" t="s">
        <v>289</v>
      </c>
      <c r="B257" s="220" t="s">
        <v>2190</v>
      </c>
      <c r="C257" s="220" t="s">
        <v>2190</v>
      </c>
      <c r="D257" s="220" t="s">
        <v>2189</v>
      </c>
      <c r="E257" s="220" t="s">
        <v>2188</v>
      </c>
      <c r="F257" s="220" t="s">
        <v>2188</v>
      </c>
      <c r="G257" s="220" t="s">
        <v>2188</v>
      </c>
      <c r="H257" s="220" t="s">
        <v>2187</v>
      </c>
      <c r="I257" s="220" t="s">
        <v>329</v>
      </c>
      <c r="J257" s="220" t="s">
        <v>297</v>
      </c>
      <c r="K257" s="220" t="s">
        <v>397</v>
      </c>
      <c r="L257" s="220" t="s">
        <v>2177</v>
      </c>
      <c r="M257" s="220" t="s">
        <v>2176</v>
      </c>
      <c r="N257" s="220" t="s">
        <v>329</v>
      </c>
      <c r="O257" s="220" t="s">
        <v>297</v>
      </c>
      <c r="P257" s="220" t="s">
        <v>397</v>
      </c>
      <c r="Q257" s="220" t="s">
        <v>2175</v>
      </c>
      <c r="R257" s="220" t="s">
        <v>2174</v>
      </c>
      <c r="S257" s="220" t="s">
        <v>2129</v>
      </c>
      <c r="T257" s="220" t="s">
        <v>2173</v>
      </c>
      <c r="U257" s="220" t="s">
        <v>2127</v>
      </c>
      <c r="V257" s="220" t="s">
        <v>2126</v>
      </c>
      <c r="W257" s="220"/>
      <c r="X257" s="220"/>
      <c r="Y257" s="283"/>
      <c r="Z257" s="220"/>
      <c r="AA257" s="220"/>
      <c r="AB257" s="220"/>
      <c r="AC257" s="220"/>
      <c r="AD257" s="220"/>
      <c r="AE257" s="283"/>
      <c r="AF257" s="220"/>
      <c r="AG257" s="220"/>
      <c r="AH257" s="220"/>
      <c r="AI257" s="220"/>
      <c r="AJ257" s="226">
        <v>28</v>
      </c>
      <c r="AK257" s="226">
        <v>0</v>
      </c>
      <c r="AL257" s="225">
        <v>0.33929300000000001</v>
      </c>
      <c r="AM257" s="220"/>
      <c r="AN257" s="225">
        <v>1589.8679999999999</v>
      </c>
      <c r="AO257" s="220"/>
      <c r="AP257" s="220"/>
      <c r="AQ257" s="283"/>
      <c r="AR257" s="283"/>
      <c r="AS257" s="283"/>
      <c r="AT257" s="223">
        <v>0</v>
      </c>
      <c r="AU257" s="284">
        <v>120.68</v>
      </c>
      <c r="AV257" s="221">
        <v>42919</v>
      </c>
      <c r="AW257" s="221">
        <v>42915.7690427083</v>
      </c>
      <c r="AX257" s="220" t="s">
        <v>293</v>
      </c>
      <c r="AY257" s="219" t="s">
        <v>2191</v>
      </c>
    </row>
    <row r="258" spans="1:51" hidden="1" outlineLevel="1" collapsed="1">
      <c r="A258" s="227" t="s">
        <v>289</v>
      </c>
      <c r="B258" s="220" t="s">
        <v>2181</v>
      </c>
      <c r="C258" s="220" t="s">
        <v>2181</v>
      </c>
      <c r="D258" s="220" t="s">
        <v>2180</v>
      </c>
      <c r="E258" s="220" t="s">
        <v>2179</v>
      </c>
      <c r="F258" s="220" t="s">
        <v>2179</v>
      </c>
      <c r="G258" s="220" t="s">
        <v>2179</v>
      </c>
      <c r="H258" s="220" t="s">
        <v>2178</v>
      </c>
      <c r="I258" s="220" t="s">
        <v>928</v>
      </c>
      <c r="J258" s="220" t="s">
        <v>297</v>
      </c>
      <c r="K258" s="220" t="s">
        <v>296</v>
      </c>
      <c r="L258" s="220" t="s">
        <v>2177</v>
      </c>
      <c r="M258" s="220" t="s">
        <v>2176</v>
      </c>
      <c r="N258" s="220" t="s">
        <v>329</v>
      </c>
      <c r="O258" s="220" t="s">
        <v>297</v>
      </c>
      <c r="P258" s="220" t="s">
        <v>397</v>
      </c>
      <c r="Q258" s="220" t="s">
        <v>2175</v>
      </c>
      <c r="R258" s="220" t="s">
        <v>2174</v>
      </c>
      <c r="S258" s="220" t="s">
        <v>2129</v>
      </c>
      <c r="T258" s="220" t="s">
        <v>2139</v>
      </c>
      <c r="U258" s="220" t="s">
        <v>2172</v>
      </c>
      <c r="V258" s="220" t="s">
        <v>2126</v>
      </c>
      <c r="W258" s="220"/>
      <c r="X258" s="220"/>
      <c r="Y258" s="283"/>
      <c r="Z258" s="220"/>
      <c r="AA258" s="220"/>
      <c r="AB258" s="220"/>
      <c r="AC258" s="220"/>
      <c r="AD258" s="220"/>
      <c r="AE258" s="283"/>
      <c r="AF258" s="220"/>
      <c r="AG258" s="220"/>
      <c r="AH258" s="220"/>
      <c r="AI258" s="220"/>
      <c r="AJ258" s="226">
        <v>15</v>
      </c>
      <c r="AK258" s="226">
        <v>0</v>
      </c>
      <c r="AL258" s="225">
        <v>3.4176739999999999</v>
      </c>
      <c r="AM258" s="220"/>
      <c r="AN258" s="225">
        <v>15266.715</v>
      </c>
      <c r="AO258" s="220"/>
      <c r="AP258" s="220"/>
      <c r="AQ258" s="283"/>
      <c r="AR258" s="283"/>
      <c r="AS258" s="283"/>
      <c r="AT258" s="223">
        <v>0</v>
      </c>
      <c r="AU258" s="284">
        <v>1500</v>
      </c>
      <c r="AV258" s="221">
        <v>42921</v>
      </c>
      <c r="AW258" s="221">
        <v>42921.783852696797</v>
      </c>
      <c r="AX258" s="220" t="s">
        <v>293</v>
      </c>
      <c r="AY258" s="219" t="s">
        <v>2183</v>
      </c>
    </row>
    <row r="259" spans="1:51" hidden="1" outlineLevel="1" collapsed="1">
      <c r="A259" s="227" t="s">
        <v>289</v>
      </c>
      <c r="B259" s="220" t="s">
        <v>2181</v>
      </c>
      <c r="C259" s="220" t="s">
        <v>2181</v>
      </c>
      <c r="D259" s="220" t="s">
        <v>2180</v>
      </c>
      <c r="E259" s="220" t="s">
        <v>2179</v>
      </c>
      <c r="F259" s="220" t="s">
        <v>2179</v>
      </c>
      <c r="G259" s="220" t="s">
        <v>2179</v>
      </c>
      <c r="H259" s="220" t="s">
        <v>2178</v>
      </c>
      <c r="I259" s="220" t="s">
        <v>928</v>
      </c>
      <c r="J259" s="220" t="s">
        <v>297</v>
      </c>
      <c r="K259" s="220" t="s">
        <v>296</v>
      </c>
      <c r="L259" s="220" t="s">
        <v>2177</v>
      </c>
      <c r="M259" s="220" t="s">
        <v>2176</v>
      </c>
      <c r="N259" s="220" t="s">
        <v>329</v>
      </c>
      <c r="O259" s="220" t="s">
        <v>297</v>
      </c>
      <c r="P259" s="220" t="s">
        <v>397</v>
      </c>
      <c r="Q259" s="220" t="s">
        <v>2175</v>
      </c>
      <c r="R259" s="220" t="s">
        <v>2174</v>
      </c>
      <c r="S259" s="220" t="s">
        <v>2129</v>
      </c>
      <c r="T259" s="220" t="s">
        <v>2139</v>
      </c>
      <c r="U259" s="220" t="s">
        <v>2172</v>
      </c>
      <c r="V259" s="220" t="s">
        <v>2126</v>
      </c>
      <c r="W259" s="220"/>
      <c r="X259" s="220"/>
      <c r="Y259" s="283"/>
      <c r="Z259" s="220"/>
      <c r="AA259" s="220"/>
      <c r="AB259" s="220"/>
      <c r="AC259" s="220"/>
      <c r="AD259" s="220"/>
      <c r="AE259" s="283"/>
      <c r="AF259" s="220"/>
      <c r="AG259" s="220"/>
      <c r="AH259" s="220"/>
      <c r="AI259" s="220"/>
      <c r="AJ259" s="226">
        <v>12</v>
      </c>
      <c r="AK259" s="226">
        <v>0</v>
      </c>
      <c r="AL259" s="225">
        <v>2.7341389999999999</v>
      </c>
      <c r="AM259" s="220"/>
      <c r="AN259" s="225">
        <v>12213.371999999999</v>
      </c>
      <c r="AO259" s="220"/>
      <c r="AP259" s="220"/>
      <c r="AQ259" s="283"/>
      <c r="AR259" s="283"/>
      <c r="AS259" s="283"/>
      <c r="AT259" s="223">
        <v>0</v>
      </c>
      <c r="AU259" s="284">
        <v>1200</v>
      </c>
      <c r="AV259" s="221">
        <v>42921</v>
      </c>
      <c r="AW259" s="221">
        <v>42921.783852696797</v>
      </c>
      <c r="AX259" s="220" t="s">
        <v>293</v>
      </c>
      <c r="AY259" s="219" t="s">
        <v>2185</v>
      </c>
    </row>
    <row r="260" spans="1:51" ht="20.399999999999999" hidden="1" outlineLevel="1" collapsed="1">
      <c r="A260" s="227" t="s">
        <v>289</v>
      </c>
      <c r="B260" s="220" t="s">
        <v>2181</v>
      </c>
      <c r="C260" s="220" t="s">
        <v>2181</v>
      </c>
      <c r="D260" s="220" t="s">
        <v>2180</v>
      </c>
      <c r="E260" s="220" t="s">
        <v>2179</v>
      </c>
      <c r="F260" s="220" t="s">
        <v>2179</v>
      </c>
      <c r="G260" s="220" t="s">
        <v>2179</v>
      </c>
      <c r="H260" s="220" t="s">
        <v>2178</v>
      </c>
      <c r="I260" s="220" t="s">
        <v>928</v>
      </c>
      <c r="J260" s="220" t="s">
        <v>297</v>
      </c>
      <c r="K260" s="220" t="s">
        <v>296</v>
      </c>
      <c r="L260" s="220" t="s">
        <v>2177</v>
      </c>
      <c r="M260" s="220" t="s">
        <v>2176</v>
      </c>
      <c r="N260" s="220" t="s">
        <v>329</v>
      </c>
      <c r="O260" s="220" t="s">
        <v>297</v>
      </c>
      <c r="P260" s="220" t="s">
        <v>397</v>
      </c>
      <c r="Q260" s="220" t="s">
        <v>2175</v>
      </c>
      <c r="R260" s="220" t="s">
        <v>2174</v>
      </c>
      <c r="S260" s="220" t="s">
        <v>2129</v>
      </c>
      <c r="T260" s="220" t="s">
        <v>2173</v>
      </c>
      <c r="U260" s="220" t="s">
        <v>2172</v>
      </c>
      <c r="V260" s="220" t="s">
        <v>2126</v>
      </c>
      <c r="W260" s="220"/>
      <c r="X260" s="220"/>
      <c r="Y260" s="283"/>
      <c r="Z260" s="220"/>
      <c r="AA260" s="220"/>
      <c r="AB260" s="220"/>
      <c r="AC260" s="220"/>
      <c r="AD260" s="220"/>
      <c r="AE260" s="283"/>
      <c r="AF260" s="220"/>
      <c r="AG260" s="220"/>
      <c r="AH260" s="220"/>
      <c r="AI260" s="220"/>
      <c r="AJ260" s="226">
        <v>564</v>
      </c>
      <c r="AK260" s="226">
        <v>0</v>
      </c>
      <c r="AL260" s="225">
        <v>6.304392</v>
      </c>
      <c r="AM260" s="220"/>
      <c r="AN260" s="225">
        <v>28161.648000000001</v>
      </c>
      <c r="AO260" s="220"/>
      <c r="AP260" s="220"/>
      <c r="AQ260" s="283"/>
      <c r="AR260" s="283"/>
      <c r="AS260" s="283"/>
      <c r="AT260" s="223">
        <v>0</v>
      </c>
      <c r="AU260" s="284">
        <v>4512</v>
      </c>
      <c r="AV260" s="221">
        <v>42921</v>
      </c>
      <c r="AW260" s="221">
        <v>42921.783852696797</v>
      </c>
      <c r="AX260" s="220" t="s">
        <v>293</v>
      </c>
      <c r="AY260" s="219" t="s">
        <v>2171</v>
      </c>
    </row>
    <row r="261" spans="1:51" hidden="1" outlineLevel="1" collapsed="1">
      <c r="A261" s="227" t="s">
        <v>289</v>
      </c>
      <c r="B261" s="220" t="s">
        <v>2181</v>
      </c>
      <c r="C261" s="220" t="s">
        <v>2181</v>
      </c>
      <c r="D261" s="220" t="s">
        <v>2180</v>
      </c>
      <c r="E261" s="220" t="s">
        <v>2179</v>
      </c>
      <c r="F261" s="220" t="s">
        <v>2179</v>
      </c>
      <c r="G261" s="220" t="s">
        <v>2179</v>
      </c>
      <c r="H261" s="220" t="s">
        <v>2178</v>
      </c>
      <c r="I261" s="220" t="s">
        <v>928</v>
      </c>
      <c r="J261" s="220" t="s">
        <v>297</v>
      </c>
      <c r="K261" s="220" t="s">
        <v>296</v>
      </c>
      <c r="L261" s="220" t="s">
        <v>2177</v>
      </c>
      <c r="M261" s="220" t="s">
        <v>2176</v>
      </c>
      <c r="N261" s="220" t="s">
        <v>329</v>
      </c>
      <c r="O261" s="220" t="s">
        <v>297</v>
      </c>
      <c r="P261" s="220" t="s">
        <v>397</v>
      </c>
      <c r="Q261" s="220" t="s">
        <v>2175</v>
      </c>
      <c r="R261" s="220" t="s">
        <v>2174</v>
      </c>
      <c r="S261" s="220" t="s">
        <v>2129</v>
      </c>
      <c r="T261" s="220" t="s">
        <v>2145</v>
      </c>
      <c r="U261" s="220" t="s">
        <v>2172</v>
      </c>
      <c r="V261" s="220" t="s">
        <v>2126</v>
      </c>
      <c r="W261" s="220"/>
      <c r="X261" s="220"/>
      <c r="Y261" s="283"/>
      <c r="Z261" s="220"/>
      <c r="AA261" s="220"/>
      <c r="AB261" s="220"/>
      <c r="AC261" s="220"/>
      <c r="AD261" s="220"/>
      <c r="AE261" s="283"/>
      <c r="AF261" s="220"/>
      <c r="AG261" s="220"/>
      <c r="AH261" s="220"/>
      <c r="AI261" s="220"/>
      <c r="AJ261" s="226">
        <v>2</v>
      </c>
      <c r="AK261" s="226">
        <v>0</v>
      </c>
      <c r="AL261" s="225">
        <v>0.24293500000000001</v>
      </c>
      <c r="AM261" s="220"/>
      <c r="AN261" s="225">
        <v>1085.1880000000001</v>
      </c>
      <c r="AO261" s="220"/>
      <c r="AP261" s="220"/>
      <c r="AQ261" s="283"/>
      <c r="AR261" s="283"/>
      <c r="AS261" s="283"/>
      <c r="AT261" s="223">
        <v>0</v>
      </c>
      <c r="AU261" s="284">
        <v>150</v>
      </c>
      <c r="AV261" s="221">
        <v>42921</v>
      </c>
      <c r="AW261" s="221">
        <v>42921.783852696797</v>
      </c>
      <c r="AX261" s="220" t="s">
        <v>293</v>
      </c>
      <c r="AY261" s="219" t="s">
        <v>2182</v>
      </c>
    </row>
    <row r="262" spans="1:51" hidden="1" outlineLevel="1" collapsed="1">
      <c r="A262" s="227" t="s">
        <v>289</v>
      </c>
      <c r="B262" s="220" t="s">
        <v>2181</v>
      </c>
      <c r="C262" s="220" t="s">
        <v>2181</v>
      </c>
      <c r="D262" s="220" t="s">
        <v>2180</v>
      </c>
      <c r="E262" s="220" t="s">
        <v>2179</v>
      </c>
      <c r="F262" s="220" t="s">
        <v>2179</v>
      </c>
      <c r="G262" s="220" t="s">
        <v>2179</v>
      </c>
      <c r="H262" s="220" t="s">
        <v>2178</v>
      </c>
      <c r="I262" s="220" t="s">
        <v>928</v>
      </c>
      <c r="J262" s="220" t="s">
        <v>297</v>
      </c>
      <c r="K262" s="220" t="s">
        <v>296</v>
      </c>
      <c r="L262" s="220" t="s">
        <v>2177</v>
      </c>
      <c r="M262" s="220" t="s">
        <v>2176</v>
      </c>
      <c r="N262" s="220" t="s">
        <v>329</v>
      </c>
      <c r="O262" s="220" t="s">
        <v>297</v>
      </c>
      <c r="P262" s="220" t="s">
        <v>397</v>
      </c>
      <c r="Q262" s="220" t="s">
        <v>2175</v>
      </c>
      <c r="R262" s="220" t="s">
        <v>2174</v>
      </c>
      <c r="S262" s="220" t="s">
        <v>2129</v>
      </c>
      <c r="T262" s="220" t="s">
        <v>2145</v>
      </c>
      <c r="U262" s="220" t="s">
        <v>2172</v>
      </c>
      <c r="V262" s="220" t="s">
        <v>2126</v>
      </c>
      <c r="W262" s="220"/>
      <c r="X262" s="220"/>
      <c r="Y262" s="283"/>
      <c r="Z262" s="220"/>
      <c r="AA262" s="220"/>
      <c r="AB262" s="220"/>
      <c r="AC262" s="220"/>
      <c r="AD262" s="220"/>
      <c r="AE262" s="283"/>
      <c r="AF262" s="220"/>
      <c r="AG262" s="220"/>
      <c r="AH262" s="220"/>
      <c r="AI262" s="220"/>
      <c r="AJ262" s="226">
        <v>2</v>
      </c>
      <c r="AK262" s="226">
        <v>0</v>
      </c>
      <c r="AL262" s="225">
        <v>0.24293500000000001</v>
      </c>
      <c r="AM262" s="220"/>
      <c r="AN262" s="225">
        <v>1085.1880000000001</v>
      </c>
      <c r="AO262" s="220"/>
      <c r="AP262" s="220"/>
      <c r="AQ262" s="283"/>
      <c r="AR262" s="283"/>
      <c r="AS262" s="283"/>
      <c r="AT262" s="223">
        <v>0</v>
      </c>
      <c r="AU262" s="284">
        <v>150</v>
      </c>
      <c r="AV262" s="221">
        <v>42921</v>
      </c>
      <c r="AW262" s="221">
        <v>42921.783852696797</v>
      </c>
      <c r="AX262" s="220" t="s">
        <v>293</v>
      </c>
      <c r="AY262" s="219" t="s">
        <v>2184</v>
      </c>
    </row>
    <row r="263" spans="1:51" hidden="1" outlineLevel="1" collapsed="1">
      <c r="A263" s="227" t="s">
        <v>289</v>
      </c>
      <c r="B263" s="220" t="s">
        <v>2164</v>
      </c>
      <c r="C263" s="220" t="s">
        <v>2164</v>
      </c>
      <c r="D263" s="220" t="s">
        <v>2163</v>
      </c>
      <c r="E263" s="220" t="s">
        <v>2162</v>
      </c>
      <c r="F263" s="220" t="s">
        <v>2162</v>
      </c>
      <c r="G263" s="220" t="s">
        <v>2162</v>
      </c>
      <c r="H263" s="220" t="s">
        <v>2161</v>
      </c>
      <c r="I263" s="220" t="s">
        <v>329</v>
      </c>
      <c r="J263" s="220" t="s">
        <v>297</v>
      </c>
      <c r="K263" s="220" t="s">
        <v>328</v>
      </c>
      <c r="L263" s="220" t="s">
        <v>2160</v>
      </c>
      <c r="M263" s="220" t="s">
        <v>2159</v>
      </c>
      <c r="N263" s="220" t="s">
        <v>329</v>
      </c>
      <c r="O263" s="220" t="s">
        <v>297</v>
      </c>
      <c r="P263" s="220" t="s">
        <v>397</v>
      </c>
      <c r="Q263" s="220" t="s">
        <v>2158</v>
      </c>
      <c r="R263" s="220" t="s">
        <v>2157</v>
      </c>
      <c r="S263" s="220" t="s">
        <v>2129</v>
      </c>
      <c r="T263" s="220" t="s">
        <v>2168</v>
      </c>
      <c r="U263" s="220" t="s">
        <v>2127</v>
      </c>
      <c r="V263" s="220" t="s">
        <v>2126</v>
      </c>
      <c r="W263" s="220"/>
      <c r="X263" s="220"/>
      <c r="Y263" s="283"/>
      <c r="Z263" s="220"/>
      <c r="AA263" s="220"/>
      <c r="AB263" s="220"/>
      <c r="AC263" s="220"/>
      <c r="AD263" s="220"/>
      <c r="AE263" s="283"/>
      <c r="AF263" s="220"/>
      <c r="AG263" s="220"/>
      <c r="AH263" s="220"/>
      <c r="AI263" s="220"/>
      <c r="AJ263" s="226">
        <v>8</v>
      </c>
      <c r="AK263" s="226">
        <v>0</v>
      </c>
      <c r="AL263" s="225">
        <v>0.67050699999999996</v>
      </c>
      <c r="AM263" s="220"/>
      <c r="AN263" s="225">
        <v>3141.864</v>
      </c>
      <c r="AO263" s="220"/>
      <c r="AP263" s="220"/>
      <c r="AQ263" s="283"/>
      <c r="AR263" s="283"/>
      <c r="AS263" s="283"/>
      <c r="AT263" s="223">
        <v>0</v>
      </c>
      <c r="AU263" s="284">
        <v>224</v>
      </c>
      <c r="AV263" s="221">
        <v>42926</v>
      </c>
      <c r="AW263" s="221">
        <v>42926.472461493096</v>
      </c>
      <c r="AX263" s="220" t="s">
        <v>293</v>
      </c>
      <c r="AY263" s="219" t="s">
        <v>2167</v>
      </c>
    </row>
    <row r="264" spans="1:51" hidden="1" outlineLevel="1" collapsed="1">
      <c r="A264" s="227" t="s">
        <v>289</v>
      </c>
      <c r="B264" s="220" t="s">
        <v>2164</v>
      </c>
      <c r="C264" s="220" t="s">
        <v>2164</v>
      </c>
      <c r="D264" s="220" t="s">
        <v>2163</v>
      </c>
      <c r="E264" s="220" t="s">
        <v>2162</v>
      </c>
      <c r="F264" s="220" t="s">
        <v>2162</v>
      </c>
      <c r="G264" s="220" t="s">
        <v>2162</v>
      </c>
      <c r="H264" s="220" t="s">
        <v>2161</v>
      </c>
      <c r="I264" s="220" t="s">
        <v>329</v>
      </c>
      <c r="J264" s="220" t="s">
        <v>297</v>
      </c>
      <c r="K264" s="220" t="s">
        <v>328</v>
      </c>
      <c r="L264" s="220" t="s">
        <v>2160</v>
      </c>
      <c r="M264" s="220" t="s">
        <v>2159</v>
      </c>
      <c r="N264" s="220" t="s">
        <v>329</v>
      </c>
      <c r="O264" s="220" t="s">
        <v>297</v>
      </c>
      <c r="P264" s="220" t="s">
        <v>397</v>
      </c>
      <c r="Q264" s="220" t="s">
        <v>2158</v>
      </c>
      <c r="R264" s="220" t="s">
        <v>2157</v>
      </c>
      <c r="S264" s="220" t="s">
        <v>2129</v>
      </c>
      <c r="T264" s="220" t="s">
        <v>2166</v>
      </c>
      <c r="U264" s="220" t="s">
        <v>2127</v>
      </c>
      <c r="V264" s="220" t="s">
        <v>2126</v>
      </c>
      <c r="W264" s="220"/>
      <c r="X264" s="220"/>
      <c r="Y264" s="283"/>
      <c r="Z264" s="220"/>
      <c r="AA264" s="220"/>
      <c r="AB264" s="220"/>
      <c r="AC264" s="220"/>
      <c r="AD264" s="220"/>
      <c r="AE264" s="283"/>
      <c r="AF264" s="220"/>
      <c r="AG264" s="220"/>
      <c r="AH264" s="220"/>
      <c r="AI264" s="220"/>
      <c r="AJ264" s="226">
        <v>46</v>
      </c>
      <c r="AK264" s="226">
        <v>0</v>
      </c>
      <c r="AL264" s="225">
        <v>1.7651300000000001</v>
      </c>
      <c r="AM264" s="220"/>
      <c r="AN264" s="225">
        <v>8271.0300000000007</v>
      </c>
      <c r="AO264" s="220"/>
      <c r="AP264" s="220"/>
      <c r="AQ264" s="283"/>
      <c r="AR264" s="283"/>
      <c r="AS264" s="283"/>
      <c r="AT264" s="223">
        <v>0</v>
      </c>
      <c r="AU264" s="284">
        <v>407.1</v>
      </c>
      <c r="AV264" s="221">
        <v>42926</v>
      </c>
      <c r="AW264" s="221">
        <v>42926.472461493096</v>
      </c>
      <c r="AX264" s="220" t="s">
        <v>293</v>
      </c>
      <c r="AY264" s="219" t="s">
        <v>2169</v>
      </c>
    </row>
    <row r="265" spans="1:51" hidden="1" outlineLevel="1" collapsed="1">
      <c r="A265" s="227" t="s">
        <v>289</v>
      </c>
      <c r="B265" s="220" t="s">
        <v>2164</v>
      </c>
      <c r="C265" s="220" t="s">
        <v>2164</v>
      </c>
      <c r="D265" s="220" t="s">
        <v>2163</v>
      </c>
      <c r="E265" s="220" t="s">
        <v>2162</v>
      </c>
      <c r="F265" s="220" t="s">
        <v>2162</v>
      </c>
      <c r="G265" s="220" t="s">
        <v>2162</v>
      </c>
      <c r="H265" s="220" t="s">
        <v>2161</v>
      </c>
      <c r="I265" s="220" t="s">
        <v>329</v>
      </c>
      <c r="J265" s="220" t="s">
        <v>297</v>
      </c>
      <c r="K265" s="220" t="s">
        <v>328</v>
      </c>
      <c r="L265" s="220" t="s">
        <v>2160</v>
      </c>
      <c r="M265" s="220" t="s">
        <v>2159</v>
      </c>
      <c r="N265" s="220" t="s">
        <v>329</v>
      </c>
      <c r="O265" s="220" t="s">
        <v>297</v>
      </c>
      <c r="P265" s="220" t="s">
        <v>397</v>
      </c>
      <c r="Q265" s="220" t="s">
        <v>2158</v>
      </c>
      <c r="R265" s="220" t="s">
        <v>2157</v>
      </c>
      <c r="S265" s="220" t="s">
        <v>2129</v>
      </c>
      <c r="T265" s="220" t="s">
        <v>2145</v>
      </c>
      <c r="U265" s="220" t="s">
        <v>2127</v>
      </c>
      <c r="V265" s="220" t="s">
        <v>2126</v>
      </c>
      <c r="W265" s="220"/>
      <c r="X265" s="220"/>
      <c r="Y265" s="283"/>
      <c r="Z265" s="220"/>
      <c r="AA265" s="220"/>
      <c r="AB265" s="220"/>
      <c r="AC265" s="220"/>
      <c r="AD265" s="220"/>
      <c r="AE265" s="283"/>
      <c r="AF265" s="220"/>
      <c r="AG265" s="220"/>
      <c r="AH265" s="220"/>
      <c r="AI265" s="220"/>
      <c r="AJ265" s="226">
        <v>6</v>
      </c>
      <c r="AK265" s="226">
        <v>0</v>
      </c>
      <c r="AL265" s="225">
        <v>0.79006799999999999</v>
      </c>
      <c r="AM265" s="220"/>
      <c r="AN265" s="225">
        <v>3702.096</v>
      </c>
      <c r="AO265" s="220"/>
      <c r="AP265" s="220"/>
      <c r="AQ265" s="283"/>
      <c r="AR265" s="283"/>
      <c r="AS265" s="283"/>
      <c r="AT265" s="223">
        <v>0</v>
      </c>
      <c r="AU265" s="284">
        <v>450</v>
      </c>
      <c r="AV265" s="221">
        <v>42926</v>
      </c>
      <c r="AW265" s="221">
        <v>42926.472461493096</v>
      </c>
      <c r="AX265" s="220" t="s">
        <v>293</v>
      </c>
      <c r="AY265" s="219" t="s">
        <v>2156</v>
      </c>
    </row>
    <row r="266" spans="1:51" hidden="1" outlineLevel="1" collapsed="1">
      <c r="A266" s="227" t="s">
        <v>289</v>
      </c>
      <c r="B266" s="220" t="s">
        <v>2164</v>
      </c>
      <c r="C266" s="220" t="s">
        <v>2164</v>
      </c>
      <c r="D266" s="220" t="s">
        <v>2163</v>
      </c>
      <c r="E266" s="220" t="s">
        <v>2162</v>
      </c>
      <c r="F266" s="220" t="s">
        <v>2162</v>
      </c>
      <c r="G266" s="220" t="s">
        <v>2162</v>
      </c>
      <c r="H266" s="220" t="s">
        <v>2161</v>
      </c>
      <c r="I266" s="220" t="s">
        <v>329</v>
      </c>
      <c r="J266" s="220" t="s">
        <v>297</v>
      </c>
      <c r="K266" s="220" t="s">
        <v>328</v>
      </c>
      <c r="L266" s="220" t="s">
        <v>2160</v>
      </c>
      <c r="M266" s="220" t="s">
        <v>2159</v>
      </c>
      <c r="N266" s="220" t="s">
        <v>329</v>
      </c>
      <c r="O266" s="220" t="s">
        <v>297</v>
      </c>
      <c r="P266" s="220" t="s">
        <v>397</v>
      </c>
      <c r="Q266" s="220" t="s">
        <v>2158</v>
      </c>
      <c r="R266" s="220" t="s">
        <v>2157</v>
      </c>
      <c r="S266" s="220" t="s">
        <v>2129</v>
      </c>
      <c r="T266" s="220" t="s">
        <v>2166</v>
      </c>
      <c r="U266" s="220" t="s">
        <v>2127</v>
      </c>
      <c r="V266" s="220" t="s">
        <v>2126</v>
      </c>
      <c r="W266" s="220"/>
      <c r="X266" s="220"/>
      <c r="Y266" s="283"/>
      <c r="Z266" s="220"/>
      <c r="AA266" s="220"/>
      <c r="AB266" s="220"/>
      <c r="AC266" s="220"/>
      <c r="AD266" s="220"/>
      <c r="AE266" s="283"/>
      <c r="AF266" s="220"/>
      <c r="AG266" s="220"/>
      <c r="AH266" s="220"/>
      <c r="AI266" s="220"/>
      <c r="AJ266" s="226">
        <v>18</v>
      </c>
      <c r="AK266" s="226">
        <v>0</v>
      </c>
      <c r="AL266" s="225">
        <v>0.69070299999999996</v>
      </c>
      <c r="AM266" s="220"/>
      <c r="AN266" s="225">
        <v>3236.49</v>
      </c>
      <c r="AO266" s="220"/>
      <c r="AP266" s="220"/>
      <c r="AQ266" s="283"/>
      <c r="AR266" s="283"/>
      <c r="AS266" s="283"/>
      <c r="AT266" s="223">
        <v>0</v>
      </c>
      <c r="AU266" s="284">
        <v>225</v>
      </c>
      <c r="AV266" s="221">
        <v>42926</v>
      </c>
      <c r="AW266" s="221">
        <v>42926.472461493096</v>
      </c>
      <c r="AX266" s="220" t="s">
        <v>293</v>
      </c>
      <c r="AY266" s="219" t="s">
        <v>2165</v>
      </c>
    </row>
    <row r="267" spans="1:51" hidden="1" outlineLevel="1" collapsed="1">
      <c r="A267" s="227" t="s">
        <v>289</v>
      </c>
      <c r="B267" s="220" t="s">
        <v>2164</v>
      </c>
      <c r="C267" s="220" t="s">
        <v>2164</v>
      </c>
      <c r="D267" s="220" t="s">
        <v>2163</v>
      </c>
      <c r="E267" s="220" t="s">
        <v>2162</v>
      </c>
      <c r="F267" s="220" t="s">
        <v>2162</v>
      </c>
      <c r="G267" s="220" t="s">
        <v>2162</v>
      </c>
      <c r="H267" s="220" t="s">
        <v>2161</v>
      </c>
      <c r="I267" s="220" t="s">
        <v>329</v>
      </c>
      <c r="J267" s="220" t="s">
        <v>297</v>
      </c>
      <c r="K267" s="220" t="s">
        <v>328</v>
      </c>
      <c r="L267" s="220" t="s">
        <v>2160</v>
      </c>
      <c r="M267" s="220" t="s">
        <v>2159</v>
      </c>
      <c r="N267" s="220" t="s">
        <v>329</v>
      </c>
      <c r="O267" s="220" t="s">
        <v>297</v>
      </c>
      <c r="P267" s="220" t="s">
        <v>397</v>
      </c>
      <c r="Q267" s="220" t="s">
        <v>2158</v>
      </c>
      <c r="R267" s="220" t="s">
        <v>2157</v>
      </c>
      <c r="S267" s="220" t="s">
        <v>2129</v>
      </c>
      <c r="T267" s="220" t="s">
        <v>2166</v>
      </c>
      <c r="U267" s="220" t="s">
        <v>2127</v>
      </c>
      <c r="V267" s="220" t="s">
        <v>2126</v>
      </c>
      <c r="W267" s="220"/>
      <c r="X267" s="220"/>
      <c r="Y267" s="283"/>
      <c r="Z267" s="220"/>
      <c r="AA267" s="220"/>
      <c r="AB267" s="220"/>
      <c r="AC267" s="220"/>
      <c r="AD267" s="220"/>
      <c r="AE267" s="283"/>
      <c r="AF267" s="220"/>
      <c r="AG267" s="220"/>
      <c r="AH267" s="220"/>
      <c r="AI267" s="220"/>
      <c r="AJ267" s="226">
        <v>72</v>
      </c>
      <c r="AK267" s="226">
        <v>0</v>
      </c>
      <c r="AL267" s="225">
        <v>2.762813</v>
      </c>
      <c r="AM267" s="220"/>
      <c r="AN267" s="225">
        <v>12945.96</v>
      </c>
      <c r="AO267" s="220"/>
      <c r="AP267" s="220"/>
      <c r="AQ267" s="283"/>
      <c r="AR267" s="283"/>
      <c r="AS267" s="283"/>
      <c r="AT267" s="223">
        <v>0</v>
      </c>
      <c r="AU267" s="284">
        <v>526.32000000000005</v>
      </c>
      <c r="AV267" s="221">
        <v>42926</v>
      </c>
      <c r="AW267" s="221">
        <v>42926.472461493096</v>
      </c>
      <c r="AX267" s="220" t="s">
        <v>293</v>
      </c>
      <c r="AY267" s="219" t="s">
        <v>2170</v>
      </c>
    </row>
    <row r="268" spans="1:51" ht="20.399999999999999" hidden="1" outlineLevel="1" collapsed="1">
      <c r="A268" s="227" t="s">
        <v>289</v>
      </c>
      <c r="B268" s="220" t="s">
        <v>2155</v>
      </c>
      <c r="C268" s="220" t="s">
        <v>2155</v>
      </c>
      <c r="D268" s="220" t="s">
        <v>2154</v>
      </c>
      <c r="E268" s="220" t="s">
        <v>2149</v>
      </c>
      <c r="F268" s="220" t="s">
        <v>2149</v>
      </c>
      <c r="G268" s="220" t="s">
        <v>2149</v>
      </c>
      <c r="H268" s="220" t="s">
        <v>2153</v>
      </c>
      <c r="I268" s="220" t="s">
        <v>329</v>
      </c>
      <c r="J268" s="220" t="s">
        <v>297</v>
      </c>
      <c r="K268" s="220" t="s">
        <v>397</v>
      </c>
      <c r="L268" s="220" t="s">
        <v>1017</v>
      </c>
      <c r="M268" s="220" t="s">
        <v>1016</v>
      </c>
      <c r="N268" s="220" t="s">
        <v>329</v>
      </c>
      <c r="O268" s="220" t="s">
        <v>297</v>
      </c>
      <c r="P268" s="220" t="s">
        <v>848</v>
      </c>
      <c r="Q268" s="220" t="s">
        <v>1015</v>
      </c>
      <c r="R268" s="220" t="s">
        <v>1014</v>
      </c>
      <c r="S268" s="220" t="s">
        <v>2129</v>
      </c>
      <c r="T268" s="220" t="s">
        <v>2147</v>
      </c>
      <c r="U268" s="220" t="s">
        <v>2127</v>
      </c>
      <c r="V268" s="220" t="s">
        <v>2126</v>
      </c>
      <c r="W268" s="220"/>
      <c r="X268" s="220"/>
      <c r="Y268" s="283"/>
      <c r="Z268" s="220"/>
      <c r="AA268" s="220"/>
      <c r="AB268" s="220"/>
      <c r="AC268" s="220"/>
      <c r="AD268" s="220"/>
      <c r="AE268" s="283"/>
      <c r="AF268" s="220"/>
      <c r="AG268" s="220"/>
      <c r="AH268" s="220"/>
      <c r="AI268" s="220"/>
      <c r="AJ268" s="226">
        <v>666</v>
      </c>
      <c r="AK268" s="226">
        <v>0</v>
      </c>
      <c r="AL268" s="225">
        <v>16.140643000000001</v>
      </c>
      <c r="AM268" s="220"/>
      <c r="AN268" s="225">
        <v>75631.626000000004</v>
      </c>
      <c r="AO268" s="220"/>
      <c r="AP268" s="220"/>
      <c r="AQ268" s="283"/>
      <c r="AR268" s="283"/>
      <c r="AS268" s="283"/>
      <c r="AT268" s="223">
        <v>0</v>
      </c>
      <c r="AU268" s="284">
        <v>9930.06</v>
      </c>
      <c r="AV268" s="221">
        <v>42935</v>
      </c>
      <c r="AW268" s="221">
        <v>42935.668675462999</v>
      </c>
      <c r="AX268" s="220" t="s">
        <v>293</v>
      </c>
      <c r="AY268" s="219" t="s">
        <v>2152</v>
      </c>
    </row>
    <row r="269" spans="1:51" ht="20.399999999999999" hidden="1" outlineLevel="1" collapsed="1">
      <c r="A269" s="227" t="s">
        <v>289</v>
      </c>
      <c r="B269" s="220" t="s">
        <v>2151</v>
      </c>
      <c r="C269" s="220" t="s">
        <v>2151</v>
      </c>
      <c r="D269" s="220" t="s">
        <v>2150</v>
      </c>
      <c r="E269" s="220" t="s">
        <v>2149</v>
      </c>
      <c r="F269" s="220" t="s">
        <v>2149</v>
      </c>
      <c r="G269" s="220" t="s">
        <v>2149</v>
      </c>
      <c r="H269" s="220" t="s">
        <v>2148</v>
      </c>
      <c r="I269" s="220" t="s">
        <v>329</v>
      </c>
      <c r="J269" s="220" t="s">
        <v>297</v>
      </c>
      <c r="K269" s="220" t="s">
        <v>397</v>
      </c>
      <c r="L269" s="220" t="s">
        <v>1017</v>
      </c>
      <c r="M269" s="220" t="s">
        <v>1016</v>
      </c>
      <c r="N269" s="220" t="s">
        <v>329</v>
      </c>
      <c r="O269" s="220" t="s">
        <v>297</v>
      </c>
      <c r="P269" s="220" t="s">
        <v>848</v>
      </c>
      <c r="Q269" s="220" t="s">
        <v>1015</v>
      </c>
      <c r="R269" s="220" t="s">
        <v>1014</v>
      </c>
      <c r="S269" s="220" t="s">
        <v>2129</v>
      </c>
      <c r="T269" s="220" t="s">
        <v>2147</v>
      </c>
      <c r="U269" s="220" t="s">
        <v>2127</v>
      </c>
      <c r="V269" s="220" t="s">
        <v>2126</v>
      </c>
      <c r="W269" s="220"/>
      <c r="X269" s="220"/>
      <c r="Y269" s="283"/>
      <c r="Z269" s="220"/>
      <c r="AA269" s="220"/>
      <c r="AB269" s="220"/>
      <c r="AC269" s="220"/>
      <c r="AD269" s="220"/>
      <c r="AE269" s="283"/>
      <c r="AF269" s="220"/>
      <c r="AG269" s="220"/>
      <c r="AH269" s="220"/>
      <c r="AI269" s="220"/>
      <c r="AJ269" s="226">
        <v>834</v>
      </c>
      <c r="AK269" s="226">
        <v>0</v>
      </c>
      <c r="AL269" s="225">
        <v>20.212157000000001</v>
      </c>
      <c r="AM269" s="220"/>
      <c r="AN269" s="225">
        <v>94709.873999999996</v>
      </c>
      <c r="AO269" s="220"/>
      <c r="AP269" s="220"/>
      <c r="AQ269" s="283"/>
      <c r="AR269" s="283"/>
      <c r="AS269" s="283"/>
      <c r="AT269" s="223">
        <v>0</v>
      </c>
      <c r="AU269" s="284">
        <v>12434.94</v>
      </c>
      <c r="AV269" s="221">
        <v>42935</v>
      </c>
      <c r="AW269" s="221">
        <v>42935.671897141197</v>
      </c>
      <c r="AX269" s="220" t="s">
        <v>293</v>
      </c>
      <c r="AY269" s="219" t="s">
        <v>2146</v>
      </c>
    </row>
    <row r="270" spans="1:51" hidden="1" outlineLevel="1" collapsed="1">
      <c r="A270" s="227" t="s">
        <v>289</v>
      </c>
      <c r="B270" s="220" t="s">
        <v>2143</v>
      </c>
      <c r="C270" s="220" t="s">
        <v>2143</v>
      </c>
      <c r="D270" s="220" t="s">
        <v>2142</v>
      </c>
      <c r="E270" s="220" t="s">
        <v>2141</v>
      </c>
      <c r="F270" s="220" t="s">
        <v>2141</v>
      </c>
      <c r="G270" s="220" t="s">
        <v>2141</v>
      </c>
      <c r="H270" s="220" t="s">
        <v>2140</v>
      </c>
      <c r="I270" s="220" t="s">
        <v>329</v>
      </c>
      <c r="J270" s="220" t="s">
        <v>297</v>
      </c>
      <c r="K270" s="220" t="s">
        <v>397</v>
      </c>
      <c r="L270" s="220" t="s">
        <v>1017</v>
      </c>
      <c r="M270" s="220" t="s">
        <v>1016</v>
      </c>
      <c r="N270" s="220" t="s">
        <v>329</v>
      </c>
      <c r="O270" s="220" t="s">
        <v>297</v>
      </c>
      <c r="P270" s="220" t="s">
        <v>848</v>
      </c>
      <c r="Q270" s="220" t="s">
        <v>1015</v>
      </c>
      <c r="R270" s="220" t="s">
        <v>1014</v>
      </c>
      <c r="S270" s="220" t="s">
        <v>2129</v>
      </c>
      <c r="T270" s="220" t="s">
        <v>2139</v>
      </c>
      <c r="U270" s="220" t="s">
        <v>2127</v>
      </c>
      <c r="V270" s="220" t="s">
        <v>2126</v>
      </c>
      <c r="W270" s="220"/>
      <c r="X270" s="220"/>
      <c r="Y270" s="283"/>
      <c r="Z270" s="220"/>
      <c r="AA270" s="220"/>
      <c r="AB270" s="220"/>
      <c r="AC270" s="220"/>
      <c r="AD270" s="220"/>
      <c r="AE270" s="283"/>
      <c r="AF270" s="220"/>
      <c r="AG270" s="220"/>
      <c r="AH270" s="220"/>
      <c r="AI270" s="220"/>
      <c r="AJ270" s="226">
        <v>10</v>
      </c>
      <c r="AK270" s="226">
        <v>0</v>
      </c>
      <c r="AL270" s="225">
        <v>2.4699710000000001</v>
      </c>
      <c r="AM270" s="220"/>
      <c r="AN270" s="225">
        <v>11573.79</v>
      </c>
      <c r="AO270" s="220"/>
      <c r="AP270" s="220"/>
      <c r="AQ270" s="283"/>
      <c r="AR270" s="283"/>
      <c r="AS270" s="283"/>
      <c r="AT270" s="223">
        <v>0</v>
      </c>
      <c r="AU270" s="284">
        <v>1000</v>
      </c>
      <c r="AV270" s="221">
        <v>42935</v>
      </c>
      <c r="AW270" s="221">
        <v>42935.777491319401</v>
      </c>
      <c r="AX270" s="220" t="s">
        <v>293</v>
      </c>
      <c r="AY270" s="219" t="s">
        <v>2138</v>
      </c>
    </row>
    <row r="271" spans="1:51" hidden="1" outlineLevel="1" collapsed="1">
      <c r="A271" s="227" t="s">
        <v>289</v>
      </c>
      <c r="B271" s="220" t="s">
        <v>2143</v>
      </c>
      <c r="C271" s="220" t="s">
        <v>2143</v>
      </c>
      <c r="D271" s="220" t="s">
        <v>2142</v>
      </c>
      <c r="E271" s="220" t="s">
        <v>2141</v>
      </c>
      <c r="F271" s="220" t="s">
        <v>2141</v>
      </c>
      <c r="G271" s="220" t="s">
        <v>2141</v>
      </c>
      <c r="H271" s="220" t="s">
        <v>2140</v>
      </c>
      <c r="I271" s="220" t="s">
        <v>329</v>
      </c>
      <c r="J271" s="220" t="s">
        <v>297</v>
      </c>
      <c r="K271" s="220" t="s">
        <v>397</v>
      </c>
      <c r="L271" s="220" t="s">
        <v>1017</v>
      </c>
      <c r="M271" s="220" t="s">
        <v>1016</v>
      </c>
      <c r="N271" s="220" t="s">
        <v>329</v>
      </c>
      <c r="O271" s="220" t="s">
        <v>297</v>
      </c>
      <c r="P271" s="220" t="s">
        <v>848</v>
      </c>
      <c r="Q271" s="220" t="s">
        <v>1015</v>
      </c>
      <c r="R271" s="220" t="s">
        <v>1014</v>
      </c>
      <c r="S271" s="220" t="s">
        <v>2129</v>
      </c>
      <c r="T271" s="220" t="s">
        <v>2145</v>
      </c>
      <c r="U271" s="220" t="s">
        <v>2127</v>
      </c>
      <c r="V271" s="220" t="s">
        <v>2126</v>
      </c>
      <c r="W271" s="220"/>
      <c r="X271" s="220"/>
      <c r="Y271" s="283"/>
      <c r="Z271" s="220"/>
      <c r="AA271" s="220"/>
      <c r="AB271" s="220"/>
      <c r="AC271" s="220"/>
      <c r="AD271" s="220"/>
      <c r="AE271" s="283"/>
      <c r="AF271" s="220"/>
      <c r="AG271" s="220"/>
      <c r="AH271" s="220"/>
      <c r="AI271" s="220"/>
      <c r="AJ271" s="226">
        <v>2</v>
      </c>
      <c r="AK271" s="226">
        <v>0</v>
      </c>
      <c r="AL271" s="225">
        <v>0.26335599999999998</v>
      </c>
      <c r="AM271" s="220"/>
      <c r="AN271" s="225">
        <v>1234.0319999999999</v>
      </c>
      <c r="AO271" s="220"/>
      <c r="AP271" s="220"/>
      <c r="AQ271" s="283"/>
      <c r="AR271" s="283"/>
      <c r="AS271" s="283"/>
      <c r="AT271" s="223">
        <v>0</v>
      </c>
      <c r="AU271" s="284">
        <v>150</v>
      </c>
      <c r="AV271" s="221">
        <v>42935</v>
      </c>
      <c r="AW271" s="221">
        <v>42935.777491319401</v>
      </c>
      <c r="AX271" s="220" t="s">
        <v>293</v>
      </c>
      <c r="AY271" s="219" t="s">
        <v>2144</v>
      </c>
    </row>
    <row r="272" spans="1:51" hidden="1" outlineLevel="1" collapsed="1">
      <c r="A272" s="227" t="s">
        <v>289</v>
      </c>
      <c r="B272" s="220" t="s">
        <v>2136</v>
      </c>
      <c r="C272" s="220" t="s">
        <v>2136</v>
      </c>
      <c r="D272" s="220" t="s">
        <v>2135</v>
      </c>
      <c r="E272" s="220" t="s">
        <v>2134</v>
      </c>
      <c r="F272" s="220" t="s">
        <v>2134</v>
      </c>
      <c r="G272" s="220" t="s">
        <v>2134</v>
      </c>
      <c r="H272" s="220" t="s">
        <v>2133</v>
      </c>
      <c r="I272" s="220" t="s">
        <v>329</v>
      </c>
      <c r="J272" s="220" t="s">
        <v>297</v>
      </c>
      <c r="K272" s="220" t="s">
        <v>397</v>
      </c>
      <c r="L272" s="220" t="s">
        <v>2132</v>
      </c>
      <c r="M272" s="220" t="s">
        <v>2131</v>
      </c>
      <c r="N272" s="220" t="s">
        <v>329</v>
      </c>
      <c r="O272" s="220" t="s">
        <v>297</v>
      </c>
      <c r="P272" s="220" t="s">
        <v>599</v>
      </c>
      <c r="Q272" s="220" t="s">
        <v>2130</v>
      </c>
      <c r="R272" s="220"/>
      <c r="S272" s="220" t="s">
        <v>2129</v>
      </c>
      <c r="T272" s="220" t="s">
        <v>2128</v>
      </c>
      <c r="U272" s="220" t="s">
        <v>2127</v>
      </c>
      <c r="V272" s="220" t="s">
        <v>2126</v>
      </c>
      <c r="W272" s="220"/>
      <c r="X272" s="220"/>
      <c r="Y272" s="283"/>
      <c r="Z272" s="220"/>
      <c r="AA272" s="220"/>
      <c r="AB272" s="220"/>
      <c r="AC272" s="220"/>
      <c r="AD272" s="220"/>
      <c r="AE272" s="283"/>
      <c r="AF272" s="220"/>
      <c r="AG272" s="220"/>
      <c r="AH272" s="220"/>
      <c r="AI272" s="220"/>
      <c r="AJ272" s="226">
        <v>18</v>
      </c>
      <c r="AK272" s="226">
        <v>0</v>
      </c>
      <c r="AL272" s="225">
        <v>0.43623400000000001</v>
      </c>
      <c r="AM272" s="220"/>
      <c r="AN272" s="225">
        <v>2044.098</v>
      </c>
      <c r="AO272" s="220"/>
      <c r="AP272" s="220"/>
      <c r="AQ272" s="283"/>
      <c r="AR272" s="283"/>
      <c r="AS272" s="283"/>
      <c r="AT272" s="223">
        <v>0</v>
      </c>
      <c r="AU272" s="284">
        <v>53.64</v>
      </c>
      <c r="AV272" s="221">
        <v>42940</v>
      </c>
      <c r="AW272" s="221">
        <v>42940.5389762384</v>
      </c>
      <c r="AX272" s="220" t="s">
        <v>293</v>
      </c>
      <c r="AY272" s="219" t="s">
        <v>2125</v>
      </c>
    </row>
    <row r="273" spans="1:51" hidden="1" outlineLevel="1" collapsed="1">
      <c r="A273" s="227" t="s">
        <v>289</v>
      </c>
      <c r="B273" s="220" t="s">
        <v>2136</v>
      </c>
      <c r="C273" s="220" t="s">
        <v>2136</v>
      </c>
      <c r="D273" s="220" t="s">
        <v>2135</v>
      </c>
      <c r="E273" s="220" t="s">
        <v>2134</v>
      </c>
      <c r="F273" s="220" t="s">
        <v>2134</v>
      </c>
      <c r="G273" s="220" t="s">
        <v>2134</v>
      </c>
      <c r="H273" s="220" t="s">
        <v>2133</v>
      </c>
      <c r="I273" s="220" t="s">
        <v>329</v>
      </c>
      <c r="J273" s="220" t="s">
        <v>297</v>
      </c>
      <c r="K273" s="220" t="s">
        <v>397</v>
      </c>
      <c r="L273" s="220" t="s">
        <v>2132</v>
      </c>
      <c r="M273" s="220" t="s">
        <v>2131</v>
      </c>
      <c r="N273" s="220" t="s">
        <v>329</v>
      </c>
      <c r="O273" s="220" t="s">
        <v>297</v>
      </c>
      <c r="P273" s="220" t="s">
        <v>599</v>
      </c>
      <c r="Q273" s="220" t="s">
        <v>2130</v>
      </c>
      <c r="R273" s="220"/>
      <c r="S273" s="220" t="s">
        <v>2129</v>
      </c>
      <c r="T273" s="220" t="s">
        <v>2128</v>
      </c>
      <c r="U273" s="220" t="s">
        <v>2127</v>
      </c>
      <c r="V273" s="220" t="s">
        <v>2126</v>
      </c>
      <c r="W273" s="220"/>
      <c r="X273" s="220"/>
      <c r="Y273" s="283"/>
      <c r="Z273" s="220"/>
      <c r="AA273" s="220"/>
      <c r="AB273" s="220"/>
      <c r="AC273" s="220"/>
      <c r="AD273" s="220"/>
      <c r="AE273" s="283"/>
      <c r="AF273" s="220"/>
      <c r="AG273" s="220"/>
      <c r="AH273" s="220"/>
      <c r="AI273" s="220"/>
      <c r="AJ273" s="226">
        <v>32</v>
      </c>
      <c r="AK273" s="226">
        <v>0</v>
      </c>
      <c r="AL273" s="225">
        <v>0.77552600000000005</v>
      </c>
      <c r="AM273" s="220"/>
      <c r="AN273" s="225">
        <v>3633.9520000000002</v>
      </c>
      <c r="AO273" s="220"/>
      <c r="AP273" s="220"/>
      <c r="AQ273" s="283"/>
      <c r="AR273" s="283"/>
      <c r="AS273" s="283"/>
      <c r="AT273" s="223">
        <v>0</v>
      </c>
      <c r="AU273" s="284">
        <v>177.28</v>
      </c>
      <c r="AV273" s="221">
        <v>42940</v>
      </c>
      <c r="AW273" s="221">
        <v>42940.5389762384</v>
      </c>
      <c r="AX273" s="220" t="s">
        <v>293</v>
      </c>
      <c r="AY273" s="219" t="s">
        <v>2137</v>
      </c>
    </row>
    <row r="274" spans="1:51" collapsed="1">
      <c r="A274" s="235" t="s">
        <v>2124</v>
      </c>
      <c r="B274" s="234">
        <v>55</v>
      </c>
      <c r="C274" s="279" t="s">
        <v>289</v>
      </c>
      <c r="D274" s="279" t="s">
        <v>289</v>
      </c>
      <c r="E274" s="279" t="s">
        <v>289</v>
      </c>
      <c r="F274" s="279" t="s">
        <v>289</v>
      </c>
      <c r="G274" s="279" t="s">
        <v>289</v>
      </c>
      <c r="H274" s="279" t="s">
        <v>289</v>
      </c>
      <c r="I274" s="279" t="s">
        <v>289</v>
      </c>
      <c r="J274" s="279" t="s">
        <v>289</v>
      </c>
      <c r="K274" s="279" t="s">
        <v>289</v>
      </c>
      <c r="L274" s="279" t="s">
        <v>289</v>
      </c>
      <c r="M274" s="279" t="s">
        <v>289</v>
      </c>
      <c r="N274" s="279" t="s">
        <v>289</v>
      </c>
      <c r="O274" s="279" t="s">
        <v>289</v>
      </c>
      <c r="P274" s="279" t="s">
        <v>289</v>
      </c>
      <c r="Q274" s="279" t="s">
        <v>289</v>
      </c>
      <c r="R274" s="279" t="s">
        <v>289</v>
      </c>
      <c r="S274" s="279" t="s">
        <v>289</v>
      </c>
      <c r="T274" s="279" t="s">
        <v>289</v>
      </c>
      <c r="U274" s="279" t="s">
        <v>289</v>
      </c>
      <c r="V274" s="279" t="s">
        <v>289</v>
      </c>
      <c r="W274" s="279" t="s">
        <v>289</v>
      </c>
      <c r="X274" s="279" t="s">
        <v>289</v>
      </c>
      <c r="Y274" s="231" t="s">
        <v>289</v>
      </c>
      <c r="Z274" s="231" t="s">
        <v>289</v>
      </c>
      <c r="AA274" s="231" t="s">
        <v>289</v>
      </c>
      <c r="AB274" s="231" t="s">
        <v>289</v>
      </c>
      <c r="AC274" s="231" t="s">
        <v>289</v>
      </c>
      <c r="AD274" s="231" t="s">
        <v>289</v>
      </c>
      <c r="AE274" s="231" t="s">
        <v>289</v>
      </c>
      <c r="AF274" s="231" t="s">
        <v>289</v>
      </c>
      <c r="AG274" s="231" t="s">
        <v>289</v>
      </c>
      <c r="AH274" s="231" t="s">
        <v>289</v>
      </c>
      <c r="AI274" s="231" t="s">
        <v>289</v>
      </c>
      <c r="AJ274" s="233">
        <v>71</v>
      </c>
      <c r="AK274" s="233">
        <v>0</v>
      </c>
      <c r="AL274" s="232">
        <v>42.0242</v>
      </c>
      <c r="AM274" s="279"/>
      <c r="AN274" s="232">
        <v>111458.90283000001</v>
      </c>
      <c r="AO274" s="279"/>
      <c r="AP274" s="279"/>
      <c r="AQ274" s="231"/>
      <c r="AR274" s="231"/>
      <c r="AS274" s="231"/>
      <c r="AT274" s="230">
        <v>0</v>
      </c>
      <c r="AU274" s="229">
        <v>13808.75</v>
      </c>
      <c r="AV274" s="663" t="s">
        <v>289</v>
      </c>
      <c r="AW274" s="658"/>
      <c r="AX274" s="664"/>
      <c r="AY274" s="228" t="s">
        <v>289</v>
      </c>
    </row>
    <row r="275" spans="1:51" ht="20.399999999999999" hidden="1" outlineLevel="1" collapsed="1">
      <c r="A275" s="227" t="s">
        <v>289</v>
      </c>
      <c r="B275" s="220" t="s">
        <v>2123</v>
      </c>
      <c r="C275" s="220" t="s">
        <v>2123</v>
      </c>
      <c r="D275" s="220" t="s">
        <v>2122</v>
      </c>
      <c r="E275" s="220" t="s">
        <v>400</v>
      </c>
      <c r="F275" s="220" t="s">
        <v>2121</v>
      </c>
      <c r="G275" s="220"/>
      <c r="H275" s="220" t="s">
        <v>2120</v>
      </c>
      <c r="I275" s="220" t="s">
        <v>329</v>
      </c>
      <c r="J275" s="220" t="s">
        <v>297</v>
      </c>
      <c r="K275" s="220" t="s">
        <v>328</v>
      </c>
      <c r="L275" s="220" t="s">
        <v>2119</v>
      </c>
      <c r="M275" s="220" t="s">
        <v>2118</v>
      </c>
      <c r="N275" s="220" t="s">
        <v>329</v>
      </c>
      <c r="O275" s="220" t="s">
        <v>297</v>
      </c>
      <c r="P275" s="220" t="s">
        <v>599</v>
      </c>
      <c r="Q275" s="220" t="s">
        <v>2117</v>
      </c>
      <c r="R275" s="220"/>
      <c r="S275" s="220" t="s">
        <v>1715</v>
      </c>
      <c r="T275" s="220" t="s">
        <v>1714</v>
      </c>
      <c r="U275" s="220"/>
      <c r="V275" s="220"/>
      <c r="W275" s="220"/>
      <c r="X275" s="220"/>
      <c r="Y275" s="283"/>
      <c r="Z275" s="220"/>
      <c r="AA275" s="220"/>
      <c r="AB275" s="220"/>
      <c r="AC275" s="220"/>
      <c r="AD275" s="220"/>
      <c r="AE275" s="283"/>
      <c r="AF275" s="220"/>
      <c r="AG275" s="220"/>
      <c r="AH275" s="220" t="s">
        <v>2116</v>
      </c>
      <c r="AI275" s="220"/>
      <c r="AJ275" s="226">
        <v>1</v>
      </c>
      <c r="AK275" s="226">
        <v>0</v>
      </c>
      <c r="AL275" s="225">
        <v>0.49299999999999999</v>
      </c>
      <c r="AM275" s="220"/>
      <c r="AN275" s="225">
        <v>478.80500000000001</v>
      </c>
      <c r="AO275" s="220"/>
      <c r="AP275" s="220"/>
      <c r="AQ275" s="283"/>
      <c r="AR275" s="283"/>
      <c r="AS275" s="283"/>
      <c r="AT275" s="223">
        <v>0</v>
      </c>
      <c r="AU275" s="284">
        <v>225</v>
      </c>
      <c r="AV275" s="221">
        <v>42615</v>
      </c>
      <c r="AW275" s="221">
        <v>42615.6955989583</v>
      </c>
      <c r="AX275" s="220" t="s">
        <v>293</v>
      </c>
      <c r="AY275" s="219" t="s">
        <v>2115</v>
      </c>
    </row>
    <row r="276" spans="1:51" ht="20.399999999999999" hidden="1" outlineLevel="1" collapsed="1">
      <c r="A276" s="227" t="s">
        <v>289</v>
      </c>
      <c r="B276" s="220" t="s">
        <v>2114</v>
      </c>
      <c r="C276" s="220" t="s">
        <v>2114</v>
      </c>
      <c r="D276" s="220" t="s">
        <v>2113</v>
      </c>
      <c r="E276" s="220" t="s">
        <v>2112</v>
      </c>
      <c r="F276" s="220" t="s">
        <v>1363</v>
      </c>
      <c r="G276" s="220"/>
      <c r="H276" s="220" t="s">
        <v>2111</v>
      </c>
      <c r="I276" s="220" t="s">
        <v>320</v>
      </c>
      <c r="J276" s="220" t="s">
        <v>297</v>
      </c>
      <c r="K276" s="220" t="s">
        <v>319</v>
      </c>
      <c r="L276" s="220" t="s">
        <v>1736</v>
      </c>
      <c r="M276" s="220" t="s">
        <v>1735</v>
      </c>
      <c r="N276" s="220" t="s">
        <v>320</v>
      </c>
      <c r="O276" s="220" t="s">
        <v>297</v>
      </c>
      <c r="P276" s="220" t="s">
        <v>319</v>
      </c>
      <c r="Q276" s="220" t="s">
        <v>1734</v>
      </c>
      <c r="R276" s="220"/>
      <c r="S276" s="220" t="s">
        <v>1715</v>
      </c>
      <c r="T276" s="220" t="s">
        <v>1714</v>
      </c>
      <c r="U276" s="220"/>
      <c r="V276" s="220"/>
      <c r="W276" s="220"/>
      <c r="X276" s="220"/>
      <c r="Y276" s="283"/>
      <c r="Z276" s="220"/>
      <c r="AA276" s="220"/>
      <c r="AB276" s="220"/>
      <c r="AC276" s="220"/>
      <c r="AD276" s="220"/>
      <c r="AE276" s="283"/>
      <c r="AF276" s="220"/>
      <c r="AG276" s="220"/>
      <c r="AH276" s="220" t="s">
        <v>2110</v>
      </c>
      <c r="AI276" s="220"/>
      <c r="AJ276" s="226">
        <v>1</v>
      </c>
      <c r="AK276" s="226">
        <v>0</v>
      </c>
      <c r="AL276" s="225">
        <v>0.39500000000000002</v>
      </c>
      <c r="AM276" s="220"/>
      <c r="AN276" s="225">
        <v>378.50299999999999</v>
      </c>
      <c r="AO276" s="220"/>
      <c r="AP276" s="220"/>
      <c r="AQ276" s="283"/>
      <c r="AR276" s="283"/>
      <c r="AS276" s="283"/>
      <c r="AT276" s="223">
        <v>0</v>
      </c>
      <c r="AU276" s="284">
        <v>150</v>
      </c>
      <c r="AV276" s="221">
        <v>42615</v>
      </c>
      <c r="AW276" s="221">
        <v>42615.709618865701</v>
      </c>
      <c r="AX276" s="220" t="s">
        <v>293</v>
      </c>
      <c r="AY276" s="219" t="s">
        <v>2109</v>
      </c>
    </row>
    <row r="277" spans="1:51" hidden="1" outlineLevel="1" collapsed="1">
      <c r="A277" s="227" t="s">
        <v>289</v>
      </c>
      <c r="B277" s="220" t="s">
        <v>2108</v>
      </c>
      <c r="C277" s="220" t="s">
        <v>2108</v>
      </c>
      <c r="D277" s="220" t="s">
        <v>2107</v>
      </c>
      <c r="E277" s="220" t="s">
        <v>2106</v>
      </c>
      <c r="F277" s="220" t="s">
        <v>2105</v>
      </c>
      <c r="G277" s="220"/>
      <c r="H277" s="220" t="s">
        <v>2104</v>
      </c>
      <c r="I277" s="220" t="s">
        <v>320</v>
      </c>
      <c r="J277" s="220" t="s">
        <v>297</v>
      </c>
      <c r="K277" s="220" t="s">
        <v>319</v>
      </c>
      <c r="L277" s="220" t="s">
        <v>1736</v>
      </c>
      <c r="M277" s="220" t="s">
        <v>1735</v>
      </c>
      <c r="N277" s="220" t="s">
        <v>320</v>
      </c>
      <c r="O277" s="220" t="s">
        <v>297</v>
      </c>
      <c r="P277" s="220" t="s">
        <v>319</v>
      </c>
      <c r="Q277" s="220" t="s">
        <v>1734</v>
      </c>
      <c r="R277" s="220"/>
      <c r="S277" s="220" t="s">
        <v>1680</v>
      </c>
      <c r="T277" s="220" t="s">
        <v>1679</v>
      </c>
      <c r="U277" s="220"/>
      <c r="V277" s="220"/>
      <c r="W277" s="220"/>
      <c r="X277" s="220"/>
      <c r="Y277" s="283"/>
      <c r="Z277" s="220"/>
      <c r="AA277" s="220" t="s">
        <v>2103</v>
      </c>
      <c r="AB277" s="220"/>
      <c r="AC277" s="220"/>
      <c r="AD277" s="220"/>
      <c r="AE277" s="283"/>
      <c r="AF277" s="220"/>
      <c r="AG277" s="220"/>
      <c r="AH277" s="220"/>
      <c r="AI277" s="220"/>
      <c r="AJ277" s="226">
        <v>1</v>
      </c>
      <c r="AK277" s="226">
        <v>0</v>
      </c>
      <c r="AL277" s="225">
        <v>0.71599999999999997</v>
      </c>
      <c r="AM277" s="220"/>
      <c r="AN277" s="225">
        <v>1987.4390000000001</v>
      </c>
      <c r="AO277" s="220"/>
      <c r="AP277" s="220"/>
      <c r="AQ277" s="283"/>
      <c r="AR277" s="283"/>
      <c r="AS277" s="283"/>
      <c r="AT277" s="223">
        <v>0</v>
      </c>
      <c r="AU277" s="284">
        <v>75</v>
      </c>
      <c r="AV277" s="221">
        <v>42626</v>
      </c>
      <c r="AW277" s="221">
        <v>42626.780199618101</v>
      </c>
      <c r="AX277" s="220" t="s">
        <v>293</v>
      </c>
      <c r="AY277" s="219" t="s">
        <v>2102</v>
      </c>
    </row>
    <row r="278" spans="1:51" ht="20.399999999999999" hidden="1" outlineLevel="1" collapsed="1">
      <c r="A278" s="227" t="s">
        <v>289</v>
      </c>
      <c r="B278" s="220" t="s">
        <v>2101</v>
      </c>
      <c r="C278" s="220" t="s">
        <v>2101</v>
      </c>
      <c r="D278" s="220" t="s">
        <v>491</v>
      </c>
      <c r="E278" s="220" t="s">
        <v>490</v>
      </c>
      <c r="F278" s="220" t="s">
        <v>489</v>
      </c>
      <c r="G278" s="220"/>
      <c r="H278" s="220" t="s">
        <v>488</v>
      </c>
      <c r="I278" s="220" t="s">
        <v>413</v>
      </c>
      <c r="J278" s="220" t="s">
        <v>297</v>
      </c>
      <c r="K278" s="220" t="s">
        <v>412</v>
      </c>
      <c r="L278" s="220" t="s">
        <v>1788</v>
      </c>
      <c r="M278" s="220" t="s">
        <v>958</v>
      </c>
      <c r="N278" s="220" t="s">
        <v>329</v>
      </c>
      <c r="O278" s="220" t="s">
        <v>297</v>
      </c>
      <c r="P278" s="220" t="s">
        <v>397</v>
      </c>
      <c r="Q278" s="220" t="s">
        <v>957</v>
      </c>
      <c r="R278" s="220"/>
      <c r="S278" s="220" t="s">
        <v>1698</v>
      </c>
      <c r="T278" s="220" t="s">
        <v>212</v>
      </c>
      <c r="U278" s="220"/>
      <c r="V278" s="220"/>
      <c r="W278" s="220"/>
      <c r="X278" s="220"/>
      <c r="Y278" s="283"/>
      <c r="Z278" s="220"/>
      <c r="AA278" s="220"/>
      <c r="AB278" s="220"/>
      <c r="AC278" s="220"/>
      <c r="AD278" s="220"/>
      <c r="AE278" s="283"/>
      <c r="AF278" s="220"/>
      <c r="AG278" s="220"/>
      <c r="AH278" s="220" t="s">
        <v>2100</v>
      </c>
      <c r="AI278" s="220"/>
      <c r="AJ278" s="226">
        <v>1</v>
      </c>
      <c r="AK278" s="226">
        <v>0</v>
      </c>
      <c r="AL278" s="225">
        <v>0.13600000000000001</v>
      </c>
      <c r="AM278" s="220"/>
      <c r="AN278" s="225">
        <v>2877</v>
      </c>
      <c r="AO278" s="220"/>
      <c r="AP278" s="220"/>
      <c r="AQ278" s="283"/>
      <c r="AR278" s="283"/>
      <c r="AS278" s="283"/>
      <c r="AT278" s="223">
        <v>0</v>
      </c>
      <c r="AU278" s="284">
        <v>250</v>
      </c>
      <c r="AV278" s="221">
        <v>42634</v>
      </c>
      <c r="AW278" s="221">
        <v>42634.7605497685</v>
      </c>
      <c r="AX278" s="220" t="s">
        <v>293</v>
      </c>
      <c r="AY278" s="219" t="s">
        <v>2099</v>
      </c>
    </row>
    <row r="279" spans="1:51" ht="20.399999999999999" hidden="1" outlineLevel="1" collapsed="1">
      <c r="A279" s="227" t="s">
        <v>289</v>
      </c>
      <c r="B279" s="220" t="s">
        <v>2098</v>
      </c>
      <c r="C279" s="220" t="s">
        <v>2098</v>
      </c>
      <c r="D279" s="220" t="s">
        <v>2097</v>
      </c>
      <c r="E279" s="220" t="s">
        <v>2096</v>
      </c>
      <c r="F279" s="220" t="s">
        <v>2095</v>
      </c>
      <c r="G279" s="220"/>
      <c r="H279" s="220" t="s">
        <v>2094</v>
      </c>
      <c r="I279" s="220" t="s">
        <v>298</v>
      </c>
      <c r="J279" s="220" t="s">
        <v>297</v>
      </c>
      <c r="K279" s="220" t="s">
        <v>296</v>
      </c>
      <c r="L279" s="220" t="s">
        <v>2093</v>
      </c>
      <c r="M279" s="220" t="s">
        <v>2092</v>
      </c>
      <c r="N279" s="220" t="s">
        <v>329</v>
      </c>
      <c r="O279" s="220" t="s">
        <v>297</v>
      </c>
      <c r="P279" s="220" t="s">
        <v>599</v>
      </c>
      <c r="Q279" s="220" t="s">
        <v>2091</v>
      </c>
      <c r="R279" s="220" t="s">
        <v>2090</v>
      </c>
      <c r="S279" s="220" t="s">
        <v>1715</v>
      </c>
      <c r="T279" s="220" t="s">
        <v>1714</v>
      </c>
      <c r="U279" s="220"/>
      <c r="V279" s="220"/>
      <c r="W279" s="220"/>
      <c r="X279" s="220"/>
      <c r="Y279" s="283"/>
      <c r="Z279" s="220"/>
      <c r="AA279" s="220"/>
      <c r="AB279" s="220"/>
      <c r="AC279" s="220"/>
      <c r="AD279" s="220"/>
      <c r="AE279" s="283"/>
      <c r="AF279" s="220"/>
      <c r="AG279" s="220"/>
      <c r="AH279" s="220" t="s">
        <v>2089</v>
      </c>
      <c r="AI279" s="220"/>
      <c r="AJ279" s="226">
        <v>1</v>
      </c>
      <c r="AK279" s="226">
        <v>0</v>
      </c>
      <c r="AL279" s="225">
        <v>0.60399999999999998</v>
      </c>
      <c r="AM279" s="220"/>
      <c r="AN279" s="225">
        <v>913.72299999999996</v>
      </c>
      <c r="AO279" s="220"/>
      <c r="AP279" s="220"/>
      <c r="AQ279" s="283"/>
      <c r="AR279" s="283"/>
      <c r="AS279" s="283"/>
      <c r="AT279" s="223">
        <v>0</v>
      </c>
      <c r="AU279" s="284">
        <v>112.5</v>
      </c>
      <c r="AV279" s="221">
        <v>42634</v>
      </c>
      <c r="AW279" s="221">
        <v>42634.768014270798</v>
      </c>
      <c r="AX279" s="220" t="s">
        <v>293</v>
      </c>
      <c r="AY279" s="219" t="s">
        <v>2088</v>
      </c>
    </row>
    <row r="280" spans="1:51" hidden="1" outlineLevel="1" collapsed="1">
      <c r="A280" s="227" t="s">
        <v>289</v>
      </c>
      <c r="B280" s="220" t="s">
        <v>2087</v>
      </c>
      <c r="C280" s="220" t="s">
        <v>2087</v>
      </c>
      <c r="D280" s="220" t="s">
        <v>2086</v>
      </c>
      <c r="E280" s="220" t="s">
        <v>2085</v>
      </c>
      <c r="F280" s="220" t="s">
        <v>2084</v>
      </c>
      <c r="G280" s="220"/>
      <c r="H280" s="220" t="s">
        <v>2083</v>
      </c>
      <c r="I280" s="220" t="s">
        <v>329</v>
      </c>
      <c r="J280" s="220" t="s">
        <v>297</v>
      </c>
      <c r="K280" s="220" t="s">
        <v>328</v>
      </c>
      <c r="L280" s="220" t="s">
        <v>1820</v>
      </c>
      <c r="M280" s="220" t="s">
        <v>1819</v>
      </c>
      <c r="N280" s="220" t="s">
        <v>329</v>
      </c>
      <c r="O280" s="220" t="s">
        <v>297</v>
      </c>
      <c r="P280" s="220" t="s">
        <v>599</v>
      </c>
      <c r="Q280" s="220" t="s">
        <v>1818</v>
      </c>
      <c r="R280" s="220"/>
      <c r="S280" s="220" t="s">
        <v>1773</v>
      </c>
      <c r="T280" s="220" t="s">
        <v>1772</v>
      </c>
      <c r="U280" s="220"/>
      <c r="V280" s="220"/>
      <c r="W280" s="220"/>
      <c r="X280" s="220"/>
      <c r="Y280" s="283"/>
      <c r="Z280" s="220"/>
      <c r="AA280" s="220"/>
      <c r="AB280" s="220"/>
      <c r="AC280" s="220"/>
      <c r="AD280" s="220" t="s">
        <v>2082</v>
      </c>
      <c r="AE280" s="283" t="s">
        <v>2081</v>
      </c>
      <c r="AF280" s="220"/>
      <c r="AG280" s="220"/>
      <c r="AH280" s="220" t="s">
        <v>2080</v>
      </c>
      <c r="AI280" s="220"/>
      <c r="AJ280" s="226">
        <v>1</v>
      </c>
      <c r="AK280" s="226">
        <v>0</v>
      </c>
      <c r="AL280" s="225">
        <v>3.005E-2</v>
      </c>
      <c r="AM280" s="220"/>
      <c r="AN280" s="225">
        <v>263.23678000000001</v>
      </c>
      <c r="AO280" s="220"/>
      <c r="AP280" s="220"/>
      <c r="AQ280" s="283"/>
      <c r="AR280" s="283"/>
      <c r="AS280" s="283"/>
      <c r="AT280" s="223">
        <v>0</v>
      </c>
      <c r="AU280" s="284">
        <v>106.25</v>
      </c>
      <c r="AV280" s="221">
        <v>42646</v>
      </c>
      <c r="AW280" s="221">
        <v>42643.690867905098</v>
      </c>
      <c r="AX280" s="220" t="s">
        <v>293</v>
      </c>
      <c r="AY280" s="219" t="s">
        <v>2079</v>
      </c>
    </row>
    <row r="281" spans="1:51" hidden="1" outlineLevel="1" collapsed="1">
      <c r="A281" s="227" t="s">
        <v>289</v>
      </c>
      <c r="B281" s="220" t="s">
        <v>2078</v>
      </c>
      <c r="C281" s="220" t="s">
        <v>2078</v>
      </c>
      <c r="D281" s="220" t="s">
        <v>2077</v>
      </c>
      <c r="E281" s="220" t="s">
        <v>2076</v>
      </c>
      <c r="F281" s="220" t="s">
        <v>2075</v>
      </c>
      <c r="G281" s="220"/>
      <c r="H281" s="220" t="s">
        <v>2074</v>
      </c>
      <c r="I281" s="220" t="s">
        <v>345</v>
      </c>
      <c r="J281" s="220" t="s">
        <v>297</v>
      </c>
      <c r="K281" s="220" t="s">
        <v>344</v>
      </c>
      <c r="L281" s="220" t="s">
        <v>601</v>
      </c>
      <c r="M281" s="220" t="s">
        <v>600</v>
      </c>
      <c r="N281" s="220" t="s">
        <v>329</v>
      </c>
      <c r="O281" s="220" t="s">
        <v>297</v>
      </c>
      <c r="P281" s="220" t="s">
        <v>599</v>
      </c>
      <c r="Q281" s="220" t="s">
        <v>598</v>
      </c>
      <c r="R281" s="220"/>
      <c r="S281" s="220" t="s">
        <v>1773</v>
      </c>
      <c r="T281" s="220" t="s">
        <v>1826</v>
      </c>
      <c r="U281" s="220"/>
      <c r="V281" s="220"/>
      <c r="W281" s="220"/>
      <c r="X281" s="220"/>
      <c r="Y281" s="283"/>
      <c r="Z281" s="220"/>
      <c r="AA281" s="220" t="s">
        <v>1825</v>
      </c>
      <c r="AB281" s="220"/>
      <c r="AC281" s="220"/>
      <c r="AD281" s="220" t="s">
        <v>1817</v>
      </c>
      <c r="AE281" s="283" t="s">
        <v>1823</v>
      </c>
      <c r="AF281" s="220"/>
      <c r="AG281" s="220"/>
      <c r="AH281" s="220" t="s">
        <v>2073</v>
      </c>
      <c r="AI281" s="220"/>
      <c r="AJ281" s="226">
        <v>1</v>
      </c>
      <c r="AK281" s="226">
        <v>0</v>
      </c>
      <c r="AL281" s="225">
        <v>2.0420000000000001E-2</v>
      </c>
      <c r="AM281" s="220"/>
      <c r="AN281" s="225">
        <v>178.89402999999999</v>
      </c>
      <c r="AO281" s="220"/>
      <c r="AP281" s="220"/>
      <c r="AQ281" s="283"/>
      <c r="AR281" s="283"/>
      <c r="AS281" s="283"/>
      <c r="AT281" s="223">
        <v>0</v>
      </c>
      <c r="AU281" s="284">
        <v>87.5</v>
      </c>
      <c r="AV281" s="221">
        <v>42649</v>
      </c>
      <c r="AW281" s="221">
        <v>42649.535627002297</v>
      </c>
      <c r="AX281" s="220" t="s">
        <v>293</v>
      </c>
      <c r="AY281" s="219" t="s">
        <v>2072</v>
      </c>
    </row>
    <row r="282" spans="1:51" hidden="1" outlineLevel="1" collapsed="1">
      <c r="A282" s="227" t="s">
        <v>289</v>
      </c>
      <c r="B282" s="220" t="s">
        <v>2071</v>
      </c>
      <c r="C282" s="220" t="s">
        <v>2071</v>
      </c>
      <c r="D282" s="220" t="s">
        <v>2070</v>
      </c>
      <c r="E282" s="220" t="s">
        <v>2069</v>
      </c>
      <c r="F282" s="220" t="s">
        <v>2068</v>
      </c>
      <c r="G282" s="220"/>
      <c r="H282" s="220" t="s">
        <v>2067</v>
      </c>
      <c r="I282" s="220" t="s">
        <v>329</v>
      </c>
      <c r="J282" s="220" t="s">
        <v>297</v>
      </c>
      <c r="K282" s="220" t="s">
        <v>328</v>
      </c>
      <c r="L282" s="220" t="s">
        <v>601</v>
      </c>
      <c r="M282" s="220" t="s">
        <v>600</v>
      </c>
      <c r="N282" s="220" t="s">
        <v>329</v>
      </c>
      <c r="O282" s="220" t="s">
        <v>297</v>
      </c>
      <c r="P282" s="220" t="s">
        <v>599</v>
      </c>
      <c r="Q282" s="220" t="s">
        <v>598</v>
      </c>
      <c r="R282" s="220"/>
      <c r="S282" s="220" t="s">
        <v>1773</v>
      </c>
      <c r="T282" s="220" t="s">
        <v>1826</v>
      </c>
      <c r="U282" s="220"/>
      <c r="V282" s="220"/>
      <c r="W282" s="220"/>
      <c r="X282" s="220"/>
      <c r="Y282" s="283"/>
      <c r="Z282" s="220"/>
      <c r="AA282" s="220" t="s">
        <v>1825</v>
      </c>
      <c r="AB282" s="220"/>
      <c r="AC282" s="220"/>
      <c r="AD282" s="220" t="s">
        <v>1817</v>
      </c>
      <c r="AE282" s="283" t="s">
        <v>1823</v>
      </c>
      <c r="AF282" s="220"/>
      <c r="AG282" s="220"/>
      <c r="AH282" s="220" t="s">
        <v>2066</v>
      </c>
      <c r="AI282" s="220"/>
      <c r="AJ282" s="226">
        <v>1</v>
      </c>
      <c r="AK282" s="226">
        <v>0</v>
      </c>
      <c r="AL282" s="225">
        <v>2.0420000000000001E-2</v>
      </c>
      <c r="AM282" s="220"/>
      <c r="AN282" s="225">
        <v>178.89402999999999</v>
      </c>
      <c r="AO282" s="220"/>
      <c r="AP282" s="220"/>
      <c r="AQ282" s="283"/>
      <c r="AR282" s="283"/>
      <c r="AS282" s="283"/>
      <c r="AT282" s="223">
        <v>0</v>
      </c>
      <c r="AU282" s="284">
        <v>87.5</v>
      </c>
      <c r="AV282" s="221">
        <v>42650</v>
      </c>
      <c r="AW282" s="221">
        <v>42650.430064583299</v>
      </c>
      <c r="AX282" s="220" t="s">
        <v>293</v>
      </c>
      <c r="AY282" s="219" t="s">
        <v>2065</v>
      </c>
    </row>
    <row r="283" spans="1:51" ht="20.399999999999999" hidden="1" outlineLevel="1" collapsed="1">
      <c r="A283" s="227" t="s">
        <v>289</v>
      </c>
      <c r="B283" s="220" t="s">
        <v>2064</v>
      </c>
      <c r="C283" s="220" t="s">
        <v>2064</v>
      </c>
      <c r="D283" s="220" t="s">
        <v>2063</v>
      </c>
      <c r="E283" s="220" t="s">
        <v>2062</v>
      </c>
      <c r="F283" s="220" t="s">
        <v>2061</v>
      </c>
      <c r="G283" s="220"/>
      <c r="H283" s="220" t="s">
        <v>2060</v>
      </c>
      <c r="I283" s="220" t="s">
        <v>329</v>
      </c>
      <c r="J283" s="220" t="s">
        <v>297</v>
      </c>
      <c r="K283" s="220" t="s">
        <v>397</v>
      </c>
      <c r="L283" s="220" t="s">
        <v>2059</v>
      </c>
      <c r="M283" s="220" t="s">
        <v>2058</v>
      </c>
      <c r="N283" s="220" t="s">
        <v>329</v>
      </c>
      <c r="O283" s="220" t="s">
        <v>297</v>
      </c>
      <c r="P283" s="220" t="s">
        <v>328</v>
      </c>
      <c r="Q283" s="220" t="s">
        <v>2057</v>
      </c>
      <c r="R283" s="220" t="s">
        <v>2056</v>
      </c>
      <c r="S283" s="220" t="s">
        <v>1698</v>
      </c>
      <c r="T283" s="220" t="s">
        <v>212</v>
      </c>
      <c r="U283" s="220"/>
      <c r="V283" s="220"/>
      <c r="W283" s="220"/>
      <c r="X283" s="220"/>
      <c r="Y283" s="283"/>
      <c r="Z283" s="220"/>
      <c r="AA283" s="220"/>
      <c r="AB283" s="220"/>
      <c r="AC283" s="220"/>
      <c r="AD283" s="220"/>
      <c r="AE283" s="283"/>
      <c r="AF283" s="220"/>
      <c r="AG283" s="220"/>
      <c r="AH283" s="220" t="s">
        <v>2055</v>
      </c>
      <c r="AI283" s="220"/>
      <c r="AJ283" s="226">
        <v>1</v>
      </c>
      <c r="AK283" s="226">
        <v>0</v>
      </c>
      <c r="AL283" s="225">
        <v>0.13600000000000001</v>
      </c>
      <c r="AM283" s="220"/>
      <c r="AN283" s="225">
        <v>2874</v>
      </c>
      <c r="AO283" s="220"/>
      <c r="AP283" s="220"/>
      <c r="AQ283" s="283"/>
      <c r="AR283" s="283"/>
      <c r="AS283" s="283"/>
      <c r="AT283" s="223">
        <v>0</v>
      </c>
      <c r="AU283" s="284">
        <v>250</v>
      </c>
      <c r="AV283" s="221">
        <v>42650</v>
      </c>
      <c r="AW283" s="221">
        <v>42650.439497685198</v>
      </c>
      <c r="AX283" s="220" t="s">
        <v>293</v>
      </c>
      <c r="AY283" s="219" t="s">
        <v>2054</v>
      </c>
    </row>
    <row r="284" spans="1:51" hidden="1" outlineLevel="1" collapsed="1">
      <c r="A284" s="227" t="s">
        <v>289</v>
      </c>
      <c r="B284" s="220" t="s">
        <v>2053</v>
      </c>
      <c r="C284" s="220" t="s">
        <v>2053</v>
      </c>
      <c r="D284" s="220" t="s">
        <v>491</v>
      </c>
      <c r="E284" s="220" t="s">
        <v>490</v>
      </c>
      <c r="F284" s="220" t="s">
        <v>489</v>
      </c>
      <c r="G284" s="220"/>
      <c r="H284" s="220" t="s">
        <v>488</v>
      </c>
      <c r="I284" s="220" t="s">
        <v>413</v>
      </c>
      <c r="J284" s="220" t="s">
        <v>297</v>
      </c>
      <c r="K284" s="220" t="s">
        <v>412</v>
      </c>
      <c r="L284" s="220" t="s">
        <v>2052</v>
      </c>
      <c r="M284" s="220" t="s">
        <v>2051</v>
      </c>
      <c r="N284" s="220" t="s">
        <v>928</v>
      </c>
      <c r="O284" s="220" t="s">
        <v>297</v>
      </c>
      <c r="P284" s="220" t="s">
        <v>412</v>
      </c>
      <c r="Q284" s="220" t="s">
        <v>2050</v>
      </c>
      <c r="R284" s="220" t="s">
        <v>2049</v>
      </c>
      <c r="S284" s="220" t="s">
        <v>1680</v>
      </c>
      <c r="T284" s="220" t="s">
        <v>1679</v>
      </c>
      <c r="U284" s="220"/>
      <c r="V284" s="220"/>
      <c r="W284" s="220"/>
      <c r="X284" s="220"/>
      <c r="Y284" s="283"/>
      <c r="Z284" s="220"/>
      <c r="AA284" s="220" t="s">
        <v>2048</v>
      </c>
      <c r="AB284" s="220"/>
      <c r="AC284" s="220"/>
      <c r="AD284" s="220"/>
      <c r="AE284" s="283"/>
      <c r="AF284" s="220"/>
      <c r="AG284" s="220"/>
      <c r="AH284" s="220" t="s">
        <v>2047</v>
      </c>
      <c r="AI284" s="220"/>
      <c r="AJ284" s="226">
        <v>1</v>
      </c>
      <c r="AK284" s="226">
        <v>0</v>
      </c>
      <c r="AL284" s="225">
        <v>1.8089999999999999</v>
      </c>
      <c r="AM284" s="220"/>
      <c r="AN284" s="225">
        <v>5833.3729999999996</v>
      </c>
      <c r="AO284" s="220"/>
      <c r="AP284" s="220"/>
      <c r="AQ284" s="283"/>
      <c r="AR284" s="283"/>
      <c r="AS284" s="283"/>
      <c r="AT284" s="223">
        <v>0</v>
      </c>
      <c r="AU284" s="284">
        <v>200</v>
      </c>
      <c r="AV284" s="221">
        <v>42653</v>
      </c>
      <c r="AW284" s="221">
        <v>42653.725953159701</v>
      </c>
      <c r="AX284" s="220" t="s">
        <v>293</v>
      </c>
      <c r="AY284" s="219" t="s">
        <v>2046</v>
      </c>
    </row>
    <row r="285" spans="1:51" hidden="1" outlineLevel="1" collapsed="1">
      <c r="A285" s="227" t="s">
        <v>289</v>
      </c>
      <c r="B285" s="220" t="s">
        <v>2045</v>
      </c>
      <c r="C285" s="220" t="s">
        <v>2045</v>
      </c>
      <c r="D285" s="220" t="s">
        <v>2044</v>
      </c>
      <c r="E285" s="220" t="s">
        <v>2043</v>
      </c>
      <c r="F285" s="220" t="s">
        <v>2042</v>
      </c>
      <c r="G285" s="220"/>
      <c r="H285" s="220" t="s">
        <v>2041</v>
      </c>
      <c r="I285" s="220" t="s">
        <v>298</v>
      </c>
      <c r="J285" s="220" t="s">
        <v>297</v>
      </c>
      <c r="K285" s="220" t="s">
        <v>296</v>
      </c>
      <c r="L285" s="220" t="s">
        <v>1788</v>
      </c>
      <c r="M285" s="220" t="s">
        <v>958</v>
      </c>
      <c r="N285" s="220" t="s">
        <v>329</v>
      </c>
      <c r="O285" s="220" t="s">
        <v>297</v>
      </c>
      <c r="P285" s="220" t="s">
        <v>397</v>
      </c>
      <c r="Q285" s="220" t="s">
        <v>957</v>
      </c>
      <c r="R285" s="220"/>
      <c r="S285" s="220" t="s">
        <v>1773</v>
      </c>
      <c r="T285" s="220" t="s">
        <v>1826</v>
      </c>
      <c r="U285" s="220"/>
      <c r="V285" s="220"/>
      <c r="W285" s="220"/>
      <c r="X285" s="220"/>
      <c r="Y285" s="283"/>
      <c r="Z285" s="220"/>
      <c r="AA285" s="220" t="s">
        <v>1825</v>
      </c>
      <c r="AB285" s="220"/>
      <c r="AC285" s="220"/>
      <c r="AD285" s="220" t="s">
        <v>1824</v>
      </c>
      <c r="AE285" s="283" t="s">
        <v>1823</v>
      </c>
      <c r="AF285" s="220"/>
      <c r="AG285" s="220"/>
      <c r="AH285" s="220" t="s">
        <v>2040</v>
      </c>
      <c r="AI285" s="220"/>
      <c r="AJ285" s="226">
        <v>1</v>
      </c>
      <c r="AK285" s="226">
        <v>0</v>
      </c>
      <c r="AL285" s="225">
        <v>1.435E-2</v>
      </c>
      <c r="AM285" s="220"/>
      <c r="AN285" s="225">
        <v>125.72344</v>
      </c>
      <c r="AO285" s="220"/>
      <c r="AP285" s="220"/>
      <c r="AQ285" s="283"/>
      <c r="AR285" s="283"/>
      <c r="AS285" s="283"/>
      <c r="AT285" s="223">
        <v>0</v>
      </c>
      <c r="AU285" s="284">
        <v>70</v>
      </c>
      <c r="AV285" s="221">
        <v>42656</v>
      </c>
      <c r="AW285" s="221">
        <v>42656.619047337997</v>
      </c>
      <c r="AX285" s="220" t="s">
        <v>293</v>
      </c>
      <c r="AY285" s="219" t="s">
        <v>2039</v>
      </c>
    </row>
    <row r="286" spans="1:51" hidden="1" outlineLevel="1" collapsed="1">
      <c r="A286" s="227" t="s">
        <v>289</v>
      </c>
      <c r="B286" s="220" t="s">
        <v>2038</v>
      </c>
      <c r="C286" s="220" t="s">
        <v>2038</v>
      </c>
      <c r="D286" s="220" t="s">
        <v>2037</v>
      </c>
      <c r="E286" s="220" t="s">
        <v>2036</v>
      </c>
      <c r="F286" s="220" t="s">
        <v>2036</v>
      </c>
      <c r="G286" s="220" t="s">
        <v>2036</v>
      </c>
      <c r="H286" s="220" t="s">
        <v>2035</v>
      </c>
      <c r="I286" s="220" t="s">
        <v>329</v>
      </c>
      <c r="J286" s="220" t="s">
        <v>297</v>
      </c>
      <c r="K286" s="220" t="s">
        <v>397</v>
      </c>
      <c r="L286" s="220" t="s">
        <v>601</v>
      </c>
      <c r="M286" s="220" t="s">
        <v>600</v>
      </c>
      <c r="N286" s="220" t="s">
        <v>329</v>
      </c>
      <c r="O286" s="220" t="s">
        <v>297</v>
      </c>
      <c r="P286" s="220" t="s">
        <v>599</v>
      </c>
      <c r="Q286" s="220" t="s">
        <v>598</v>
      </c>
      <c r="R286" s="220"/>
      <c r="S286" s="220" t="s">
        <v>1773</v>
      </c>
      <c r="T286" s="220" t="s">
        <v>1826</v>
      </c>
      <c r="U286" s="220"/>
      <c r="V286" s="220"/>
      <c r="W286" s="220"/>
      <c r="X286" s="220"/>
      <c r="Y286" s="283"/>
      <c r="Z286" s="220"/>
      <c r="AA286" s="220" t="s">
        <v>1825</v>
      </c>
      <c r="AB286" s="220"/>
      <c r="AC286" s="220"/>
      <c r="AD286" s="220" t="s">
        <v>1817</v>
      </c>
      <c r="AE286" s="283" t="s">
        <v>1823</v>
      </c>
      <c r="AF286" s="220"/>
      <c r="AG286" s="220"/>
      <c r="AH286" s="220" t="s">
        <v>2034</v>
      </c>
      <c r="AI286" s="220"/>
      <c r="AJ286" s="226">
        <v>15</v>
      </c>
      <c r="AK286" s="226">
        <v>0</v>
      </c>
      <c r="AL286" s="225">
        <v>0.30630000000000002</v>
      </c>
      <c r="AM286" s="220"/>
      <c r="AN286" s="225">
        <v>2683.4104499999999</v>
      </c>
      <c r="AO286" s="220"/>
      <c r="AP286" s="220"/>
      <c r="AQ286" s="283"/>
      <c r="AR286" s="283"/>
      <c r="AS286" s="283"/>
      <c r="AT286" s="223">
        <v>0</v>
      </c>
      <c r="AU286" s="284">
        <v>1312.5</v>
      </c>
      <c r="AV286" s="221">
        <v>42664</v>
      </c>
      <c r="AW286" s="221">
        <v>42664.519468055601</v>
      </c>
      <c r="AX286" s="220" t="s">
        <v>293</v>
      </c>
      <c r="AY286" s="219" t="s">
        <v>2033</v>
      </c>
    </row>
    <row r="287" spans="1:51" hidden="1" outlineLevel="1" collapsed="1">
      <c r="A287" s="227" t="s">
        <v>289</v>
      </c>
      <c r="B287" s="220" t="s">
        <v>2032</v>
      </c>
      <c r="C287" s="220" t="s">
        <v>2032</v>
      </c>
      <c r="D287" s="220" t="s">
        <v>2031</v>
      </c>
      <c r="E287" s="220" t="s">
        <v>2030</v>
      </c>
      <c r="F287" s="220" t="s">
        <v>2029</v>
      </c>
      <c r="G287" s="220"/>
      <c r="H287" s="220" t="s">
        <v>2028</v>
      </c>
      <c r="I287" s="220" t="s">
        <v>730</v>
      </c>
      <c r="J287" s="220" t="s">
        <v>297</v>
      </c>
      <c r="K287" s="220" t="s">
        <v>729</v>
      </c>
      <c r="L287" s="220" t="s">
        <v>601</v>
      </c>
      <c r="M287" s="220" t="s">
        <v>600</v>
      </c>
      <c r="N287" s="220" t="s">
        <v>329</v>
      </c>
      <c r="O287" s="220" t="s">
        <v>297</v>
      </c>
      <c r="P287" s="220" t="s">
        <v>599</v>
      </c>
      <c r="Q287" s="220" t="s">
        <v>598</v>
      </c>
      <c r="R287" s="220"/>
      <c r="S287" s="220" t="s">
        <v>1773</v>
      </c>
      <c r="T287" s="220" t="s">
        <v>1826</v>
      </c>
      <c r="U287" s="220"/>
      <c r="V287" s="220"/>
      <c r="W287" s="220"/>
      <c r="X287" s="220"/>
      <c r="Y287" s="283"/>
      <c r="Z287" s="220"/>
      <c r="AA287" s="220" t="s">
        <v>1825</v>
      </c>
      <c r="AB287" s="220"/>
      <c r="AC287" s="220"/>
      <c r="AD287" s="220" t="s">
        <v>1817</v>
      </c>
      <c r="AE287" s="283" t="s">
        <v>1823</v>
      </c>
      <c r="AF287" s="220"/>
      <c r="AG287" s="220"/>
      <c r="AH287" s="220" t="s">
        <v>1816</v>
      </c>
      <c r="AI287" s="220"/>
      <c r="AJ287" s="226">
        <v>1</v>
      </c>
      <c r="AK287" s="226">
        <v>0</v>
      </c>
      <c r="AL287" s="225">
        <v>2.0420000000000001E-2</v>
      </c>
      <c r="AM287" s="220"/>
      <c r="AN287" s="225">
        <v>178.89402999999999</v>
      </c>
      <c r="AO287" s="220"/>
      <c r="AP287" s="220"/>
      <c r="AQ287" s="283"/>
      <c r="AR287" s="283"/>
      <c r="AS287" s="283"/>
      <c r="AT287" s="223">
        <v>0</v>
      </c>
      <c r="AU287" s="284">
        <v>87.5</v>
      </c>
      <c r="AV287" s="221">
        <v>42667</v>
      </c>
      <c r="AW287" s="221">
        <v>42667.617835995399</v>
      </c>
      <c r="AX287" s="220" t="s">
        <v>293</v>
      </c>
      <c r="AY287" s="219" t="s">
        <v>2027</v>
      </c>
    </row>
    <row r="288" spans="1:51" hidden="1" outlineLevel="1" collapsed="1">
      <c r="A288" s="227" t="s">
        <v>289</v>
      </c>
      <c r="B288" s="220" t="s">
        <v>2026</v>
      </c>
      <c r="C288" s="220" t="s">
        <v>2026</v>
      </c>
      <c r="D288" s="220" t="s">
        <v>2025</v>
      </c>
      <c r="E288" s="220" t="s">
        <v>2024</v>
      </c>
      <c r="F288" s="220" t="s">
        <v>2023</v>
      </c>
      <c r="G288" s="220"/>
      <c r="H288" s="220" t="s">
        <v>2022</v>
      </c>
      <c r="I288" s="220" t="s">
        <v>739</v>
      </c>
      <c r="J288" s="220" t="s">
        <v>297</v>
      </c>
      <c r="K288" s="220" t="s">
        <v>738</v>
      </c>
      <c r="L288" s="220" t="s">
        <v>1788</v>
      </c>
      <c r="M288" s="220" t="s">
        <v>958</v>
      </c>
      <c r="N288" s="220" t="s">
        <v>329</v>
      </c>
      <c r="O288" s="220" t="s">
        <v>297</v>
      </c>
      <c r="P288" s="220" t="s">
        <v>397</v>
      </c>
      <c r="Q288" s="220" t="s">
        <v>957</v>
      </c>
      <c r="R288" s="220"/>
      <c r="S288" s="220" t="s">
        <v>1773</v>
      </c>
      <c r="T288" s="220" t="s">
        <v>1826</v>
      </c>
      <c r="U288" s="220"/>
      <c r="V288" s="220"/>
      <c r="W288" s="220"/>
      <c r="X288" s="220"/>
      <c r="Y288" s="283"/>
      <c r="Z288" s="220"/>
      <c r="AA288" s="220" t="s">
        <v>1825</v>
      </c>
      <c r="AB288" s="220"/>
      <c r="AC288" s="220"/>
      <c r="AD288" s="220" t="s">
        <v>1824</v>
      </c>
      <c r="AE288" s="283" t="s">
        <v>1823</v>
      </c>
      <c r="AF288" s="220"/>
      <c r="AG288" s="220"/>
      <c r="AH288" s="220" t="s">
        <v>1822</v>
      </c>
      <c r="AI288" s="220"/>
      <c r="AJ288" s="226">
        <v>1</v>
      </c>
      <c r="AK288" s="226">
        <v>0</v>
      </c>
      <c r="AL288" s="225">
        <v>1.435E-2</v>
      </c>
      <c r="AM288" s="220"/>
      <c r="AN288" s="225">
        <v>125.72344</v>
      </c>
      <c r="AO288" s="220"/>
      <c r="AP288" s="220"/>
      <c r="AQ288" s="283"/>
      <c r="AR288" s="283"/>
      <c r="AS288" s="283"/>
      <c r="AT288" s="223">
        <v>0</v>
      </c>
      <c r="AU288" s="284">
        <v>87.5</v>
      </c>
      <c r="AV288" s="221">
        <v>42669</v>
      </c>
      <c r="AW288" s="221">
        <v>42669.763163229203</v>
      </c>
      <c r="AX288" s="220" t="s">
        <v>293</v>
      </c>
      <c r="AY288" s="219" t="s">
        <v>2021</v>
      </c>
    </row>
    <row r="289" spans="1:51" ht="20.399999999999999" hidden="1" outlineLevel="1" collapsed="1">
      <c r="A289" s="227" t="s">
        <v>289</v>
      </c>
      <c r="B289" s="220" t="s">
        <v>2020</v>
      </c>
      <c r="C289" s="220" t="s">
        <v>2020</v>
      </c>
      <c r="D289" s="220" t="s">
        <v>2019</v>
      </c>
      <c r="E289" s="220" t="s">
        <v>2018</v>
      </c>
      <c r="F289" s="220" t="s">
        <v>2017</v>
      </c>
      <c r="G289" s="220"/>
      <c r="H289" s="220" t="s">
        <v>2016</v>
      </c>
      <c r="I289" s="220" t="s">
        <v>2015</v>
      </c>
      <c r="J289" s="220" t="s">
        <v>297</v>
      </c>
      <c r="K289" s="220" t="s">
        <v>2014</v>
      </c>
      <c r="L289" s="220" t="s">
        <v>601</v>
      </c>
      <c r="M289" s="220" t="s">
        <v>600</v>
      </c>
      <c r="N289" s="220" t="s">
        <v>329</v>
      </c>
      <c r="O289" s="220" t="s">
        <v>297</v>
      </c>
      <c r="P289" s="220" t="s">
        <v>599</v>
      </c>
      <c r="Q289" s="220" t="s">
        <v>598</v>
      </c>
      <c r="R289" s="220"/>
      <c r="S289" s="220" t="s">
        <v>1706</v>
      </c>
      <c r="T289" s="220" t="s">
        <v>1705</v>
      </c>
      <c r="U289" s="220"/>
      <c r="V289" s="220"/>
      <c r="W289" s="220"/>
      <c r="X289" s="220"/>
      <c r="Y289" s="283"/>
      <c r="Z289" s="220"/>
      <c r="AA289" s="220"/>
      <c r="AB289" s="220"/>
      <c r="AC289" s="220"/>
      <c r="AD289" s="220"/>
      <c r="AE289" s="283"/>
      <c r="AF289" s="220"/>
      <c r="AG289" s="220"/>
      <c r="AH289" s="220"/>
      <c r="AI289" s="220"/>
      <c r="AJ289" s="226">
        <v>1</v>
      </c>
      <c r="AK289" s="226">
        <v>0</v>
      </c>
      <c r="AL289" s="225">
        <v>2.5099999999999998</v>
      </c>
      <c r="AM289" s="220"/>
      <c r="AN289" s="225">
        <v>4385.0349999999999</v>
      </c>
      <c r="AO289" s="220"/>
      <c r="AP289" s="220"/>
      <c r="AQ289" s="283"/>
      <c r="AR289" s="283"/>
      <c r="AS289" s="283"/>
      <c r="AT289" s="223">
        <v>0</v>
      </c>
      <c r="AU289" s="284">
        <v>800</v>
      </c>
      <c r="AV289" s="221">
        <v>42675</v>
      </c>
      <c r="AW289" s="221">
        <v>42674.537366550903</v>
      </c>
      <c r="AX289" s="220" t="s">
        <v>293</v>
      </c>
      <c r="AY289" s="219" t="s">
        <v>2013</v>
      </c>
    </row>
    <row r="290" spans="1:51" hidden="1" outlineLevel="1" collapsed="1">
      <c r="A290" s="227" t="s">
        <v>289</v>
      </c>
      <c r="B290" s="220" t="s">
        <v>2012</v>
      </c>
      <c r="C290" s="220" t="s">
        <v>2012</v>
      </c>
      <c r="D290" s="220" t="s">
        <v>2011</v>
      </c>
      <c r="E290" s="220" t="s">
        <v>2010</v>
      </c>
      <c r="F290" s="220" t="s">
        <v>2009</v>
      </c>
      <c r="G290" s="220"/>
      <c r="H290" s="220" t="s">
        <v>2008</v>
      </c>
      <c r="I290" s="220" t="s">
        <v>320</v>
      </c>
      <c r="J290" s="220" t="s">
        <v>297</v>
      </c>
      <c r="K290" s="220" t="s">
        <v>319</v>
      </c>
      <c r="L290" s="220" t="s">
        <v>1871</v>
      </c>
      <c r="M290" s="220" t="s">
        <v>1870</v>
      </c>
      <c r="N290" s="220" t="s">
        <v>320</v>
      </c>
      <c r="O290" s="220" t="s">
        <v>297</v>
      </c>
      <c r="P290" s="220" t="s">
        <v>319</v>
      </c>
      <c r="Q290" s="220" t="s">
        <v>1869</v>
      </c>
      <c r="R290" s="220" t="s">
        <v>1868</v>
      </c>
      <c r="S290" s="220" t="s">
        <v>1773</v>
      </c>
      <c r="T290" s="220" t="s">
        <v>1826</v>
      </c>
      <c r="U290" s="220"/>
      <c r="V290" s="220"/>
      <c r="W290" s="220"/>
      <c r="X290" s="220"/>
      <c r="Y290" s="283"/>
      <c r="Z290" s="220"/>
      <c r="AA290" s="220" t="s">
        <v>1825</v>
      </c>
      <c r="AB290" s="220"/>
      <c r="AC290" s="220"/>
      <c r="AD290" s="220" t="s">
        <v>1923</v>
      </c>
      <c r="AE290" s="283" t="s">
        <v>1823</v>
      </c>
      <c r="AF290" s="220"/>
      <c r="AG290" s="220"/>
      <c r="AH290" s="220" t="s">
        <v>2007</v>
      </c>
      <c r="AI290" s="220"/>
      <c r="AJ290" s="226">
        <v>1</v>
      </c>
      <c r="AK290" s="226">
        <v>0</v>
      </c>
      <c r="AL290" s="225">
        <v>8.4499999999999992E-3</v>
      </c>
      <c r="AM290" s="220"/>
      <c r="AN290" s="225">
        <v>74.061549999999997</v>
      </c>
      <c r="AO290" s="220"/>
      <c r="AP290" s="220"/>
      <c r="AQ290" s="283"/>
      <c r="AR290" s="283"/>
      <c r="AS290" s="283"/>
      <c r="AT290" s="223">
        <v>0</v>
      </c>
      <c r="AU290" s="284">
        <v>52.5</v>
      </c>
      <c r="AV290" s="221">
        <v>42685</v>
      </c>
      <c r="AW290" s="221">
        <v>42685.529464502302</v>
      </c>
      <c r="AX290" s="220" t="s">
        <v>293</v>
      </c>
      <c r="AY290" s="219" t="s">
        <v>2006</v>
      </c>
    </row>
    <row r="291" spans="1:51" ht="20.399999999999999" hidden="1" outlineLevel="1" collapsed="1">
      <c r="A291" s="227" t="s">
        <v>289</v>
      </c>
      <c r="B291" s="220" t="s">
        <v>2005</v>
      </c>
      <c r="C291" s="220" t="s">
        <v>2005</v>
      </c>
      <c r="D291" s="220" t="s">
        <v>2004</v>
      </c>
      <c r="E291" s="220" t="s">
        <v>2003</v>
      </c>
      <c r="F291" s="220" t="s">
        <v>2002</v>
      </c>
      <c r="G291" s="220"/>
      <c r="H291" s="220" t="s">
        <v>2001</v>
      </c>
      <c r="I291" s="220" t="s">
        <v>2000</v>
      </c>
      <c r="J291" s="220" t="s">
        <v>297</v>
      </c>
      <c r="K291" s="220" t="s">
        <v>1999</v>
      </c>
      <c r="L291" s="220" t="s">
        <v>601</v>
      </c>
      <c r="M291" s="220" t="s">
        <v>600</v>
      </c>
      <c r="N291" s="220" t="s">
        <v>329</v>
      </c>
      <c r="O291" s="220" t="s">
        <v>297</v>
      </c>
      <c r="P291" s="220" t="s">
        <v>599</v>
      </c>
      <c r="Q291" s="220" t="s">
        <v>598</v>
      </c>
      <c r="R291" s="220"/>
      <c r="S291" s="220" t="s">
        <v>1680</v>
      </c>
      <c r="T291" s="220" t="s">
        <v>1679</v>
      </c>
      <c r="U291" s="220"/>
      <c r="V291" s="220"/>
      <c r="W291" s="220"/>
      <c r="X291" s="220"/>
      <c r="Y291" s="283"/>
      <c r="Z291" s="220"/>
      <c r="AA291" s="220" t="s">
        <v>1998</v>
      </c>
      <c r="AB291" s="220"/>
      <c r="AC291" s="220"/>
      <c r="AD291" s="220"/>
      <c r="AE291" s="283"/>
      <c r="AF291" s="220"/>
      <c r="AG291" s="220"/>
      <c r="AH291" s="220" t="s">
        <v>1997</v>
      </c>
      <c r="AI291" s="220"/>
      <c r="AJ291" s="226">
        <v>2</v>
      </c>
      <c r="AK291" s="226">
        <v>0</v>
      </c>
      <c r="AL291" s="225">
        <v>1.41</v>
      </c>
      <c r="AM291" s="220"/>
      <c r="AN291" s="225">
        <v>3709.85</v>
      </c>
      <c r="AO291" s="220"/>
      <c r="AP291" s="220"/>
      <c r="AQ291" s="283"/>
      <c r="AR291" s="283"/>
      <c r="AS291" s="283"/>
      <c r="AT291" s="223">
        <v>0</v>
      </c>
      <c r="AU291" s="284">
        <v>150</v>
      </c>
      <c r="AV291" s="221">
        <v>42774</v>
      </c>
      <c r="AW291" s="221">
        <v>42689.713485300897</v>
      </c>
      <c r="AX291" s="220" t="s">
        <v>293</v>
      </c>
      <c r="AY291" s="219" t="s">
        <v>1996</v>
      </c>
    </row>
    <row r="292" spans="1:51" hidden="1" outlineLevel="1" collapsed="1">
      <c r="A292" s="227" t="s">
        <v>289</v>
      </c>
      <c r="B292" s="220" t="s">
        <v>1995</v>
      </c>
      <c r="C292" s="220" t="s">
        <v>1995</v>
      </c>
      <c r="D292" s="220" t="s">
        <v>1994</v>
      </c>
      <c r="E292" s="220" t="s">
        <v>1993</v>
      </c>
      <c r="F292" s="220" t="s">
        <v>1992</v>
      </c>
      <c r="G292" s="220"/>
      <c r="H292" s="220" t="s">
        <v>1991</v>
      </c>
      <c r="I292" s="220" t="s">
        <v>329</v>
      </c>
      <c r="J292" s="220" t="s">
        <v>297</v>
      </c>
      <c r="K292" s="220" t="s">
        <v>328</v>
      </c>
      <c r="L292" s="220" t="s">
        <v>1788</v>
      </c>
      <c r="M292" s="220" t="s">
        <v>958</v>
      </c>
      <c r="N292" s="220" t="s">
        <v>329</v>
      </c>
      <c r="O292" s="220" t="s">
        <v>297</v>
      </c>
      <c r="P292" s="220" t="s">
        <v>397</v>
      </c>
      <c r="Q292" s="220" t="s">
        <v>957</v>
      </c>
      <c r="R292" s="220"/>
      <c r="S292" s="220" t="s">
        <v>1773</v>
      </c>
      <c r="T292" s="220" t="s">
        <v>1826</v>
      </c>
      <c r="U292" s="220"/>
      <c r="V292" s="220"/>
      <c r="W292" s="220"/>
      <c r="X292" s="220"/>
      <c r="Y292" s="283"/>
      <c r="Z292" s="220"/>
      <c r="AA292" s="220" t="s">
        <v>1825</v>
      </c>
      <c r="AB292" s="220"/>
      <c r="AC292" s="220"/>
      <c r="AD292" s="220" t="s">
        <v>1824</v>
      </c>
      <c r="AE292" s="283" t="s">
        <v>1823</v>
      </c>
      <c r="AF292" s="220"/>
      <c r="AG292" s="220"/>
      <c r="AH292" s="220" t="s">
        <v>1990</v>
      </c>
      <c r="AI292" s="220"/>
      <c r="AJ292" s="226">
        <v>1</v>
      </c>
      <c r="AK292" s="226">
        <v>0</v>
      </c>
      <c r="AL292" s="225">
        <v>1.435E-2</v>
      </c>
      <c r="AM292" s="220"/>
      <c r="AN292" s="225">
        <v>125.72344</v>
      </c>
      <c r="AO292" s="220"/>
      <c r="AP292" s="220"/>
      <c r="AQ292" s="283"/>
      <c r="AR292" s="283"/>
      <c r="AS292" s="283"/>
      <c r="AT292" s="223">
        <v>0</v>
      </c>
      <c r="AU292" s="284">
        <v>70</v>
      </c>
      <c r="AV292" s="221">
        <v>42774</v>
      </c>
      <c r="AW292" s="221">
        <v>42689.723153090301</v>
      </c>
      <c r="AX292" s="220" t="s">
        <v>293</v>
      </c>
      <c r="AY292" s="219" t="s">
        <v>1989</v>
      </c>
    </row>
    <row r="293" spans="1:51" hidden="1" outlineLevel="1" collapsed="1">
      <c r="A293" s="227" t="s">
        <v>289</v>
      </c>
      <c r="B293" s="220" t="s">
        <v>1988</v>
      </c>
      <c r="C293" s="220" t="s">
        <v>1988</v>
      </c>
      <c r="D293" s="220" t="s">
        <v>1987</v>
      </c>
      <c r="E293" s="220" t="s">
        <v>1986</v>
      </c>
      <c r="F293" s="220" t="s">
        <v>1985</v>
      </c>
      <c r="G293" s="220"/>
      <c r="H293" s="220" t="s">
        <v>1984</v>
      </c>
      <c r="I293" s="220" t="s">
        <v>320</v>
      </c>
      <c r="J293" s="220" t="s">
        <v>297</v>
      </c>
      <c r="K293" s="220" t="s">
        <v>319</v>
      </c>
      <c r="L293" s="220" t="s">
        <v>1736</v>
      </c>
      <c r="M293" s="220" t="s">
        <v>1735</v>
      </c>
      <c r="N293" s="220" t="s">
        <v>320</v>
      </c>
      <c r="O293" s="220" t="s">
        <v>297</v>
      </c>
      <c r="P293" s="220" t="s">
        <v>319</v>
      </c>
      <c r="Q293" s="220" t="s">
        <v>1734</v>
      </c>
      <c r="R293" s="220"/>
      <c r="S293" s="220" t="s">
        <v>1680</v>
      </c>
      <c r="T293" s="220" t="s">
        <v>1679</v>
      </c>
      <c r="U293" s="220"/>
      <c r="V293" s="220"/>
      <c r="W293" s="220"/>
      <c r="X293" s="220"/>
      <c r="Y293" s="283"/>
      <c r="Z293" s="220"/>
      <c r="AA293" s="220" t="s">
        <v>1979</v>
      </c>
      <c r="AB293" s="220"/>
      <c r="AC293" s="220"/>
      <c r="AD293" s="220"/>
      <c r="AE293" s="283"/>
      <c r="AF293" s="220"/>
      <c r="AG293" s="220"/>
      <c r="AH293" s="220" t="s">
        <v>1968</v>
      </c>
      <c r="AI293" s="220"/>
      <c r="AJ293" s="226">
        <v>1</v>
      </c>
      <c r="AK293" s="226">
        <v>0</v>
      </c>
      <c r="AL293" s="225">
        <v>1.05</v>
      </c>
      <c r="AM293" s="220"/>
      <c r="AN293" s="225">
        <v>2502.2289999999998</v>
      </c>
      <c r="AO293" s="220"/>
      <c r="AP293" s="220"/>
      <c r="AQ293" s="283"/>
      <c r="AR293" s="283"/>
      <c r="AS293" s="283"/>
      <c r="AT293" s="223">
        <v>0</v>
      </c>
      <c r="AU293" s="284">
        <v>100</v>
      </c>
      <c r="AV293" s="221">
        <v>42691</v>
      </c>
      <c r="AW293" s="221">
        <v>42691.451664733802</v>
      </c>
      <c r="AX293" s="220" t="s">
        <v>293</v>
      </c>
      <c r="AY293" s="219" t="s">
        <v>1983</v>
      </c>
    </row>
    <row r="294" spans="1:51" hidden="1" outlineLevel="1" collapsed="1">
      <c r="A294" s="227" t="s">
        <v>289</v>
      </c>
      <c r="B294" s="220" t="s">
        <v>1982</v>
      </c>
      <c r="C294" s="220" t="s">
        <v>1982</v>
      </c>
      <c r="D294" s="220" t="s">
        <v>1981</v>
      </c>
      <c r="E294" s="220" t="s">
        <v>1101</v>
      </c>
      <c r="F294" s="220" t="s">
        <v>1396</v>
      </c>
      <c r="G294" s="220"/>
      <c r="H294" s="220" t="s">
        <v>1980</v>
      </c>
      <c r="I294" s="220" t="s">
        <v>730</v>
      </c>
      <c r="J294" s="220" t="s">
        <v>297</v>
      </c>
      <c r="K294" s="220" t="s">
        <v>729</v>
      </c>
      <c r="L294" s="220" t="s">
        <v>1736</v>
      </c>
      <c r="M294" s="220" t="s">
        <v>1735</v>
      </c>
      <c r="N294" s="220" t="s">
        <v>320</v>
      </c>
      <c r="O294" s="220" t="s">
        <v>297</v>
      </c>
      <c r="P294" s="220" t="s">
        <v>319</v>
      </c>
      <c r="Q294" s="220" t="s">
        <v>1734</v>
      </c>
      <c r="R294" s="220"/>
      <c r="S294" s="220" t="s">
        <v>1680</v>
      </c>
      <c r="T294" s="220" t="s">
        <v>1679</v>
      </c>
      <c r="U294" s="220"/>
      <c r="V294" s="220"/>
      <c r="W294" s="220"/>
      <c r="X294" s="220"/>
      <c r="Y294" s="283"/>
      <c r="Z294" s="220"/>
      <c r="AA294" s="220" t="s">
        <v>1979</v>
      </c>
      <c r="AB294" s="220"/>
      <c r="AC294" s="220"/>
      <c r="AD294" s="220"/>
      <c r="AE294" s="283"/>
      <c r="AF294" s="220"/>
      <c r="AG294" s="220"/>
      <c r="AH294" s="220" t="s">
        <v>1968</v>
      </c>
      <c r="AI294" s="220"/>
      <c r="AJ294" s="226">
        <v>1</v>
      </c>
      <c r="AK294" s="226">
        <v>0</v>
      </c>
      <c r="AL294" s="225">
        <v>1.05</v>
      </c>
      <c r="AM294" s="220"/>
      <c r="AN294" s="225">
        <v>2502.2289999999998</v>
      </c>
      <c r="AO294" s="220"/>
      <c r="AP294" s="220"/>
      <c r="AQ294" s="283"/>
      <c r="AR294" s="283"/>
      <c r="AS294" s="283"/>
      <c r="AT294" s="223">
        <v>0</v>
      </c>
      <c r="AU294" s="284">
        <v>100</v>
      </c>
      <c r="AV294" s="221">
        <v>42695</v>
      </c>
      <c r="AW294" s="221">
        <v>42695.759669131898</v>
      </c>
      <c r="AX294" s="220" t="s">
        <v>293</v>
      </c>
      <c r="AY294" s="219" t="s">
        <v>1978</v>
      </c>
    </row>
    <row r="295" spans="1:51" ht="20.399999999999999" hidden="1" outlineLevel="1" collapsed="1">
      <c r="A295" s="227" t="s">
        <v>289</v>
      </c>
      <c r="B295" s="220" t="s">
        <v>1977</v>
      </c>
      <c r="C295" s="220" t="s">
        <v>1977</v>
      </c>
      <c r="D295" s="220" t="s">
        <v>1794</v>
      </c>
      <c r="E295" s="220" t="s">
        <v>1793</v>
      </c>
      <c r="F295" s="220" t="s">
        <v>1792</v>
      </c>
      <c r="G295" s="220" t="s">
        <v>1976</v>
      </c>
      <c r="H295" s="220" t="s">
        <v>1790</v>
      </c>
      <c r="I295" s="220" t="s">
        <v>1789</v>
      </c>
      <c r="J295" s="220" t="s">
        <v>297</v>
      </c>
      <c r="K295" s="220" t="s">
        <v>412</v>
      </c>
      <c r="L295" s="220" t="s">
        <v>601</v>
      </c>
      <c r="M295" s="220" t="s">
        <v>600</v>
      </c>
      <c r="N295" s="220" t="s">
        <v>329</v>
      </c>
      <c r="O295" s="220" t="s">
        <v>297</v>
      </c>
      <c r="P295" s="220" t="s">
        <v>599</v>
      </c>
      <c r="Q295" s="220" t="s">
        <v>598</v>
      </c>
      <c r="R295" s="220"/>
      <c r="S295" s="220" t="s">
        <v>1706</v>
      </c>
      <c r="T295" s="220" t="s">
        <v>1705</v>
      </c>
      <c r="U295" s="220"/>
      <c r="V295" s="220"/>
      <c r="W295" s="220"/>
      <c r="X295" s="220"/>
      <c r="Y295" s="283"/>
      <c r="Z295" s="220"/>
      <c r="AA295" s="220"/>
      <c r="AB295" s="220"/>
      <c r="AC295" s="220"/>
      <c r="AD295" s="220"/>
      <c r="AE295" s="283"/>
      <c r="AF295" s="220"/>
      <c r="AG295" s="220"/>
      <c r="AH295" s="220"/>
      <c r="AI295" s="220"/>
      <c r="AJ295" s="226">
        <v>1</v>
      </c>
      <c r="AK295" s="226">
        <v>0</v>
      </c>
      <c r="AL295" s="225">
        <v>2.8969999999999998</v>
      </c>
      <c r="AM295" s="220"/>
      <c r="AN295" s="225">
        <v>5654.0929999999998</v>
      </c>
      <c r="AO295" s="220"/>
      <c r="AP295" s="220"/>
      <c r="AQ295" s="283"/>
      <c r="AR295" s="283"/>
      <c r="AS295" s="283"/>
      <c r="AT295" s="223">
        <v>0</v>
      </c>
      <c r="AU295" s="284">
        <v>800</v>
      </c>
      <c r="AV295" s="221">
        <v>42697</v>
      </c>
      <c r="AW295" s="221">
        <v>42697.923040891197</v>
      </c>
      <c r="AX295" s="220" t="s">
        <v>293</v>
      </c>
      <c r="AY295" s="219" t="s">
        <v>1975</v>
      </c>
    </row>
    <row r="296" spans="1:51" hidden="1" outlineLevel="1" collapsed="1">
      <c r="A296" s="227" t="s">
        <v>289</v>
      </c>
      <c r="B296" s="220" t="s">
        <v>1974</v>
      </c>
      <c r="C296" s="220" t="s">
        <v>1974</v>
      </c>
      <c r="D296" s="220" t="s">
        <v>1973</v>
      </c>
      <c r="E296" s="220" t="s">
        <v>1972</v>
      </c>
      <c r="F296" s="220" t="s">
        <v>1971</v>
      </c>
      <c r="G296" s="220"/>
      <c r="H296" s="220" t="s">
        <v>1970</v>
      </c>
      <c r="I296" s="220" t="s">
        <v>320</v>
      </c>
      <c r="J296" s="220" t="s">
        <v>297</v>
      </c>
      <c r="K296" s="220" t="s">
        <v>319</v>
      </c>
      <c r="L296" s="220" t="s">
        <v>1736</v>
      </c>
      <c r="M296" s="220" t="s">
        <v>1735</v>
      </c>
      <c r="N296" s="220" t="s">
        <v>320</v>
      </c>
      <c r="O296" s="220" t="s">
        <v>297</v>
      </c>
      <c r="P296" s="220" t="s">
        <v>319</v>
      </c>
      <c r="Q296" s="220" t="s">
        <v>1734</v>
      </c>
      <c r="R296" s="220"/>
      <c r="S296" s="220" t="s">
        <v>1680</v>
      </c>
      <c r="T296" s="220" t="s">
        <v>1679</v>
      </c>
      <c r="U296" s="220"/>
      <c r="V296" s="220"/>
      <c r="W296" s="220"/>
      <c r="X296" s="220"/>
      <c r="Y296" s="283"/>
      <c r="Z296" s="220"/>
      <c r="AA296" s="220" t="s">
        <v>1969</v>
      </c>
      <c r="AB296" s="220"/>
      <c r="AC296" s="220"/>
      <c r="AD296" s="220"/>
      <c r="AE296" s="283"/>
      <c r="AF296" s="220"/>
      <c r="AG296" s="220"/>
      <c r="AH296" s="220" t="s">
        <v>1968</v>
      </c>
      <c r="AI296" s="220"/>
      <c r="AJ296" s="226">
        <v>1</v>
      </c>
      <c r="AK296" s="226">
        <v>0</v>
      </c>
      <c r="AL296" s="225">
        <v>0.64400000000000002</v>
      </c>
      <c r="AM296" s="220"/>
      <c r="AN296" s="225">
        <v>1535.4590000000001</v>
      </c>
      <c r="AO296" s="220"/>
      <c r="AP296" s="220"/>
      <c r="AQ296" s="283"/>
      <c r="AR296" s="283"/>
      <c r="AS296" s="283"/>
      <c r="AT296" s="223">
        <v>0</v>
      </c>
      <c r="AU296" s="284">
        <v>100</v>
      </c>
      <c r="AV296" s="221">
        <v>42702</v>
      </c>
      <c r="AW296" s="221">
        <v>42702.4599105671</v>
      </c>
      <c r="AX296" s="220" t="s">
        <v>293</v>
      </c>
      <c r="AY296" s="219" t="s">
        <v>1967</v>
      </c>
    </row>
    <row r="297" spans="1:51" hidden="1" outlineLevel="1" collapsed="1">
      <c r="A297" s="227" t="s">
        <v>289</v>
      </c>
      <c r="B297" s="220" t="s">
        <v>1963</v>
      </c>
      <c r="C297" s="220" t="s">
        <v>1963</v>
      </c>
      <c r="D297" s="220" t="s">
        <v>1962</v>
      </c>
      <c r="E297" s="220" t="s">
        <v>1961</v>
      </c>
      <c r="F297" s="220" t="s">
        <v>1960</v>
      </c>
      <c r="G297" s="220"/>
      <c r="H297" s="220" t="s">
        <v>1959</v>
      </c>
      <c r="I297" s="220" t="s">
        <v>320</v>
      </c>
      <c r="J297" s="220" t="s">
        <v>297</v>
      </c>
      <c r="K297" s="220" t="s">
        <v>319</v>
      </c>
      <c r="L297" s="220" t="s">
        <v>1736</v>
      </c>
      <c r="M297" s="220" t="s">
        <v>1735</v>
      </c>
      <c r="N297" s="220" t="s">
        <v>320</v>
      </c>
      <c r="O297" s="220" t="s">
        <v>297</v>
      </c>
      <c r="P297" s="220" t="s">
        <v>319</v>
      </c>
      <c r="Q297" s="220" t="s">
        <v>1734</v>
      </c>
      <c r="R297" s="220"/>
      <c r="S297" s="220" t="s">
        <v>1680</v>
      </c>
      <c r="T297" s="220" t="s">
        <v>1679</v>
      </c>
      <c r="U297" s="220"/>
      <c r="V297" s="220"/>
      <c r="W297" s="220"/>
      <c r="X297" s="220"/>
      <c r="Y297" s="283"/>
      <c r="Z297" s="220"/>
      <c r="AA297" s="220" t="s">
        <v>1966</v>
      </c>
      <c r="AB297" s="220"/>
      <c r="AC297" s="220"/>
      <c r="AD297" s="220"/>
      <c r="AE297" s="283"/>
      <c r="AF297" s="220"/>
      <c r="AG297" s="220"/>
      <c r="AH297" s="220" t="s">
        <v>1965</v>
      </c>
      <c r="AI297" s="220"/>
      <c r="AJ297" s="226">
        <v>1</v>
      </c>
      <c r="AK297" s="226">
        <v>0</v>
      </c>
      <c r="AL297" s="225">
        <v>1.3720000000000001</v>
      </c>
      <c r="AM297" s="220"/>
      <c r="AN297" s="225">
        <v>3635.1759999999999</v>
      </c>
      <c r="AO297" s="220"/>
      <c r="AP297" s="220"/>
      <c r="AQ297" s="283"/>
      <c r="AR297" s="283"/>
      <c r="AS297" s="283"/>
      <c r="AT297" s="223">
        <v>0</v>
      </c>
      <c r="AU297" s="284">
        <v>150</v>
      </c>
      <c r="AV297" s="221">
        <v>42703</v>
      </c>
      <c r="AW297" s="221">
        <v>42703.5340418634</v>
      </c>
      <c r="AX297" s="220" t="s">
        <v>293</v>
      </c>
      <c r="AY297" s="219" t="s">
        <v>1964</v>
      </c>
    </row>
    <row r="298" spans="1:51" hidden="1" outlineLevel="1" collapsed="1">
      <c r="A298" s="227" t="s">
        <v>289</v>
      </c>
      <c r="B298" s="220" t="s">
        <v>1963</v>
      </c>
      <c r="C298" s="220" t="s">
        <v>1963</v>
      </c>
      <c r="D298" s="220" t="s">
        <v>1962</v>
      </c>
      <c r="E298" s="220" t="s">
        <v>1961</v>
      </c>
      <c r="F298" s="220" t="s">
        <v>1960</v>
      </c>
      <c r="G298" s="220"/>
      <c r="H298" s="220" t="s">
        <v>1959</v>
      </c>
      <c r="I298" s="220" t="s">
        <v>320</v>
      </c>
      <c r="J298" s="220" t="s">
        <v>297</v>
      </c>
      <c r="K298" s="220" t="s">
        <v>319</v>
      </c>
      <c r="L298" s="220" t="s">
        <v>1736</v>
      </c>
      <c r="M298" s="220" t="s">
        <v>1735</v>
      </c>
      <c r="N298" s="220" t="s">
        <v>320</v>
      </c>
      <c r="O298" s="220" t="s">
        <v>297</v>
      </c>
      <c r="P298" s="220" t="s">
        <v>319</v>
      </c>
      <c r="Q298" s="220" t="s">
        <v>1734</v>
      </c>
      <c r="R298" s="220"/>
      <c r="S298" s="220" t="s">
        <v>1680</v>
      </c>
      <c r="T298" s="220" t="s">
        <v>1679</v>
      </c>
      <c r="U298" s="220"/>
      <c r="V298" s="220"/>
      <c r="W298" s="220"/>
      <c r="X298" s="220"/>
      <c r="Y298" s="283"/>
      <c r="Z298" s="220"/>
      <c r="AA298" s="220" t="s">
        <v>1958</v>
      </c>
      <c r="AB298" s="220"/>
      <c r="AC298" s="220"/>
      <c r="AD298" s="220"/>
      <c r="AE298" s="283"/>
      <c r="AF298" s="220"/>
      <c r="AG298" s="220"/>
      <c r="AH298" s="220" t="s">
        <v>1957</v>
      </c>
      <c r="AI298" s="220"/>
      <c r="AJ298" s="226">
        <v>1</v>
      </c>
      <c r="AK298" s="226">
        <v>0</v>
      </c>
      <c r="AL298" s="225">
        <v>0.96399999999999997</v>
      </c>
      <c r="AM298" s="220"/>
      <c r="AN298" s="225">
        <v>2549.0529999999999</v>
      </c>
      <c r="AO298" s="220"/>
      <c r="AP298" s="220"/>
      <c r="AQ298" s="283"/>
      <c r="AR298" s="283"/>
      <c r="AS298" s="283"/>
      <c r="AT298" s="223">
        <v>0</v>
      </c>
      <c r="AU298" s="284">
        <v>100</v>
      </c>
      <c r="AV298" s="221">
        <v>42703</v>
      </c>
      <c r="AW298" s="221">
        <v>42703.5340418634</v>
      </c>
      <c r="AX298" s="220" t="s">
        <v>293</v>
      </c>
      <c r="AY298" s="219" t="s">
        <v>1956</v>
      </c>
    </row>
    <row r="299" spans="1:51" hidden="1" outlineLevel="1" collapsed="1">
      <c r="A299" s="227" t="s">
        <v>289</v>
      </c>
      <c r="B299" s="220" t="s">
        <v>1955</v>
      </c>
      <c r="C299" s="220" t="s">
        <v>1955</v>
      </c>
      <c r="D299" s="220" t="s">
        <v>1954</v>
      </c>
      <c r="E299" s="220" t="s">
        <v>1953</v>
      </c>
      <c r="F299" s="220" t="s">
        <v>1952</v>
      </c>
      <c r="G299" s="220"/>
      <c r="H299" s="220" t="s">
        <v>1951</v>
      </c>
      <c r="I299" s="220" t="s">
        <v>308</v>
      </c>
      <c r="J299" s="220" t="s">
        <v>297</v>
      </c>
      <c r="K299" s="220" t="s">
        <v>307</v>
      </c>
      <c r="L299" s="220" t="s">
        <v>850</v>
      </c>
      <c r="M299" s="220" t="s">
        <v>849</v>
      </c>
      <c r="N299" s="220" t="s">
        <v>329</v>
      </c>
      <c r="O299" s="220" t="s">
        <v>297</v>
      </c>
      <c r="P299" s="220" t="s">
        <v>848</v>
      </c>
      <c r="Q299" s="220" t="s">
        <v>847</v>
      </c>
      <c r="R299" s="220"/>
      <c r="S299" s="220" t="s">
        <v>1773</v>
      </c>
      <c r="T299" s="220" t="s">
        <v>1826</v>
      </c>
      <c r="U299" s="220"/>
      <c r="V299" s="220"/>
      <c r="W299" s="220"/>
      <c r="X299" s="220"/>
      <c r="Y299" s="283"/>
      <c r="Z299" s="220"/>
      <c r="AA299" s="220" t="s">
        <v>1825</v>
      </c>
      <c r="AB299" s="220"/>
      <c r="AC299" s="220"/>
      <c r="AD299" s="220" t="s">
        <v>1817</v>
      </c>
      <c r="AE299" s="283" t="s">
        <v>1823</v>
      </c>
      <c r="AF299" s="220"/>
      <c r="AG299" s="220"/>
      <c r="AH299" s="220" t="s">
        <v>1837</v>
      </c>
      <c r="AI299" s="220"/>
      <c r="AJ299" s="226">
        <v>1</v>
      </c>
      <c r="AK299" s="226">
        <v>0</v>
      </c>
      <c r="AL299" s="225">
        <v>2.0420000000000001E-2</v>
      </c>
      <c r="AM299" s="220"/>
      <c r="AN299" s="225">
        <v>178.89402999999999</v>
      </c>
      <c r="AO299" s="220"/>
      <c r="AP299" s="220"/>
      <c r="AQ299" s="283"/>
      <c r="AR299" s="283"/>
      <c r="AS299" s="283"/>
      <c r="AT299" s="223">
        <v>0</v>
      </c>
      <c r="AU299" s="284">
        <v>87.5</v>
      </c>
      <c r="AV299" s="221">
        <v>42709</v>
      </c>
      <c r="AW299" s="221">
        <v>42709.774846330998</v>
      </c>
      <c r="AX299" s="220" t="s">
        <v>293</v>
      </c>
      <c r="AY299" s="219" t="s">
        <v>1950</v>
      </c>
    </row>
    <row r="300" spans="1:51" ht="20.399999999999999" hidden="1" outlineLevel="1" collapsed="1">
      <c r="A300" s="227" t="s">
        <v>289</v>
      </c>
      <c r="B300" s="220" t="s">
        <v>1949</v>
      </c>
      <c r="C300" s="220" t="s">
        <v>1949</v>
      </c>
      <c r="D300" s="220" t="s">
        <v>1948</v>
      </c>
      <c r="E300" s="220" t="s">
        <v>1947</v>
      </c>
      <c r="F300" s="220" t="s">
        <v>1946</v>
      </c>
      <c r="G300" s="220"/>
      <c r="H300" s="220" t="s">
        <v>1945</v>
      </c>
      <c r="I300" s="220" t="s">
        <v>308</v>
      </c>
      <c r="J300" s="220" t="s">
        <v>297</v>
      </c>
      <c r="K300" s="220" t="s">
        <v>307</v>
      </c>
      <c r="L300" s="220" t="s">
        <v>601</v>
      </c>
      <c r="M300" s="220" t="s">
        <v>600</v>
      </c>
      <c r="N300" s="220" t="s">
        <v>329</v>
      </c>
      <c r="O300" s="220" t="s">
        <v>297</v>
      </c>
      <c r="P300" s="220" t="s">
        <v>599</v>
      </c>
      <c r="Q300" s="220" t="s">
        <v>598</v>
      </c>
      <c r="R300" s="220"/>
      <c r="S300" s="220" t="s">
        <v>1698</v>
      </c>
      <c r="T300" s="220" t="s">
        <v>212</v>
      </c>
      <c r="U300" s="220"/>
      <c r="V300" s="220"/>
      <c r="W300" s="220"/>
      <c r="X300" s="220"/>
      <c r="Y300" s="283"/>
      <c r="Z300" s="220"/>
      <c r="AA300" s="220"/>
      <c r="AB300" s="220"/>
      <c r="AC300" s="220"/>
      <c r="AD300" s="220"/>
      <c r="AE300" s="283"/>
      <c r="AF300" s="220"/>
      <c r="AG300" s="220"/>
      <c r="AH300" s="220" t="s">
        <v>1944</v>
      </c>
      <c r="AI300" s="220"/>
      <c r="AJ300" s="226">
        <v>1</v>
      </c>
      <c r="AK300" s="226">
        <v>0</v>
      </c>
      <c r="AL300" s="225">
        <v>0.184</v>
      </c>
      <c r="AM300" s="220"/>
      <c r="AN300" s="225">
        <v>3893</v>
      </c>
      <c r="AO300" s="220"/>
      <c r="AP300" s="220"/>
      <c r="AQ300" s="283"/>
      <c r="AR300" s="283"/>
      <c r="AS300" s="283"/>
      <c r="AT300" s="223">
        <v>0</v>
      </c>
      <c r="AU300" s="284">
        <v>330</v>
      </c>
      <c r="AV300" s="221">
        <v>42738</v>
      </c>
      <c r="AW300" s="221">
        <v>42719.785696759303</v>
      </c>
      <c r="AX300" s="220" t="s">
        <v>293</v>
      </c>
      <c r="AY300" s="219" t="s">
        <v>1943</v>
      </c>
    </row>
    <row r="301" spans="1:51" hidden="1" outlineLevel="1" collapsed="1">
      <c r="A301" s="227" t="s">
        <v>289</v>
      </c>
      <c r="B301" s="220" t="s">
        <v>1942</v>
      </c>
      <c r="C301" s="220" t="s">
        <v>1942</v>
      </c>
      <c r="D301" s="220" t="s">
        <v>1941</v>
      </c>
      <c r="E301" s="220" t="s">
        <v>1940</v>
      </c>
      <c r="F301" s="220" t="s">
        <v>1939</v>
      </c>
      <c r="G301" s="220"/>
      <c r="H301" s="220" t="s">
        <v>1938</v>
      </c>
      <c r="I301" s="220" t="s">
        <v>471</v>
      </c>
      <c r="J301" s="220" t="s">
        <v>297</v>
      </c>
      <c r="K301" s="220" t="s">
        <v>470</v>
      </c>
      <c r="L301" s="220" t="s">
        <v>850</v>
      </c>
      <c r="M301" s="220" t="s">
        <v>849</v>
      </c>
      <c r="N301" s="220" t="s">
        <v>329</v>
      </c>
      <c r="O301" s="220" t="s">
        <v>297</v>
      </c>
      <c r="P301" s="220" t="s">
        <v>848</v>
      </c>
      <c r="Q301" s="220" t="s">
        <v>847</v>
      </c>
      <c r="R301" s="220"/>
      <c r="S301" s="220" t="s">
        <v>1773</v>
      </c>
      <c r="T301" s="220" t="s">
        <v>1826</v>
      </c>
      <c r="U301" s="220"/>
      <c r="V301" s="220"/>
      <c r="W301" s="220"/>
      <c r="X301" s="220"/>
      <c r="Y301" s="283"/>
      <c r="Z301" s="220"/>
      <c r="AA301" s="220" t="s">
        <v>1825</v>
      </c>
      <c r="AB301" s="220"/>
      <c r="AC301" s="220"/>
      <c r="AD301" s="220" t="s">
        <v>1824</v>
      </c>
      <c r="AE301" s="283" t="s">
        <v>1823</v>
      </c>
      <c r="AF301" s="220"/>
      <c r="AG301" s="220"/>
      <c r="AH301" s="220" t="s">
        <v>1937</v>
      </c>
      <c r="AI301" s="220"/>
      <c r="AJ301" s="226">
        <v>1</v>
      </c>
      <c r="AK301" s="226">
        <v>0</v>
      </c>
      <c r="AL301" s="225">
        <v>1.435E-2</v>
      </c>
      <c r="AM301" s="220"/>
      <c r="AN301" s="225">
        <v>125.72344</v>
      </c>
      <c r="AO301" s="220"/>
      <c r="AP301" s="220"/>
      <c r="AQ301" s="283"/>
      <c r="AR301" s="283"/>
      <c r="AS301" s="283"/>
      <c r="AT301" s="223">
        <v>0</v>
      </c>
      <c r="AU301" s="284">
        <v>70</v>
      </c>
      <c r="AV301" s="221">
        <v>42740</v>
      </c>
      <c r="AW301" s="221">
        <v>42724.562293634299</v>
      </c>
      <c r="AX301" s="220" t="s">
        <v>293</v>
      </c>
      <c r="AY301" s="219" t="s">
        <v>1936</v>
      </c>
    </row>
    <row r="302" spans="1:51" ht="20.399999999999999" hidden="1" outlineLevel="1" collapsed="1">
      <c r="A302" s="227" t="s">
        <v>289</v>
      </c>
      <c r="B302" s="220" t="s">
        <v>1935</v>
      </c>
      <c r="C302" s="220" t="s">
        <v>1935</v>
      </c>
      <c r="D302" s="220" t="s">
        <v>1934</v>
      </c>
      <c r="E302" s="220" t="s">
        <v>1933</v>
      </c>
      <c r="F302" s="220" t="s">
        <v>1932</v>
      </c>
      <c r="G302" s="220" t="s">
        <v>1931</v>
      </c>
      <c r="H302" s="220" t="s">
        <v>1930</v>
      </c>
      <c r="I302" s="220" t="s">
        <v>345</v>
      </c>
      <c r="J302" s="220" t="s">
        <v>297</v>
      </c>
      <c r="K302" s="220" t="s">
        <v>344</v>
      </c>
      <c r="L302" s="220" t="s">
        <v>1788</v>
      </c>
      <c r="M302" s="220" t="s">
        <v>958</v>
      </c>
      <c r="N302" s="220" t="s">
        <v>329</v>
      </c>
      <c r="O302" s="220" t="s">
        <v>297</v>
      </c>
      <c r="P302" s="220" t="s">
        <v>397</v>
      </c>
      <c r="Q302" s="220" t="s">
        <v>957</v>
      </c>
      <c r="R302" s="220"/>
      <c r="S302" s="220" t="s">
        <v>1698</v>
      </c>
      <c r="T302" s="220" t="s">
        <v>212</v>
      </c>
      <c r="U302" s="220"/>
      <c r="V302" s="220"/>
      <c r="W302" s="220"/>
      <c r="X302" s="220"/>
      <c r="Y302" s="283"/>
      <c r="Z302" s="220"/>
      <c r="AA302" s="220"/>
      <c r="AB302" s="220"/>
      <c r="AC302" s="220"/>
      <c r="AD302" s="220"/>
      <c r="AE302" s="283"/>
      <c r="AF302" s="220"/>
      <c r="AG302" s="220"/>
      <c r="AH302" s="220" t="s">
        <v>1913</v>
      </c>
      <c r="AI302" s="220"/>
      <c r="AJ302" s="226">
        <v>1</v>
      </c>
      <c r="AK302" s="226">
        <v>0</v>
      </c>
      <c r="AL302" s="225">
        <v>0.13600000000000001</v>
      </c>
      <c r="AM302" s="220"/>
      <c r="AN302" s="225">
        <v>2877</v>
      </c>
      <c r="AO302" s="220"/>
      <c r="AP302" s="220"/>
      <c r="AQ302" s="283"/>
      <c r="AR302" s="283"/>
      <c r="AS302" s="283"/>
      <c r="AT302" s="223">
        <v>0</v>
      </c>
      <c r="AU302" s="284">
        <v>250</v>
      </c>
      <c r="AV302" s="221">
        <v>42730</v>
      </c>
      <c r="AW302" s="221">
        <v>42730.011136539397</v>
      </c>
      <c r="AX302" s="220" t="s">
        <v>293</v>
      </c>
      <c r="AY302" s="219" t="s">
        <v>1929</v>
      </c>
    </row>
    <row r="303" spans="1:51" hidden="1" outlineLevel="1" collapsed="1">
      <c r="A303" s="227" t="s">
        <v>289</v>
      </c>
      <c r="B303" s="220" t="s">
        <v>1928</v>
      </c>
      <c r="C303" s="220" t="s">
        <v>1928</v>
      </c>
      <c r="D303" s="220" t="s">
        <v>1927</v>
      </c>
      <c r="E303" s="220" t="s">
        <v>1926</v>
      </c>
      <c r="F303" s="220" t="s">
        <v>1925</v>
      </c>
      <c r="G303" s="220"/>
      <c r="H303" s="220" t="s">
        <v>1924</v>
      </c>
      <c r="I303" s="220" t="s">
        <v>1789</v>
      </c>
      <c r="J303" s="220" t="s">
        <v>297</v>
      </c>
      <c r="K303" s="220" t="s">
        <v>412</v>
      </c>
      <c r="L303" s="220" t="s">
        <v>1788</v>
      </c>
      <c r="M303" s="220" t="s">
        <v>958</v>
      </c>
      <c r="N303" s="220" t="s">
        <v>329</v>
      </c>
      <c r="O303" s="220" t="s">
        <v>297</v>
      </c>
      <c r="P303" s="220" t="s">
        <v>397</v>
      </c>
      <c r="Q303" s="220" t="s">
        <v>957</v>
      </c>
      <c r="R303" s="220"/>
      <c r="S303" s="220" t="s">
        <v>1773</v>
      </c>
      <c r="T303" s="220" t="s">
        <v>1826</v>
      </c>
      <c r="U303" s="220"/>
      <c r="V303" s="220"/>
      <c r="W303" s="220"/>
      <c r="X303" s="220"/>
      <c r="Y303" s="283"/>
      <c r="Z303" s="220"/>
      <c r="AA303" s="220" t="s">
        <v>1825</v>
      </c>
      <c r="AB303" s="220"/>
      <c r="AC303" s="220"/>
      <c r="AD303" s="220" t="s">
        <v>1923</v>
      </c>
      <c r="AE303" s="283" t="s">
        <v>1823</v>
      </c>
      <c r="AF303" s="220"/>
      <c r="AG303" s="220"/>
      <c r="AH303" s="220" t="s">
        <v>1922</v>
      </c>
      <c r="AI303" s="220"/>
      <c r="AJ303" s="226">
        <v>1</v>
      </c>
      <c r="AK303" s="226">
        <v>0</v>
      </c>
      <c r="AL303" s="225">
        <v>8.4499999999999992E-3</v>
      </c>
      <c r="AM303" s="220"/>
      <c r="AN303" s="225">
        <v>74.061549999999997</v>
      </c>
      <c r="AO303" s="220"/>
      <c r="AP303" s="220"/>
      <c r="AQ303" s="283"/>
      <c r="AR303" s="283"/>
      <c r="AS303" s="283"/>
      <c r="AT303" s="223">
        <v>0</v>
      </c>
      <c r="AU303" s="284">
        <v>52.5</v>
      </c>
      <c r="AV303" s="221">
        <v>42719</v>
      </c>
      <c r="AW303" s="221">
        <v>42735.381275428197</v>
      </c>
      <c r="AX303" s="220" t="s">
        <v>293</v>
      </c>
      <c r="AY303" s="219" t="s">
        <v>1921</v>
      </c>
    </row>
    <row r="304" spans="1:51" ht="20.399999999999999" hidden="1" outlineLevel="1" collapsed="1">
      <c r="A304" s="227" t="s">
        <v>289</v>
      </c>
      <c r="B304" s="220" t="s">
        <v>1920</v>
      </c>
      <c r="C304" s="220" t="s">
        <v>1920</v>
      </c>
      <c r="D304" s="220" t="s">
        <v>1919</v>
      </c>
      <c r="E304" s="220" t="s">
        <v>1918</v>
      </c>
      <c r="F304" s="220" t="s">
        <v>1917</v>
      </c>
      <c r="G304" s="220" t="s">
        <v>1916</v>
      </c>
      <c r="H304" s="220" t="s">
        <v>1915</v>
      </c>
      <c r="I304" s="220" t="s">
        <v>1914</v>
      </c>
      <c r="J304" s="220" t="s">
        <v>297</v>
      </c>
      <c r="K304" s="220" t="s">
        <v>479</v>
      </c>
      <c r="L304" s="220" t="s">
        <v>1788</v>
      </c>
      <c r="M304" s="220" t="s">
        <v>958</v>
      </c>
      <c r="N304" s="220" t="s">
        <v>329</v>
      </c>
      <c r="O304" s="220" t="s">
        <v>297</v>
      </c>
      <c r="P304" s="220" t="s">
        <v>397</v>
      </c>
      <c r="Q304" s="220" t="s">
        <v>957</v>
      </c>
      <c r="R304" s="220"/>
      <c r="S304" s="220" t="s">
        <v>1698</v>
      </c>
      <c r="T304" s="220" t="s">
        <v>212</v>
      </c>
      <c r="U304" s="220"/>
      <c r="V304" s="220"/>
      <c r="W304" s="220"/>
      <c r="X304" s="220"/>
      <c r="Y304" s="283"/>
      <c r="Z304" s="220"/>
      <c r="AA304" s="220"/>
      <c r="AB304" s="220"/>
      <c r="AC304" s="220"/>
      <c r="AD304" s="220"/>
      <c r="AE304" s="283"/>
      <c r="AF304" s="220"/>
      <c r="AG304" s="220"/>
      <c r="AH304" s="220" t="s">
        <v>1913</v>
      </c>
      <c r="AI304" s="220"/>
      <c r="AJ304" s="226">
        <v>1</v>
      </c>
      <c r="AK304" s="226">
        <v>0</v>
      </c>
      <c r="AL304" s="225">
        <v>0.13600000000000001</v>
      </c>
      <c r="AM304" s="220"/>
      <c r="AN304" s="225">
        <v>2877</v>
      </c>
      <c r="AO304" s="220"/>
      <c r="AP304" s="220"/>
      <c r="AQ304" s="283"/>
      <c r="AR304" s="283"/>
      <c r="AS304" s="283"/>
      <c r="AT304" s="223">
        <v>0</v>
      </c>
      <c r="AU304" s="284">
        <v>250</v>
      </c>
      <c r="AV304" s="221">
        <v>42800</v>
      </c>
      <c r="AW304" s="221">
        <v>42741.564457141198</v>
      </c>
      <c r="AX304" s="220" t="s">
        <v>293</v>
      </c>
      <c r="AY304" s="219" t="s">
        <v>1912</v>
      </c>
    </row>
    <row r="305" spans="1:51" hidden="1" outlineLevel="1" collapsed="1">
      <c r="A305" s="227" t="s">
        <v>289</v>
      </c>
      <c r="B305" s="220" t="s">
        <v>1911</v>
      </c>
      <c r="C305" s="220" t="s">
        <v>1911</v>
      </c>
      <c r="D305" s="220" t="s">
        <v>1910</v>
      </c>
      <c r="E305" s="220" t="s">
        <v>1909</v>
      </c>
      <c r="F305" s="220" t="s">
        <v>1908</v>
      </c>
      <c r="G305" s="220"/>
      <c r="H305" s="220" t="s">
        <v>1907</v>
      </c>
      <c r="I305" s="220" t="s">
        <v>752</v>
      </c>
      <c r="J305" s="220" t="s">
        <v>297</v>
      </c>
      <c r="K305" s="220" t="s">
        <v>328</v>
      </c>
      <c r="L305" s="220" t="s">
        <v>1906</v>
      </c>
      <c r="M305" s="220" t="s">
        <v>1905</v>
      </c>
      <c r="N305" s="220" t="s">
        <v>531</v>
      </c>
      <c r="O305" s="220" t="s">
        <v>297</v>
      </c>
      <c r="P305" s="220" t="s">
        <v>530</v>
      </c>
      <c r="Q305" s="220" t="s">
        <v>1904</v>
      </c>
      <c r="R305" s="220" t="s">
        <v>1903</v>
      </c>
      <c r="S305" s="220" t="s">
        <v>1773</v>
      </c>
      <c r="T305" s="220" t="s">
        <v>1826</v>
      </c>
      <c r="U305" s="220"/>
      <c r="V305" s="220"/>
      <c r="W305" s="220"/>
      <c r="X305" s="220"/>
      <c r="Y305" s="283"/>
      <c r="Z305" s="220"/>
      <c r="AA305" s="220" t="s">
        <v>1825</v>
      </c>
      <c r="AB305" s="220"/>
      <c r="AC305" s="220"/>
      <c r="AD305" s="220" t="s">
        <v>1817</v>
      </c>
      <c r="AE305" s="283" t="s">
        <v>1894</v>
      </c>
      <c r="AF305" s="220"/>
      <c r="AG305" s="220"/>
      <c r="AH305" s="220" t="s">
        <v>1902</v>
      </c>
      <c r="AI305" s="220"/>
      <c r="AJ305" s="226">
        <v>1</v>
      </c>
      <c r="AK305" s="226">
        <v>0</v>
      </c>
      <c r="AL305" s="225">
        <v>2.0420000000000001E-2</v>
      </c>
      <c r="AM305" s="220"/>
      <c r="AN305" s="225">
        <v>178.89402999999999</v>
      </c>
      <c r="AO305" s="220"/>
      <c r="AP305" s="220"/>
      <c r="AQ305" s="283"/>
      <c r="AR305" s="283"/>
      <c r="AS305" s="283"/>
      <c r="AT305" s="223">
        <v>0</v>
      </c>
      <c r="AU305" s="284">
        <v>87.5</v>
      </c>
      <c r="AV305" s="221">
        <v>42796</v>
      </c>
      <c r="AW305" s="221">
        <v>42743.581777858803</v>
      </c>
      <c r="AX305" s="220" t="s">
        <v>293</v>
      </c>
      <c r="AY305" s="219" t="s">
        <v>1901</v>
      </c>
    </row>
    <row r="306" spans="1:51" hidden="1" outlineLevel="1" collapsed="1">
      <c r="A306" s="227" t="s">
        <v>289</v>
      </c>
      <c r="B306" s="220" t="s">
        <v>1900</v>
      </c>
      <c r="C306" s="220" t="s">
        <v>1900</v>
      </c>
      <c r="D306" s="220" t="s">
        <v>1899</v>
      </c>
      <c r="E306" s="220" t="s">
        <v>1898</v>
      </c>
      <c r="F306" s="220" t="s">
        <v>1897</v>
      </c>
      <c r="G306" s="220" t="s">
        <v>1896</v>
      </c>
      <c r="H306" s="220" t="s">
        <v>1895</v>
      </c>
      <c r="I306" s="220" t="s">
        <v>531</v>
      </c>
      <c r="J306" s="220" t="s">
        <v>297</v>
      </c>
      <c r="K306" s="220" t="s">
        <v>530</v>
      </c>
      <c r="L306" s="220" t="s">
        <v>850</v>
      </c>
      <c r="M306" s="220" t="s">
        <v>849</v>
      </c>
      <c r="N306" s="220" t="s">
        <v>329</v>
      </c>
      <c r="O306" s="220" t="s">
        <v>297</v>
      </c>
      <c r="P306" s="220" t="s">
        <v>848</v>
      </c>
      <c r="Q306" s="220" t="s">
        <v>847</v>
      </c>
      <c r="R306" s="220"/>
      <c r="S306" s="220" t="s">
        <v>1773</v>
      </c>
      <c r="T306" s="220" t="s">
        <v>1826</v>
      </c>
      <c r="U306" s="220"/>
      <c r="V306" s="220"/>
      <c r="W306" s="220"/>
      <c r="X306" s="220"/>
      <c r="Y306" s="283"/>
      <c r="Z306" s="220"/>
      <c r="AA306" s="220" t="s">
        <v>1825</v>
      </c>
      <c r="AB306" s="220"/>
      <c r="AC306" s="220"/>
      <c r="AD306" s="220" t="s">
        <v>1817</v>
      </c>
      <c r="AE306" s="283" t="s">
        <v>1894</v>
      </c>
      <c r="AF306" s="220"/>
      <c r="AG306" s="220"/>
      <c r="AH306" s="220" t="s">
        <v>1893</v>
      </c>
      <c r="AI306" s="220"/>
      <c r="AJ306" s="226">
        <v>1</v>
      </c>
      <c r="AK306" s="226">
        <v>0</v>
      </c>
      <c r="AL306" s="225">
        <v>2.0420000000000001E-2</v>
      </c>
      <c r="AM306" s="220"/>
      <c r="AN306" s="225">
        <v>178.89402999999999</v>
      </c>
      <c r="AO306" s="220"/>
      <c r="AP306" s="220"/>
      <c r="AQ306" s="283"/>
      <c r="AR306" s="283"/>
      <c r="AS306" s="283"/>
      <c r="AT306" s="223">
        <v>0</v>
      </c>
      <c r="AU306" s="284">
        <v>87.5</v>
      </c>
      <c r="AV306" s="221">
        <v>42748</v>
      </c>
      <c r="AW306" s="221">
        <v>42748.453289467601</v>
      </c>
      <c r="AX306" s="220" t="s">
        <v>293</v>
      </c>
      <c r="AY306" s="219" t="s">
        <v>1892</v>
      </c>
    </row>
    <row r="307" spans="1:51" hidden="1" outlineLevel="1" collapsed="1">
      <c r="A307" s="227" t="s">
        <v>289</v>
      </c>
      <c r="B307" s="220" t="s">
        <v>1891</v>
      </c>
      <c r="C307" s="220" t="s">
        <v>1891</v>
      </c>
      <c r="D307" s="220" t="s">
        <v>1890</v>
      </c>
      <c r="E307" s="220" t="s">
        <v>1889</v>
      </c>
      <c r="F307" s="220" t="s">
        <v>1888</v>
      </c>
      <c r="G307" s="220" t="s">
        <v>1887</v>
      </c>
      <c r="H307" s="220" t="s">
        <v>1886</v>
      </c>
      <c r="I307" s="220" t="s">
        <v>1765</v>
      </c>
      <c r="J307" s="220" t="s">
        <v>297</v>
      </c>
      <c r="K307" s="220" t="s">
        <v>319</v>
      </c>
      <c r="L307" s="220" t="s">
        <v>850</v>
      </c>
      <c r="M307" s="220" t="s">
        <v>849</v>
      </c>
      <c r="N307" s="220" t="s">
        <v>329</v>
      </c>
      <c r="O307" s="220" t="s">
        <v>297</v>
      </c>
      <c r="P307" s="220" t="s">
        <v>848</v>
      </c>
      <c r="Q307" s="220" t="s">
        <v>847</v>
      </c>
      <c r="R307" s="220"/>
      <c r="S307" s="220" t="s">
        <v>1773</v>
      </c>
      <c r="T307" s="220" t="s">
        <v>1826</v>
      </c>
      <c r="U307" s="220"/>
      <c r="V307" s="220"/>
      <c r="W307" s="220"/>
      <c r="X307" s="220"/>
      <c r="Y307" s="283"/>
      <c r="Z307" s="220"/>
      <c r="AA307" s="220" t="s">
        <v>1825</v>
      </c>
      <c r="AB307" s="220"/>
      <c r="AC307" s="220"/>
      <c r="AD307" s="220" t="s">
        <v>1817</v>
      </c>
      <c r="AE307" s="283" t="s">
        <v>1823</v>
      </c>
      <c r="AF307" s="220"/>
      <c r="AG307" s="220"/>
      <c r="AH307" s="220" t="s">
        <v>1885</v>
      </c>
      <c r="AI307" s="220"/>
      <c r="AJ307" s="226">
        <v>1</v>
      </c>
      <c r="AK307" s="226">
        <v>0</v>
      </c>
      <c r="AL307" s="225">
        <v>2.0420000000000001E-2</v>
      </c>
      <c r="AM307" s="220"/>
      <c r="AN307" s="225">
        <v>178.89402999999999</v>
      </c>
      <c r="AO307" s="220"/>
      <c r="AP307" s="220"/>
      <c r="AQ307" s="283"/>
      <c r="AR307" s="283"/>
      <c r="AS307" s="283"/>
      <c r="AT307" s="223">
        <v>0</v>
      </c>
      <c r="AU307" s="284">
        <v>87.5</v>
      </c>
      <c r="AV307" s="221">
        <v>42749</v>
      </c>
      <c r="AW307" s="221">
        <v>42758.8470783218</v>
      </c>
      <c r="AX307" s="220" t="s">
        <v>293</v>
      </c>
      <c r="AY307" s="219" t="s">
        <v>1884</v>
      </c>
    </row>
    <row r="308" spans="1:51" hidden="1" outlineLevel="1" collapsed="1">
      <c r="A308" s="227" t="s">
        <v>289</v>
      </c>
      <c r="B308" s="220" t="s">
        <v>1883</v>
      </c>
      <c r="C308" s="220" t="s">
        <v>1883</v>
      </c>
      <c r="D308" s="220" t="s">
        <v>1882</v>
      </c>
      <c r="E308" s="220" t="s">
        <v>541</v>
      </c>
      <c r="F308" s="220" t="s">
        <v>1881</v>
      </c>
      <c r="G308" s="220"/>
      <c r="H308" s="220" t="s">
        <v>1880</v>
      </c>
      <c r="I308" s="220" t="s">
        <v>345</v>
      </c>
      <c r="J308" s="220" t="s">
        <v>297</v>
      </c>
      <c r="K308" s="220" t="s">
        <v>344</v>
      </c>
      <c r="L308" s="220" t="s">
        <v>601</v>
      </c>
      <c r="M308" s="220" t="s">
        <v>600</v>
      </c>
      <c r="N308" s="220" t="s">
        <v>329</v>
      </c>
      <c r="O308" s="220" t="s">
        <v>297</v>
      </c>
      <c r="P308" s="220" t="s">
        <v>599</v>
      </c>
      <c r="Q308" s="220" t="s">
        <v>598</v>
      </c>
      <c r="R308" s="220"/>
      <c r="S308" s="220" t="s">
        <v>1773</v>
      </c>
      <c r="T308" s="220" t="s">
        <v>1826</v>
      </c>
      <c r="U308" s="220"/>
      <c r="V308" s="220"/>
      <c r="W308" s="220"/>
      <c r="X308" s="220"/>
      <c r="Y308" s="283"/>
      <c r="Z308" s="220"/>
      <c r="AA308" s="220" t="s">
        <v>1825</v>
      </c>
      <c r="AB308" s="220"/>
      <c r="AC308" s="220"/>
      <c r="AD308" s="220" t="s">
        <v>1879</v>
      </c>
      <c r="AE308" s="283" t="s">
        <v>1823</v>
      </c>
      <c r="AF308" s="220"/>
      <c r="AG308" s="220"/>
      <c r="AH308" s="220" t="s">
        <v>1878</v>
      </c>
      <c r="AI308" s="220"/>
      <c r="AJ308" s="226">
        <v>1</v>
      </c>
      <c r="AK308" s="226">
        <v>0</v>
      </c>
      <c r="AL308" s="225">
        <v>2.0420000000000001E-2</v>
      </c>
      <c r="AM308" s="220"/>
      <c r="AN308" s="225">
        <v>178.89402999999999</v>
      </c>
      <c r="AO308" s="220"/>
      <c r="AP308" s="220"/>
      <c r="AQ308" s="283"/>
      <c r="AR308" s="283"/>
      <c r="AS308" s="283"/>
      <c r="AT308" s="223">
        <v>0</v>
      </c>
      <c r="AU308" s="284">
        <v>87.5</v>
      </c>
      <c r="AV308" s="221">
        <v>42774</v>
      </c>
      <c r="AW308" s="221">
        <v>42774.537028819403</v>
      </c>
      <c r="AX308" s="220" t="s">
        <v>293</v>
      </c>
      <c r="AY308" s="219" t="s">
        <v>1877</v>
      </c>
    </row>
    <row r="309" spans="1:51" hidden="1" outlineLevel="1" collapsed="1">
      <c r="A309" s="227" t="s">
        <v>289</v>
      </c>
      <c r="B309" s="220" t="s">
        <v>1876</v>
      </c>
      <c r="C309" s="220" t="s">
        <v>1876</v>
      </c>
      <c r="D309" s="220" t="s">
        <v>1875</v>
      </c>
      <c r="E309" s="220" t="s">
        <v>1874</v>
      </c>
      <c r="F309" s="220" t="s">
        <v>1873</v>
      </c>
      <c r="G309" s="220"/>
      <c r="H309" s="220" t="s">
        <v>1872</v>
      </c>
      <c r="I309" s="220" t="s">
        <v>320</v>
      </c>
      <c r="J309" s="220" t="s">
        <v>297</v>
      </c>
      <c r="K309" s="220" t="s">
        <v>319</v>
      </c>
      <c r="L309" s="220" t="s">
        <v>1871</v>
      </c>
      <c r="M309" s="220" t="s">
        <v>1870</v>
      </c>
      <c r="N309" s="220" t="s">
        <v>320</v>
      </c>
      <c r="O309" s="220" t="s">
        <v>297</v>
      </c>
      <c r="P309" s="220" t="s">
        <v>319</v>
      </c>
      <c r="Q309" s="220" t="s">
        <v>1869</v>
      </c>
      <c r="R309" s="220" t="s">
        <v>1868</v>
      </c>
      <c r="S309" s="220" t="s">
        <v>1773</v>
      </c>
      <c r="T309" s="220" t="s">
        <v>1826</v>
      </c>
      <c r="U309" s="220"/>
      <c r="V309" s="220"/>
      <c r="W309" s="220"/>
      <c r="X309" s="220"/>
      <c r="Y309" s="283"/>
      <c r="Z309" s="220"/>
      <c r="AA309" s="220" t="s">
        <v>1825</v>
      </c>
      <c r="AB309" s="220"/>
      <c r="AC309" s="220"/>
      <c r="AD309" s="220" t="s">
        <v>1817</v>
      </c>
      <c r="AE309" s="283" t="s">
        <v>1823</v>
      </c>
      <c r="AF309" s="220"/>
      <c r="AG309" s="220"/>
      <c r="AH309" s="220" t="s">
        <v>1867</v>
      </c>
      <c r="AI309" s="220"/>
      <c r="AJ309" s="226">
        <v>1</v>
      </c>
      <c r="AK309" s="226">
        <v>0</v>
      </c>
      <c r="AL309" s="225">
        <v>2.0420000000000001E-2</v>
      </c>
      <c r="AM309" s="220"/>
      <c r="AN309" s="225">
        <v>178.89402999999999</v>
      </c>
      <c r="AO309" s="220"/>
      <c r="AP309" s="220"/>
      <c r="AQ309" s="283"/>
      <c r="AR309" s="283"/>
      <c r="AS309" s="283"/>
      <c r="AT309" s="223">
        <v>0</v>
      </c>
      <c r="AU309" s="284">
        <v>87.5</v>
      </c>
      <c r="AV309" s="221">
        <v>42774</v>
      </c>
      <c r="AW309" s="221">
        <v>42774.542676192097</v>
      </c>
      <c r="AX309" s="220" t="s">
        <v>293</v>
      </c>
      <c r="AY309" s="219" t="s">
        <v>1866</v>
      </c>
    </row>
    <row r="310" spans="1:51" hidden="1" outlineLevel="1" collapsed="1">
      <c r="A310" s="227" t="s">
        <v>289</v>
      </c>
      <c r="B310" s="220" t="s">
        <v>1865</v>
      </c>
      <c r="C310" s="220" t="s">
        <v>1865</v>
      </c>
      <c r="D310" s="220" t="s">
        <v>1864</v>
      </c>
      <c r="E310" s="220" t="s">
        <v>868</v>
      </c>
      <c r="F310" s="220" t="s">
        <v>1863</v>
      </c>
      <c r="G310" s="220"/>
      <c r="H310" s="220" t="s">
        <v>1862</v>
      </c>
      <c r="I310" s="220" t="s">
        <v>320</v>
      </c>
      <c r="J310" s="220" t="s">
        <v>297</v>
      </c>
      <c r="K310" s="220" t="s">
        <v>319</v>
      </c>
      <c r="L310" s="220" t="s">
        <v>1736</v>
      </c>
      <c r="M310" s="220" t="s">
        <v>1735</v>
      </c>
      <c r="N310" s="220" t="s">
        <v>320</v>
      </c>
      <c r="O310" s="220" t="s">
        <v>297</v>
      </c>
      <c r="P310" s="220" t="s">
        <v>319</v>
      </c>
      <c r="Q310" s="220" t="s">
        <v>1734</v>
      </c>
      <c r="R310" s="220"/>
      <c r="S310" s="220" t="s">
        <v>1680</v>
      </c>
      <c r="T310" s="220" t="s">
        <v>1679</v>
      </c>
      <c r="U310" s="220"/>
      <c r="V310" s="220"/>
      <c r="W310" s="220"/>
      <c r="X310" s="220"/>
      <c r="Y310" s="283"/>
      <c r="Z310" s="220"/>
      <c r="AA310" s="220" t="s">
        <v>1861</v>
      </c>
      <c r="AB310" s="220"/>
      <c r="AC310" s="220"/>
      <c r="AD310" s="220"/>
      <c r="AE310" s="283"/>
      <c r="AF310" s="220"/>
      <c r="AG310" s="220"/>
      <c r="AH310" s="220" t="s">
        <v>1860</v>
      </c>
      <c r="AI310" s="220"/>
      <c r="AJ310" s="226">
        <v>1</v>
      </c>
      <c r="AK310" s="226">
        <v>0</v>
      </c>
      <c r="AL310" s="225">
        <v>0.46700000000000003</v>
      </c>
      <c r="AM310" s="220"/>
      <c r="AN310" s="225">
        <v>1415.2380000000001</v>
      </c>
      <c r="AO310" s="220"/>
      <c r="AP310" s="220"/>
      <c r="AQ310" s="283"/>
      <c r="AR310" s="283"/>
      <c r="AS310" s="283"/>
      <c r="AT310" s="223">
        <v>0</v>
      </c>
      <c r="AU310" s="284">
        <v>75</v>
      </c>
      <c r="AV310" s="221">
        <v>42774</v>
      </c>
      <c r="AW310" s="221">
        <v>42774.545717905101</v>
      </c>
      <c r="AX310" s="220" t="s">
        <v>293</v>
      </c>
      <c r="AY310" s="219" t="s">
        <v>1859</v>
      </c>
    </row>
    <row r="311" spans="1:51" ht="20.399999999999999" hidden="1" outlineLevel="1" collapsed="1">
      <c r="A311" s="227" t="s">
        <v>289</v>
      </c>
      <c r="B311" s="220" t="s">
        <v>1858</v>
      </c>
      <c r="C311" s="220" t="s">
        <v>1858</v>
      </c>
      <c r="D311" s="220" t="s">
        <v>1857</v>
      </c>
      <c r="E311" s="220" t="s">
        <v>1856</v>
      </c>
      <c r="F311" s="220" t="s">
        <v>1855</v>
      </c>
      <c r="G311" s="220"/>
      <c r="H311" s="220" t="s">
        <v>1854</v>
      </c>
      <c r="I311" s="220" t="s">
        <v>329</v>
      </c>
      <c r="J311" s="220" t="s">
        <v>297</v>
      </c>
      <c r="K311" s="220" t="s">
        <v>328</v>
      </c>
      <c r="L311" s="220" t="s">
        <v>1853</v>
      </c>
      <c r="M311" s="220" t="s">
        <v>1852</v>
      </c>
      <c r="N311" s="220" t="s">
        <v>413</v>
      </c>
      <c r="O311" s="220" t="s">
        <v>297</v>
      </c>
      <c r="P311" s="220" t="s">
        <v>412</v>
      </c>
      <c r="Q311" s="220" t="s">
        <v>1851</v>
      </c>
      <c r="R311" s="220" t="s">
        <v>1850</v>
      </c>
      <c r="S311" s="220" t="s">
        <v>1715</v>
      </c>
      <c r="T311" s="220" t="s">
        <v>1714</v>
      </c>
      <c r="U311" s="220"/>
      <c r="V311" s="220"/>
      <c r="W311" s="220"/>
      <c r="X311" s="220"/>
      <c r="Y311" s="283"/>
      <c r="Z311" s="220"/>
      <c r="AA311" s="220"/>
      <c r="AB311" s="220"/>
      <c r="AC311" s="220"/>
      <c r="AD311" s="220"/>
      <c r="AE311" s="283"/>
      <c r="AF311" s="220"/>
      <c r="AG311" s="220"/>
      <c r="AH311" s="220" t="s">
        <v>1849</v>
      </c>
      <c r="AI311" s="220"/>
      <c r="AJ311" s="226">
        <v>1</v>
      </c>
      <c r="AK311" s="226">
        <v>0</v>
      </c>
      <c r="AL311" s="225">
        <v>0.41099999999999998</v>
      </c>
      <c r="AM311" s="220"/>
      <c r="AN311" s="225">
        <v>399.00400000000002</v>
      </c>
      <c r="AO311" s="220"/>
      <c r="AP311" s="220"/>
      <c r="AQ311" s="283"/>
      <c r="AR311" s="283"/>
      <c r="AS311" s="283"/>
      <c r="AT311" s="223">
        <v>0</v>
      </c>
      <c r="AU311" s="284">
        <v>187.5</v>
      </c>
      <c r="AV311" s="221">
        <v>42774</v>
      </c>
      <c r="AW311" s="221">
        <v>42774.586342326402</v>
      </c>
      <c r="AX311" s="220" t="s">
        <v>293</v>
      </c>
      <c r="AY311" s="219" t="s">
        <v>1848</v>
      </c>
    </row>
    <row r="312" spans="1:51" ht="20.399999999999999" hidden="1" outlineLevel="1" collapsed="1">
      <c r="A312" s="227" t="s">
        <v>289</v>
      </c>
      <c r="B312" s="220" t="s">
        <v>1847</v>
      </c>
      <c r="C312" s="220" t="s">
        <v>1847</v>
      </c>
      <c r="D312" s="220" t="s">
        <v>1846</v>
      </c>
      <c r="E312" s="220" t="s">
        <v>1845</v>
      </c>
      <c r="F312" s="220" t="s">
        <v>1396</v>
      </c>
      <c r="G312" s="220"/>
      <c r="H312" s="220" t="s">
        <v>1844</v>
      </c>
      <c r="I312" s="220" t="s">
        <v>329</v>
      </c>
      <c r="J312" s="220" t="s">
        <v>297</v>
      </c>
      <c r="K312" s="220" t="s">
        <v>328</v>
      </c>
      <c r="L312" s="220" t="s">
        <v>1727</v>
      </c>
      <c r="M312" s="220" t="s">
        <v>1726</v>
      </c>
      <c r="N312" s="220" t="s">
        <v>329</v>
      </c>
      <c r="O312" s="220" t="s">
        <v>297</v>
      </c>
      <c r="P312" s="220" t="s">
        <v>328</v>
      </c>
      <c r="Q312" s="220"/>
      <c r="R312" s="220" t="s">
        <v>1725</v>
      </c>
      <c r="S312" s="220" t="s">
        <v>1706</v>
      </c>
      <c r="T312" s="220" t="s">
        <v>1705</v>
      </c>
      <c r="U312" s="220"/>
      <c r="V312" s="220"/>
      <c r="W312" s="220"/>
      <c r="X312" s="220"/>
      <c r="Y312" s="283"/>
      <c r="Z312" s="220"/>
      <c r="AA312" s="220"/>
      <c r="AB312" s="220"/>
      <c r="AC312" s="220"/>
      <c r="AD312" s="220"/>
      <c r="AE312" s="283"/>
      <c r="AF312" s="220"/>
      <c r="AG312" s="220"/>
      <c r="AH312" s="220"/>
      <c r="AI312" s="220"/>
      <c r="AJ312" s="226">
        <v>1</v>
      </c>
      <c r="AK312" s="226">
        <v>0</v>
      </c>
      <c r="AL312" s="225">
        <v>3.4609999999999999</v>
      </c>
      <c r="AM312" s="220"/>
      <c r="AN312" s="225">
        <v>7186.7579999999998</v>
      </c>
      <c r="AO312" s="220"/>
      <c r="AP312" s="220"/>
      <c r="AQ312" s="283"/>
      <c r="AR312" s="283"/>
      <c r="AS312" s="283"/>
      <c r="AT312" s="223">
        <v>0</v>
      </c>
      <c r="AU312" s="284">
        <v>600</v>
      </c>
      <c r="AV312" s="221">
        <v>42774</v>
      </c>
      <c r="AW312" s="221">
        <v>42774.600277164398</v>
      </c>
      <c r="AX312" s="220" t="s">
        <v>293</v>
      </c>
      <c r="AY312" s="219" t="s">
        <v>1843</v>
      </c>
    </row>
    <row r="313" spans="1:51" hidden="1" outlineLevel="1" collapsed="1">
      <c r="A313" s="227" t="s">
        <v>289</v>
      </c>
      <c r="B313" s="220" t="s">
        <v>1842</v>
      </c>
      <c r="C313" s="220" t="s">
        <v>1842</v>
      </c>
      <c r="D313" s="220" t="s">
        <v>1841</v>
      </c>
      <c r="E313" s="220" t="s">
        <v>1840</v>
      </c>
      <c r="F313" s="220" t="s">
        <v>1839</v>
      </c>
      <c r="G313" s="220"/>
      <c r="H313" s="220" t="s">
        <v>1838</v>
      </c>
      <c r="I313" s="220" t="s">
        <v>531</v>
      </c>
      <c r="J313" s="220" t="s">
        <v>297</v>
      </c>
      <c r="K313" s="220" t="s">
        <v>530</v>
      </c>
      <c r="L313" s="220" t="s">
        <v>850</v>
      </c>
      <c r="M313" s="220" t="s">
        <v>849</v>
      </c>
      <c r="N313" s="220" t="s">
        <v>329</v>
      </c>
      <c r="O313" s="220" t="s">
        <v>297</v>
      </c>
      <c r="P313" s="220" t="s">
        <v>848</v>
      </c>
      <c r="Q313" s="220" t="s">
        <v>847</v>
      </c>
      <c r="R313" s="220"/>
      <c r="S313" s="220" t="s">
        <v>1773</v>
      </c>
      <c r="T313" s="220" t="s">
        <v>1826</v>
      </c>
      <c r="U313" s="220"/>
      <c r="V313" s="220"/>
      <c r="W313" s="220"/>
      <c r="X313" s="220"/>
      <c r="Y313" s="283"/>
      <c r="Z313" s="220"/>
      <c r="AA313" s="220" t="s">
        <v>1825</v>
      </c>
      <c r="AB313" s="220"/>
      <c r="AC313" s="220"/>
      <c r="AD313" s="220" t="s">
        <v>1817</v>
      </c>
      <c r="AE313" s="283" t="s">
        <v>1823</v>
      </c>
      <c r="AF313" s="220"/>
      <c r="AG313" s="220"/>
      <c r="AH313" s="220" t="s">
        <v>1837</v>
      </c>
      <c r="AI313" s="220"/>
      <c r="AJ313" s="226">
        <v>1</v>
      </c>
      <c r="AK313" s="226">
        <v>0</v>
      </c>
      <c r="AL313" s="225">
        <v>2.0420000000000001E-2</v>
      </c>
      <c r="AM313" s="220"/>
      <c r="AN313" s="225">
        <v>178.89402999999999</v>
      </c>
      <c r="AO313" s="220"/>
      <c r="AP313" s="220"/>
      <c r="AQ313" s="283"/>
      <c r="AR313" s="283"/>
      <c r="AS313" s="283"/>
      <c r="AT313" s="223">
        <v>0</v>
      </c>
      <c r="AU313" s="284">
        <v>87.5</v>
      </c>
      <c r="AV313" s="221">
        <v>42796</v>
      </c>
      <c r="AW313" s="221">
        <v>42794.597953969896</v>
      </c>
      <c r="AX313" s="220" t="s">
        <v>293</v>
      </c>
      <c r="AY313" s="219" t="s">
        <v>1836</v>
      </c>
    </row>
    <row r="314" spans="1:51" ht="20.399999999999999" hidden="1" outlineLevel="1" collapsed="1">
      <c r="A314" s="227" t="s">
        <v>289</v>
      </c>
      <c r="B314" s="220" t="s">
        <v>1835</v>
      </c>
      <c r="C314" s="220" t="s">
        <v>1835</v>
      </c>
      <c r="D314" s="220" t="s">
        <v>1834</v>
      </c>
      <c r="E314" s="220" t="s">
        <v>1833</v>
      </c>
      <c r="F314" s="220" t="s">
        <v>1832</v>
      </c>
      <c r="G314" s="220"/>
      <c r="H314" s="220" t="s">
        <v>1831</v>
      </c>
      <c r="I314" s="220" t="s">
        <v>320</v>
      </c>
      <c r="J314" s="220" t="s">
        <v>297</v>
      </c>
      <c r="K314" s="220" t="s">
        <v>319</v>
      </c>
      <c r="L314" s="220" t="s">
        <v>1736</v>
      </c>
      <c r="M314" s="220" t="s">
        <v>1735</v>
      </c>
      <c r="N314" s="220" t="s">
        <v>320</v>
      </c>
      <c r="O314" s="220" t="s">
        <v>297</v>
      </c>
      <c r="P314" s="220" t="s">
        <v>319</v>
      </c>
      <c r="Q314" s="220" t="s">
        <v>1734</v>
      </c>
      <c r="R314" s="220"/>
      <c r="S314" s="220" t="s">
        <v>1706</v>
      </c>
      <c r="T314" s="220" t="s">
        <v>1705</v>
      </c>
      <c r="U314" s="220"/>
      <c r="V314" s="220"/>
      <c r="W314" s="220"/>
      <c r="X314" s="220"/>
      <c r="Y314" s="283"/>
      <c r="Z314" s="220"/>
      <c r="AA314" s="220"/>
      <c r="AB314" s="220"/>
      <c r="AC314" s="220"/>
      <c r="AD314" s="220"/>
      <c r="AE314" s="283"/>
      <c r="AF314" s="220"/>
      <c r="AG314" s="220"/>
      <c r="AH314" s="220"/>
      <c r="AI314" s="220"/>
      <c r="AJ314" s="226">
        <v>1</v>
      </c>
      <c r="AK314" s="226">
        <v>0</v>
      </c>
      <c r="AL314" s="225">
        <v>3.093</v>
      </c>
      <c r="AM314" s="220"/>
      <c r="AN314" s="225">
        <v>6397.884</v>
      </c>
      <c r="AO314" s="220"/>
      <c r="AP314" s="220"/>
      <c r="AQ314" s="283"/>
      <c r="AR314" s="283"/>
      <c r="AS314" s="283"/>
      <c r="AT314" s="223">
        <v>0</v>
      </c>
      <c r="AU314" s="284">
        <v>800</v>
      </c>
      <c r="AV314" s="221">
        <v>42796</v>
      </c>
      <c r="AW314" s="221">
        <v>42794.609445983799</v>
      </c>
      <c r="AX314" s="220" t="s">
        <v>293</v>
      </c>
      <c r="AY314" s="219" t="s">
        <v>1830</v>
      </c>
    </row>
    <row r="315" spans="1:51" ht="20.399999999999999" hidden="1" outlineLevel="1" collapsed="1">
      <c r="A315" s="227" t="s">
        <v>289</v>
      </c>
      <c r="B315" s="220" t="s">
        <v>1829</v>
      </c>
      <c r="C315" s="220" t="s">
        <v>1829</v>
      </c>
      <c r="D315" s="220" t="s">
        <v>1828</v>
      </c>
      <c r="E315" s="220" t="s">
        <v>1423</v>
      </c>
      <c r="F315" s="220" t="s">
        <v>997</v>
      </c>
      <c r="G315" s="220"/>
      <c r="H315" s="220" t="s">
        <v>1827</v>
      </c>
      <c r="I315" s="220" t="s">
        <v>413</v>
      </c>
      <c r="J315" s="220" t="s">
        <v>297</v>
      </c>
      <c r="K315" s="220" t="s">
        <v>412</v>
      </c>
      <c r="L315" s="220" t="s">
        <v>850</v>
      </c>
      <c r="M315" s="220" t="s">
        <v>849</v>
      </c>
      <c r="N315" s="220" t="s">
        <v>329</v>
      </c>
      <c r="O315" s="220" t="s">
        <v>297</v>
      </c>
      <c r="P315" s="220" t="s">
        <v>848</v>
      </c>
      <c r="Q315" s="220" t="s">
        <v>847</v>
      </c>
      <c r="R315" s="220"/>
      <c r="S315" s="220" t="s">
        <v>1773</v>
      </c>
      <c r="T315" s="220" t="s">
        <v>1826</v>
      </c>
      <c r="U315" s="220"/>
      <c r="V315" s="220"/>
      <c r="W315" s="220"/>
      <c r="X315" s="220"/>
      <c r="Y315" s="283"/>
      <c r="Z315" s="220"/>
      <c r="AA315" s="220" t="s">
        <v>1825</v>
      </c>
      <c r="AB315" s="220"/>
      <c r="AC315" s="220"/>
      <c r="AD315" s="220" t="s">
        <v>1824</v>
      </c>
      <c r="AE315" s="283" t="s">
        <v>1823</v>
      </c>
      <c r="AF315" s="220"/>
      <c r="AG315" s="220"/>
      <c r="AH315" s="220" t="s">
        <v>1822</v>
      </c>
      <c r="AI315" s="220"/>
      <c r="AJ315" s="226">
        <v>1</v>
      </c>
      <c r="AK315" s="226">
        <v>0</v>
      </c>
      <c r="AL315" s="225">
        <v>1.435E-2</v>
      </c>
      <c r="AM315" s="220"/>
      <c r="AN315" s="225">
        <v>125.72344</v>
      </c>
      <c r="AO315" s="220"/>
      <c r="AP315" s="220"/>
      <c r="AQ315" s="283"/>
      <c r="AR315" s="283"/>
      <c r="AS315" s="283"/>
      <c r="AT315" s="223">
        <v>0</v>
      </c>
      <c r="AU315" s="284">
        <v>70</v>
      </c>
      <c r="AV315" s="221">
        <v>42795</v>
      </c>
      <c r="AW315" s="221">
        <v>42795.7318815162</v>
      </c>
      <c r="AX315" s="220" t="s">
        <v>293</v>
      </c>
      <c r="AY315" s="219" t="s">
        <v>1821</v>
      </c>
    </row>
    <row r="316" spans="1:51" ht="20.399999999999999" hidden="1" outlineLevel="1" collapsed="1">
      <c r="A316" s="227" t="s">
        <v>289</v>
      </c>
      <c r="B316" s="220" t="s">
        <v>1815</v>
      </c>
      <c r="C316" s="220" t="s">
        <v>1815</v>
      </c>
      <c r="D316" s="220" t="s">
        <v>1814</v>
      </c>
      <c r="E316" s="220" t="s">
        <v>1813</v>
      </c>
      <c r="F316" s="220" t="s">
        <v>799</v>
      </c>
      <c r="G316" s="220"/>
      <c r="H316" s="220" t="s">
        <v>1812</v>
      </c>
      <c r="I316" s="220" t="s">
        <v>329</v>
      </c>
      <c r="J316" s="220" t="s">
        <v>297</v>
      </c>
      <c r="K316" s="220" t="s">
        <v>328</v>
      </c>
      <c r="L316" s="220" t="s">
        <v>1811</v>
      </c>
      <c r="M316" s="220" t="s">
        <v>1810</v>
      </c>
      <c r="N316" s="220" t="s">
        <v>1252</v>
      </c>
      <c r="O316" s="220" t="s">
        <v>297</v>
      </c>
      <c r="P316" s="220" t="s">
        <v>1251</v>
      </c>
      <c r="Q316" s="220" t="s">
        <v>1809</v>
      </c>
      <c r="R316" s="220" t="s">
        <v>1808</v>
      </c>
      <c r="S316" s="220" t="s">
        <v>1706</v>
      </c>
      <c r="T316" s="220" t="s">
        <v>1705</v>
      </c>
      <c r="U316" s="220"/>
      <c r="V316" s="220"/>
      <c r="W316" s="220"/>
      <c r="X316" s="220"/>
      <c r="Y316" s="283"/>
      <c r="Z316" s="220"/>
      <c r="AA316" s="220"/>
      <c r="AB316" s="220"/>
      <c r="AC316" s="220"/>
      <c r="AD316" s="220"/>
      <c r="AE316" s="283"/>
      <c r="AF316" s="220"/>
      <c r="AG316" s="220"/>
      <c r="AH316" s="220"/>
      <c r="AI316" s="220"/>
      <c r="AJ316" s="226">
        <v>1</v>
      </c>
      <c r="AK316" s="226">
        <v>0</v>
      </c>
      <c r="AL316" s="225">
        <v>1.589</v>
      </c>
      <c r="AM316" s="220"/>
      <c r="AN316" s="225">
        <v>3027.5590000000002</v>
      </c>
      <c r="AO316" s="220"/>
      <c r="AP316" s="220"/>
      <c r="AQ316" s="283"/>
      <c r="AR316" s="283"/>
      <c r="AS316" s="283"/>
      <c r="AT316" s="223">
        <v>0</v>
      </c>
      <c r="AU316" s="284">
        <v>400</v>
      </c>
      <c r="AV316" s="221">
        <v>42822</v>
      </c>
      <c r="AW316" s="221">
        <v>42822.727818055602</v>
      </c>
      <c r="AX316" s="220" t="s">
        <v>293</v>
      </c>
      <c r="AY316" s="219" t="s">
        <v>1807</v>
      </c>
    </row>
    <row r="317" spans="1:51" hidden="1" outlineLevel="1" collapsed="1">
      <c r="A317" s="227" t="s">
        <v>289</v>
      </c>
      <c r="B317" s="220" t="s">
        <v>1806</v>
      </c>
      <c r="C317" s="220" t="s">
        <v>1806</v>
      </c>
      <c r="D317" s="220" t="s">
        <v>1805</v>
      </c>
      <c r="E317" s="220" t="s">
        <v>1804</v>
      </c>
      <c r="F317" s="220" t="s">
        <v>1803</v>
      </c>
      <c r="G317" s="220"/>
      <c r="H317" s="220" t="s">
        <v>1802</v>
      </c>
      <c r="I317" s="220" t="s">
        <v>337</v>
      </c>
      <c r="J317" s="220" t="s">
        <v>297</v>
      </c>
      <c r="K317" s="220" t="s">
        <v>336</v>
      </c>
      <c r="L317" s="220" t="s">
        <v>1801</v>
      </c>
      <c r="M317" s="220" t="s">
        <v>1800</v>
      </c>
      <c r="N317" s="220" t="s">
        <v>337</v>
      </c>
      <c r="O317" s="220" t="s">
        <v>297</v>
      </c>
      <c r="P317" s="220" t="s">
        <v>336</v>
      </c>
      <c r="Q317" s="220" t="s">
        <v>1799</v>
      </c>
      <c r="R317" s="220"/>
      <c r="S317" s="220" t="s">
        <v>1680</v>
      </c>
      <c r="T317" s="220" t="s">
        <v>1679</v>
      </c>
      <c r="U317" s="220"/>
      <c r="V317" s="220"/>
      <c r="W317" s="220"/>
      <c r="X317" s="220"/>
      <c r="Y317" s="283"/>
      <c r="Z317" s="220"/>
      <c r="AA317" s="220" t="s">
        <v>1798</v>
      </c>
      <c r="AB317" s="220"/>
      <c r="AC317" s="220"/>
      <c r="AD317" s="220"/>
      <c r="AE317" s="283"/>
      <c r="AF317" s="220"/>
      <c r="AG317" s="220"/>
      <c r="AH317" s="220" t="s">
        <v>1797</v>
      </c>
      <c r="AI317" s="220"/>
      <c r="AJ317" s="226">
        <v>1</v>
      </c>
      <c r="AK317" s="226">
        <v>0</v>
      </c>
      <c r="AL317" s="225">
        <v>0.497</v>
      </c>
      <c r="AM317" s="220"/>
      <c r="AN317" s="225">
        <v>1349.691</v>
      </c>
      <c r="AO317" s="220"/>
      <c r="AP317" s="220"/>
      <c r="AQ317" s="283"/>
      <c r="AR317" s="283"/>
      <c r="AS317" s="283"/>
      <c r="AT317" s="223">
        <v>0</v>
      </c>
      <c r="AU317" s="284">
        <v>100</v>
      </c>
      <c r="AV317" s="221">
        <v>42823</v>
      </c>
      <c r="AW317" s="221">
        <v>42823.683478090301</v>
      </c>
      <c r="AX317" s="220" t="s">
        <v>293</v>
      </c>
      <c r="AY317" s="219" t="s">
        <v>1796</v>
      </c>
    </row>
    <row r="318" spans="1:51" ht="20.399999999999999" hidden="1" outlineLevel="1" collapsed="1">
      <c r="A318" s="227" t="s">
        <v>289</v>
      </c>
      <c r="B318" s="220" t="s">
        <v>1795</v>
      </c>
      <c r="C318" s="220" t="s">
        <v>1795</v>
      </c>
      <c r="D318" s="220" t="s">
        <v>1794</v>
      </c>
      <c r="E318" s="220" t="s">
        <v>1793</v>
      </c>
      <c r="F318" s="220" t="s">
        <v>1792</v>
      </c>
      <c r="G318" s="220" t="s">
        <v>1791</v>
      </c>
      <c r="H318" s="220" t="s">
        <v>1790</v>
      </c>
      <c r="I318" s="220" t="s">
        <v>1789</v>
      </c>
      <c r="J318" s="220" t="s">
        <v>297</v>
      </c>
      <c r="K318" s="220" t="s">
        <v>412</v>
      </c>
      <c r="L318" s="220" t="s">
        <v>1788</v>
      </c>
      <c r="M318" s="220" t="s">
        <v>958</v>
      </c>
      <c r="N318" s="220" t="s">
        <v>329</v>
      </c>
      <c r="O318" s="220" t="s">
        <v>297</v>
      </c>
      <c r="P318" s="220" t="s">
        <v>397</v>
      </c>
      <c r="Q318" s="220" t="s">
        <v>957</v>
      </c>
      <c r="R318" s="220"/>
      <c r="S318" s="220" t="s">
        <v>1698</v>
      </c>
      <c r="T318" s="220" t="s">
        <v>212</v>
      </c>
      <c r="U318" s="220"/>
      <c r="V318" s="220"/>
      <c r="W318" s="220"/>
      <c r="X318" s="220"/>
      <c r="Y318" s="283"/>
      <c r="Z318" s="220"/>
      <c r="AA318" s="220"/>
      <c r="AB318" s="220"/>
      <c r="AC318" s="220"/>
      <c r="AD318" s="220"/>
      <c r="AE318" s="283"/>
      <c r="AF318" s="220"/>
      <c r="AG318" s="220"/>
      <c r="AH318" s="220" t="s">
        <v>1787</v>
      </c>
      <c r="AI318" s="220"/>
      <c r="AJ318" s="226">
        <v>1</v>
      </c>
      <c r="AK318" s="226">
        <v>0</v>
      </c>
      <c r="AL318" s="225">
        <v>0.13800000000000001</v>
      </c>
      <c r="AM318" s="220"/>
      <c r="AN318" s="225">
        <v>2920</v>
      </c>
      <c r="AO318" s="220"/>
      <c r="AP318" s="220"/>
      <c r="AQ318" s="283"/>
      <c r="AR318" s="283"/>
      <c r="AS318" s="283"/>
      <c r="AT318" s="223">
        <v>0</v>
      </c>
      <c r="AU318" s="284">
        <v>250</v>
      </c>
      <c r="AV318" s="221">
        <v>42829</v>
      </c>
      <c r="AW318" s="221">
        <v>42824.630196411999</v>
      </c>
      <c r="AX318" s="220" t="s">
        <v>293</v>
      </c>
      <c r="AY318" s="219" t="s">
        <v>1786</v>
      </c>
    </row>
    <row r="319" spans="1:51" ht="20.399999999999999" hidden="1" outlineLevel="1" collapsed="1">
      <c r="A319" s="227" t="s">
        <v>289</v>
      </c>
      <c r="B319" s="220" t="s">
        <v>1785</v>
      </c>
      <c r="C319" s="220" t="s">
        <v>1785</v>
      </c>
      <c r="D319" s="220" t="s">
        <v>1784</v>
      </c>
      <c r="E319" s="220" t="s">
        <v>497</v>
      </c>
      <c r="F319" s="220" t="s">
        <v>1783</v>
      </c>
      <c r="G319" s="220"/>
      <c r="H319" s="220" t="s">
        <v>1782</v>
      </c>
      <c r="I319" s="220" t="s">
        <v>320</v>
      </c>
      <c r="J319" s="220" t="s">
        <v>297</v>
      </c>
      <c r="K319" s="220" t="s">
        <v>319</v>
      </c>
      <c r="L319" s="220" t="s">
        <v>1736</v>
      </c>
      <c r="M319" s="220" t="s">
        <v>1735</v>
      </c>
      <c r="N319" s="220" t="s">
        <v>320</v>
      </c>
      <c r="O319" s="220" t="s">
        <v>297</v>
      </c>
      <c r="P319" s="220" t="s">
        <v>319</v>
      </c>
      <c r="Q319" s="220" t="s">
        <v>1734</v>
      </c>
      <c r="R319" s="220"/>
      <c r="S319" s="220" t="s">
        <v>1715</v>
      </c>
      <c r="T319" s="220" t="s">
        <v>1714</v>
      </c>
      <c r="U319" s="220"/>
      <c r="V319" s="220"/>
      <c r="W319" s="220"/>
      <c r="X319" s="220"/>
      <c r="Y319" s="283"/>
      <c r="Z319" s="220"/>
      <c r="AA319" s="220"/>
      <c r="AB319" s="220"/>
      <c r="AC319" s="220"/>
      <c r="AD319" s="220"/>
      <c r="AE319" s="283"/>
      <c r="AF319" s="220"/>
      <c r="AG319" s="220"/>
      <c r="AH319" s="220" t="s">
        <v>1781</v>
      </c>
      <c r="AI319" s="220"/>
      <c r="AJ319" s="226">
        <v>1</v>
      </c>
      <c r="AK319" s="226">
        <v>0</v>
      </c>
      <c r="AL319" s="225">
        <v>0.49299999999999999</v>
      </c>
      <c r="AM319" s="220"/>
      <c r="AN319" s="225">
        <v>497.53100000000001</v>
      </c>
      <c r="AO319" s="220"/>
      <c r="AP319" s="220"/>
      <c r="AQ319" s="283"/>
      <c r="AR319" s="283"/>
      <c r="AS319" s="283"/>
      <c r="AT319" s="223">
        <v>0</v>
      </c>
      <c r="AU319" s="284">
        <v>225</v>
      </c>
      <c r="AV319" s="221">
        <v>42832</v>
      </c>
      <c r="AW319" s="221">
        <v>42832.536610266201</v>
      </c>
      <c r="AX319" s="220" t="s">
        <v>293</v>
      </c>
      <c r="AY319" s="219" t="s">
        <v>1780</v>
      </c>
    </row>
    <row r="320" spans="1:51" ht="20.399999999999999" hidden="1" outlineLevel="1" collapsed="1">
      <c r="A320" s="227" t="s">
        <v>289</v>
      </c>
      <c r="B320" s="220" t="s">
        <v>1779</v>
      </c>
      <c r="C320" s="220" t="s">
        <v>1779</v>
      </c>
      <c r="D320" s="220" t="s">
        <v>1778</v>
      </c>
      <c r="E320" s="220" t="s">
        <v>1777</v>
      </c>
      <c r="F320" s="220" t="s">
        <v>1776</v>
      </c>
      <c r="G320" s="220"/>
      <c r="H320" s="220" t="s">
        <v>1775</v>
      </c>
      <c r="I320" s="220" t="s">
        <v>320</v>
      </c>
      <c r="J320" s="220" t="s">
        <v>297</v>
      </c>
      <c r="K320" s="220" t="s">
        <v>319</v>
      </c>
      <c r="L320" s="220" t="s">
        <v>1736</v>
      </c>
      <c r="M320" s="220" t="s">
        <v>1735</v>
      </c>
      <c r="N320" s="220" t="s">
        <v>320</v>
      </c>
      <c r="O320" s="220" t="s">
        <v>297</v>
      </c>
      <c r="P320" s="220" t="s">
        <v>319</v>
      </c>
      <c r="Q320" s="220" t="s">
        <v>1734</v>
      </c>
      <c r="R320" s="220"/>
      <c r="S320" s="220" t="s">
        <v>1706</v>
      </c>
      <c r="T320" s="220" t="s">
        <v>1705</v>
      </c>
      <c r="U320" s="220"/>
      <c r="V320" s="220"/>
      <c r="W320" s="220"/>
      <c r="X320" s="220"/>
      <c r="Y320" s="283"/>
      <c r="Z320" s="220"/>
      <c r="AA320" s="220"/>
      <c r="AB320" s="220"/>
      <c r="AC320" s="220"/>
      <c r="AD320" s="220"/>
      <c r="AE320" s="283"/>
      <c r="AF320" s="220"/>
      <c r="AG320" s="220"/>
      <c r="AH320" s="220"/>
      <c r="AI320" s="220"/>
      <c r="AJ320" s="226">
        <v>1</v>
      </c>
      <c r="AK320" s="226">
        <v>0</v>
      </c>
      <c r="AL320" s="225">
        <v>2.3130000000000002</v>
      </c>
      <c r="AM320" s="220"/>
      <c r="AN320" s="225">
        <v>3858.7530000000002</v>
      </c>
      <c r="AO320" s="220"/>
      <c r="AP320" s="220"/>
      <c r="AQ320" s="283"/>
      <c r="AR320" s="283"/>
      <c r="AS320" s="283"/>
      <c r="AT320" s="223">
        <v>0</v>
      </c>
      <c r="AU320" s="284">
        <v>700</v>
      </c>
      <c r="AV320" s="221">
        <v>42832</v>
      </c>
      <c r="AW320" s="221">
        <v>42832.552044525502</v>
      </c>
      <c r="AX320" s="220" t="s">
        <v>293</v>
      </c>
      <c r="AY320" s="219" t="s">
        <v>1774</v>
      </c>
    </row>
    <row r="321" spans="1:51" ht="20.399999999999999" hidden="1" outlineLevel="1" collapsed="1">
      <c r="A321" s="227" t="s">
        <v>289</v>
      </c>
      <c r="B321" s="220" t="s">
        <v>1771</v>
      </c>
      <c r="C321" s="220" t="s">
        <v>1771</v>
      </c>
      <c r="D321" s="220" t="s">
        <v>1770</v>
      </c>
      <c r="E321" s="220" t="s">
        <v>1769</v>
      </c>
      <c r="F321" s="220" t="s">
        <v>1768</v>
      </c>
      <c r="G321" s="220" t="s">
        <v>1767</v>
      </c>
      <c r="H321" s="220" t="s">
        <v>1766</v>
      </c>
      <c r="I321" s="220" t="s">
        <v>1765</v>
      </c>
      <c r="J321" s="220" t="s">
        <v>297</v>
      </c>
      <c r="K321" s="220" t="s">
        <v>319</v>
      </c>
      <c r="L321" s="220" t="s">
        <v>1757</v>
      </c>
      <c r="M321" s="220" t="s">
        <v>1756</v>
      </c>
      <c r="N321" s="220" t="s">
        <v>413</v>
      </c>
      <c r="O321" s="220" t="s">
        <v>297</v>
      </c>
      <c r="P321" s="220" t="s">
        <v>412</v>
      </c>
      <c r="Q321" s="220" t="s">
        <v>1755</v>
      </c>
      <c r="R321" s="220"/>
      <c r="S321" s="220" t="s">
        <v>1715</v>
      </c>
      <c r="T321" s="220" t="s">
        <v>1714</v>
      </c>
      <c r="U321" s="220"/>
      <c r="V321" s="220"/>
      <c r="W321" s="220"/>
      <c r="X321" s="220"/>
      <c r="Y321" s="283"/>
      <c r="Z321" s="220"/>
      <c r="AA321" s="220"/>
      <c r="AB321" s="220"/>
      <c r="AC321" s="220"/>
      <c r="AD321" s="220"/>
      <c r="AE321" s="283"/>
      <c r="AF321" s="220"/>
      <c r="AG321" s="220"/>
      <c r="AH321" s="220" t="s">
        <v>1764</v>
      </c>
      <c r="AI321" s="220"/>
      <c r="AJ321" s="226">
        <v>1</v>
      </c>
      <c r="AK321" s="226">
        <v>0</v>
      </c>
      <c r="AL321" s="225">
        <v>0.49299999999999999</v>
      </c>
      <c r="AM321" s="220"/>
      <c r="AN321" s="225">
        <v>478.80500000000001</v>
      </c>
      <c r="AO321" s="220"/>
      <c r="AP321" s="220"/>
      <c r="AQ321" s="283"/>
      <c r="AR321" s="283"/>
      <c r="AS321" s="283"/>
      <c r="AT321" s="223">
        <v>0</v>
      </c>
      <c r="AU321" s="284">
        <v>225</v>
      </c>
      <c r="AV321" s="221">
        <v>42872</v>
      </c>
      <c r="AW321" s="221">
        <v>42872.457182754602</v>
      </c>
      <c r="AX321" s="220" t="s">
        <v>293</v>
      </c>
      <c r="AY321" s="219" t="s">
        <v>1763</v>
      </c>
    </row>
    <row r="322" spans="1:51" hidden="1" outlineLevel="1" collapsed="1">
      <c r="A322" s="227" t="s">
        <v>289</v>
      </c>
      <c r="B322" s="220" t="s">
        <v>1762</v>
      </c>
      <c r="C322" s="220" t="s">
        <v>1762</v>
      </c>
      <c r="D322" s="220" t="s">
        <v>1761</v>
      </c>
      <c r="E322" s="220" t="s">
        <v>1760</v>
      </c>
      <c r="F322" s="220" t="s">
        <v>1759</v>
      </c>
      <c r="G322" s="220"/>
      <c r="H322" s="220" t="s">
        <v>1758</v>
      </c>
      <c r="I322" s="220" t="s">
        <v>413</v>
      </c>
      <c r="J322" s="220" t="s">
        <v>297</v>
      </c>
      <c r="K322" s="220" t="s">
        <v>412</v>
      </c>
      <c r="L322" s="220" t="s">
        <v>1757</v>
      </c>
      <c r="M322" s="220" t="s">
        <v>1756</v>
      </c>
      <c r="N322" s="220" t="s">
        <v>413</v>
      </c>
      <c r="O322" s="220" t="s">
        <v>297</v>
      </c>
      <c r="P322" s="220" t="s">
        <v>412</v>
      </c>
      <c r="Q322" s="220" t="s">
        <v>1755</v>
      </c>
      <c r="R322" s="220"/>
      <c r="S322" s="220" t="s">
        <v>1680</v>
      </c>
      <c r="T322" s="220" t="s">
        <v>1679</v>
      </c>
      <c r="U322" s="220"/>
      <c r="V322" s="220"/>
      <c r="W322" s="220"/>
      <c r="X322" s="220"/>
      <c r="Y322" s="283"/>
      <c r="Z322" s="220"/>
      <c r="AA322" s="220" t="s">
        <v>1754</v>
      </c>
      <c r="AB322" s="220"/>
      <c r="AC322" s="220"/>
      <c r="AD322" s="220"/>
      <c r="AE322" s="283"/>
      <c r="AF322" s="220"/>
      <c r="AG322" s="220"/>
      <c r="AH322" s="220" t="s">
        <v>1753</v>
      </c>
      <c r="AI322" s="220"/>
      <c r="AJ322" s="226">
        <v>1</v>
      </c>
      <c r="AK322" s="226">
        <v>0</v>
      </c>
      <c r="AL322" s="225">
        <v>0.76</v>
      </c>
      <c r="AM322" s="220"/>
      <c r="AN322" s="225">
        <v>2535.279</v>
      </c>
      <c r="AO322" s="220"/>
      <c r="AP322" s="220"/>
      <c r="AQ322" s="283"/>
      <c r="AR322" s="283"/>
      <c r="AS322" s="283"/>
      <c r="AT322" s="223">
        <v>0</v>
      </c>
      <c r="AU322" s="284">
        <v>150</v>
      </c>
      <c r="AV322" s="221">
        <v>42877</v>
      </c>
      <c r="AW322" s="221">
        <v>42877.453338425898</v>
      </c>
      <c r="AX322" s="220" t="s">
        <v>293</v>
      </c>
      <c r="AY322" s="219" t="s">
        <v>1752</v>
      </c>
    </row>
    <row r="323" spans="1:51" ht="20.399999999999999" hidden="1" outlineLevel="1" collapsed="1">
      <c r="A323" s="227" t="s">
        <v>289</v>
      </c>
      <c r="B323" s="220" t="s">
        <v>1751</v>
      </c>
      <c r="C323" s="220" t="s">
        <v>1751</v>
      </c>
      <c r="D323" s="220" t="s">
        <v>1750</v>
      </c>
      <c r="E323" s="220" t="s">
        <v>1749</v>
      </c>
      <c r="F323" s="220" t="s">
        <v>1748</v>
      </c>
      <c r="G323" s="220"/>
      <c r="H323" s="220" t="s">
        <v>1747</v>
      </c>
      <c r="I323" s="220" t="s">
        <v>337</v>
      </c>
      <c r="J323" s="220" t="s">
        <v>297</v>
      </c>
      <c r="K323" s="220" t="s">
        <v>336</v>
      </c>
      <c r="L323" s="220" t="s">
        <v>1746</v>
      </c>
      <c r="M323" s="220" t="s">
        <v>1745</v>
      </c>
      <c r="N323" s="220" t="s">
        <v>337</v>
      </c>
      <c r="O323" s="220" t="s">
        <v>297</v>
      </c>
      <c r="P323" s="220" t="s">
        <v>336</v>
      </c>
      <c r="Q323" s="220" t="s">
        <v>1744</v>
      </c>
      <c r="R323" s="220"/>
      <c r="S323" s="220" t="s">
        <v>1715</v>
      </c>
      <c r="T323" s="220" t="s">
        <v>1714</v>
      </c>
      <c r="U323" s="220"/>
      <c r="V323" s="220"/>
      <c r="W323" s="220"/>
      <c r="X323" s="220"/>
      <c r="Y323" s="283"/>
      <c r="Z323" s="220"/>
      <c r="AA323" s="220"/>
      <c r="AB323" s="220"/>
      <c r="AC323" s="220"/>
      <c r="AD323" s="220"/>
      <c r="AE323" s="283"/>
      <c r="AF323" s="220"/>
      <c r="AG323" s="220"/>
      <c r="AH323" s="220" t="s">
        <v>1743</v>
      </c>
      <c r="AI323" s="220"/>
      <c r="AJ323" s="226">
        <v>1</v>
      </c>
      <c r="AK323" s="226">
        <v>0</v>
      </c>
      <c r="AL323" s="225">
        <v>0.42899999999999999</v>
      </c>
      <c r="AM323" s="220"/>
      <c r="AN323" s="225">
        <v>449.24099999999999</v>
      </c>
      <c r="AO323" s="220"/>
      <c r="AP323" s="220"/>
      <c r="AQ323" s="283"/>
      <c r="AR323" s="283"/>
      <c r="AS323" s="283"/>
      <c r="AT323" s="223">
        <v>0</v>
      </c>
      <c r="AU323" s="284">
        <v>187.5</v>
      </c>
      <c r="AV323" s="221">
        <v>42877</v>
      </c>
      <c r="AW323" s="221">
        <v>42877.6103021991</v>
      </c>
      <c r="AX323" s="220" t="s">
        <v>293</v>
      </c>
      <c r="AY323" s="219" t="s">
        <v>1742</v>
      </c>
    </row>
    <row r="324" spans="1:51" ht="20.399999999999999" hidden="1" outlineLevel="1" collapsed="1">
      <c r="A324" s="227" t="s">
        <v>289</v>
      </c>
      <c r="B324" s="220" t="s">
        <v>1741</v>
      </c>
      <c r="C324" s="220" t="s">
        <v>1741</v>
      </c>
      <c r="D324" s="220" t="s">
        <v>1740</v>
      </c>
      <c r="E324" s="220" t="s">
        <v>1739</v>
      </c>
      <c r="F324" s="220" t="s">
        <v>1738</v>
      </c>
      <c r="G324" s="220"/>
      <c r="H324" s="220" t="s">
        <v>1737</v>
      </c>
      <c r="I324" s="220" t="s">
        <v>320</v>
      </c>
      <c r="J324" s="220" t="s">
        <v>297</v>
      </c>
      <c r="K324" s="220" t="s">
        <v>319</v>
      </c>
      <c r="L324" s="220" t="s">
        <v>1736</v>
      </c>
      <c r="M324" s="220" t="s">
        <v>1735</v>
      </c>
      <c r="N324" s="220" t="s">
        <v>320</v>
      </c>
      <c r="O324" s="220" t="s">
        <v>297</v>
      </c>
      <c r="P324" s="220" t="s">
        <v>319</v>
      </c>
      <c r="Q324" s="220" t="s">
        <v>1734</v>
      </c>
      <c r="R324" s="220"/>
      <c r="S324" s="220" t="s">
        <v>1706</v>
      </c>
      <c r="T324" s="220" t="s">
        <v>1705</v>
      </c>
      <c r="U324" s="220"/>
      <c r="V324" s="220"/>
      <c r="W324" s="220"/>
      <c r="X324" s="220"/>
      <c r="Y324" s="283"/>
      <c r="Z324" s="220"/>
      <c r="AA324" s="220"/>
      <c r="AB324" s="220"/>
      <c r="AC324" s="220"/>
      <c r="AD324" s="220"/>
      <c r="AE324" s="283"/>
      <c r="AF324" s="220"/>
      <c r="AG324" s="220"/>
      <c r="AH324" s="220"/>
      <c r="AI324" s="220"/>
      <c r="AJ324" s="226">
        <v>1</v>
      </c>
      <c r="AK324" s="226">
        <v>0</v>
      </c>
      <c r="AL324" s="225">
        <v>1.6830000000000001</v>
      </c>
      <c r="AM324" s="220"/>
      <c r="AN324" s="225">
        <v>2756.252</v>
      </c>
      <c r="AO324" s="220"/>
      <c r="AP324" s="220"/>
      <c r="AQ324" s="283"/>
      <c r="AR324" s="283"/>
      <c r="AS324" s="283"/>
      <c r="AT324" s="223">
        <v>0</v>
      </c>
      <c r="AU324" s="284">
        <v>500</v>
      </c>
      <c r="AV324" s="221">
        <v>42919</v>
      </c>
      <c r="AW324" s="221">
        <v>42907.686208645799</v>
      </c>
      <c r="AX324" s="220" t="s">
        <v>293</v>
      </c>
      <c r="AY324" s="219" t="s">
        <v>1733</v>
      </c>
    </row>
    <row r="325" spans="1:51" ht="20.399999999999999" hidden="1" outlineLevel="1" collapsed="1">
      <c r="A325" s="227" t="s">
        <v>289</v>
      </c>
      <c r="B325" s="220" t="s">
        <v>1732</v>
      </c>
      <c r="C325" s="220" t="s">
        <v>1732</v>
      </c>
      <c r="D325" s="220" t="s">
        <v>1731</v>
      </c>
      <c r="E325" s="220" t="s">
        <v>1730</v>
      </c>
      <c r="F325" s="220" t="s">
        <v>1729</v>
      </c>
      <c r="G325" s="220"/>
      <c r="H325" s="220" t="s">
        <v>1728</v>
      </c>
      <c r="I325" s="220" t="s">
        <v>337</v>
      </c>
      <c r="J325" s="220" t="s">
        <v>297</v>
      </c>
      <c r="K325" s="220" t="s">
        <v>336</v>
      </c>
      <c r="L325" s="220" t="s">
        <v>1727</v>
      </c>
      <c r="M325" s="220" t="s">
        <v>1726</v>
      </c>
      <c r="N325" s="220" t="s">
        <v>329</v>
      </c>
      <c r="O325" s="220" t="s">
        <v>297</v>
      </c>
      <c r="P325" s="220" t="s">
        <v>328</v>
      </c>
      <c r="Q325" s="220"/>
      <c r="R325" s="220" t="s">
        <v>1725</v>
      </c>
      <c r="S325" s="220" t="s">
        <v>1706</v>
      </c>
      <c r="T325" s="220" t="s">
        <v>1705</v>
      </c>
      <c r="U325" s="220"/>
      <c r="V325" s="220"/>
      <c r="W325" s="220"/>
      <c r="X325" s="220"/>
      <c r="Y325" s="283"/>
      <c r="Z325" s="220"/>
      <c r="AA325" s="220"/>
      <c r="AB325" s="220"/>
      <c r="AC325" s="220"/>
      <c r="AD325" s="220"/>
      <c r="AE325" s="283"/>
      <c r="AF325" s="220"/>
      <c r="AG325" s="220"/>
      <c r="AH325" s="220"/>
      <c r="AI325" s="220"/>
      <c r="AJ325" s="226">
        <v>1</v>
      </c>
      <c r="AK325" s="226">
        <v>0</v>
      </c>
      <c r="AL325" s="225">
        <v>3.1379999999999999</v>
      </c>
      <c r="AM325" s="220"/>
      <c r="AN325" s="225">
        <v>5481.2939999999999</v>
      </c>
      <c r="AO325" s="220"/>
      <c r="AP325" s="220"/>
      <c r="AQ325" s="283"/>
      <c r="AR325" s="283"/>
      <c r="AS325" s="283"/>
      <c r="AT325" s="223">
        <v>0</v>
      </c>
      <c r="AU325" s="284">
        <v>1000</v>
      </c>
      <c r="AV325" s="221">
        <v>42919</v>
      </c>
      <c r="AW325" s="221">
        <v>42912.532128240702</v>
      </c>
      <c r="AX325" s="220" t="s">
        <v>293</v>
      </c>
      <c r="AY325" s="219" t="s">
        <v>1724</v>
      </c>
    </row>
    <row r="326" spans="1:51" ht="20.399999999999999" hidden="1" outlineLevel="1" collapsed="1">
      <c r="A326" s="227" t="s">
        <v>289</v>
      </c>
      <c r="B326" s="220" t="s">
        <v>1723</v>
      </c>
      <c r="C326" s="220" t="s">
        <v>1723</v>
      </c>
      <c r="D326" s="220" t="s">
        <v>1722</v>
      </c>
      <c r="E326" s="220" t="s">
        <v>323</v>
      </c>
      <c r="F326" s="220" t="s">
        <v>1721</v>
      </c>
      <c r="G326" s="220"/>
      <c r="H326" s="220" t="s">
        <v>1720</v>
      </c>
      <c r="I326" s="220" t="s">
        <v>329</v>
      </c>
      <c r="J326" s="220" t="s">
        <v>297</v>
      </c>
      <c r="K326" s="220" t="s">
        <v>397</v>
      </c>
      <c r="L326" s="220" t="s">
        <v>1719</v>
      </c>
      <c r="M326" s="220" t="s">
        <v>1718</v>
      </c>
      <c r="N326" s="220" t="s">
        <v>329</v>
      </c>
      <c r="O326" s="220" t="s">
        <v>297</v>
      </c>
      <c r="P326" s="220" t="s">
        <v>328</v>
      </c>
      <c r="Q326" s="220" t="s">
        <v>1717</v>
      </c>
      <c r="R326" s="220" t="s">
        <v>1716</v>
      </c>
      <c r="S326" s="220" t="s">
        <v>1715</v>
      </c>
      <c r="T326" s="220" t="s">
        <v>1714</v>
      </c>
      <c r="U326" s="220"/>
      <c r="V326" s="220"/>
      <c r="W326" s="220"/>
      <c r="X326" s="220"/>
      <c r="Y326" s="283"/>
      <c r="Z326" s="220"/>
      <c r="AA326" s="220"/>
      <c r="AB326" s="220"/>
      <c r="AC326" s="220"/>
      <c r="AD326" s="220"/>
      <c r="AE326" s="283"/>
      <c r="AF326" s="220"/>
      <c r="AG326" s="220"/>
      <c r="AH326" s="220" t="s">
        <v>1713</v>
      </c>
      <c r="AI326" s="220"/>
      <c r="AJ326" s="226">
        <v>1</v>
      </c>
      <c r="AK326" s="226">
        <v>0</v>
      </c>
      <c r="AL326" s="225">
        <v>1.625</v>
      </c>
      <c r="AM326" s="220"/>
      <c r="AN326" s="225">
        <v>3615.4960000000001</v>
      </c>
      <c r="AO326" s="220"/>
      <c r="AP326" s="220"/>
      <c r="AQ326" s="283"/>
      <c r="AR326" s="283"/>
      <c r="AS326" s="283"/>
      <c r="AT326" s="223">
        <v>0</v>
      </c>
      <c r="AU326" s="284">
        <v>300</v>
      </c>
      <c r="AV326" s="221">
        <v>42921</v>
      </c>
      <c r="AW326" s="221">
        <v>42921.5528611111</v>
      </c>
      <c r="AX326" s="220" t="s">
        <v>293</v>
      </c>
      <c r="AY326" s="219" t="s">
        <v>1712</v>
      </c>
    </row>
    <row r="327" spans="1:51" ht="20.399999999999999" hidden="1" outlineLevel="1" collapsed="1">
      <c r="A327" s="227" t="s">
        <v>289</v>
      </c>
      <c r="B327" s="220" t="s">
        <v>1711</v>
      </c>
      <c r="C327" s="220" t="s">
        <v>1711</v>
      </c>
      <c r="D327" s="220" t="s">
        <v>1710</v>
      </c>
      <c r="E327" s="220" t="s">
        <v>1709</v>
      </c>
      <c r="F327" s="220" t="s">
        <v>1708</v>
      </c>
      <c r="G327" s="220"/>
      <c r="H327" s="220" t="s">
        <v>1707</v>
      </c>
      <c r="I327" s="220" t="s">
        <v>928</v>
      </c>
      <c r="J327" s="220" t="s">
        <v>297</v>
      </c>
      <c r="K327" s="220" t="s">
        <v>412</v>
      </c>
      <c r="L327" s="220" t="s">
        <v>1690</v>
      </c>
      <c r="M327" s="220" t="s">
        <v>1689</v>
      </c>
      <c r="N327" s="220" t="s">
        <v>329</v>
      </c>
      <c r="O327" s="220" t="s">
        <v>297</v>
      </c>
      <c r="P327" s="220" t="s">
        <v>397</v>
      </c>
      <c r="Q327" s="220" t="s">
        <v>1688</v>
      </c>
      <c r="R327" s="220"/>
      <c r="S327" s="220" t="s">
        <v>1706</v>
      </c>
      <c r="T327" s="220" t="s">
        <v>1705</v>
      </c>
      <c r="U327" s="220"/>
      <c r="V327" s="220"/>
      <c r="W327" s="220"/>
      <c r="X327" s="220"/>
      <c r="Y327" s="283"/>
      <c r="Z327" s="220"/>
      <c r="AA327" s="220"/>
      <c r="AB327" s="220"/>
      <c r="AC327" s="220"/>
      <c r="AD327" s="220"/>
      <c r="AE327" s="283"/>
      <c r="AF327" s="220"/>
      <c r="AG327" s="220"/>
      <c r="AH327" s="220"/>
      <c r="AI327" s="220"/>
      <c r="AJ327" s="226">
        <v>1</v>
      </c>
      <c r="AK327" s="226">
        <v>0</v>
      </c>
      <c r="AL327" s="225">
        <v>2.016</v>
      </c>
      <c r="AM327" s="220"/>
      <c r="AN327" s="225">
        <v>3799.11</v>
      </c>
      <c r="AO327" s="220"/>
      <c r="AP327" s="220"/>
      <c r="AQ327" s="283"/>
      <c r="AR327" s="283"/>
      <c r="AS327" s="283"/>
      <c r="AT327" s="223">
        <v>0</v>
      </c>
      <c r="AU327" s="284">
        <v>500</v>
      </c>
      <c r="AV327" s="221">
        <v>42940</v>
      </c>
      <c r="AW327" s="221">
        <v>42940.8008198264</v>
      </c>
      <c r="AX327" s="220" t="s">
        <v>293</v>
      </c>
      <c r="AY327" s="219" t="s">
        <v>1704</v>
      </c>
    </row>
    <row r="328" spans="1:51" ht="20.399999999999999" hidden="1" outlineLevel="1" collapsed="1">
      <c r="A328" s="227" t="s">
        <v>289</v>
      </c>
      <c r="B328" s="220" t="s">
        <v>1703</v>
      </c>
      <c r="C328" s="220" t="s">
        <v>1703</v>
      </c>
      <c r="D328" s="220" t="s">
        <v>1702</v>
      </c>
      <c r="E328" s="220" t="s">
        <v>1701</v>
      </c>
      <c r="F328" s="220" t="s">
        <v>1700</v>
      </c>
      <c r="G328" s="220"/>
      <c r="H328" s="220" t="s">
        <v>1699</v>
      </c>
      <c r="I328" s="220" t="s">
        <v>413</v>
      </c>
      <c r="J328" s="220" t="s">
        <v>297</v>
      </c>
      <c r="K328" s="220" t="s">
        <v>412</v>
      </c>
      <c r="L328" s="220" t="s">
        <v>959</v>
      </c>
      <c r="M328" s="220" t="s">
        <v>958</v>
      </c>
      <c r="N328" s="220" t="s">
        <v>329</v>
      </c>
      <c r="O328" s="220" t="s">
        <v>297</v>
      </c>
      <c r="P328" s="220" t="s">
        <v>397</v>
      </c>
      <c r="Q328" s="220" t="s">
        <v>957</v>
      </c>
      <c r="R328" s="220"/>
      <c r="S328" s="220" t="s">
        <v>1698</v>
      </c>
      <c r="T328" s="220" t="s">
        <v>212</v>
      </c>
      <c r="U328" s="220"/>
      <c r="V328" s="220"/>
      <c r="W328" s="220"/>
      <c r="X328" s="220"/>
      <c r="Y328" s="283"/>
      <c r="Z328" s="220"/>
      <c r="AA328" s="220"/>
      <c r="AB328" s="220"/>
      <c r="AC328" s="220"/>
      <c r="AD328" s="220"/>
      <c r="AE328" s="283"/>
      <c r="AF328" s="220"/>
      <c r="AG328" s="220"/>
      <c r="AH328" s="220" t="s">
        <v>1697</v>
      </c>
      <c r="AI328" s="220"/>
      <c r="AJ328" s="226">
        <v>1</v>
      </c>
      <c r="AK328" s="226">
        <v>0</v>
      </c>
      <c r="AL328" s="225">
        <v>0.13900000000000001</v>
      </c>
      <c r="AM328" s="220"/>
      <c r="AN328" s="225">
        <v>2929</v>
      </c>
      <c r="AO328" s="220"/>
      <c r="AP328" s="220"/>
      <c r="AQ328" s="283"/>
      <c r="AR328" s="283"/>
      <c r="AS328" s="283"/>
      <c r="AT328" s="223">
        <v>0</v>
      </c>
      <c r="AU328" s="284">
        <v>250</v>
      </c>
      <c r="AV328" s="221">
        <v>42949</v>
      </c>
      <c r="AW328" s="221">
        <v>42947.585833333302</v>
      </c>
      <c r="AX328" s="220" t="s">
        <v>293</v>
      </c>
      <c r="AY328" s="219" t="s">
        <v>1696</v>
      </c>
    </row>
    <row r="329" spans="1:51" hidden="1" outlineLevel="1" collapsed="1">
      <c r="A329" s="227" t="s">
        <v>289</v>
      </c>
      <c r="B329" s="220" t="s">
        <v>1695</v>
      </c>
      <c r="C329" s="220" t="s">
        <v>1695</v>
      </c>
      <c r="D329" s="220" t="s">
        <v>1694</v>
      </c>
      <c r="E329" s="220" t="s">
        <v>1693</v>
      </c>
      <c r="F329" s="220" t="s">
        <v>1692</v>
      </c>
      <c r="G329" s="220"/>
      <c r="H329" s="220" t="s">
        <v>1691</v>
      </c>
      <c r="I329" s="220" t="s">
        <v>413</v>
      </c>
      <c r="J329" s="220" t="s">
        <v>297</v>
      </c>
      <c r="K329" s="220" t="s">
        <v>412</v>
      </c>
      <c r="L329" s="220" t="s">
        <v>1690</v>
      </c>
      <c r="M329" s="220" t="s">
        <v>1689</v>
      </c>
      <c r="N329" s="220" t="s">
        <v>329</v>
      </c>
      <c r="O329" s="220" t="s">
        <v>297</v>
      </c>
      <c r="P329" s="220" t="s">
        <v>397</v>
      </c>
      <c r="Q329" s="220" t="s">
        <v>1688</v>
      </c>
      <c r="R329" s="220"/>
      <c r="S329" s="220" t="s">
        <v>1680</v>
      </c>
      <c r="T329" s="220" t="s">
        <v>1679</v>
      </c>
      <c r="U329" s="220"/>
      <c r="V329" s="220"/>
      <c r="W329" s="220"/>
      <c r="X329" s="220"/>
      <c r="Y329" s="283"/>
      <c r="Z329" s="220"/>
      <c r="AA329" s="220" t="s">
        <v>1678</v>
      </c>
      <c r="AB329" s="220"/>
      <c r="AC329" s="220"/>
      <c r="AD329" s="220"/>
      <c r="AE329" s="283"/>
      <c r="AF329" s="220"/>
      <c r="AG329" s="220"/>
      <c r="AH329" s="220" t="s">
        <v>1687</v>
      </c>
      <c r="AI329" s="220"/>
      <c r="AJ329" s="226">
        <v>1</v>
      </c>
      <c r="AK329" s="226">
        <v>0</v>
      </c>
      <c r="AL329" s="225">
        <v>1.024</v>
      </c>
      <c r="AM329" s="220"/>
      <c r="AN329" s="225">
        <v>2818.1840000000002</v>
      </c>
      <c r="AO329" s="220"/>
      <c r="AP329" s="220"/>
      <c r="AQ329" s="283"/>
      <c r="AR329" s="283"/>
      <c r="AS329" s="283"/>
      <c r="AT329" s="223">
        <v>0</v>
      </c>
      <c r="AU329" s="284">
        <v>100</v>
      </c>
      <c r="AV329" s="221">
        <v>42956</v>
      </c>
      <c r="AW329" s="221">
        <v>42956.693181597198</v>
      </c>
      <c r="AX329" s="220" t="s">
        <v>293</v>
      </c>
      <c r="AY329" s="219" t="s">
        <v>1686</v>
      </c>
    </row>
    <row r="330" spans="1:51" hidden="1" outlineLevel="1" collapsed="1">
      <c r="A330" s="227" t="s">
        <v>289</v>
      </c>
      <c r="B330" s="220" t="s">
        <v>1685</v>
      </c>
      <c r="C330" s="220" t="s">
        <v>1685</v>
      </c>
      <c r="D330" s="220" t="s">
        <v>1684</v>
      </c>
      <c r="E330" s="220" t="s">
        <v>1683</v>
      </c>
      <c r="F330" s="220" t="s">
        <v>1682</v>
      </c>
      <c r="G330" s="220"/>
      <c r="H330" s="220" t="s">
        <v>1681</v>
      </c>
      <c r="I330" s="220" t="s">
        <v>329</v>
      </c>
      <c r="J330" s="220" t="s">
        <v>297</v>
      </c>
      <c r="K330" s="220" t="s">
        <v>328</v>
      </c>
      <c r="L330" s="220" t="s">
        <v>601</v>
      </c>
      <c r="M330" s="220" t="s">
        <v>600</v>
      </c>
      <c r="N330" s="220" t="s">
        <v>329</v>
      </c>
      <c r="O330" s="220" t="s">
        <v>297</v>
      </c>
      <c r="P330" s="220" t="s">
        <v>599</v>
      </c>
      <c r="Q330" s="220" t="s">
        <v>598</v>
      </c>
      <c r="R330" s="220"/>
      <c r="S330" s="220" t="s">
        <v>1680</v>
      </c>
      <c r="T330" s="220" t="s">
        <v>1679</v>
      </c>
      <c r="U330" s="220"/>
      <c r="V330" s="220"/>
      <c r="W330" s="220"/>
      <c r="X330" s="220"/>
      <c r="Y330" s="283"/>
      <c r="Z330" s="220"/>
      <c r="AA330" s="220" t="s">
        <v>1678</v>
      </c>
      <c r="AB330" s="220"/>
      <c r="AC330" s="220"/>
      <c r="AD330" s="220"/>
      <c r="AE330" s="283"/>
      <c r="AF330" s="220"/>
      <c r="AG330" s="220"/>
      <c r="AH330" s="220" t="s">
        <v>1677</v>
      </c>
      <c r="AI330" s="220"/>
      <c r="AJ330" s="226">
        <v>1</v>
      </c>
      <c r="AK330" s="226">
        <v>0</v>
      </c>
      <c r="AL330" s="225">
        <v>0.98399999999999999</v>
      </c>
      <c r="AM330" s="220"/>
      <c r="AN330" s="225">
        <v>2568.529</v>
      </c>
      <c r="AO330" s="220"/>
      <c r="AP330" s="220"/>
      <c r="AQ330" s="283"/>
      <c r="AR330" s="283"/>
      <c r="AS330" s="283"/>
      <c r="AT330" s="223">
        <v>0</v>
      </c>
      <c r="AU330" s="284">
        <v>100</v>
      </c>
      <c r="AV330" s="221">
        <v>42958</v>
      </c>
      <c r="AW330" s="221">
        <v>42958.703575115702</v>
      </c>
      <c r="AX330" s="220" t="s">
        <v>293</v>
      </c>
      <c r="AY330" s="219" t="s">
        <v>1676</v>
      </c>
    </row>
    <row r="331" spans="1:51" collapsed="1">
      <c r="A331" s="235" t="s">
        <v>1675</v>
      </c>
      <c r="B331" s="234">
        <v>128</v>
      </c>
      <c r="C331" s="279" t="s">
        <v>289</v>
      </c>
      <c r="D331" s="279" t="s">
        <v>289</v>
      </c>
      <c r="E331" s="279" t="s">
        <v>289</v>
      </c>
      <c r="F331" s="279" t="s">
        <v>289</v>
      </c>
      <c r="G331" s="279" t="s">
        <v>289</v>
      </c>
      <c r="H331" s="279" t="s">
        <v>289</v>
      </c>
      <c r="I331" s="279" t="s">
        <v>289</v>
      </c>
      <c r="J331" s="279" t="s">
        <v>289</v>
      </c>
      <c r="K331" s="279" t="s">
        <v>289</v>
      </c>
      <c r="L331" s="279" t="s">
        <v>289</v>
      </c>
      <c r="M331" s="279" t="s">
        <v>289</v>
      </c>
      <c r="N331" s="279" t="s">
        <v>289</v>
      </c>
      <c r="O331" s="279" t="s">
        <v>289</v>
      </c>
      <c r="P331" s="279" t="s">
        <v>289</v>
      </c>
      <c r="Q331" s="279" t="s">
        <v>289</v>
      </c>
      <c r="R331" s="279" t="s">
        <v>289</v>
      </c>
      <c r="S331" s="279" t="s">
        <v>289</v>
      </c>
      <c r="T331" s="279" t="s">
        <v>289</v>
      </c>
      <c r="U331" s="279" t="s">
        <v>289</v>
      </c>
      <c r="V331" s="279" t="s">
        <v>289</v>
      </c>
      <c r="W331" s="279" t="s">
        <v>289</v>
      </c>
      <c r="X331" s="279" t="s">
        <v>289</v>
      </c>
      <c r="Y331" s="231" t="s">
        <v>289</v>
      </c>
      <c r="Z331" s="231" t="s">
        <v>289</v>
      </c>
      <c r="AA331" s="231" t="s">
        <v>289</v>
      </c>
      <c r="AB331" s="231" t="s">
        <v>289</v>
      </c>
      <c r="AC331" s="231" t="s">
        <v>289</v>
      </c>
      <c r="AD331" s="231" t="s">
        <v>289</v>
      </c>
      <c r="AE331" s="231" t="s">
        <v>289</v>
      </c>
      <c r="AF331" s="231" t="s">
        <v>289</v>
      </c>
      <c r="AG331" s="231" t="s">
        <v>289</v>
      </c>
      <c r="AH331" s="231" t="s">
        <v>289</v>
      </c>
      <c r="AI331" s="231" t="s">
        <v>289</v>
      </c>
      <c r="AJ331" s="233">
        <v>1538</v>
      </c>
      <c r="AK331" s="233">
        <v>0</v>
      </c>
      <c r="AL331" s="232">
        <v>5.9438000000000004</v>
      </c>
      <c r="AM331" s="279"/>
      <c r="AN331" s="232">
        <v>50491.896000000001</v>
      </c>
      <c r="AO331" s="279"/>
      <c r="AP331" s="279"/>
      <c r="AQ331" s="231"/>
      <c r="AR331" s="231"/>
      <c r="AS331" s="231"/>
      <c r="AT331" s="230">
        <v>0</v>
      </c>
      <c r="AU331" s="229">
        <v>8130.0972000000002</v>
      </c>
      <c r="AV331" s="663" t="s">
        <v>289</v>
      </c>
      <c r="AW331" s="658"/>
      <c r="AX331" s="664"/>
      <c r="AY331" s="228" t="s">
        <v>289</v>
      </c>
    </row>
    <row r="332" spans="1:51" hidden="1" outlineLevel="1" collapsed="1">
      <c r="A332" s="227" t="s">
        <v>289</v>
      </c>
      <c r="B332" s="220" t="s">
        <v>1674</v>
      </c>
      <c r="C332" s="220" t="s">
        <v>1674</v>
      </c>
      <c r="D332" s="220" t="s">
        <v>1673</v>
      </c>
      <c r="E332" s="220" t="s">
        <v>1672</v>
      </c>
      <c r="F332" s="220" t="s">
        <v>1671</v>
      </c>
      <c r="G332" s="220"/>
      <c r="H332" s="220" t="s">
        <v>1670</v>
      </c>
      <c r="I332" s="220" t="s">
        <v>345</v>
      </c>
      <c r="J332" s="220" t="s">
        <v>297</v>
      </c>
      <c r="K332" s="220" t="s">
        <v>344</v>
      </c>
      <c r="L332" s="220" t="s">
        <v>601</v>
      </c>
      <c r="M332" s="220" t="s">
        <v>600</v>
      </c>
      <c r="N332" s="220" t="s">
        <v>329</v>
      </c>
      <c r="O332" s="220" t="s">
        <v>297</v>
      </c>
      <c r="P332" s="220" t="s">
        <v>599</v>
      </c>
      <c r="Q332" s="220" t="s">
        <v>598</v>
      </c>
      <c r="R332" s="220"/>
      <c r="S332" s="220" t="s">
        <v>791</v>
      </c>
      <c r="T332" s="220" t="s">
        <v>151</v>
      </c>
      <c r="U332" s="220"/>
      <c r="V332" s="220"/>
      <c r="W332" s="220"/>
      <c r="X332" s="220"/>
      <c r="Y332" s="283"/>
      <c r="Z332" s="220"/>
      <c r="AA332" s="220"/>
      <c r="AB332" s="220"/>
      <c r="AC332" s="220"/>
      <c r="AD332" s="220"/>
      <c r="AE332" s="283"/>
      <c r="AF332" s="220"/>
      <c r="AG332" s="220"/>
      <c r="AH332" s="220"/>
      <c r="AI332" s="220"/>
      <c r="AJ332" s="226">
        <v>12</v>
      </c>
      <c r="AK332" s="226">
        <v>0</v>
      </c>
      <c r="AL332" s="225">
        <v>4.5600000000000002E-2</v>
      </c>
      <c r="AM332" s="220"/>
      <c r="AN332" s="225">
        <v>387.20400000000001</v>
      </c>
      <c r="AO332" s="220"/>
      <c r="AP332" s="220"/>
      <c r="AQ332" s="283"/>
      <c r="AR332" s="283"/>
      <c r="AS332" s="283"/>
      <c r="AT332" s="223">
        <v>0</v>
      </c>
      <c r="AU332" s="284">
        <v>54</v>
      </c>
      <c r="AV332" s="221">
        <v>42641</v>
      </c>
      <c r="AW332" s="221">
        <v>42641.6487158565</v>
      </c>
      <c r="AX332" s="220" t="s">
        <v>293</v>
      </c>
      <c r="AY332" s="219" t="s">
        <v>1669</v>
      </c>
    </row>
    <row r="333" spans="1:51" hidden="1" outlineLevel="1" collapsed="1">
      <c r="A333" s="227" t="s">
        <v>289</v>
      </c>
      <c r="B333" s="220" t="s">
        <v>1668</v>
      </c>
      <c r="C333" s="220" t="s">
        <v>1668</v>
      </c>
      <c r="D333" s="220" t="s">
        <v>1667</v>
      </c>
      <c r="E333" s="220" t="s">
        <v>1666</v>
      </c>
      <c r="F333" s="220" t="s">
        <v>1665</v>
      </c>
      <c r="G333" s="220"/>
      <c r="H333" s="220" t="s">
        <v>1664</v>
      </c>
      <c r="I333" s="220" t="s">
        <v>345</v>
      </c>
      <c r="J333" s="220" t="s">
        <v>297</v>
      </c>
      <c r="K333" s="220" t="s">
        <v>344</v>
      </c>
      <c r="L333" s="220" t="s">
        <v>601</v>
      </c>
      <c r="M333" s="220" t="s">
        <v>600</v>
      </c>
      <c r="N333" s="220" t="s">
        <v>329</v>
      </c>
      <c r="O333" s="220" t="s">
        <v>297</v>
      </c>
      <c r="P333" s="220" t="s">
        <v>599</v>
      </c>
      <c r="Q333" s="220" t="s">
        <v>598</v>
      </c>
      <c r="R333" s="220"/>
      <c r="S333" s="220" t="s">
        <v>791</v>
      </c>
      <c r="T333" s="220" t="s">
        <v>151</v>
      </c>
      <c r="U333" s="220"/>
      <c r="V333" s="220"/>
      <c r="W333" s="220"/>
      <c r="X333" s="220"/>
      <c r="Y333" s="283"/>
      <c r="Z333" s="220"/>
      <c r="AA333" s="220"/>
      <c r="AB333" s="220"/>
      <c r="AC333" s="220"/>
      <c r="AD333" s="220"/>
      <c r="AE333" s="283"/>
      <c r="AF333" s="220"/>
      <c r="AG333" s="220"/>
      <c r="AH333" s="220"/>
      <c r="AI333" s="220"/>
      <c r="AJ333" s="226">
        <v>2</v>
      </c>
      <c r="AK333" s="226">
        <v>0</v>
      </c>
      <c r="AL333" s="225">
        <v>7.6E-3</v>
      </c>
      <c r="AM333" s="220"/>
      <c r="AN333" s="225">
        <v>64.534000000000006</v>
      </c>
      <c r="AO333" s="220"/>
      <c r="AP333" s="220"/>
      <c r="AQ333" s="283"/>
      <c r="AR333" s="283"/>
      <c r="AS333" s="283"/>
      <c r="AT333" s="223">
        <v>0</v>
      </c>
      <c r="AU333" s="284">
        <v>9</v>
      </c>
      <c r="AV333" s="221">
        <v>42641</v>
      </c>
      <c r="AW333" s="221">
        <v>42641.649760185202</v>
      </c>
      <c r="AX333" s="220" t="s">
        <v>293</v>
      </c>
      <c r="AY333" s="219" t="s">
        <v>1663</v>
      </c>
    </row>
    <row r="334" spans="1:51" ht="20.399999999999999" hidden="1" outlineLevel="1" collapsed="1">
      <c r="A334" s="227" t="s">
        <v>289</v>
      </c>
      <c r="B334" s="220" t="s">
        <v>1661</v>
      </c>
      <c r="C334" s="220" t="s">
        <v>1661</v>
      </c>
      <c r="D334" s="220" t="s">
        <v>1660</v>
      </c>
      <c r="E334" s="220" t="s">
        <v>1659</v>
      </c>
      <c r="F334" s="220" t="s">
        <v>1658</v>
      </c>
      <c r="G334" s="220"/>
      <c r="H334" s="220" t="s">
        <v>1657</v>
      </c>
      <c r="I334" s="220" t="s">
        <v>329</v>
      </c>
      <c r="J334" s="220" t="s">
        <v>297</v>
      </c>
      <c r="K334" s="220" t="s">
        <v>397</v>
      </c>
      <c r="L334" s="220" t="s">
        <v>601</v>
      </c>
      <c r="M334" s="220" t="s">
        <v>600</v>
      </c>
      <c r="N334" s="220" t="s">
        <v>329</v>
      </c>
      <c r="O334" s="220" t="s">
        <v>297</v>
      </c>
      <c r="P334" s="220" t="s">
        <v>599</v>
      </c>
      <c r="Q334" s="220" t="s">
        <v>598</v>
      </c>
      <c r="R334" s="220"/>
      <c r="S334" s="220" t="s">
        <v>791</v>
      </c>
      <c r="T334" s="220" t="s">
        <v>151</v>
      </c>
      <c r="U334" s="220"/>
      <c r="V334" s="220"/>
      <c r="W334" s="220"/>
      <c r="X334" s="220"/>
      <c r="Y334" s="283"/>
      <c r="Z334" s="220"/>
      <c r="AA334" s="220"/>
      <c r="AB334" s="220"/>
      <c r="AC334" s="220"/>
      <c r="AD334" s="220"/>
      <c r="AE334" s="283"/>
      <c r="AF334" s="220"/>
      <c r="AG334" s="220"/>
      <c r="AH334" s="220"/>
      <c r="AI334" s="220"/>
      <c r="AJ334" s="226">
        <v>5</v>
      </c>
      <c r="AK334" s="226">
        <v>0</v>
      </c>
      <c r="AL334" s="225">
        <v>0.02</v>
      </c>
      <c r="AM334" s="220"/>
      <c r="AN334" s="225">
        <v>168.9</v>
      </c>
      <c r="AO334" s="220"/>
      <c r="AP334" s="220"/>
      <c r="AQ334" s="283"/>
      <c r="AR334" s="283"/>
      <c r="AS334" s="283"/>
      <c r="AT334" s="223">
        <v>0</v>
      </c>
      <c r="AU334" s="284">
        <v>28</v>
      </c>
      <c r="AV334" s="221">
        <v>42641</v>
      </c>
      <c r="AW334" s="221">
        <v>42641.651869294001</v>
      </c>
      <c r="AX334" s="220" t="s">
        <v>293</v>
      </c>
      <c r="AY334" s="219" t="s">
        <v>1656</v>
      </c>
    </row>
    <row r="335" spans="1:51" ht="20.399999999999999" hidden="1" outlineLevel="1" collapsed="1">
      <c r="A335" s="227" t="s">
        <v>289</v>
      </c>
      <c r="B335" s="220" t="s">
        <v>1661</v>
      </c>
      <c r="C335" s="220" t="s">
        <v>1661</v>
      </c>
      <c r="D335" s="220" t="s">
        <v>1660</v>
      </c>
      <c r="E335" s="220" t="s">
        <v>1659</v>
      </c>
      <c r="F335" s="220" t="s">
        <v>1658</v>
      </c>
      <c r="G335" s="220"/>
      <c r="H335" s="220" t="s">
        <v>1657</v>
      </c>
      <c r="I335" s="220" t="s">
        <v>329</v>
      </c>
      <c r="J335" s="220" t="s">
        <v>297</v>
      </c>
      <c r="K335" s="220" t="s">
        <v>397</v>
      </c>
      <c r="L335" s="220" t="s">
        <v>601</v>
      </c>
      <c r="M335" s="220" t="s">
        <v>600</v>
      </c>
      <c r="N335" s="220" t="s">
        <v>329</v>
      </c>
      <c r="O335" s="220" t="s">
        <v>297</v>
      </c>
      <c r="P335" s="220" t="s">
        <v>599</v>
      </c>
      <c r="Q335" s="220" t="s">
        <v>598</v>
      </c>
      <c r="R335" s="220"/>
      <c r="S335" s="220" t="s">
        <v>791</v>
      </c>
      <c r="T335" s="220" t="s">
        <v>151</v>
      </c>
      <c r="U335" s="220"/>
      <c r="V335" s="220"/>
      <c r="W335" s="220"/>
      <c r="X335" s="220"/>
      <c r="Y335" s="283"/>
      <c r="Z335" s="220"/>
      <c r="AA335" s="220"/>
      <c r="AB335" s="220"/>
      <c r="AC335" s="220"/>
      <c r="AD335" s="220"/>
      <c r="AE335" s="283"/>
      <c r="AF335" s="220"/>
      <c r="AG335" s="220"/>
      <c r="AH335" s="220"/>
      <c r="AI335" s="220"/>
      <c r="AJ335" s="226">
        <v>6</v>
      </c>
      <c r="AK335" s="226">
        <v>0</v>
      </c>
      <c r="AL335" s="225">
        <v>2.2800000000000001E-2</v>
      </c>
      <c r="AM335" s="220"/>
      <c r="AN335" s="225">
        <v>193.602</v>
      </c>
      <c r="AO335" s="220"/>
      <c r="AP335" s="220"/>
      <c r="AQ335" s="283"/>
      <c r="AR335" s="283"/>
      <c r="AS335" s="283"/>
      <c r="AT335" s="223">
        <v>0</v>
      </c>
      <c r="AU335" s="284">
        <v>27</v>
      </c>
      <c r="AV335" s="221">
        <v>42641</v>
      </c>
      <c r="AW335" s="221">
        <v>42641.651869294001</v>
      </c>
      <c r="AX335" s="220" t="s">
        <v>293</v>
      </c>
      <c r="AY335" s="219" t="s">
        <v>1662</v>
      </c>
    </row>
    <row r="336" spans="1:51" hidden="1" outlineLevel="1" collapsed="1">
      <c r="A336" s="227" t="s">
        <v>289</v>
      </c>
      <c r="B336" s="220" t="s">
        <v>1655</v>
      </c>
      <c r="C336" s="220" t="s">
        <v>1655</v>
      </c>
      <c r="D336" s="220" t="s">
        <v>1654</v>
      </c>
      <c r="E336" s="220" t="s">
        <v>1653</v>
      </c>
      <c r="F336" s="220" t="s">
        <v>1652</v>
      </c>
      <c r="G336" s="220"/>
      <c r="H336" s="220" t="s">
        <v>1651</v>
      </c>
      <c r="I336" s="220" t="s">
        <v>329</v>
      </c>
      <c r="J336" s="220" t="s">
        <v>297</v>
      </c>
      <c r="K336" s="220" t="s">
        <v>397</v>
      </c>
      <c r="L336" s="220" t="s">
        <v>601</v>
      </c>
      <c r="M336" s="220" t="s">
        <v>600</v>
      </c>
      <c r="N336" s="220" t="s">
        <v>329</v>
      </c>
      <c r="O336" s="220" t="s">
        <v>297</v>
      </c>
      <c r="P336" s="220" t="s">
        <v>599</v>
      </c>
      <c r="Q336" s="220" t="s">
        <v>598</v>
      </c>
      <c r="R336" s="220"/>
      <c r="S336" s="220" t="s">
        <v>791</v>
      </c>
      <c r="T336" s="220" t="s">
        <v>151</v>
      </c>
      <c r="U336" s="220"/>
      <c r="V336" s="220"/>
      <c r="W336" s="220"/>
      <c r="X336" s="220"/>
      <c r="Y336" s="283"/>
      <c r="Z336" s="220"/>
      <c r="AA336" s="220"/>
      <c r="AB336" s="220"/>
      <c r="AC336" s="220"/>
      <c r="AD336" s="220"/>
      <c r="AE336" s="283"/>
      <c r="AF336" s="220"/>
      <c r="AG336" s="220"/>
      <c r="AH336" s="220"/>
      <c r="AI336" s="220"/>
      <c r="AJ336" s="226">
        <v>25</v>
      </c>
      <c r="AK336" s="226">
        <v>0</v>
      </c>
      <c r="AL336" s="225">
        <v>9.5000000000000001E-2</v>
      </c>
      <c r="AM336" s="220"/>
      <c r="AN336" s="225">
        <v>806.67499999999995</v>
      </c>
      <c r="AO336" s="220"/>
      <c r="AP336" s="220"/>
      <c r="AQ336" s="283"/>
      <c r="AR336" s="283"/>
      <c r="AS336" s="283"/>
      <c r="AT336" s="223">
        <v>0</v>
      </c>
      <c r="AU336" s="284">
        <v>112.5</v>
      </c>
      <c r="AV336" s="221">
        <v>42641</v>
      </c>
      <c r="AW336" s="221">
        <v>42641.659832638899</v>
      </c>
      <c r="AX336" s="220" t="s">
        <v>293</v>
      </c>
      <c r="AY336" s="219" t="s">
        <v>1650</v>
      </c>
    </row>
    <row r="337" spans="1:51" hidden="1" outlineLevel="1" collapsed="1">
      <c r="A337" s="227" t="s">
        <v>289</v>
      </c>
      <c r="B337" s="220" t="s">
        <v>1647</v>
      </c>
      <c r="C337" s="220" t="s">
        <v>1647</v>
      </c>
      <c r="D337" s="220" t="s">
        <v>1646</v>
      </c>
      <c r="E337" s="220" t="s">
        <v>1645</v>
      </c>
      <c r="F337" s="220" t="s">
        <v>1644</v>
      </c>
      <c r="G337" s="220"/>
      <c r="H337" s="220" t="s">
        <v>1643</v>
      </c>
      <c r="I337" s="220" t="s">
        <v>329</v>
      </c>
      <c r="J337" s="220" t="s">
        <v>297</v>
      </c>
      <c r="K337" s="220" t="s">
        <v>328</v>
      </c>
      <c r="L337" s="220" t="s">
        <v>601</v>
      </c>
      <c r="M337" s="220" t="s">
        <v>600</v>
      </c>
      <c r="N337" s="220" t="s">
        <v>329</v>
      </c>
      <c r="O337" s="220" t="s">
        <v>297</v>
      </c>
      <c r="P337" s="220" t="s">
        <v>599</v>
      </c>
      <c r="Q337" s="220" t="s">
        <v>598</v>
      </c>
      <c r="R337" s="220"/>
      <c r="S337" s="220" t="s">
        <v>791</v>
      </c>
      <c r="T337" s="220" t="s">
        <v>151</v>
      </c>
      <c r="U337" s="220"/>
      <c r="V337" s="220"/>
      <c r="W337" s="220"/>
      <c r="X337" s="220"/>
      <c r="Y337" s="283"/>
      <c r="Z337" s="220"/>
      <c r="AA337" s="220"/>
      <c r="AB337" s="220"/>
      <c r="AC337" s="220"/>
      <c r="AD337" s="220"/>
      <c r="AE337" s="283"/>
      <c r="AF337" s="220"/>
      <c r="AG337" s="220"/>
      <c r="AH337" s="220"/>
      <c r="AI337" s="220"/>
      <c r="AJ337" s="226">
        <v>4</v>
      </c>
      <c r="AK337" s="226">
        <v>0</v>
      </c>
      <c r="AL337" s="225">
        <v>1.6E-2</v>
      </c>
      <c r="AM337" s="220"/>
      <c r="AN337" s="225">
        <v>135.12</v>
      </c>
      <c r="AO337" s="220"/>
      <c r="AP337" s="220"/>
      <c r="AQ337" s="283"/>
      <c r="AR337" s="283"/>
      <c r="AS337" s="283"/>
      <c r="AT337" s="223">
        <v>0</v>
      </c>
      <c r="AU337" s="284">
        <v>22.4</v>
      </c>
      <c r="AV337" s="221">
        <v>42641</v>
      </c>
      <c r="AW337" s="221">
        <v>42641.660829016197</v>
      </c>
      <c r="AX337" s="220" t="s">
        <v>293</v>
      </c>
      <c r="AY337" s="219" t="s">
        <v>1642</v>
      </c>
    </row>
    <row r="338" spans="1:51" hidden="1" outlineLevel="1" collapsed="1">
      <c r="A338" s="227" t="s">
        <v>289</v>
      </c>
      <c r="B338" s="220" t="s">
        <v>1647</v>
      </c>
      <c r="C338" s="220" t="s">
        <v>1647</v>
      </c>
      <c r="D338" s="220" t="s">
        <v>1646</v>
      </c>
      <c r="E338" s="220" t="s">
        <v>1645</v>
      </c>
      <c r="F338" s="220" t="s">
        <v>1644</v>
      </c>
      <c r="G338" s="220"/>
      <c r="H338" s="220" t="s">
        <v>1643</v>
      </c>
      <c r="I338" s="220" t="s">
        <v>329</v>
      </c>
      <c r="J338" s="220" t="s">
        <v>297</v>
      </c>
      <c r="K338" s="220" t="s">
        <v>328</v>
      </c>
      <c r="L338" s="220" t="s">
        <v>601</v>
      </c>
      <c r="M338" s="220" t="s">
        <v>600</v>
      </c>
      <c r="N338" s="220" t="s">
        <v>329</v>
      </c>
      <c r="O338" s="220" t="s">
        <v>297</v>
      </c>
      <c r="P338" s="220" t="s">
        <v>599</v>
      </c>
      <c r="Q338" s="220" t="s">
        <v>598</v>
      </c>
      <c r="R338" s="220"/>
      <c r="S338" s="220" t="s">
        <v>791</v>
      </c>
      <c r="T338" s="220" t="s">
        <v>151</v>
      </c>
      <c r="U338" s="220"/>
      <c r="V338" s="220"/>
      <c r="W338" s="220"/>
      <c r="X338" s="220"/>
      <c r="Y338" s="283"/>
      <c r="Z338" s="220"/>
      <c r="AA338" s="220"/>
      <c r="AB338" s="220"/>
      <c r="AC338" s="220"/>
      <c r="AD338" s="220"/>
      <c r="AE338" s="283"/>
      <c r="AF338" s="220"/>
      <c r="AG338" s="220"/>
      <c r="AH338" s="220"/>
      <c r="AI338" s="220"/>
      <c r="AJ338" s="226">
        <v>4</v>
      </c>
      <c r="AK338" s="226">
        <v>0</v>
      </c>
      <c r="AL338" s="225">
        <v>1.0800000000000001E-2</v>
      </c>
      <c r="AM338" s="220"/>
      <c r="AN338" s="225">
        <v>92.768000000000001</v>
      </c>
      <c r="AO338" s="220"/>
      <c r="AP338" s="220"/>
      <c r="AQ338" s="283"/>
      <c r="AR338" s="283"/>
      <c r="AS338" s="283"/>
      <c r="AT338" s="223">
        <v>0</v>
      </c>
      <c r="AU338" s="284">
        <v>16</v>
      </c>
      <c r="AV338" s="221">
        <v>42641</v>
      </c>
      <c r="AW338" s="221">
        <v>42641.660829016197</v>
      </c>
      <c r="AX338" s="220" t="s">
        <v>293</v>
      </c>
      <c r="AY338" s="219" t="s">
        <v>1649</v>
      </c>
    </row>
    <row r="339" spans="1:51" hidden="1" outlineLevel="1" collapsed="1">
      <c r="A339" s="227" t="s">
        <v>289</v>
      </c>
      <c r="B339" s="220" t="s">
        <v>1647</v>
      </c>
      <c r="C339" s="220" t="s">
        <v>1647</v>
      </c>
      <c r="D339" s="220" t="s">
        <v>1646</v>
      </c>
      <c r="E339" s="220" t="s">
        <v>1645</v>
      </c>
      <c r="F339" s="220" t="s">
        <v>1644</v>
      </c>
      <c r="G339" s="220"/>
      <c r="H339" s="220" t="s">
        <v>1643</v>
      </c>
      <c r="I339" s="220" t="s">
        <v>329</v>
      </c>
      <c r="J339" s="220" t="s">
        <v>297</v>
      </c>
      <c r="K339" s="220" t="s">
        <v>328</v>
      </c>
      <c r="L339" s="220" t="s">
        <v>601</v>
      </c>
      <c r="M339" s="220" t="s">
        <v>600</v>
      </c>
      <c r="N339" s="220" t="s">
        <v>329</v>
      </c>
      <c r="O339" s="220" t="s">
        <v>297</v>
      </c>
      <c r="P339" s="220" t="s">
        <v>599</v>
      </c>
      <c r="Q339" s="220" t="s">
        <v>598</v>
      </c>
      <c r="R339" s="220"/>
      <c r="S339" s="220" t="s">
        <v>791</v>
      </c>
      <c r="T339" s="220" t="s">
        <v>151</v>
      </c>
      <c r="U339" s="220"/>
      <c r="V339" s="220"/>
      <c r="W339" s="220"/>
      <c r="X339" s="220"/>
      <c r="Y339" s="283"/>
      <c r="Z339" s="220"/>
      <c r="AA339" s="220"/>
      <c r="AB339" s="220"/>
      <c r="AC339" s="220"/>
      <c r="AD339" s="220"/>
      <c r="AE339" s="283"/>
      <c r="AF339" s="220"/>
      <c r="AG339" s="220"/>
      <c r="AH339" s="220"/>
      <c r="AI339" s="220"/>
      <c r="AJ339" s="226">
        <v>4</v>
      </c>
      <c r="AK339" s="226">
        <v>0</v>
      </c>
      <c r="AL339" s="225">
        <v>1.52E-2</v>
      </c>
      <c r="AM339" s="220"/>
      <c r="AN339" s="225">
        <v>129.06800000000001</v>
      </c>
      <c r="AO339" s="220"/>
      <c r="AP339" s="220"/>
      <c r="AQ339" s="283"/>
      <c r="AR339" s="283"/>
      <c r="AS339" s="283"/>
      <c r="AT339" s="223">
        <v>0</v>
      </c>
      <c r="AU339" s="284">
        <v>18</v>
      </c>
      <c r="AV339" s="221">
        <v>42641</v>
      </c>
      <c r="AW339" s="221">
        <v>42641.660829016197</v>
      </c>
      <c r="AX339" s="220" t="s">
        <v>293</v>
      </c>
      <c r="AY339" s="219" t="s">
        <v>1648</v>
      </c>
    </row>
    <row r="340" spans="1:51" hidden="1" outlineLevel="1" collapsed="1">
      <c r="A340" s="227" t="s">
        <v>289</v>
      </c>
      <c r="B340" s="220" t="s">
        <v>1641</v>
      </c>
      <c r="C340" s="220" t="s">
        <v>1641</v>
      </c>
      <c r="D340" s="220" t="s">
        <v>1640</v>
      </c>
      <c r="E340" s="220" t="s">
        <v>1639</v>
      </c>
      <c r="F340" s="220" t="s">
        <v>1638</v>
      </c>
      <c r="G340" s="220"/>
      <c r="H340" s="220" t="s">
        <v>1637</v>
      </c>
      <c r="I340" s="220" t="s">
        <v>329</v>
      </c>
      <c r="J340" s="220" t="s">
        <v>297</v>
      </c>
      <c r="K340" s="220" t="s">
        <v>328</v>
      </c>
      <c r="L340" s="220" t="s">
        <v>601</v>
      </c>
      <c r="M340" s="220" t="s">
        <v>600</v>
      </c>
      <c r="N340" s="220" t="s">
        <v>329</v>
      </c>
      <c r="O340" s="220" t="s">
        <v>297</v>
      </c>
      <c r="P340" s="220" t="s">
        <v>599</v>
      </c>
      <c r="Q340" s="220" t="s">
        <v>598</v>
      </c>
      <c r="R340" s="220"/>
      <c r="S340" s="220" t="s">
        <v>791</v>
      </c>
      <c r="T340" s="220" t="s">
        <v>151</v>
      </c>
      <c r="U340" s="220"/>
      <c r="V340" s="220"/>
      <c r="W340" s="220"/>
      <c r="X340" s="220"/>
      <c r="Y340" s="283"/>
      <c r="Z340" s="220"/>
      <c r="AA340" s="220"/>
      <c r="AB340" s="220"/>
      <c r="AC340" s="220"/>
      <c r="AD340" s="220"/>
      <c r="AE340" s="283"/>
      <c r="AF340" s="220"/>
      <c r="AG340" s="220"/>
      <c r="AH340" s="220"/>
      <c r="AI340" s="220"/>
      <c r="AJ340" s="226">
        <v>4</v>
      </c>
      <c r="AK340" s="226">
        <v>0</v>
      </c>
      <c r="AL340" s="225">
        <v>1.6E-2</v>
      </c>
      <c r="AM340" s="220"/>
      <c r="AN340" s="225">
        <v>135.12</v>
      </c>
      <c r="AO340" s="220"/>
      <c r="AP340" s="220"/>
      <c r="AQ340" s="283"/>
      <c r="AR340" s="283"/>
      <c r="AS340" s="283"/>
      <c r="AT340" s="223">
        <v>0</v>
      </c>
      <c r="AU340" s="284">
        <v>22.4</v>
      </c>
      <c r="AV340" s="221">
        <v>42641</v>
      </c>
      <c r="AW340" s="221">
        <v>42641.662202118103</v>
      </c>
      <c r="AX340" s="220" t="s">
        <v>293</v>
      </c>
      <c r="AY340" s="219" t="s">
        <v>1636</v>
      </c>
    </row>
    <row r="341" spans="1:51" hidden="1" outlineLevel="1" collapsed="1">
      <c r="A341" s="227" t="s">
        <v>289</v>
      </c>
      <c r="B341" s="220" t="s">
        <v>1634</v>
      </c>
      <c r="C341" s="220" t="s">
        <v>1634</v>
      </c>
      <c r="D341" s="220" t="s">
        <v>1633</v>
      </c>
      <c r="E341" s="220" t="s">
        <v>1632</v>
      </c>
      <c r="F341" s="220" t="s">
        <v>1631</v>
      </c>
      <c r="G341" s="220"/>
      <c r="H341" s="220" t="s">
        <v>1630</v>
      </c>
      <c r="I341" s="220" t="s">
        <v>329</v>
      </c>
      <c r="J341" s="220" t="s">
        <v>297</v>
      </c>
      <c r="K341" s="220" t="s">
        <v>397</v>
      </c>
      <c r="L341" s="220" t="s">
        <v>601</v>
      </c>
      <c r="M341" s="220" t="s">
        <v>600</v>
      </c>
      <c r="N341" s="220" t="s">
        <v>329</v>
      </c>
      <c r="O341" s="220" t="s">
        <v>297</v>
      </c>
      <c r="P341" s="220" t="s">
        <v>599</v>
      </c>
      <c r="Q341" s="220" t="s">
        <v>598</v>
      </c>
      <c r="R341" s="220"/>
      <c r="S341" s="220" t="s">
        <v>791</v>
      </c>
      <c r="T341" s="220" t="s">
        <v>151</v>
      </c>
      <c r="U341" s="220"/>
      <c r="V341" s="220"/>
      <c r="W341" s="220"/>
      <c r="X341" s="220"/>
      <c r="Y341" s="283"/>
      <c r="Z341" s="220"/>
      <c r="AA341" s="220"/>
      <c r="AB341" s="220"/>
      <c r="AC341" s="220"/>
      <c r="AD341" s="220"/>
      <c r="AE341" s="283"/>
      <c r="AF341" s="220"/>
      <c r="AG341" s="220"/>
      <c r="AH341" s="220"/>
      <c r="AI341" s="220"/>
      <c r="AJ341" s="226">
        <v>2</v>
      </c>
      <c r="AK341" s="226">
        <v>0</v>
      </c>
      <c r="AL341" s="225">
        <v>8.0000000000000002E-3</v>
      </c>
      <c r="AM341" s="220"/>
      <c r="AN341" s="225">
        <v>67.56</v>
      </c>
      <c r="AO341" s="220"/>
      <c r="AP341" s="220"/>
      <c r="AQ341" s="283"/>
      <c r="AR341" s="283"/>
      <c r="AS341" s="283"/>
      <c r="AT341" s="223">
        <v>0</v>
      </c>
      <c r="AU341" s="284">
        <v>11.2</v>
      </c>
      <c r="AV341" s="221">
        <v>42641</v>
      </c>
      <c r="AW341" s="221">
        <v>42641.666079594899</v>
      </c>
      <c r="AX341" s="220" t="s">
        <v>293</v>
      </c>
      <c r="AY341" s="219" t="s">
        <v>1629</v>
      </c>
    </row>
    <row r="342" spans="1:51" hidden="1" outlineLevel="1" collapsed="1">
      <c r="A342" s="227" t="s">
        <v>289</v>
      </c>
      <c r="B342" s="220" t="s">
        <v>1634</v>
      </c>
      <c r="C342" s="220" t="s">
        <v>1634</v>
      </c>
      <c r="D342" s="220" t="s">
        <v>1633</v>
      </c>
      <c r="E342" s="220" t="s">
        <v>1632</v>
      </c>
      <c r="F342" s="220" t="s">
        <v>1631</v>
      </c>
      <c r="G342" s="220"/>
      <c r="H342" s="220" t="s">
        <v>1630</v>
      </c>
      <c r="I342" s="220" t="s">
        <v>329</v>
      </c>
      <c r="J342" s="220" t="s">
        <v>297</v>
      </c>
      <c r="K342" s="220" t="s">
        <v>397</v>
      </c>
      <c r="L342" s="220" t="s">
        <v>601</v>
      </c>
      <c r="M342" s="220" t="s">
        <v>600</v>
      </c>
      <c r="N342" s="220" t="s">
        <v>329</v>
      </c>
      <c r="O342" s="220" t="s">
        <v>297</v>
      </c>
      <c r="P342" s="220" t="s">
        <v>599</v>
      </c>
      <c r="Q342" s="220" t="s">
        <v>598</v>
      </c>
      <c r="R342" s="220"/>
      <c r="S342" s="220" t="s">
        <v>791</v>
      </c>
      <c r="T342" s="220" t="s">
        <v>151</v>
      </c>
      <c r="U342" s="220"/>
      <c r="V342" s="220"/>
      <c r="W342" s="220"/>
      <c r="X342" s="220"/>
      <c r="Y342" s="283"/>
      <c r="Z342" s="220"/>
      <c r="AA342" s="220"/>
      <c r="AB342" s="220"/>
      <c r="AC342" s="220"/>
      <c r="AD342" s="220"/>
      <c r="AE342" s="283"/>
      <c r="AF342" s="220"/>
      <c r="AG342" s="220"/>
      <c r="AH342" s="220"/>
      <c r="AI342" s="220"/>
      <c r="AJ342" s="226">
        <v>1</v>
      </c>
      <c r="AK342" s="226">
        <v>0</v>
      </c>
      <c r="AL342" s="225">
        <v>3.8E-3</v>
      </c>
      <c r="AM342" s="220"/>
      <c r="AN342" s="225">
        <v>32.267000000000003</v>
      </c>
      <c r="AO342" s="220"/>
      <c r="AP342" s="220"/>
      <c r="AQ342" s="283"/>
      <c r="AR342" s="283"/>
      <c r="AS342" s="283"/>
      <c r="AT342" s="223">
        <v>0</v>
      </c>
      <c r="AU342" s="284">
        <v>4.5</v>
      </c>
      <c r="AV342" s="221">
        <v>42641</v>
      </c>
      <c r="AW342" s="221">
        <v>42641.666079594899</v>
      </c>
      <c r="AX342" s="220" t="s">
        <v>293</v>
      </c>
      <c r="AY342" s="219" t="s">
        <v>1635</v>
      </c>
    </row>
    <row r="343" spans="1:51" hidden="1" outlineLevel="1" collapsed="1">
      <c r="A343" s="227" t="s">
        <v>289</v>
      </c>
      <c r="B343" s="220" t="s">
        <v>1627</v>
      </c>
      <c r="C343" s="220" t="s">
        <v>1627</v>
      </c>
      <c r="D343" s="220" t="s">
        <v>1626</v>
      </c>
      <c r="E343" s="220" t="s">
        <v>1625</v>
      </c>
      <c r="F343" s="220" t="s">
        <v>1624</v>
      </c>
      <c r="G343" s="220"/>
      <c r="H343" s="220" t="s">
        <v>1623</v>
      </c>
      <c r="I343" s="220" t="s">
        <v>531</v>
      </c>
      <c r="J343" s="220" t="s">
        <v>297</v>
      </c>
      <c r="K343" s="220" t="s">
        <v>530</v>
      </c>
      <c r="L343" s="220" t="s">
        <v>601</v>
      </c>
      <c r="M343" s="220" t="s">
        <v>600</v>
      </c>
      <c r="N343" s="220" t="s">
        <v>329</v>
      </c>
      <c r="O343" s="220" t="s">
        <v>297</v>
      </c>
      <c r="P343" s="220" t="s">
        <v>599</v>
      </c>
      <c r="Q343" s="220" t="s">
        <v>598</v>
      </c>
      <c r="R343" s="220"/>
      <c r="S343" s="220" t="s">
        <v>791</v>
      </c>
      <c r="T343" s="220" t="s">
        <v>151</v>
      </c>
      <c r="U343" s="220"/>
      <c r="V343" s="220"/>
      <c r="W343" s="220"/>
      <c r="X343" s="220"/>
      <c r="Y343" s="283"/>
      <c r="Z343" s="220"/>
      <c r="AA343" s="220"/>
      <c r="AB343" s="220"/>
      <c r="AC343" s="220"/>
      <c r="AD343" s="220"/>
      <c r="AE343" s="283"/>
      <c r="AF343" s="220"/>
      <c r="AG343" s="220"/>
      <c r="AH343" s="220"/>
      <c r="AI343" s="220"/>
      <c r="AJ343" s="226">
        <v>4</v>
      </c>
      <c r="AK343" s="226">
        <v>0</v>
      </c>
      <c r="AL343" s="225">
        <v>1.52E-2</v>
      </c>
      <c r="AM343" s="220"/>
      <c r="AN343" s="225">
        <v>129.06800000000001</v>
      </c>
      <c r="AO343" s="220"/>
      <c r="AP343" s="220"/>
      <c r="AQ343" s="283"/>
      <c r="AR343" s="283"/>
      <c r="AS343" s="283"/>
      <c r="AT343" s="223">
        <v>0</v>
      </c>
      <c r="AU343" s="284">
        <v>18</v>
      </c>
      <c r="AV343" s="221">
        <v>42641</v>
      </c>
      <c r="AW343" s="221">
        <v>42641.667324305599</v>
      </c>
      <c r="AX343" s="220" t="s">
        <v>293</v>
      </c>
      <c r="AY343" s="219" t="s">
        <v>1622</v>
      </c>
    </row>
    <row r="344" spans="1:51" hidden="1" outlineLevel="1" collapsed="1">
      <c r="A344" s="227" t="s">
        <v>289</v>
      </c>
      <c r="B344" s="220" t="s">
        <v>1627</v>
      </c>
      <c r="C344" s="220" t="s">
        <v>1627</v>
      </c>
      <c r="D344" s="220" t="s">
        <v>1626</v>
      </c>
      <c r="E344" s="220" t="s">
        <v>1625</v>
      </c>
      <c r="F344" s="220" t="s">
        <v>1624</v>
      </c>
      <c r="G344" s="220"/>
      <c r="H344" s="220" t="s">
        <v>1623</v>
      </c>
      <c r="I344" s="220" t="s">
        <v>531</v>
      </c>
      <c r="J344" s="220" t="s">
        <v>297</v>
      </c>
      <c r="K344" s="220" t="s">
        <v>530</v>
      </c>
      <c r="L344" s="220" t="s">
        <v>601</v>
      </c>
      <c r="M344" s="220" t="s">
        <v>600</v>
      </c>
      <c r="N344" s="220" t="s">
        <v>329</v>
      </c>
      <c r="O344" s="220" t="s">
        <v>297</v>
      </c>
      <c r="P344" s="220" t="s">
        <v>599</v>
      </c>
      <c r="Q344" s="220" t="s">
        <v>598</v>
      </c>
      <c r="R344" s="220"/>
      <c r="S344" s="220" t="s">
        <v>791</v>
      </c>
      <c r="T344" s="220" t="s">
        <v>151</v>
      </c>
      <c r="U344" s="220"/>
      <c r="V344" s="220"/>
      <c r="W344" s="220"/>
      <c r="X344" s="220"/>
      <c r="Y344" s="283"/>
      <c r="Z344" s="220"/>
      <c r="AA344" s="220"/>
      <c r="AB344" s="220"/>
      <c r="AC344" s="220"/>
      <c r="AD344" s="220"/>
      <c r="AE344" s="283"/>
      <c r="AF344" s="220"/>
      <c r="AG344" s="220"/>
      <c r="AH344" s="220"/>
      <c r="AI344" s="220"/>
      <c r="AJ344" s="226">
        <v>1</v>
      </c>
      <c r="AK344" s="226">
        <v>0</v>
      </c>
      <c r="AL344" s="225">
        <v>4.0000000000000001E-3</v>
      </c>
      <c r="AM344" s="220"/>
      <c r="AN344" s="225">
        <v>33.78</v>
      </c>
      <c r="AO344" s="220"/>
      <c r="AP344" s="220"/>
      <c r="AQ344" s="283"/>
      <c r="AR344" s="283"/>
      <c r="AS344" s="283"/>
      <c r="AT344" s="223">
        <v>0</v>
      </c>
      <c r="AU344" s="284">
        <v>5.6</v>
      </c>
      <c r="AV344" s="221">
        <v>42641</v>
      </c>
      <c r="AW344" s="221">
        <v>42641.667324305599</v>
      </c>
      <c r="AX344" s="220" t="s">
        <v>293</v>
      </c>
      <c r="AY344" s="219" t="s">
        <v>1628</v>
      </c>
    </row>
    <row r="345" spans="1:51" hidden="1" outlineLevel="1" collapsed="1">
      <c r="A345" s="227" t="s">
        <v>289</v>
      </c>
      <c r="B345" s="220" t="s">
        <v>1621</v>
      </c>
      <c r="C345" s="220" t="s">
        <v>1621</v>
      </c>
      <c r="D345" s="220" t="s">
        <v>1364</v>
      </c>
      <c r="E345" s="220" t="s">
        <v>1363</v>
      </c>
      <c r="F345" s="220" t="s">
        <v>1362</v>
      </c>
      <c r="G345" s="220"/>
      <c r="H345" s="220" t="s">
        <v>1361</v>
      </c>
      <c r="I345" s="220" t="s">
        <v>329</v>
      </c>
      <c r="J345" s="220" t="s">
        <v>297</v>
      </c>
      <c r="K345" s="220" t="s">
        <v>328</v>
      </c>
      <c r="L345" s="220" t="s">
        <v>601</v>
      </c>
      <c r="M345" s="220" t="s">
        <v>600</v>
      </c>
      <c r="N345" s="220" t="s">
        <v>329</v>
      </c>
      <c r="O345" s="220" t="s">
        <v>297</v>
      </c>
      <c r="P345" s="220" t="s">
        <v>599</v>
      </c>
      <c r="Q345" s="220" t="s">
        <v>598</v>
      </c>
      <c r="R345" s="220"/>
      <c r="S345" s="220" t="s">
        <v>791</v>
      </c>
      <c r="T345" s="220" t="s">
        <v>151</v>
      </c>
      <c r="U345" s="220"/>
      <c r="V345" s="220"/>
      <c r="W345" s="220"/>
      <c r="X345" s="220"/>
      <c r="Y345" s="283"/>
      <c r="Z345" s="220"/>
      <c r="AA345" s="220"/>
      <c r="AB345" s="220"/>
      <c r="AC345" s="220"/>
      <c r="AD345" s="220"/>
      <c r="AE345" s="283"/>
      <c r="AF345" s="220"/>
      <c r="AG345" s="220"/>
      <c r="AH345" s="220"/>
      <c r="AI345" s="220"/>
      <c r="AJ345" s="226">
        <v>3</v>
      </c>
      <c r="AK345" s="226">
        <v>0</v>
      </c>
      <c r="AL345" s="225">
        <v>8.0999999999999996E-3</v>
      </c>
      <c r="AM345" s="220"/>
      <c r="AN345" s="225">
        <v>69.575999999999993</v>
      </c>
      <c r="AO345" s="220"/>
      <c r="AP345" s="220"/>
      <c r="AQ345" s="283"/>
      <c r="AR345" s="283"/>
      <c r="AS345" s="283"/>
      <c r="AT345" s="223">
        <v>0</v>
      </c>
      <c r="AU345" s="284">
        <v>12</v>
      </c>
      <c r="AV345" s="221">
        <v>42641</v>
      </c>
      <c r="AW345" s="221">
        <v>42641.672716203699</v>
      </c>
      <c r="AX345" s="220" t="s">
        <v>293</v>
      </c>
      <c r="AY345" s="219" t="s">
        <v>1620</v>
      </c>
    </row>
    <row r="346" spans="1:51" hidden="1" outlineLevel="1" collapsed="1">
      <c r="A346" s="227" t="s">
        <v>289</v>
      </c>
      <c r="B346" s="220" t="s">
        <v>1618</v>
      </c>
      <c r="C346" s="220" t="s">
        <v>1618</v>
      </c>
      <c r="D346" s="220" t="s">
        <v>1617</v>
      </c>
      <c r="E346" s="220" t="s">
        <v>1616</v>
      </c>
      <c r="F346" s="220" t="s">
        <v>1615</v>
      </c>
      <c r="G346" s="220"/>
      <c r="H346" s="220" t="s">
        <v>1614</v>
      </c>
      <c r="I346" s="220" t="s">
        <v>345</v>
      </c>
      <c r="J346" s="220" t="s">
        <v>297</v>
      </c>
      <c r="K346" s="220" t="s">
        <v>344</v>
      </c>
      <c r="L346" s="220" t="s">
        <v>601</v>
      </c>
      <c r="M346" s="220" t="s">
        <v>600</v>
      </c>
      <c r="N346" s="220" t="s">
        <v>329</v>
      </c>
      <c r="O346" s="220" t="s">
        <v>297</v>
      </c>
      <c r="P346" s="220" t="s">
        <v>599</v>
      </c>
      <c r="Q346" s="220" t="s">
        <v>598</v>
      </c>
      <c r="R346" s="220"/>
      <c r="S346" s="220" t="s">
        <v>791</v>
      </c>
      <c r="T346" s="220" t="s">
        <v>151</v>
      </c>
      <c r="U346" s="220"/>
      <c r="V346" s="220"/>
      <c r="W346" s="220"/>
      <c r="X346" s="220"/>
      <c r="Y346" s="283"/>
      <c r="Z346" s="220"/>
      <c r="AA346" s="220"/>
      <c r="AB346" s="220"/>
      <c r="AC346" s="220"/>
      <c r="AD346" s="220"/>
      <c r="AE346" s="283"/>
      <c r="AF346" s="220"/>
      <c r="AG346" s="220"/>
      <c r="AH346" s="220"/>
      <c r="AI346" s="220"/>
      <c r="AJ346" s="226">
        <v>4</v>
      </c>
      <c r="AK346" s="226">
        <v>0</v>
      </c>
      <c r="AL346" s="225">
        <v>1.6E-2</v>
      </c>
      <c r="AM346" s="220"/>
      <c r="AN346" s="225">
        <v>135.12</v>
      </c>
      <c r="AO346" s="220"/>
      <c r="AP346" s="220"/>
      <c r="AQ346" s="283"/>
      <c r="AR346" s="283"/>
      <c r="AS346" s="283"/>
      <c r="AT346" s="223">
        <v>0</v>
      </c>
      <c r="AU346" s="284">
        <v>22.4</v>
      </c>
      <c r="AV346" s="221">
        <v>42650</v>
      </c>
      <c r="AW346" s="221">
        <v>42650.501885451398</v>
      </c>
      <c r="AX346" s="220" t="s">
        <v>293</v>
      </c>
      <c r="AY346" s="219" t="s">
        <v>1619</v>
      </c>
    </row>
    <row r="347" spans="1:51" hidden="1" outlineLevel="1" collapsed="1">
      <c r="A347" s="227" t="s">
        <v>289</v>
      </c>
      <c r="B347" s="220" t="s">
        <v>1618</v>
      </c>
      <c r="C347" s="220" t="s">
        <v>1618</v>
      </c>
      <c r="D347" s="220" t="s">
        <v>1617</v>
      </c>
      <c r="E347" s="220" t="s">
        <v>1616</v>
      </c>
      <c r="F347" s="220" t="s">
        <v>1615</v>
      </c>
      <c r="G347" s="220"/>
      <c r="H347" s="220" t="s">
        <v>1614</v>
      </c>
      <c r="I347" s="220" t="s">
        <v>345</v>
      </c>
      <c r="J347" s="220" t="s">
        <v>297</v>
      </c>
      <c r="K347" s="220" t="s">
        <v>344</v>
      </c>
      <c r="L347" s="220" t="s">
        <v>601</v>
      </c>
      <c r="M347" s="220" t="s">
        <v>600</v>
      </c>
      <c r="N347" s="220" t="s">
        <v>329</v>
      </c>
      <c r="O347" s="220" t="s">
        <v>297</v>
      </c>
      <c r="P347" s="220" t="s">
        <v>599</v>
      </c>
      <c r="Q347" s="220" t="s">
        <v>598</v>
      </c>
      <c r="R347" s="220"/>
      <c r="S347" s="220" t="s">
        <v>791</v>
      </c>
      <c r="T347" s="220" t="s">
        <v>151</v>
      </c>
      <c r="U347" s="220"/>
      <c r="V347" s="220"/>
      <c r="W347" s="220"/>
      <c r="X347" s="220"/>
      <c r="Y347" s="283"/>
      <c r="Z347" s="220"/>
      <c r="AA347" s="220"/>
      <c r="AB347" s="220"/>
      <c r="AC347" s="220"/>
      <c r="AD347" s="220"/>
      <c r="AE347" s="283"/>
      <c r="AF347" s="220"/>
      <c r="AG347" s="220"/>
      <c r="AH347" s="220"/>
      <c r="AI347" s="220"/>
      <c r="AJ347" s="226">
        <v>20</v>
      </c>
      <c r="AK347" s="226">
        <v>0</v>
      </c>
      <c r="AL347" s="225">
        <v>7.5999999999999998E-2</v>
      </c>
      <c r="AM347" s="220"/>
      <c r="AN347" s="225">
        <v>645.34</v>
      </c>
      <c r="AO347" s="220"/>
      <c r="AP347" s="220"/>
      <c r="AQ347" s="283"/>
      <c r="AR347" s="283"/>
      <c r="AS347" s="283"/>
      <c r="AT347" s="223">
        <v>0</v>
      </c>
      <c r="AU347" s="284">
        <v>90</v>
      </c>
      <c r="AV347" s="221">
        <v>42650</v>
      </c>
      <c r="AW347" s="221">
        <v>42650.501885451398</v>
      </c>
      <c r="AX347" s="220" t="s">
        <v>293</v>
      </c>
      <c r="AY347" s="219" t="s">
        <v>1613</v>
      </c>
    </row>
    <row r="348" spans="1:51" hidden="1" outlineLevel="1" collapsed="1">
      <c r="A348" s="227" t="s">
        <v>289</v>
      </c>
      <c r="B348" s="220" t="s">
        <v>1612</v>
      </c>
      <c r="C348" s="220" t="s">
        <v>1612</v>
      </c>
      <c r="D348" s="220" t="s">
        <v>1611</v>
      </c>
      <c r="E348" s="220" t="s">
        <v>1610</v>
      </c>
      <c r="F348" s="220" t="s">
        <v>1609</v>
      </c>
      <c r="G348" s="220"/>
      <c r="H348" s="220" t="s">
        <v>1608</v>
      </c>
      <c r="I348" s="220" t="s">
        <v>337</v>
      </c>
      <c r="J348" s="220" t="s">
        <v>297</v>
      </c>
      <c r="K348" s="220" t="s">
        <v>336</v>
      </c>
      <c r="L348" s="220" t="s">
        <v>601</v>
      </c>
      <c r="M348" s="220" t="s">
        <v>600</v>
      </c>
      <c r="N348" s="220" t="s">
        <v>329</v>
      </c>
      <c r="O348" s="220" t="s">
        <v>297</v>
      </c>
      <c r="P348" s="220" t="s">
        <v>599</v>
      </c>
      <c r="Q348" s="220" t="s">
        <v>598</v>
      </c>
      <c r="R348" s="220"/>
      <c r="S348" s="220" t="s">
        <v>895</v>
      </c>
      <c r="T348" s="220" t="s">
        <v>150</v>
      </c>
      <c r="U348" s="220"/>
      <c r="V348" s="220"/>
      <c r="W348" s="220"/>
      <c r="X348" s="220"/>
      <c r="Y348" s="283"/>
      <c r="Z348" s="220"/>
      <c r="AA348" s="220"/>
      <c r="AB348" s="220"/>
      <c r="AC348" s="220"/>
      <c r="AD348" s="220"/>
      <c r="AE348" s="283"/>
      <c r="AF348" s="220"/>
      <c r="AG348" s="220"/>
      <c r="AH348" s="220" t="s">
        <v>1607</v>
      </c>
      <c r="AI348" s="220"/>
      <c r="AJ348" s="226">
        <v>94</v>
      </c>
      <c r="AK348" s="226">
        <v>0</v>
      </c>
      <c r="AL348" s="225">
        <v>0.36659999999999998</v>
      </c>
      <c r="AM348" s="220"/>
      <c r="AN348" s="225">
        <v>3127.944</v>
      </c>
      <c r="AO348" s="220"/>
      <c r="AP348" s="220"/>
      <c r="AQ348" s="283"/>
      <c r="AR348" s="283"/>
      <c r="AS348" s="283"/>
      <c r="AT348" s="223">
        <v>0</v>
      </c>
      <c r="AU348" s="284">
        <v>940</v>
      </c>
      <c r="AV348" s="221">
        <v>42660</v>
      </c>
      <c r="AW348" s="221">
        <v>42660.5513741088</v>
      </c>
      <c r="AX348" s="220" t="s">
        <v>293</v>
      </c>
      <c r="AY348" s="219" t="s">
        <v>1606</v>
      </c>
    </row>
    <row r="349" spans="1:51" hidden="1" outlineLevel="1" collapsed="1">
      <c r="A349" s="227" t="s">
        <v>289</v>
      </c>
      <c r="B349" s="220" t="s">
        <v>1604</v>
      </c>
      <c r="C349" s="220" t="s">
        <v>1604</v>
      </c>
      <c r="D349" s="220" t="s">
        <v>1603</v>
      </c>
      <c r="E349" s="220" t="s">
        <v>1602</v>
      </c>
      <c r="F349" s="220" t="s">
        <v>1601</v>
      </c>
      <c r="G349" s="220"/>
      <c r="H349" s="220" t="s">
        <v>1600</v>
      </c>
      <c r="I349" s="220" t="s">
        <v>480</v>
      </c>
      <c r="J349" s="220" t="s">
        <v>297</v>
      </c>
      <c r="K349" s="220" t="s">
        <v>479</v>
      </c>
      <c r="L349" s="220" t="s">
        <v>601</v>
      </c>
      <c r="M349" s="220" t="s">
        <v>600</v>
      </c>
      <c r="N349" s="220" t="s">
        <v>329</v>
      </c>
      <c r="O349" s="220" t="s">
        <v>297</v>
      </c>
      <c r="P349" s="220" t="s">
        <v>599</v>
      </c>
      <c r="Q349" s="220" t="s">
        <v>598</v>
      </c>
      <c r="R349" s="220"/>
      <c r="S349" s="220" t="s">
        <v>791</v>
      </c>
      <c r="T349" s="220" t="s">
        <v>151</v>
      </c>
      <c r="U349" s="220"/>
      <c r="V349" s="220"/>
      <c r="W349" s="220"/>
      <c r="X349" s="220"/>
      <c r="Y349" s="283"/>
      <c r="Z349" s="220"/>
      <c r="AA349" s="220"/>
      <c r="AB349" s="220"/>
      <c r="AC349" s="220"/>
      <c r="AD349" s="220"/>
      <c r="AE349" s="283"/>
      <c r="AF349" s="220"/>
      <c r="AG349" s="220"/>
      <c r="AH349" s="220"/>
      <c r="AI349" s="220"/>
      <c r="AJ349" s="226">
        <v>2</v>
      </c>
      <c r="AK349" s="226">
        <v>0</v>
      </c>
      <c r="AL349" s="225">
        <v>7.6E-3</v>
      </c>
      <c r="AM349" s="220"/>
      <c r="AN349" s="225">
        <v>64.534000000000006</v>
      </c>
      <c r="AO349" s="220"/>
      <c r="AP349" s="220"/>
      <c r="AQ349" s="283"/>
      <c r="AR349" s="283"/>
      <c r="AS349" s="283"/>
      <c r="AT349" s="223">
        <v>0</v>
      </c>
      <c r="AU349" s="284">
        <v>9</v>
      </c>
      <c r="AV349" s="221">
        <v>42660</v>
      </c>
      <c r="AW349" s="221">
        <v>42660.5947008449</v>
      </c>
      <c r="AX349" s="220" t="s">
        <v>293</v>
      </c>
      <c r="AY349" s="219" t="s">
        <v>1605</v>
      </c>
    </row>
    <row r="350" spans="1:51" hidden="1" outlineLevel="1" collapsed="1">
      <c r="A350" s="227" t="s">
        <v>289</v>
      </c>
      <c r="B350" s="220" t="s">
        <v>1604</v>
      </c>
      <c r="C350" s="220" t="s">
        <v>1604</v>
      </c>
      <c r="D350" s="220" t="s">
        <v>1603</v>
      </c>
      <c r="E350" s="220" t="s">
        <v>1602</v>
      </c>
      <c r="F350" s="220" t="s">
        <v>1601</v>
      </c>
      <c r="G350" s="220"/>
      <c r="H350" s="220" t="s">
        <v>1600</v>
      </c>
      <c r="I350" s="220" t="s">
        <v>480</v>
      </c>
      <c r="J350" s="220" t="s">
        <v>297</v>
      </c>
      <c r="K350" s="220" t="s">
        <v>479</v>
      </c>
      <c r="L350" s="220" t="s">
        <v>601</v>
      </c>
      <c r="M350" s="220" t="s">
        <v>600</v>
      </c>
      <c r="N350" s="220" t="s">
        <v>329</v>
      </c>
      <c r="O350" s="220" t="s">
        <v>297</v>
      </c>
      <c r="P350" s="220" t="s">
        <v>599</v>
      </c>
      <c r="Q350" s="220" t="s">
        <v>598</v>
      </c>
      <c r="R350" s="220"/>
      <c r="S350" s="220" t="s">
        <v>791</v>
      </c>
      <c r="T350" s="220" t="s">
        <v>151</v>
      </c>
      <c r="U350" s="220"/>
      <c r="V350" s="220"/>
      <c r="W350" s="220"/>
      <c r="X350" s="220"/>
      <c r="Y350" s="283"/>
      <c r="Z350" s="220"/>
      <c r="AA350" s="220"/>
      <c r="AB350" s="220"/>
      <c r="AC350" s="220"/>
      <c r="AD350" s="220"/>
      <c r="AE350" s="283"/>
      <c r="AF350" s="220"/>
      <c r="AG350" s="220"/>
      <c r="AH350" s="220"/>
      <c r="AI350" s="220"/>
      <c r="AJ350" s="226">
        <v>1</v>
      </c>
      <c r="AK350" s="226">
        <v>0</v>
      </c>
      <c r="AL350" s="225">
        <v>2.7000000000000001E-3</v>
      </c>
      <c r="AM350" s="220"/>
      <c r="AN350" s="225">
        <v>23.192</v>
      </c>
      <c r="AO350" s="220"/>
      <c r="AP350" s="220"/>
      <c r="AQ350" s="283"/>
      <c r="AR350" s="283"/>
      <c r="AS350" s="283"/>
      <c r="AT350" s="223">
        <v>0</v>
      </c>
      <c r="AU350" s="284">
        <v>4</v>
      </c>
      <c r="AV350" s="221">
        <v>42660</v>
      </c>
      <c r="AW350" s="221">
        <v>42660.5947008449</v>
      </c>
      <c r="AX350" s="220" t="s">
        <v>293</v>
      </c>
      <c r="AY350" s="219" t="s">
        <v>1599</v>
      </c>
    </row>
    <row r="351" spans="1:51" hidden="1" outlineLevel="1" collapsed="1">
      <c r="A351" s="227" t="s">
        <v>289</v>
      </c>
      <c r="B351" s="220" t="s">
        <v>1598</v>
      </c>
      <c r="C351" s="220" t="s">
        <v>1598</v>
      </c>
      <c r="D351" s="220" t="s">
        <v>1597</v>
      </c>
      <c r="E351" s="220" t="s">
        <v>1596</v>
      </c>
      <c r="F351" s="220" t="s">
        <v>1595</v>
      </c>
      <c r="G351" s="220"/>
      <c r="H351" s="220" t="s">
        <v>1594</v>
      </c>
      <c r="I351" s="220" t="s">
        <v>337</v>
      </c>
      <c r="J351" s="220" t="s">
        <v>297</v>
      </c>
      <c r="K351" s="220" t="s">
        <v>336</v>
      </c>
      <c r="L351" s="220" t="s">
        <v>601</v>
      </c>
      <c r="M351" s="220" t="s">
        <v>600</v>
      </c>
      <c r="N351" s="220" t="s">
        <v>329</v>
      </c>
      <c r="O351" s="220" t="s">
        <v>297</v>
      </c>
      <c r="P351" s="220" t="s">
        <v>599</v>
      </c>
      <c r="Q351" s="220" t="s">
        <v>598</v>
      </c>
      <c r="R351" s="220"/>
      <c r="S351" s="220" t="s">
        <v>791</v>
      </c>
      <c r="T351" s="220" t="s">
        <v>151</v>
      </c>
      <c r="U351" s="220"/>
      <c r="V351" s="220"/>
      <c r="W351" s="220"/>
      <c r="X351" s="220"/>
      <c r="Y351" s="283"/>
      <c r="Z351" s="220"/>
      <c r="AA351" s="220"/>
      <c r="AB351" s="220"/>
      <c r="AC351" s="220"/>
      <c r="AD351" s="220"/>
      <c r="AE351" s="283"/>
      <c r="AF351" s="220"/>
      <c r="AG351" s="220"/>
      <c r="AH351" s="220"/>
      <c r="AI351" s="220"/>
      <c r="AJ351" s="226">
        <v>2</v>
      </c>
      <c r="AK351" s="226">
        <v>0</v>
      </c>
      <c r="AL351" s="225">
        <v>7.6E-3</v>
      </c>
      <c r="AM351" s="220"/>
      <c r="AN351" s="225">
        <v>64.534000000000006</v>
      </c>
      <c r="AO351" s="220"/>
      <c r="AP351" s="220"/>
      <c r="AQ351" s="283"/>
      <c r="AR351" s="283"/>
      <c r="AS351" s="283"/>
      <c r="AT351" s="223">
        <v>0</v>
      </c>
      <c r="AU351" s="284">
        <v>9</v>
      </c>
      <c r="AV351" s="221">
        <v>42660</v>
      </c>
      <c r="AW351" s="221">
        <v>42660.596036307899</v>
      </c>
      <c r="AX351" s="220" t="s">
        <v>293</v>
      </c>
      <c r="AY351" s="219" t="s">
        <v>1593</v>
      </c>
    </row>
    <row r="352" spans="1:51" hidden="1" outlineLevel="1" collapsed="1">
      <c r="A352" s="227" t="s">
        <v>289</v>
      </c>
      <c r="B352" s="220" t="s">
        <v>1590</v>
      </c>
      <c r="C352" s="220" t="s">
        <v>1590</v>
      </c>
      <c r="D352" s="220" t="s">
        <v>1589</v>
      </c>
      <c r="E352" s="220" t="s">
        <v>1588</v>
      </c>
      <c r="F352" s="220" t="s">
        <v>1556</v>
      </c>
      <c r="G352" s="220"/>
      <c r="H352" s="220" t="s">
        <v>1587</v>
      </c>
      <c r="I352" s="220" t="s">
        <v>329</v>
      </c>
      <c r="J352" s="220" t="s">
        <v>297</v>
      </c>
      <c r="K352" s="220" t="s">
        <v>328</v>
      </c>
      <c r="L352" s="220" t="s">
        <v>601</v>
      </c>
      <c r="M352" s="220" t="s">
        <v>600</v>
      </c>
      <c r="N352" s="220" t="s">
        <v>329</v>
      </c>
      <c r="O352" s="220" t="s">
        <v>297</v>
      </c>
      <c r="P352" s="220" t="s">
        <v>599</v>
      </c>
      <c r="Q352" s="220" t="s">
        <v>598</v>
      </c>
      <c r="R352" s="220"/>
      <c r="S352" s="220" t="s">
        <v>791</v>
      </c>
      <c r="T352" s="220" t="s">
        <v>151</v>
      </c>
      <c r="U352" s="220"/>
      <c r="V352" s="220"/>
      <c r="W352" s="220"/>
      <c r="X352" s="220"/>
      <c r="Y352" s="283"/>
      <c r="Z352" s="220"/>
      <c r="AA352" s="220"/>
      <c r="AB352" s="220"/>
      <c r="AC352" s="220"/>
      <c r="AD352" s="220"/>
      <c r="AE352" s="283"/>
      <c r="AF352" s="220"/>
      <c r="AG352" s="220"/>
      <c r="AH352" s="220"/>
      <c r="AI352" s="220"/>
      <c r="AJ352" s="226">
        <v>6</v>
      </c>
      <c r="AK352" s="226">
        <v>0</v>
      </c>
      <c r="AL352" s="225">
        <v>1.6199999999999999E-2</v>
      </c>
      <c r="AM352" s="220"/>
      <c r="AN352" s="225">
        <v>139.15199999999999</v>
      </c>
      <c r="AO352" s="220"/>
      <c r="AP352" s="220"/>
      <c r="AQ352" s="283"/>
      <c r="AR352" s="283"/>
      <c r="AS352" s="283"/>
      <c r="AT352" s="223">
        <v>0</v>
      </c>
      <c r="AU352" s="284">
        <v>24</v>
      </c>
      <c r="AV352" s="221">
        <v>42660</v>
      </c>
      <c r="AW352" s="221">
        <v>42660.596960798597</v>
      </c>
      <c r="AX352" s="220" t="s">
        <v>293</v>
      </c>
      <c r="AY352" s="219" t="s">
        <v>1591</v>
      </c>
    </row>
    <row r="353" spans="1:51" hidden="1" outlineLevel="1" collapsed="1">
      <c r="A353" s="227" t="s">
        <v>289</v>
      </c>
      <c r="B353" s="220" t="s">
        <v>1590</v>
      </c>
      <c r="C353" s="220" t="s">
        <v>1590</v>
      </c>
      <c r="D353" s="220" t="s">
        <v>1589</v>
      </c>
      <c r="E353" s="220" t="s">
        <v>1588</v>
      </c>
      <c r="F353" s="220" t="s">
        <v>1556</v>
      </c>
      <c r="G353" s="220"/>
      <c r="H353" s="220" t="s">
        <v>1587</v>
      </c>
      <c r="I353" s="220" t="s">
        <v>329</v>
      </c>
      <c r="J353" s="220" t="s">
        <v>297</v>
      </c>
      <c r="K353" s="220" t="s">
        <v>328</v>
      </c>
      <c r="L353" s="220" t="s">
        <v>601</v>
      </c>
      <c r="M353" s="220" t="s">
        <v>600</v>
      </c>
      <c r="N353" s="220" t="s">
        <v>329</v>
      </c>
      <c r="O353" s="220" t="s">
        <v>297</v>
      </c>
      <c r="P353" s="220" t="s">
        <v>599</v>
      </c>
      <c r="Q353" s="220" t="s">
        <v>598</v>
      </c>
      <c r="R353" s="220"/>
      <c r="S353" s="220" t="s">
        <v>791</v>
      </c>
      <c r="T353" s="220" t="s">
        <v>151</v>
      </c>
      <c r="U353" s="220"/>
      <c r="V353" s="220"/>
      <c r="W353" s="220"/>
      <c r="X353" s="220"/>
      <c r="Y353" s="283"/>
      <c r="Z353" s="220"/>
      <c r="AA353" s="220"/>
      <c r="AB353" s="220"/>
      <c r="AC353" s="220"/>
      <c r="AD353" s="220"/>
      <c r="AE353" s="283"/>
      <c r="AF353" s="220"/>
      <c r="AG353" s="220"/>
      <c r="AH353" s="220"/>
      <c r="AI353" s="220"/>
      <c r="AJ353" s="226">
        <v>25</v>
      </c>
      <c r="AK353" s="226">
        <v>0</v>
      </c>
      <c r="AL353" s="225">
        <v>0.1</v>
      </c>
      <c r="AM353" s="220"/>
      <c r="AN353" s="225">
        <v>844.5</v>
      </c>
      <c r="AO353" s="220"/>
      <c r="AP353" s="220"/>
      <c r="AQ353" s="283"/>
      <c r="AR353" s="283"/>
      <c r="AS353" s="283"/>
      <c r="AT353" s="223">
        <v>0</v>
      </c>
      <c r="AU353" s="284">
        <v>140</v>
      </c>
      <c r="AV353" s="221">
        <v>42660</v>
      </c>
      <c r="AW353" s="221">
        <v>42660.596960798597</v>
      </c>
      <c r="AX353" s="220" t="s">
        <v>293</v>
      </c>
      <c r="AY353" s="219" t="s">
        <v>1586</v>
      </c>
    </row>
    <row r="354" spans="1:51" hidden="1" outlineLevel="1" collapsed="1">
      <c r="A354" s="227" t="s">
        <v>289</v>
      </c>
      <c r="B354" s="220" t="s">
        <v>1590</v>
      </c>
      <c r="C354" s="220" t="s">
        <v>1590</v>
      </c>
      <c r="D354" s="220" t="s">
        <v>1589</v>
      </c>
      <c r="E354" s="220" t="s">
        <v>1588</v>
      </c>
      <c r="F354" s="220" t="s">
        <v>1556</v>
      </c>
      <c r="G354" s="220"/>
      <c r="H354" s="220" t="s">
        <v>1587</v>
      </c>
      <c r="I354" s="220" t="s">
        <v>329</v>
      </c>
      <c r="J354" s="220" t="s">
        <v>297</v>
      </c>
      <c r="K354" s="220" t="s">
        <v>328</v>
      </c>
      <c r="L354" s="220" t="s">
        <v>601</v>
      </c>
      <c r="M354" s="220" t="s">
        <v>600</v>
      </c>
      <c r="N354" s="220" t="s">
        <v>329</v>
      </c>
      <c r="O354" s="220" t="s">
        <v>297</v>
      </c>
      <c r="P354" s="220" t="s">
        <v>599</v>
      </c>
      <c r="Q354" s="220" t="s">
        <v>598</v>
      </c>
      <c r="R354" s="220"/>
      <c r="S354" s="220" t="s">
        <v>791</v>
      </c>
      <c r="T354" s="220" t="s">
        <v>151</v>
      </c>
      <c r="U354" s="220"/>
      <c r="V354" s="220"/>
      <c r="W354" s="220"/>
      <c r="X354" s="220"/>
      <c r="Y354" s="283"/>
      <c r="Z354" s="220"/>
      <c r="AA354" s="220"/>
      <c r="AB354" s="220"/>
      <c r="AC354" s="220"/>
      <c r="AD354" s="220"/>
      <c r="AE354" s="283"/>
      <c r="AF354" s="220"/>
      <c r="AG354" s="220"/>
      <c r="AH354" s="220"/>
      <c r="AI354" s="220"/>
      <c r="AJ354" s="226">
        <v>12</v>
      </c>
      <c r="AK354" s="226">
        <v>0</v>
      </c>
      <c r="AL354" s="225">
        <v>4.5600000000000002E-2</v>
      </c>
      <c r="AM354" s="220"/>
      <c r="AN354" s="225">
        <v>387.20400000000001</v>
      </c>
      <c r="AO354" s="220"/>
      <c r="AP354" s="220"/>
      <c r="AQ354" s="283"/>
      <c r="AR354" s="283"/>
      <c r="AS354" s="283"/>
      <c r="AT354" s="223">
        <v>0</v>
      </c>
      <c r="AU354" s="284">
        <v>54</v>
      </c>
      <c r="AV354" s="221">
        <v>42660</v>
      </c>
      <c r="AW354" s="221">
        <v>42660.596960798597</v>
      </c>
      <c r="AX354" s="220" t="s">
        <v>293</v>
      </c>
      <c r="AY354" s="219" t="s">
        <v>1592</v>
      </c>
    </row>
    <row r="355" spans="1:51" hidden="1" outlineLevel="1" collapsed="1">
      <c r="A355" s="227" t="s">
        <v>289</v>
      </c>
      <c r="B355" s="220" t="s">
        <v>1585</v>
      </c>
      <c r="C355" s="220" t="s">
        <v>1585</v>
      </c>
      <c r="D355" s="220" t="s">
        <v>1584</v>
      </c>
      <c r="E355" s="220" t="s">
        <v>1583</v>
      </c>
      <c r="F355" s="220" t="s">
        <v>1582</v>
      </c>
      <c r="G355" s="220"/>
      <c r="H355" s="220" t="s">
        <v>1581</v>
      </c>
      <c r="I355" s="220" t="s">
        <v>308</v>
      </c>
      <c r="J355" s="220" t="s">
        <v>297</v>
      </c>
      <c r="K355" s="220" t="s">
        <v>307</v>
      </c>
      <c r="L355" s="220" t="s">
        <v>601</v>
      </c>
      <c r="M355" s="220" t="s">
        <v>600</v>
      </c>
      <c r="N355" s="220" t="s">
        <v>329</v>
      </c>
      <c r="O355" s="220" t="s">
        <v>297</v>
      </c>
      <c r="P355" s="220" t="s">
        <v>599</v>
      </c>
      <c r="Q355" s="220" t="s">
        <v>598</v>
      </c>
      <c r="R355" s="220"/>
      <c r="S355" s="220" t="s">
        <v>791</v>
      </c>
      <c r="T355" s="220" t="s">
        <v>151</v>
      </c>
      <c r="U355" s="220"/>
      <c r="V355" s="220"/>
      <c r="W355" s="220"/>
      <c r="X355" s="220"/>
      <c r="Y355" s="283"/>
      <c r="Z355" s="220"/>
      <c r="AA355" s="220"/>
      <c r="AB355" s="220"/>
      <c r="AC355" s="220"/>
      <c r="AD355" s="220"/>
      <c r="AE355" s="283"/>
      <c r="AF355" s="220"/>
      <c r="AG355" s="220"/>
      <c r="AH355" s="220"/>
      <c r="AI355" s="220"/>
      <c r="AJ355" s="226">
        <v>6</v>
      </c>
      <c r="AK355" s="226">
        <v>0</v>
      </c>
      <c r="AL355" s="225">
        <v>2.4E-2</v>
      </c>
      <c r="AM355" s="220"/>
      <c r="AN355" s="225">
        <v>202.68</v>
      </c>
      <c r="AO355" s="220"/>
      <c r="AP355" s="220"/>
      <c r="AQ355" s="283"/>
      <c r="AR355" s="283"/>
      <c r="AS355" s="283"/>
      <c r="AT355" s="223">
        <v>0</v>
      </c>
      <c r="AU355" s="284">
        <v>33.6</v>
      </c>
      <c r="AV355" s="221">
        <v>42660</v>
      </c>
      <c r="AW355" s="221">
        <v>42660.598553044001</v>
      </c>
      <c r="AX355" s="220" t="s">
        <v>293</v>
      </c>
      <c r="AY355" s="219" t="s">
        <v>1580</v>
      </c>
    </row>
    <row r="356" spans="1:51" hidden="1" outlineLevel="1" collapsed="1">
      <c r="A356" s="227" t="s">
        <v>289</v>
      </c>
      <c r="B356" s="220" t="s">
        <v>1578</v>
      </c>
      <c r="C356" s="220" t="s">
        <v>1578</v>
      </c>
      <c r="D356" s="220" t="s">
        <v>1577</v>
      </c>
      <c r="E356" s="220" t="s">
        <v>1576</v>
      </c>
      <c r="F356" s="220" t="s">
        <v>1575</v>
      </c>
      <c r="G356" s="220"/>
      <c r="H356" s="220" t="s">
        <v>1574</v>
      </c>
      <c r="I356" s="220" t="s">
        <v>337</v>
      </c>
      <c r="J356" s="220" t="s">
        <v>297</v>
      </c>
      <c r="K356" s="220" t="s">
        <v>336</v>
      </c>
      <c r="L356" s="220" t="s">
        <v>601</v>
      </c>
      <c r="M356" s="220" t="s">
        <v>600</v>
      </c>
      <c r="N356" s="220" t="s">
        <v>329</v>
      </c>
      <c r="O356" s="220" t="s">
        <v>297</v>
      </c>
      <c r="P356" s="220" t="s">
        <v>599</v>
      </c>
      <c r="Q356" s="220" t="s">
        <v>598</v>
      </c>
      <c r="R356" s="220"/>
      <c r="S356" s="220" t="s">
        <v>791</v>
      </c>
      <c r="T356" s="220" t="s">
        <v>151</v>
      </c>
      <c r="U356" s="220"/>
      <c r="V356" s="220"/>
      <c r="W356" s="220"/>
      <c r="X356" s="220"/>
      <c r="Y356" s="283"/>
      <c r="Z356" s="220"/>
      <c r="AA356" s="220"/>
      <c r="AB356" s="220"/>
      <c r="AC356" s="220"/>
      <c r="AD356" s="220"/>
      <c r="AE356" s="283"/>
      <c r="AF356" s="220"/>
      <c r="AG356" s="220"/>
      <c r="AH356" s="220"/>
      <c r="AI356" s="220"/>
      <c r="AJ356" s="226">
        <v>6</v>
      </c>
      <c r="AK356" s="226">
        <v>0</v>
      </c>
      <c r="AL356" s="225">
        <v>2.4E-2</v>
      </c>
      <c r="AM356" s="220"/>
      <c r="AN356" s="225">
        <v>202.68</v>
      </c>
      <c r="AO356" s="220"/>
      <c r="AP356" s="220"/>
      <c r="AQ356" s="283"/>
      <c r="AR356" s="283"/>
      <c r="AS356" s="283"/>
      <c r="AT356" s="223">
        <v>0</v>
      </c>
      <c r="AU356" s="284">
        <v>33.6</v>
      </c>
      <c r="AV356" s="221">
        <v>42660</v>
      </c>
      <c r="AW356" s="221">
        <v>42660.599751817099</v>
      </c>
      <c r="AX356" s="220" t="s">
        <v>293</v>
      </c>
      <c r="AY356" s="219" t="s">
        <v>1579</v>
      </c>
    </row>
    <row r="357" spans="1:51" hidden="1" outlineLevel="1" collapsed="1">
      <c r="A357" s="227" t="s">
        <v>289</v>
      </c>
      <c r="B357" s="220" t="s">
        <v>1578</v>
      </c>
      <c r="C357" s="220" t="s">
        <v>1578</v>
      </c>
      <c r="D357" s="220" t="s">
        <v>1577</v>
      </c>
      <c r="E357" s="220" t="s">
        <v>1576</v>
      </c>
      <c r="F357" s="220" t="s">
        <v>1575</v>
      </c>
      <c r="G357" s="220"/>
      <c r="H357" s="220" t="s">
        <v>1574</v>
      </c>
      <c r="I357" s="220" t="s">
        <v>337</v>
      </c>
      <c r="J357" s="220" t="s">
        <v>297</v>
      </c>
      <c r="K357" s="220" t="s">
        <v>336</v>
      </c>
      <c r="L357" s="220" t="s">
        <v>601</v>
      </c>
      <c r="M357" s="220" t="s">
        <v>600</v>
      </c>
      <c r="N357" s="220" t="s">
        <v>329</v>
      </c>
      <c r="O357" s="220" t="s">
        <v>297</v>
      </c>
      <c r="P357" s="220" t="s">
        <v>599</v>
      </c>
      <c r="Q357" s="220" t="s">
        <v>598</v>
      </c>
      <c r="R357" s="220"/>
      <c r="S357" s="220" t="s">
        <v>791</v>
      </c>
      <c r="T357" s="220" t="s">
        <v>151</v>
      </c>
      <c r="U357" s="220"/>
      <c r="V357" s="220"/>
      <c r="W357" s="220"/>
      <c r="X357" s="220"/>
      <c r="Y357" s="283"/>
      <c r="Z357" s="220"/>
      <c r="AA357" s="220"/>
      <c r="AB357" s="220"/>
      <c r="AC357" s="220"/>
      <c r="AD357" s="220"/>
      <c r="AE357" s="283"/>
      <c r="AF357" s="220"/>
      <c r="AG357" s="220"/>
      <c r="AH357" s="220"/>
      <c r="AI357" s="220"/>
      <c r="AJ357" s="226">
        <v>6</v>
      </c>
      <c r="AK357" s="226">
        <v>0</v>
      </c>
      <c r="AL357" s="225">
        <v>2.2800000000000001E-2</v>
      </c>
      <c r="AM357" s="220"/>
      <c r="AN357" s="225">
        <v>193.602</v>
      </c>
      <c r="AO357" s="220"/>
      <c r="AP357" s="220"/>
      <c r="AQ357" s="283"/>
      <c r="AR357" s="283"/>
      <c r="AS357" s="283"/>
      <c r="AT357" s="223">
        <v>0</v>
      </c>
      <c r="AU357" s="284">
        <v>27</v>
      </c>
      <c r="AV357" s="221">
        <v>42660</v>
      </c>
      <c r="AW357" s="221">
        <v>42660.599751817099</v>
      </c>
      <c r="AX357" s="220" t="s">
        <v>293</v>
      </c>
      <c r="AY357" s="219" t="s">
        <v>1573</v>
      </c>
    </row>
    <row r="358" spans="1:51" hidden="1" outlineLevel="1" collapsed="1">
      <c r="A358" s="227" t="s">
        <v>289</v>
      </c>
      <c r="B358" s="220" t="s">
        <v>1572</v>
      </c>
      <c r="C358" s="220" t="s">
        <v>1572</v>
      </c>
      <c r="D358" s="220" t="s">
        <v>1571</v>
      </c>
      <c r="E358" s="220" t="s">
        <v>1570</v>
      </c>
      <c r="F358" s="220" t="s">
        <v>1569</v>
      </c>
      <c r="G358" s="220"/>
      <c r="H358" s="220" t="s">
        <v>1568</v>
      </c>
      <c r="I358" s="220" t="s">
        <v>329</v>
      </c>
      <c r="J358" s="220" t="s">
        <v>297</v>
      </c>
      <c r="K358" s="220" t="s">
        <v>328</v>
      </c>
      <c r="L358" s="220" t="s">
        <v>601</v>
      </c>
      <c r="M358" s="220" t="s">
        <v>600</v>
      </c>
      <c r="N358" s="220" t="s">
        <v>329</v>
      </c>
      <c r="O358" s="220" t="s">
        <v>297</v>
      </c>
      <c r="P358" s="220" t="s">
        <v>599</v>
      </c>
      <c r="Q358" s="220" t="s">
        <v>598</v>
      </c>
      <c r="R358" s="220"/>
      <c r="S358" s="220" t="s">
        <v>791</v>
      </c>
      <c r="T358" s="220" t="s">
        <v>151</v>
      </c>
      <c r="U358" s="220"/>
      <c r="V358" s="220"/>
      <c r="W358" s="220"/>
      <c r="X358" s="220"/>
      <c r="Y358" s="283"/>
      <c r="Z358" s="220"/>
      <c r="AA358" s="220"/>
      <c r="AB358" s="220"/>
      <c r="AC358" s="220"/>
      <c r="AD358" s="220"/>
      <c r="AE358" s="283"/>
      <c r="AF358" s="220"/>
      <c r="AG358" s="220"/>
      <c r="AH358" s="220"/>
      <c r="AI358" s="220"/>
      <c r="AJ358" s="226">
        <v>2</v>
      </c>
      <c r="AK358" s="226">
        <v>0</v>
      </c>
      <c r="AL358" s="225">
        <v>7.6E-3</v>
      </c>
      <c r="AM358" s="220"/>
      <c r="AN358" s="225">
        <v>64.534000000000006</v>
      </c>
      <c r="AO358" s="220"/>
      <c r="AP358" s="220"/>
      <c r="AQ358" s="283"/>
      <c r="AR358" s="283"/>
      <c r="AS358" s="283"/>
      <c r="AT358" s="223">
        <v>0</v>
      </c>
      <c r="AU358" s="284">
        <v>9</v>
      </c>
      <c r="AV358" s="221">
        <v>42664</v>
      </c>
      <c r="AW358" s="221">
        <v>42664.595228472201</v>
      </c>
      <c r="AX358" s="220" t="s">
        <v>293</v>
      </c>
      <c r="AY358" s="219" t="s">
        <v>1567</v>
      </c>
    </row>
    <row r="359" spans="1:51" hidden="1" outlineLevel="1" collapsed="1">
      <c r="A359" s="227" t="s">
        <v>289</v>
      </c>
      <c r="B359" s="220" t="s">
        <v>1566</v>
      </c>
      <c r="C359" s="220" t="s">
        <v>1566</v>
      </c>
      <c r="D359" s="220" t="s">
        <v>1565</v>
      </c>
      <c r="E359" s="220" t="s">
        <v>1564</v>
      </c>
      <c r="F359" s="220" t="s">
        <v>1563</v>
      </c>
      <c r="G359" s="220"/>
      <c r="H359" s="220" t="s">
        <v>1562</v>
      </c>
      <c r="I359" s="220" t="s">
        <v>345</v>
      </c>
      <c r="J359" s="220" t="s">
        <v>297</v>
      </c>
      <c r="K359" s="220" t="s">
        <v>344</v>
      </c>
      <c r="L359" s="220" t="s">
        <v>601</v>
      </c>
      <c r="M359" s="220" t="s">
        <v>600</v>
      </c>
      <c r="N359" s="220" t="s">
        <v>329</v>
      </c>
      <c r="O359" s="220" t="s">
        <v>297</v>
      </c>
      <c r="P359" s="220" t="s">
        <v>599</v>
      </c>
      <c r="Q359" s="220" t="s">
        <v>598</v>
      </c>
      <c r="R359" s="220"/>
      <c r="S359" s="220" t="s">
        <v>791</v>
      </c>
      <c r="T359" s="220" t="s">
        <v>151</v>
      </c>
      <c r="U359" s="220"/>
      <c r="V359" s="220"/>
      <c r="W359" s="220"/>
      <c r="X359" s="220"/>
      <c r="Y359" s="283"/>
      <c r="Z359" s="220"/>
      <c r="AA359" s="220"/>
      <c r="AB359" s="220"/>
      <c r="AC359" s="220"/>
      <c r="AD359" s="220"/>
      <c r="AE359" s="283"/>
      <c r="AF359" s="220"/>
      <c r="AG359" s="220"/>
      <c r="AH359" s="220"/>
      <c r="AI359" s="220"/>
      <c r="AJ359" s="226">
        <v>4</v>
      </c>
      <c r="AK359" s="226">
        <v>0</v>
      </c>
      <c r="AL359" s="225">
        <v>1.0800000000000001E-2</v>
      </c>
      <c r="AM359" s="220"/>
      <c r="AN359" s="225">
        <v>92.768000000000001</v>
      </c>
      <c r="AO359" s="220"/>
      <c r="AP359" s="220"/>
      <c r="AQ359" s="283"/>
      <c r="AR359" s="283"/>
      <c r="AS359" s="283"/>
      <c r="AT359" s="223">
        <v>0</v>
      </c>
      <c r="AU359" s="284">
        <v>16</v>
      </c>
      <c r="AV359" s="221">
        <v>42664</v>
      </c>
      <c r="AW359" s="221">
        <v>42664.596134108797</v>
      </c>
      <c r="AX359" s="220" t="s">
        <v>293</v>
      </c>
      <c r="AY359" s="219" t="s">
        <v>1561</v>
      </c>
    </row>
    <row r="360" spans="1:51" hidden="1" outlineLevel="1" collapsed="1">
      <c r="A360" s="227" t="s">
        <v>289</v>
      </c>
      <c r="B360" s="220" t="s">
        <v>1559</v>
      </c>
      <c r="C360" s="220" t="s">
        <v>1559</v>
      </c>
      <c r="D360" s="220" t="s">
        <v>1558</v>
      </c>
      <c r="E360" s="220" t="s">
        <v>1557</v>
      </c>
      <c r="F360" s="220" t="s">
        <v>1556</v>
      </c>
      <c r="G360" s="220"/>
      <c r="H360" s="220" t="s">
        <v>1555</v>
      </c>
      <c r="I360" s="220" t="s">
        <v>329</v>
      </c>
      <c r="J360" s="220" t="s">
        <v>297</v>
      </c>
      <c r="K360" s="220" t="s">
        <v>328</v>
      </c>
      <c r="L360" s="220" t="s">
        <v>601</v>
      </c>
      <c r="M360" s="220" t="s">
        <v>600</v>
      </c>
      <c r="N360" s="220" t="s">
        <v>329</v>
      </c>
      <c r="O360" s="220" t="s">
        <v>297</v>
      </c>
      <c r="P360" s="220" t="s">
        <v>599</v>
      </c>
      <c r="Q360" s="220" t="s">
        <v>598</v>
      </c>
      <c r="R360" s="220"/>
      <c r="S360" s="220" t="s">
        <v>791</v>
      </c>
      <c r="T360" s="220" t="s">
        <v>151</v>
      </c>
      <c r="U360" s="220"/>
      <c r="V360" s="220"/>
      <c r="W360" s="220"/>
      <c r="X360" s="220"/>
      <c r="Y360" s="283"/>
      <c r="Z360" s="220"/>
      <c r="AA360" s="220"/>
      <c r="AB360" s="220"/>
      <c r="AC360" s="220"/>
      <c r="AD360" s="220"/>
      <c r="AE360" s="283"/>
      <c r="AF360" s="220"/>
      <c r="AG360" s="220"/>
      <c r="AH360" s="220"/>
      <c r="AI360" s="220"/>
      <c r="AJ360" s="226">
        <v>4</v>
      </c>
      <c r="AK360" s="226">
        <v>0</v>
      </c>
      <c r="AL360" s="225">
        <v>1.52E-2</v>
      </c>
      <c r="AM360" s="220"/>
      <c r="AN360" s="225">
        <v>129.06800000000001</v>
      </c>
      <c r="AO360" s="220"/>
      <c r="AP360" s="220"/>
      <c r="AQ360" s="283"/>
      <c r="AR360" s="283"/>
      <c r="AS360" s="283"/>
      <c r="AT360" s="223">
        <v>0</v>
      </c>
      <c r="AU360" s="284">
        <v>18</v>
      </c>
      <c r="AV360" s="221">
        <v>42664</v>
      </c>
      <c r="AW360" s="221">
        <v>42664.598347569401</v>
      </c>
      <c r="AX360" s="220" t="s">
        <v>293</v>
      </c>
      <c r="AY360" s="219" t="s">
        <v>1554</v>
      </c>
    </row>
    <row r="361" spans="1:51" hidden="1" outlineLevel="1" collapsed="1">
      <c r="A361" s="227" t="s">
        <v>289</v>
      </c>
      <c r="B361" s="220" t="s">
        <v>1559</v>
      </c>
      <c r="C361" s="220" t="s">
        <v>1559</v>
      </c>
      <c r="D361" s="220" t="s">
        <v>1558</v>
      </c>
      <c r="E361" s="220" t="s">
        <v>1557</v>
      </c>
      <c r="F361" s="220" t="s">
        <v>1556</v>
      </c>
      <c r="G361" s="220"/>
      <c r="H361" s="220" t="s">
        <v>1555</v>
      </c>
      <c r="I361" s="220" t="s">
        <v>329</v>
      </c>
      <c r="J361" s="220" t="s">
        <v>297</v>
      </c>
      <c r="K361" s="220" t="s">
        <v>328</v>
      </c>
      <c r="L361" s="220" t="s">
        <v>601</v>
      </c>
      <c r="M361" s="220" t="s">
        <v>600</v>
      </c>
      <c r="N361" s="220" t="s">
        <v>329</v>
      </c>
      <c r="O361" s="220" t="s">
        <v>297</v>
      </c>
      <c r="P361" s="220" t="s">
        <v>599</v>
      </c>
      <c r="Q361" s="220" t="s">
        <v>598</v>
      </c>
      <c r="R361" s="220"/>
      <c r="S361" s="220" t="s">
        <v>791</v>
      </c>
      <c r="T361" s="220" t="s">
        <v>151</v>
      </c>
      <c r="U361" s="220"/>
      <c r="V361" s="220"/>
      <c r="W361" s="220"/>
      <c r="X361" s="220"/>
      <c r="Y361" s="283"/>
      <c r="Z361" s="220"/>
      <c r="AA361" s="220"/>
      <c r="AB361" s="220"/>
      <c r="AC361" s="220"/>
      <c r="AD361" s="220"/>
      <c r="AE361" s="283"/>
      <c r="AF361" s="220"/>
      <c r="AG361" s="220"/>
      <c r="AH361" s="220"/>
      <c r="AI361" s="220"/>
      <c r="AJ361" s="226">
        <v>2</v>
      </c>
      <c r="AK361" s="226">
        <v>0</v>
      </c>
      <c r="AL361" s="225">
        <v>8.0000000000000002E-3</v>
      </c>
      <c r="AM361" s="220"/>
      <c r="AN361" s="225">
        <v>67.56</v>
      </c>
      <c r="AO361" s="220"/>
      <c r="AP361" s="220"/>
      <c r="AQ361" s="283"/>
      <c r="AR361" s="283"/>
      <c r="AS361" s="283"/>
      <c r="AT361" s="223">
        <v>0</v>
      </c>
      <c r="AU361" s="284">
        <v>11.2</v>
      </c>
      <c r="AV361" s="221">
        <v>42664</v>
      </c>
      <c r="AW361" s="221">
        <v>42664.598347569401</v>
      </c>
      <c r="AX361" s="220" t="s">
        <v>293</v>
      </c>
      <c r="AY361" s="219" t="s">
        <v>1560</v>
      </c>
    </row>
    <row r="362" spans="1:51" hidden="1" outlineLevel="1" collapsed="1">
      <c r="A362" s="227" t="s">
        <v>289</v>
      </c>
      <c r="B362" s="220" t="s">
        <v>1553</v>
      </c>
      <c r="C362" s="220" t="s">
        <v>1553</v>
      </c>
      <c r="D362" s="220" t="s">
        <v>1391</v>
      </c>
      <c r="E362" s="220" t="s">
        <v>1390</v>
      </c>
      <c r="F362" s="220" t="s">
        <v>1389</v>
      </c>
      <c r="G362" s="220"/>
      <c r="H362" s="220" t="s">
        <v>1388</v>
      </c>
      <c r="I362" s="220" t="s">
        <v>531</v>
      </c>
      <c r="J362" s="220" t="s">
        <v>297</v>
      </c>
      <c r="K362" s="220" t="s">
        <v>530</v>
      </c>
      <c r="L362" s="220" t="s">
        <v>601</v>
      </c>
      <c r="M362" s="220" t="s">
        <v>600</v>
      </c>
      <c r="N362" s="220" t="s">
        <v>329</v>
      </c>
      <c r="O362" s="220" t="s">
        <v>297</v>
      </c>
      <c r="P362" s="220" t="s">
        <v>599</v>
      </c>
      <c r="Q362" s="220" t="s">
        <v>598</v>
      </c>
      <c r="R362" s="220"/>
      <c r="S362" s="220" t="s">
        <v>791</v>
      </c>
      <c r="T362" s="220" t="s">
        <v>151</v>
      </c>
      <c r="U362" s="220"/>
      <c r="V362" s="220"/>
      <c r="W362" s="220"/>
      <c r="X362" s="220"/>
      <c r="Y362" s="283"/>
      <c r="Z362" s="220"/>
      <c r="AA362" s="220"/>
      <c r="AB362" s="220"/>
      <c r="AC362" s="220"/>
      <c r="AD362" s="220"/>
      <c r="AE362" s="283"/>
      <c r="AF362" s="220"/>
      <c r="AG362" s="220"/>
      <c r="AH362" s="220"/>
      <c r="AI362" s="220"/>
      <c r="AJ362" s="226">
        <v>2</v>
      </c>
      <c r="AK362" s="226">
        <v>0</v>
      </c>
      <c r="AL362" s="225">
        <v>8.0000000000000002E-3</v>
      </c>
      <c r="AM362" s="220"/>
      <c r="AN362" s="225">
        <v>67.56</v>
      </c>
      <c r="AO362" s="220"/>
      <c r="AP362" s="220"/>
      <c r="AQ362" s="283"/>
      <c r="AR362" s="283"/>
      <c r="AS362" s="283"/>
      <c r="AT362" s="223">
        <v>0</v>
      </c>
      <c r="AU362" s="284">
        <v>11.2</v>
      </c>
      <c r="AV362" s="221">
        <v>42664</v>
      </c>
      <c r="AW362" s="221">
        <v>42664.600054826398</v>
      </c>
      <c r="AX362" s="220" t="s">
        <v>293</v>
      </c>
      <c r="AY362" s="219" t="s">
        <v>1552</v>
      </c>
    </row>
    <row r="363" spans="1:51" hidden="1" outlineLevel="1" collapsed="1">
      <c r="A363" s="227" t="s">
        <v>289</v>
      </c>
      <c r="B363" s="220" t="s">
        <v>1550</v>
      </c>
      <c r="C363" s="220" t="s">
        <v>1550</v>
      </c>
      <c r="D363" s="220" t="s">
        <v>1198</v>
      </c>
      <c r="E363" s="220" t="s">
        <v>1197</v>
      </c>
      <c r="F363" s="220" t="s">
        <v>1196</v>
      </c>
      <c r="G363" s="220"/>
      <c r="H363" s="220" t="s">
        <v>1195</v>
      </c>
      <c r="I363" s="220" t="s">
        <v>298</v>
      </c>
      <c r="J363" s="220" t="s">
        <v>297</v>
      </c>
      <c r="K363" s="220" t="s">
        <v>296</v>
      </c>
      <c r="L363" s="220" t="s">
        <v>601</v>
      </c>
      <c r="M363" s="220" t="s">
        <v>600</v>
      </c>
      <c r="N363" s="220" t="s">
        <v>329</v>
      </c>
      <c r="O363" s="220" t="s">
        <v>297</v>
      </c>
      <c r="P363" s="220" t="s">
        <v>599</v>
      </c>
      <c r="Q363" s="220" t="s">
        <v>598</v>
      </c>
      <c r="R363" s="220"/>
      <c r="S363" s="220" t="s">
        <v>791</v>
      </c>
      <c r="T363" s="220" t="s">
        <v>151</v>
      </c>
      <c r="U363" s="220"/>
      <c r="V363" s="220"/>
      <c r="W363" s="220"/>
      <c r="X363" s="220"/>
      <c r="Y363" s="283"/>
      <c r="Z363" s="220"/>
      <c r="AA363" s="220"/>
      <c r="AB363" s="220"/>
      <c r="AC363" s="220"/>
      <c r="AD363" s="220"/>
      <c r="AE363" s="283"/>
      <c r="AF363" s="220"/>
      <c r="AG363" s="220"/>
      <c r="AH363" s="220"/>
      <c r="AI363" s="220"/>
      <c r="AJ363" s="226">
        <v>10</v>
      </c>
      <c r="AK363" s="226">
        <v>0</v>
      </c>
      <c r="AL363" s="225">
        <v>2.7E-2</v>
      </c>
      <c r="AM363" s="220"/>
      <c r="AN363" s="225">
        <v>231.92</v>
      </c>
      <c r="AO363" s="220"/>
      <c r="AP363" s="220"/>
      <c r="AQ363" s="283"/>
      <c r="AR363" s="283"/>
      <c r="AS363" s="283"/>
      <c r="AT363" s="223">
        <v>0</v>
      </c>
      <c r="AU363" s="284">
        <v>40</v>
      </c>
      <c r="AV363" s="221">
        <v>42664</v>
      </c>
      <c r="AW363" s="221">
        <v>42664.601184953703</v>
      </c>
      <c r="AX363" s="220" t="s">
        <v>293</v>
      </c>
      <c r="AY363" s="219" t="s">
        <v>1549</v>
      </c>
    </row>
    <row r="364" spans="1:51" hidden="1" outlineLevel="1" collapsed="1">
      <c r="A364" s="227" t="s">
        <v>289</v>
      </c>
      <c r="B364" s="220" t="s">
        <v>1550</v>
      </c>
      <c r="C364" s="220" t="s">
        <v>1550</v>
      </c>
      <c r="D364" s="220" t="s">
        <v>1198</v>
      </c>
      <c r="E364" s="220" t="s">
        <v>1197</v>
      </c>
      <c r="F364" s="220" t="s">
        <v>1196</v>
      </c>
      <c r="G364" s="220"/>
      <c r="H364" s="220" t="s">
        <v>1195</v>
      </c>
      <c r="I364" s="220" t="s">
        <v>298</v>
      </c>
      <c r="J364" s="220" t="s">
        <v>297</v>
      </c>
      <c r="K364" s="220" t="s">
        <v>296</v>
      </c>
      <c r="L364" s="220" t="s">
        <v>601</v>
      </c>
      <c r="M364" s="220" t="s">
        <v>600</v>
      </c>
      <c r="N364" s="220" t="s">
        <v>329</v>
      </c>
      <c r="O364" s="220" t="s">
        <v>297</v>
      </c>
      <c r="P364" s="220" t="s">
        <v>599</v>
      </c>
      <c r="Q364" s="220" t="s">
        <v>598</v>
      </c>
      <c r="R364" s="220"/>
      <c r="S364" s="220" t="s">
        <v>791</v>
      </c>
      <c r="T364" s="220" t="s">
        <v>151</v>
      </c>
      <c r="U364" s="220"/>
      <c r="V364" s="220"/>
      <c r="W364" s="220"/>
      <c r="X364" s="220"/>
      <c r="Y364" s="283"/>
      <c r="Z364" s="220"/>
      <c r="AA364" s="220"/>
      <c r="AB364" s="220"/>
      <c r="AC364" s="220"/>
      <c r="AD364" s="220"/>
      <c r="AE364" s="283"/>
      <c r="AF364" s="220"/>
      <c r="AG364" s="220"/>
      <c r="AH364" s="220"/>
      <c r="AI364" s="220"/>
      <c r="AJ364" s="226">
        <v>10</v>
      </c>
      <c r="AK364" s="226">
        <v>0</v>
      </c>
      <c r="AL364" s="225">
        <v>3.7999999999999999E-2</v>
      </c>
      <c r="AM364" s="220"/>
      <c r="AN364" s="225">
        <v>322.67</v>
      </c>
      <c r="AO364" s="220"/>
      <c r="AP364" s="220"/>
      <c r="AQ364" s="283"/>
      <c r="AR364" s="283"/>
      <c r="AS364" s="283"/>
      <c r="AT364" s="223">
        <v>0</v>
      </c>
      <c r="AU364" s="284">
        <v>45</v>
      </c>
      <c r="AV364" s="221">
        <v>42664</v>
      </c>
      <c r="AW364" s="221">
        <v>42664.601184953703</v>
      </c>
      <c r="AX364" s="220" t="s">
        <v>293</v>
      </c>
      <c r="AY364" s="219" t="s">
        <v>1551</v>
      </c>
    </row>
    <row r="365" spans="1:51" hidden="1" outlineLevel="1" collapsed="1">
      <c r="A365" s="227" t="s">
        <v>289</v>
      </c>
      <c r="B365" s="220" t="s">
        <v>1548</v>
      </c>
      <c r="C365" s="220" t="s">
        <v>1548</v>
      </c>
      <c r="D365" s="220" t="s">
        <v>1547</v>
      </c>
      <c r="E365" s="220" t="s">
        <v>1546</v>
      </c>
      <c r="F365" s="220" t="s">
        <v>1545</v>
      </c>
      <c r="G365" s="220"/>
      <c r="H365" s="220" t="s">
        <v>1544</v>
      </c>
      <c r="I365" s="220" t="s">
        <v>298</v>
      </c>
      <c r="J365" s="220" t="s">
        <v>297</v>
      </c>
      <c r="K365" s="220" t="s">
        <v>296</v>
      </c>
      <c r="L365" s="220" t="s">
        <v>601</v>
      </c>
      <c r="M365" s="220" t="s">
        <v>600</v>
      </c>
      <c r="N365" s="220" t="s">
        <v>329</v>
      </c>
      <c r="O365" s="220" t="s">
        <v>297</v>
      </c>
      <c r="P365" s="220" t="s">
        <v>599</v>
      </c>
      <c r="Q365" s="220" t="s">
        <v>598</v>
      </c>
      <c r="R365" s="220"/>
      <c r="S365" s="220" t="s">
        <v>791</v>
      </c>
      <c r="T365" s="220" t="s">
        <v>151</v>
      </c>
      <c r="U365" s="220"/>
      <c r="V365" s="220"/>
      <c r="W365" s="220"/>
      <c r="X365" s="220"/>
      <c r="Y365" s="283"/>
      <c r="Z365" s="220"/>
      <c r="AA365" s="220"/>
      <c r="AB365" s="220"/>
      <c r="AC365" s="220"/>
      <c r="AD365" s="220"/>
      <c r="AE365" s="283"/>
      <c r="AF365" s="220"/>
      <c r="AG365" s="220"/>
      <c r="AH365" s="220"/>
      <c r="AI365" s="220"/>
      <c r="AJ365" s="226">
        <v>6</v>
      </c>
      <c r="AK365" s="226">
        <v>0</v>
      </c>
      <c r="AL365" s="225">
        <v>2.2800000000000001E-2</v>
      </c>
      <c r="AM365" s="220"/>
      <c r="AN365" s="225">
        <v>193.602</v>
      </c>
      <c r="AO365" s="220"/>
      <c r="AP365" s="220"/>
      <c r="AQ365" s="283"/>
      <c r="AR365" s="283"/>
      <c r="AS365" s="283"/>
      <c r="AT365" s="223">
        <v>0</v>
      </c>
      <c r="AU365" s="284">
        <v>27</v>
      </c>
      <c r="AV365" s="221">
        <v>42664</v>
      </c>
      <c r="AW365" s="221">
        <v>42664.602399652802</v>
      </c>
      <c r="AX365" s="220" t="s">
        <v>293</v>
      </c>
      <c r="AY365" s="219" t="s">
        <v>1543</v>
      </c>
    </row>
    <row r="366" spans="1:51" hidden="1" outlineLevel="1" collapsed="1">
      <c r="A366" s="227" t="s">
        <v>289</v>
      </c>
      <c r="B366" s="220" t="s">
        <v>1542</v>
      </c>
      <c r="C366" s="220" t="s">
        <v>1542</v>
      </c>
      <c r="D366" s="220" t="s">
        <v>1541</v>
      </c>
      <c r="E366" s="220" t="s">
        <v>1540</v>
      </c>
      <c r="F366" s="220" t="s">
        <v>1539</v>
      </c>
      <c r="G366" s="220"/>
      <c r="H366" s="220" t="s">
        <v>1538</v>
      </c>
      <c r="I366" s="220" t="s">
        <v>329</v>
      </c>
      <c r="J366" s="220" t="s">
        <v>297</v>
      </c>
      <c r="K366" s="220" t="s">
        <v>397</v>
      </c>
      <c r="L366" s="220" t="s">
        <v>601</v>
      </c>
      <c r="M366" s="220" t="s">
        <v>600</v>
      </c>
      <c r="N366" s="220" t="s">
        <v>329</v>
      </c>
      <c r="O366" s="220" t="s">
        <v>297</v>
      </c>
      <c r="P366" s="220" t="s">
        <v>599</v>
      </c>
      <c r="Q366" s="220" t="s">
        <v>598</v>
      </c>
      <c r="R366" s="220"/>
      <c r="S366" s="220" t="s">
        <v>791</v>
      </c>
      <c r="T366" s="220" t="s">
        <v>151</v>
      </c>
      <c r="U366" s="220"/>
      <c r="V366" s="220"/>
      <c r="W366" s="220"/>
      <c r="X366" s="220"/>
      <c r="Y366" s="283"/>
      <c r="Z366" s="220"/>
      <c r="AA366" s="220"/>
      <c r="AB366" s="220"/>
      <c r="AC366" s="220"/>
      <c r="AD366" s="220"/>
      <c r="AE366" s="283"/>
      <c r="AF366" s="220"/>
      <c r="AG366" s="220"/>
      <c r="AH366" s="220"/>
      <c r="AI366" s="220"/>
      <c r="AJ366" s="226">
        <v>25</v>
      </c>
      <c r="AK366" s="226">
        <v>0</v>
      </c>
      <c r="AL366" s="225">
        <v>0.1</v>
      </c>
      <c r="AM366" s="220"/>
      <c r="AN366" s="225">
        <v>844.5</v>
      </c>
      <c r="AO366" s="220"/>
      <c r="AP366" s="220"/>
      <c r="AQ366" s="283"/>
      <c r="AR366" s="283"/>
      <c r="AS366" s="283"/>
      <c r="AT366" s="223">
        <v>0</v>
      </c>
      <c r="AU366" s="284">
        <v>140</v>
      </c>
      <c r="AV366" s="221">
        <v>42668</v>
      </c>
      <c r="AW366" s="221">
        <v>42668.751194791701</v>
      </c>
      <c r="AX366" s="220" t="s">
        <v>293</v>
      </c>
      <c r="AY366" s="219" t="s">
        <v>1537</v>
      </c>
    </row>
    <row r="367" spans="1:51" hidden="1" outlineLevel="1" collapsed="1">
      <c r="A367" s="227" t="s">
        <v>289</v>
      </c>
      <c r="B367" s="220" t="s">
        <v>1534</v>
      </c>
      <c r="C367" s="220" t="s">
        <v>1534</v>
      </c>
      <c r="D367" s="220" t="s">
        <v>1533</v>
      </c>
      <c r="E367" s="220" t="s">
        <v>1532</v>
      </c>
      <c r="F367" s="220" t="s">
        <v>1531</v>
      </c>
      <c r="G367" s="220"/>
      <c r="H367" s="220" t="s">
        <v>1530</v>
      </c>
      <c r="I367" s="220" t="s">
        <v>413</v>
      </c>
      <c r="J367" s="220" t="s">
        <v>297</v>
      </c>
      <c r="K367" s="220" t="s">
        <v>412</v>
      </c>
      <c r="L367" s="220" t="s">
        <v>601</v>
      </c>
      <c r="M367" s="220" t="s">
        <v>600</v>
      </c>
      <c r="N367" s="220" t="s">
        <v>329</v>
      </c>
      <c r="O367" s="220" t="s">
        <v>297</v>
      </c>
      <c r="P367" s="220" t="s">
        <v>599</v>
      </c>
      <c r="Q367" s="220" t="s">
        <v>598</v>
      </c>
      <c r="R367" s="220"/>
      <c r="S367" s="220" t="s">
        <v>791</v>
      </c>
      <c r="T367" s="220" t="s">
        <v>151</v>
      </c>
      <c r="U367" s="220"/>
      <c r="V367" s="220"/>
      <c r="W367" s="220"/>
      <c r="X367" s="220"/>
      <c r="Y367" s="283"/>
      <c r="Z367" s="220"/>
      <c r="AA367" s="220"/>
      <c r="AB367" s="220"/>
      <c r="AC367" s="220"/>
      <c r="AD367" s="220"/>
      <c r="AE367" s="283"/>
      <c r="AF367" s="220"/>
      <c r="AG367" s="220"/>
      <c r="AH367" s="220"/>
      <c r="AI367" s="220"/>
      <c r="AJ367" s="226">
        <v>1</v>
      </c>
      <c r="AK367" s="226">
        <v>0</v>
      </c>
      <c r="AL367" s="225">
        <v>2.7000000000000001E-3</v>
      </c>
      <c r="AM367" s="220"/>
      <c r="AN367" s="225">
        <v>23.192</v>
      </c>
      <c r="AO367" s="220"/>
      <c r="AP367" s="220"/>
      <c r="AQ367" s="283"/>
      <c r="AR367" s="283"/>
      <c r="AS367" s="283"/>
      <c r="AT367" s="223">
        <v>0</v>
      </c>
      <c r="AU367" s="284">
        <v>4</v>
      </c>
      <c r="AV367" s="221">
        <v>42668</v>
      </c>
      <c r="AW367" s="221">
        <v>42668.7539924421</v>
      </c>
      <c r="AX367" s="220" t="s">
        <v>293</v>
      </c>
      <c r="AY367" s="219" t="s">
        <v>1535</v>
      </c>
    </row>
    <row r="368" spans="1:51" hidden="1" outlineLevel="1" collapsed="1">
      <c r="A368" s="227" t="s">
        <v>289</v>
      </c>
      <c r="B368" s="220" t="s">
        <v>1534</v>
      </c>
      <c r="C368" s="220" t="s">
        <v>1534</v>
      </c>
      <c r="D368" s="220" t="s">
        <v>1533</v>
      </c>
      <c r="E368" s="220" t="s">
        <v>1532</v>
      </c>
      <c r="F368" s="220" t="s">
        <v>1531</v>
      </c>
      <c r="G368" s="220"/>
      <c r="H368" s="220" t="s">
        <v>1530</v>
      </c>
      <c r="I368" s="220" t="s">
        <v>413</v>
      </c>
      <c r="J368" s="220" t="s">
        <v>297</v>
      </c>
      <c r="K368" s="220" t="s">
        <v>412</v>
      </c>
      <c r="L368" s="220" t="s">
        <v>601</v>
      </c>
      <c r="M368" s="220" t="s">
        <v>600</v>
      </c>
      <c r="N368" s="220" t="s">
        <v>329</v>
      </c>
      <c r="O368" s="220" t="s">
        <v>297</v>
      </c>
      <c r="P368" s="220" t="s">
        <v>599</v>
      </c>
      <c r="Q368" s="220" t="s">
        <v>598</v>
      </c>
      <c r="R368" s="220"/>
      <c r="S368" s="220" t="s">
        <v>791</v>
      </c>
      <c r="T368" s="220" t="s">
        <v>151</v>
      </c>
      <c r="U368" s="220"/>
      <c r="V368" s="220"/>
      <c r="W368" s="220"/>
      <c r="X368" s="220"/>
      <c r="Y368" s="283"/>
      <c r="Z368" s="220"/>
      <c r="AA368" s="220"/>
      <c r="AB368" s="220"/>
      <c r="AC368" s="220"/>
      <c r="AD368" s="220"/>
      <c r="AE368" s="283"/>
      <c r="AF368" s="220"/>
      <c r="AG368" s="220"/>
      <c r="AH368" s="220"/>
      <c r="AI368" s="220"/>
      <c r="AJ368" s="226">
        <v>3</v>
      </c>
      <c r="AK368" s="226">
        <v>0</v>
      </c>
      <c r="AL368" s="225">
        <v>1.2E-2</v>
      </c>
      <c r="AM368" s="220"/>
      <c r="AN368" s="225">
        <v>101.34</v>
      </c>
      <c r="AO368" s="220"/>
      <c r="AP368" s="220"/>
      <c r="AQ368" s="283"/>
      <c r="AR368" s="283"/>
      <c r="AS368" s="283"/>
      <c r="AT368" s="223">
        <v>0</v>
      </c>
      <c r="AU368" s="284">
        <v>16.8</v>
      </c>
      <c r="AV368" s="221">
        <v>42668</v>
      </c>
      <c r="AW368" s="221">
        <v>42668.7539924421</v>
      </c>
      <c r="AX368" s="220" t="s">
        <v>293</v>
      </c>
      <c r="AY368" s="219" t="s">
        <v>1529</v>
      </c>
    </row>
    <row r="369" spans="1:51" hidden="1" outlineLevel="1" collapsed="1">
      <c r="A369" s="227" t="s">
        <v>289</v>
      </c>
      <c r="B369" s="220" t="s">
        <v>1534</v>
      </c>
      <c r="C369" s="220" t="s">
        <v>1534</v>
      </c>
      <c r="D369" s="220" t="s">
        <v>1533</v>
      </c>
      <c r="E369" s="220" t="s">
        <v>1532</v>
      </c>
      <c r="F369" s="220" t="s">
        <v>1531</v>
      </c>
      <c r="G369" s="220"/>
      <c r="H369" s="220" t="s">
        <v>1530</v>
      </c>
      <c r="I369" s="220" t="s">
        <v>413</v>
      </c>
      <c r="J369" s="220" t="s">
        <v>297</v>
      </c>
      <c r="K369" s="220" t="s">
        <v>412</v>
      </c>
      <c r="L369" s="220" t="s">
        <v>601</v>
      </c>
      <c r="M369" s="220" t="s">
        <v>600</v>
      </c>
      <c r="N369" s="220" t="s">
        <v>329</v>
      </c>
      <c r="O369" s="220" t="s">
        <v>297</v>
      </c>
      <c r="P369" s="220" t="s">
        <v>599</v>
      </c>
      <c r="Q369" s="220" t="s">
        <v>598</v>
      </c>
      <c r="R369" s="220"/>
      <c r="S369" s="220" t="s">
        <v>791</v>
      </c>
      <c r="T369" s="220" t="s">
        <v>151</v>
      </c>
      <c r="U369" s="220"/>
      <c r="V369" s="220"/>
      <c r="W369" s="220"/>
      <c r="X369" s="220"/>
      <c r="Y369" s="283"/>
      <c r="Z369" s="220"/>
      <c r="AA369" s="220"/>
      <c r="AB369" s="220"/>
      <c r="AC369" s="220"/>
      <c r="AD369" s="220"/>
      <c r="AE369" s="283"/>
      <c r="AF369" s="220"/>
      <c r="AG369" s="220"/>
      <c r="AH369" s="220"/>
      <c r="AI369" s="220"/>
      <c r="AJ369" s="226">
        <v>1</v>
      </c>
      <c r="AK369" s="226">
        <v>0</v>
      </c>
      <c r="AL369" s="225">
        <v>3.8E-3</v>
      </c>
      <c r="AM369" s="220"/>
      <c r="AN369" s="225">
        <v>32.267000000000003</v>
      </c>
      <c r="AO369" s="220"/>
      <c r="AP369" s="220"/>
      <c r="AQ369" s="283"/>
      <c r="AR369" s="283"/>
      <c r="AS369" s="283"/>
      <c r="AT369" s="223">
        <v>0</v>
      </c>
      <c r="AU369" s="284">
        <v>4.5</v>
      </c>
      <c r="AV369" s="221">
        <v>42668</v>
      </c>
      <c r="AW369" s="221">
        <v>42668.7539924421</v>
      </c>
      <c r="AX369" s="220" t="s">
        <v>293</v>
      </c>
      <c r="AY369" s="219" t="s">
        <v>1536</v>
      </c>
    </row>
    <row r="370" spans="1:51" hidden="1" outlineLevel="1" collapsed="1">
      <c r="A370" s="227" t="s">
        <v>289</v>
      </c>
      <c r="B370" s="220" t="s">
        <v>1527</v>
      </c>
      <c r="C370" s="220" t="s">
        <v>1527</v>
      </c>
      <c r="D370" s="220" t="s">
        <v>1526</v>
      </c>
      <c r="E370" s="220" t="s">
        <v>1525</v>
      </c>
      <c r="F370" s="220" t="s">
        <v>1524</v>
      </c>
      <c r="G370" s="220"/>
      <c r="H370" s="220" t="s">
        <v>1523</v>
      </c>
      <c r="I370" s="220" t="s">
        <v>329</v>
      </c>
      <c r="J370" s="220" t="s">
        <v>297</v>
      </c>
      <c r="K370" s="220" t="s">
        <v>397</v>
      </c>
      <c r="L370" s="220" t="s">
        <v>601</v>
      </c>
      <c r="M370" s="220" t="s">
        <v>600</v>
      </c>
      <c r="N370" s="220" t="s">
        <v>329</v>
      </c>
      <c r="O370" s="220" t="s">
        <v>297</v>
      </c>
      <c r="P370" s="220" t="s">
        <v>599</v>
      </c>
      <c r="Q370" s="220" t="s">
        <v>598</v>
      </c>
      <c r="R370" s="220"/>
      <c r="S370" s="220" t="s">
        <v>791</v>
      </c>
      <c r="T370" s="220" t="s">
        <v>151</v>
      </c>
      <c r="U370" s="220"/>
      <c r="V370" s="220"/>
      <c r="W370" s="220"/>
      <c r="X370" s="220"/>
      <c r="Y370" s="283"/>
      <c r="Z370" s="220"/>
      <c r="AA370" s="220"/>
      <c r="AB370" s="220"/>
      <c r="AC370" s="220"/>
      <c r="AD370" s="220"/>
      <c r="AE370" s="283"/>
      <c r="AF370" s="220"/>
      <c r="AG370" s="220"/>
      <c r="AH370" s="220"/>
      <c r="AI370" s="220"/>
      <c r="AJ370" s="226">
        <v>3</v>
      </c>
      <c r="AK370" s="226">
        <v>0</v>
      </c>
      <c r="AL370" s="225">
        <v>1.14E-2</v>
      </c>
      <c r="AM370" s="220"/>
      <c r="AN370" s="225">
        <v>96.801000000000002</v>
      </c>
      <c r="AO370" s="220"/>
      <c r="AP370" s="220"/>
      <c r="AQ370" s="283"/>
      <c r="AR370" s="283"/>
      <c r="AS370" s="283"/>
      <c r="AT370" s="223">
        <v>0</v>
      </c>
      <c r="AU370" s="284">
        <v>13.5</v>
      </c>
      <c r="AV370" s="221">
        <v>42668</v>
      </c>
      <c r="AW370" s="221">
        <v>42668.755524537002</v>
      </c>
      <c r="AX370" s="220" t="s">
        <v>293</v>
      </c>
      <c r="AY370" s="219" t="s">
        <v>1522</v>
      </c>
    </row>
    <row r="371" spans="1:51" hidden="1" outlineLevel="1" collapsed="1">
      <c r="A371" s="227" t="s">
        <v>289</v>
      </c>
      <c r="B371" s="220" t="s">
        <v>1527</v>
      </c>
      <c r="C371" s="220" t="s">
        <v>1527</v>
      </c>
      <c r="D371" s="220" t="s">
        <v>1526</v>
      </c>
      <c r="E371" s="220" t="s">
        <v>1525</v>
      </c>
      <c r="F371" s="220" t="s">
        <v>1524</v>
      </c>
      <c r="G371" s="220"/>
      <c r="H371" s="220" t="s">
        <v>1523</v>
      </c>
      <c r="I371" s="220" t="s">
        <v>329</v>
      </c>
      <c r="J371" s="220" t="s">
        <v>297</v>
      </c>
      <c r="K371" s="220" t="s">
        <v>397</v>
      </c>
      <c r="L371" s="220" t="s">
        <v>601</v>
      </c>
      <c r="M371" s="220" t="s">
        <v>600</v>
      </c>
      <c r="N371" s="220" t="s">
        <v>329</v>
      </c>
      <c r="O371" s="220" t="s">
        <v>297</v>
      </c>
      <c r="P371" s="220" t="s">
        <v>599</v>
      </c>
      <c r="Q371" s="220" t="s">
        <v>598</v>
      </c>
      <c r="R371" s="220"/>
      <c r="S371" s="220" t="s">
        <v>791</v>
      </c>
      <c r="T371" s="220" t="s">
        <v>151</v>
      </c>
      <c r="U371" s="220"/>
      <c r="V371" s="220"/>
      <c r="W371" s="220"/>
      <c r="X371" s="220"/>
      <c r="Y371" s="283"/>
      <c r="Z371" s="220"/>
      <c r="AA371" s="220"/>
      <c r="AB371" s="220"/>
      <c r="AC371" s="220"/>
      <c r="AD371" s="220"/>
      <c r="AE371" s="283"/>
      <c r="AF371" s="220"/>
      <c r="AG371" s="220"/>
      <c r="AH371" s="220"/>
      <c r="AI371" s="220"/>
      <c r="AJ371" s="226">
        <v>1</v>
      </c>
      <c r="AK371" s="226">
        <v>0</v>
      </c>
      <c r="AL371" s="225">
        <v>2.7000000000000001E-3</v>
      </c>
      <c r="AM371" s="220"/>
      <c r="AN371" s="225">
        <v>23.192</v>
      </c>
      <c r="AO371" s="220"/>
      <c r="AP371" s="220"/>
      <c r="AQ371" s="283"/>
      <c r="AR371" s="283"/>
      <c r="AS371" s="283"/>
      <c r="AT371" s="223">
        <v>0</v>
      </c>
      <c r="AU371" s="284">
        <v>4</v>
      </c>
      <c r="AV371" s="221">
        <v>42668</v>
      </c>
      <c r="AW371" s="221">
        <v>42668.755524537002</v>
      </c>
      <c r="AX371" s="220" t="s">
        <v>293</v>
      </c>
      <c r="AY371" s="219" t="s">
        <v>1528</v>
      </c>
    </row>
    <row r="372" spans="1:51" hidden="1" outlineLevel="1" collapsed="1">
      <c r="A372" s="227" t="s">
        <v>289</v>
      </c>
      <c r="B372" s="220" t="s">
        <v>1521</v>
      </c>
      <c r="C372" s="220" t="s">
        <v>1521</v>
      </c>
      <c r="D372" s="220" t="s">
        <v>1520</v>
      </c>
      <c r="E372" s="220" t="s">
        <v>1519</v>
      </c>
      <c r="F372" s="220" t="s">
        <v>1518</v>
      </c>
      <c r="G372" s="220"/>
      <c r="H372" s="220" t="s">
        <v>1517</v>
      </c>
      <c r="I372" s="220" t="s">
        <v>329</v>
      </c>
      <c r="J372" s="220" t="s">
        <v>297</v>
      </c>
      <c r="K372" s="220" t="s">
        <v>328</v>
      </c>
      <c r="L372" s="220" t="s">
        <v>601</v>
      </c>
      <c r="M372" s="220" t="s">
        <v>600</v>
      </c>
      <c r="N372" s="220" t="s">
        <v>329</v>
      </c>
      <c r="O372" s="220" t="s">
        <v>297</v>
      </c>
      <c r="P372" s="220" t="s">
        <v>599</v>
      </c>
      <c r="Q372" s="220" t="s">
        <v>598</v>
      </c>
      <c r="R372" s="220"/>
      <c r="S372" s="220" t="s">
        <v>791</v>
      </c>
      <c r="T372" s="220" t="s">
        <v>151</v>
      </c>
      <c r="U372" s="220"/>
      <c r="V372" s="220"/>
      <c r="W372" s="220"/>
      <c r="X372" s="220"/>
      <c r="Y372" s="283"/>
      <c r="Z372" s="220"/>
      <c r="AA372" s="220"/>
      <c r="AB372" s="220"/>
      <c r="AC372" s="220"/>
      <c r="AD372" s="220"/>
      <c r="AE372" s="283"/>
      <c r="AF372" s="220"/>
      <c r="AG372" s="220"/>
      <c r="AH372" s="220"/>
      <c r="AI372" s="220"/>
      <c r="AJ372" s="226">
        <v>6</v>
      </c>
      <c r="AK372" s="226">
        <v>0</v>
      </c>
      <c r="AL372" s="225">
        <v>2.2800000000000001E-2</v>
      </c>
      <c r="AM372" s="220"/>
      <c r="AN372" s="225">
        <v>193.602</v>
      </c>
      <c r="AO372" s="220"/>
      <c r="AP372" s="220"/>
      <c r="AQ372" s="283"/>
      <c r="AR372" s="283"/>
      <c r="AS372" s="283"/>
      <c r="AT372" s="223">
        <v>0</v>
      </c>
      <c r="AU372" s="284">
        <v>27</v>
      </c>
      <c r="AV372" s="221">
        <v>42670</v>
      </c>
      <c r="AW372" s="221">
        <v>42670.476777199103</v>
      </c>
      <c r="AX372" s="220" t="s">
        <v>293</v>
      </c>
      <c r="AY372" s="219" t="s">
        <v>1516</v>
      </c>
    </row>
    <row r="373" spans="1:51" hidden="1" outlineLevel="1" collapsed="1">
      <c r="A373" s="227" t="s">
        <v>289</v>
      </c>
      <c r="B373" s="220" t="s">
        <v>1515</v>
      </c>
      <c r="C373" s="220" t="s">
        <v>1515</v>
      </c>
      <c r="D373" s="220" t="s">
        <v>1514</v>
      </c>
      <c r="E373" s="220" t="s">
        <v>1513</v>
      </c>
      <c r="F373" s="220" t="s">
        <v>1512</v>
      </c>
      <c r="G373" s="220"/>
      <c r="H373" s="220" t="s">
        <v>1511</v>
      </c>
      <c r="I373" s="220" t="s">
        <v>329</v>
      </c>
      <c r="J373" s="220" t="s">
        <v>297</v>
      </c>
      <c r="K373" s="220" t="s">
        <v>397</v>
      </c>
      <c r="L373" s="220" t="s">
        <v>601</v>
      </c>
      <c r="M373" s="220" t="s">
        <v>600</v>
      </c>
      <c r="N373" s="220" t="s">
        <v>329</v>
      </c>
      <c r="O373" s="220" t="s">
        <v>297</v>
      </c>
      <c r="P373" s="220" t="s">
        <v>599</v>
      </c>
      <c r="Q373" s="220" t="s">
        <v>598</v>
      </c>
      <c r="R373" s="220"/>
      <c r="S373" s="220" t="s">
        <v>895</v>
      </c>
      <c r="T373" s="220" t="s">
        <v>150</v>
      </c>
      <c r="U373" s="220"/>
      <c r="V373" s="220"/>
      <c r="W373" s="220"/>
      <c r="X373" s="220"/>
      <c r="Y373" s="283"/>
      <c r="Z373" s="220"/>
      <c r="AA373" s="220"/>
      <c r="AB373" s="220"/>
      <c r="AC373" s="220"/>
      <c r="AD373" s="220"/>
      <c r="AE373" s="283"/>
      <c r="AF373" s="220"/>
      <c r="AG373" s="220"/>
      <c r="AH373" s="220" t="s">
        <v>1510</v>
      </c>
      <c r="AI373" s="220"/>
      <c r="AJ373" s="226">
        <v>34</v>
      </c>
      <c r="AK373" s="226">
        <v>0</v>
      </c>
      <c r="AL373" s="225">
        <v>0.1258</v>
      </c>
      <c r="AM373" s="220"/>
      <c r="AN373" s="225">
        <v>1062.806</v>
      </c>
      <c r="AO373" s="220"/>
      <c r="AP373" s="220"/>
      <c r="AQ373" s="283"/>
      <c r="AR373" s="283"/>
      <c r="AS373" s="283"/>
      <c r="AT373" s="223">
        <v>0</v>
      </c>
      <c r="AU373" s="284">
        <v>340</v>
      </c>
      <c r="AV373" s="221">
        <v>42675</v>
      </c>
      <c r="AW373" s="221">
        <v>42674.476904745403</v>
      </c>
      <c r="AX373" s="220" t="s">
        <v>293</v>
      </c>
      <c r="AY373" s="219" t="s">
        <v>1509</v>
      </c>
    </row>
    <row r="374" spans="1:51" hidden="1" outlineLevel="1" collapsed="1">
      <c r="A374" s="227" t="s">
        <v>289</v>
      </c>
      <c r="B374" s="220" t="s">
        <v>1508</v>
      </c>
      <c r="C374" s="220" t="s">
        <v>1508</v>
      </c>
      <c r="D374" s="220" t="s">
        <v>1507</v>
      </c>
      <c r="E374" s="220" t="s">
        <v>1357</v>
      </c>
      <c r="F374" s="220" t="s">
        <v>1506</v>
      </c>
      <c r="G374" s="220"/>
      <c r="H374" s="220" t="s">
        <v>1505</v>
      </c>
      <c r="I374" s="220" t="s">
        <v>531</v>
      </c>
      <c r="J374" s="220" t="s">
        <v>297</v>
      </c>
      <c r="K374" s="220" t="s">
        <v>530</v>
      </c>
      <c r="L374" s="220" t="s">
        <v>601</v>
      </c>
      <c r="M374" s="220" t="s">
        <v>600</v>
      </c>
      <c r="N374" s="220" t="s">
        <v>329</v>
      </c>
      <c r="O374" s="220" t="s">
        <v>297</v>
      </c>
      <c r="P374" s="220" t="s">
        <v>599</v>
      </c>
      <c r="Q374" s="220" t="s">
        <v>598</v>
      </c>
      <c r="R374" s="220"/>
      <c r="S374" s="220" t="s">
        <v>791</v>
      </c>
      <c r="T374" s="220" t="s">
        <v>151</v>
      </c>
      <c r="U374" s="220"/>
      <c r="V374" s="220"/>
      <c r="W374" s="220"/>
      <c r="X374" s="220"/>
      <c r="Y374" s="283"/>
      <c r="Z374" s="220"/>
      <c r="AA374" s="220"/>
      <c r="AB374" s="220"/>
      <c r="AC374" s="220"/>
      <c r="AD374" s="220"/>
      <c r="AE374" s="283"/>
      <c r="AF374" s="220"/>
      <c r="AG374" s="220"/>
      <c r="AH374" s="220"/>
      <c r="AI374" s="220"/>
      <c r="AJ374" s="226">
        <v>4</v>
      </c>
      <c r="AK374" s="226">
        <v>0</v>
      </c>
      <c r="AL374" s="225">
        <v>1.52E-2</v>
      </c>
      <c r="AM374" s="220"/>
      <c r="AN374" s="225">
        <v>129.06800000000001</v>
      </c>
      <c r="AO374" s="220"/>
      <c r="AP374" s="220"/>
      <c r="AQ374" s="283"/>
      <c r="AR374" s="283"/>
      <c r="AS374" s="283"/>
      <c r="AT374" s="223">
        <v>0</v>
      </c>
      <c r="AU374" s="284">
        <v>18</v>
      </c>
      <c r="AV374" s="221">
        <v>42702</v>
      </c>
      <c r="AW374" s="221">
        <v>42702.541790162002</v>
      </c>
      <c r="AX374" s="220" t="s">
        <v>293</v>
      </c>
      <c r="AY374" s="219" t="s">
        <v>1504</v>
      </c>
    </row>
    <row r="375" spans="1:51" hidden="1" outlineLevel="1" collapsed="1">
      <c r="A375" s="227" t="s">
        <v>289</v>
      </c>
      <c r="B375" s="220" t="s">
        <v>1503</v>
      </c>
      <c r="C375" s="220" t="s">
        <v>1503</v>
      </c>
      <c r="D375" s="220" t="s">
        <v>1502</v>
      </c>
      <c r="E375" s="220" t="s">
        <v>1501</v>
      </c>
      <c r="F375" s="220" t="s">
        <v>1500</v>
      </c>
      <c r="G375" s="220"/>
      <c r="H375" s="220" t="s">
        <v>1499</v>
      </c>
      <c r="I375" s="220" t="s">
        <v>1498</v>
      </c>
      <c r="J375" s="220" t="s">
        <v>297</v>
      </c>
      <c r="K375" s="220" t="s">
        <v>1497</v>
      </c>
      <c r="L375" s="220" t="s">
        <v>601</v>
      </c>
      <c r="M375" s="220" t="s">
        <v>600</v>
      </c>
      <c r="N375" s="220" t="s">
        <v>329</v>
      </c>
      <c r="O375" s="220" t="s">
        <v>297</v>
      </c>
      <c r="P375" s="220" t="s">
        <v>599</v>
      </c>
      <c r="Q375" s="220" t="s">
        <v>598</v>
      </c>
      <c r="R375" s="220"/>
      <c r="S375" s="220" t="s">
        <v>791</v>
      </c>
      <c r="T375" s="220" t="s">
        <v>151</v>
      </c>
      <c r="U375" s="220"/>
      <c r="V375" s="220"/>
      <c r="W375" s="220"/>
      <c r="X375" s="220"/>
      <c r="Y375" s="283"/>
      <c r="Z375" s="220"/>
      <c r="AA375" s="220"/>
      <c r="AB375" s="220"/>
      <c r="AC375" s="220"/>
      <c r="AD375" s="220"/>
      <c r="AE375" s="283"/>
      <c r="AF375" s="220"/>
      <c r="AG375" s="220"/>
      <c r="AH375" s="220"/>
      <c r="AI375" s="220"/>
      <c r="AJ375" s="226">
        <v>10</v>
      </c>
      <c r="AK375" s="226">
        <v>0</v>
      </c>
      <c r="AL375" s="225">
        <v>3.7999999999999999E-2</v>
      </c>
      <c r="AM375" s="220"/>
      <c r="AN375" s="225">
        <v>322.67</v>
      </c>
      <c r="AO375" s="220"/>
      <c r="AP375" s="220"/>
      <c r="AQ375" s="283"/>
      <c r="AR375" s="283"/>
      <c r="AS375" s="283"/>
      <c r="AT375" s="223">
        <v>0</v>
      </c>
      <c r="AU375" s="284">
        <v>45</v>
      </c>
      <c r="AV375" s="221">
        <v>42702</v>
      </c>
      <c r="AW375" s="221">
        <v>42702.543826539397</v>
      </c>
      <c r="AX375" s="220" t="s">
        <v>293</v>
      </c>
      <c r="AY375" s="219" t="s">
        <v>1496</v>
      </c>
    </row>
    <row r="376" spans="1:51" hidden="1" outlineLevel="1" collapsed="1">
      <c r="A376" s="227" t="s">
        <v>289</v>
      </c>
      <c r="B376" s="220" t="s">
        <v>1495</v>
      </c>
      <c r="C376" s="220" t="s">
        <v>1495</v>
      </c>
      <c r="D376" s="220" t="s">
        <v>1494</v>
      </c>
      <c r="E376" s="220" t="s">
        <v>1493</v>
      </c>
      <c r="F376" s="220" t="s">
        <v>1442</v>
      </c>
      <c r="G376" s="220"/>
      <c r="H376" s="220" t="s">
        <v>1492</v>
      </c>
      <c r="I376" s="220" t="s">
        <v>329</v>
      </c>
      <c r="J376" s="220" t="s">
        <v>297</v>
      </c>
      <c r="K376" s="220" t="s">
        <v>328</v>
      </c>
      <c r="L376" s="220" t="s">
        <v>601</v>
      </c>
      <c r="M376" s="220" t="s">
        <v>600</v>
      </c>
      <c r="N376" s="220" t="s">
        <v>329</v>
      </c>
      <c r="O376" s="220" t="s">
        <v>297</v>
      </c>
      <c r="P376" s="220" t="s">
        <v>599</v>
      </c>
      <c r="Q376" s="220" t="s">
        <v>598</v>
      </c>
      <c r="R376" s="220"/>
      <c r="S376" s="220" t="s">
        <v>791</v>
      </c>
      <c r="T376" s="220" t="s">
        <v>151</v>
      </c>
      <c r="U376" s="220"/>
      <c r="V376" s="220"/>
      <c r="W376" s="220"/>
      <c r="X376" s="220"/>
      <c r="Y376" s="283"/>
      <c r="Z376" s="220"/>
      <c r="AA376" s="220"/>
      <c r="AB376" s="220"/>
      <c r="AC376" s="220"/>
      <c r="AD376" s="220"/>
      <c r="AE376" s="283"/>
      <c r="AF376" s="220"/>
      <c r="AG376" s="220"/>
      <c r="AH376" s="220"/>
      <c r="AI376" s="220"/>
      <c r="AJ376" s="226">
        <v>4</v>
      </c>
      <c r="AK376" s="226">
        <v>0</v>
      </c>
      <c r="AL376" s="225">
        <v>1.52E-2</v>
      </c>
      <c r="AM376" s="220"/>
      <c r="AN376" s="225">
        <v>129.06800000000001</v>
      </c>
      <c r="AO376" s="220"/>
      <c r="AP376" s="220"/>
      <c r="AQ376" s="283"/>
      <c r="AR376" s="283"/>
      <c r="AS376" s="283"/>
      <c r="AT376" s="223">
        <v>0</v>
      </c>
      <c r="AU376" s="284">
        <v>18</v>
      </c>
      <c r="AV376" s="221">
        <v>42702</v>
      </c>
      <c r="AW376" s="221">
        <v>42702.544894409701</v>
      </c>
      <c r="AX376" s="220" t="s">
        <v>293</v>
      </c>
      <c r="AY376" s="219" t="s">
        <v>1491</v>
      </c>
    </row>
    <row r="377" spans="1:51" ht="20.399999999999999" hidden="1" outlineLevel="1" collapsed="1">
      <c r="A377" s="227" t="s">
        <v>289</v>
      </c>
      <c r="B377" s="220" t="s">
        <v>1490</v>
      </c>
      <c r="C377" s="220" t="s">
        <v>1490</v>
      </c>
      <c r="D377" s="220" t="s">
        <v>1489</v>
      </c>
      <c r="E377" s="220" t="s">
        <v>1488</v>
      </c>
      <c r="F377" s="220" t="s">
        <v>1487</v>
      </c>
      <c r="G377" s="220"/>
      <c r="H377" s="220" t="s">
        <v>1486</v>
      </c>
      <c r="I377" s="220" t="s">
        <v>329</v>
      </c>
      <c r="J377" s="220" t="s">
        <v>297</v>
      </c>
      <c r="K377" s="220" t="s">
        <v>328</v>
      </c>
      <c r="L377" s="220" t="s">
        <v>601</v>
      </c>
      <c r="M377" s="220" t="s">
        <v>600</v>
      </c>
      <c r="N377" s="220" t="s">
        <v>329</v>
      </c>
      <c r="O377" s="220" t="s">
        <v>297</v>
      </c>
      <c r="P377" s="220" t="s">
        <v>599</v>
      </c>
      <c r="Q377" s="220" t="s">
        <v>598</v>
      </c>
      <c r="R377" s="220"/>
      <c r="S377" s="220" t="s">
        <v>791</v>
      </c>
      <c r="T377" s="220" t="s">
        <v>151</v>
      </c>
      <c r="U377" s="220"/>
      <c r="V377" s="220"/>
      <c r="W377" s="220"/>
      <c r="X377" s="220"/>
      <c r="Y377" s="283"/>
      <c r="Z377" s="220"/>
      <c r="AA377" s="220"/>
      <c r="AB377" s="220"/>
      <c r="AC377" s="220"/>
      <c r="AD377" s="220"/>
      <c r="AE377" s="283"/>
      <c r="AF377" s="220"/>
      <c r="AG377" s="220"/>
      <c r="AH377" s="220"/>
      <c r="AI377" s="220"/>
      <c r="AJ377" s="226">
        <v>2</v>
      </c>
      <c r="AK377" s="226">
        <v>0</v>
      </c>
      <c r="AL377" s="225">
        <v>7.6E-3</v>
      </c>
      <c r="AM377" s="220"/>
      <c r="AN377" s="225">
        <v>64.534000000000006</v>
      </c>
      <c r="AO377" s="220"/>
      <c r="AP377" s="220"/>
      <c r="AQ377" s="283"/>
      <c r="AR377" s="283"/>
      <c r="AS377" s="283"/>
      <c r="AT377" s="223">
        <v>0</v>
      </c>
      <c r="AU377" s="284">
        <v>9</v>
      </c>
      <c r="AV377" s="221">
        <v>42702</v>
      </c>
      <c r="AW377" s="221">
        <v>42702.546729976901</v>
      </c>
      <c r="AX377" s="220" t="s">
        <v>293</v>
      </c>
      <c r="AY377" s="219" t="s">
        <v>1485</v>
      </c>
    </row>
    <row r="378" spans="1:51" ht="20.399999999999999" hidden="1" outlineLevel="1" collapsed="1">
      <c r="A378" s="227" t="s">
        <v>289</v>
      </c>
      <c r="B378" s="220" t="s">
        <v>1484</v>
      </c>
      <c r="C378" s="220" t="s">
        <v>1484</v>
      </c>
      <c r="D378" s="220" t="s">
        <v>1483</v>
      </c>
      <c r="E378" s="220" t="s">
        <v>1482</v>
      </c>
      <c r="F378" s="220" t="s">
        <v>1481</v>
      </c>
      <c r="G378" s="220"/>
      <c r="H378" s="220" t="s">
        <v>1480</v>
      </c>
      <c r="I378" s="220" t="s">
        <v>329</v>
      </c>
      <c r="J378" s="220" t="s">
        <v>297</v>
      </c>
      <c r="K378" s="220" t="s">
        <v>328</v>
      </c>
      <c r="L378" s="220" t="s">
        <v>601</v>
      </c>
      <c r="M378" s="220" t="s">
        <v>600</v>
      </c>
      <c r="N378" s="220" t="s">
        <v>329</v>
      </c>
      <c r="O378" s="220" t="s">
        <v>297</v>
      </c>
      <c r="P378" s="220" t="s">
        <v>599</v>
      </c>
      <c r="Q378" s="220" t="s">
        <v>598</v>
      </c>
      <c r="R378" s="220"/>
      <c r="S378" s="220" t="s">
        <v>791</v>
      </c>
      <c r="T378" s="220" t="s">
        <v>151</v>
      </c>
      <c r="U378" s="220"/>
      <c r="V378" s="220"/>
      <c r="W378" s="220"/>
      <c r="X378" s="220"/>
      <c r="Y378" s="283"/>
      <c r="Z378" s="220"/>
      <c r="AA378" s="220"/>
      <c r="AB378" s="220"/>
      <c r="AC378" s="220"/>
      <c r="AD378" s="220"/>
      <c r="AE378" s="283"/>
      <c r="AF378" s="220"/>
      <c r="AG378" s="220"/>
      <c r="AH378" s="220"/>
      <c r="AI378" s="220"/>
      <c r="AJ378" s="226">
        <v>6</v>
      </c>
      <c r="AK378" s="226">
        <v>0</v>
      </c>
      <c r="AL378" s="225">
        <v>2.2800000000000001E-2</v>
      </c>
      <c r="AM378" s="220"/>
      <c r="AN378" s="225">
        <v>193.602</v>
      </c>
      <c r="AO378" s="220"/>
      <c r="AP378" s="220"/>
      <c r="AQ378" s="283"/>
      <c r="AR378" s="283"/>
      <c r="AS378" s="283"/>
      <c r="AT378" s="223">
        <v>0</v>
      </c>
      <c r="AU378" s="284">
        <v>27</v>
      </c>
      <c r="AV378" s="221">
        <v>42702</v>
      </c>
      <c r="AW378" s="221">
        <v>42702.648290011603</v>
      </c>
      <c r="AX378" s="220" t="s">
        <v>293</v>
      </c>
      <c r="AY378" s="219" t="s">
        <v>1479</v>
      </c>
    </row>
    <row r="379" spans="1:51" hidden="1" outlineLevel="1" collapsed="1">
      <c r="A379" s="227" t="s">
        <v>289</v>
      </c>
      <c r="B379" s="220" t="s">
        <v>1478</v>
      </c>
      <c r="C379" s="220" t="s">
        <v>1478</v>
      </c>
      <c r="D379" s="220" t="s">
        <v>1477</v>
      </c>
      <c r="E379" s="220" t="s">
        <v>868</v>
      </c>
      <c r="F379" s="220" t="s">
        <v>1476</v>
      </c>
      <c r="G379" s="220"/>
      <c r="H379" s="220" t="s">
        <v>1475</v>
      </c>
      <c r="I379" s="220" t="s">
        <v>337</v>
      </c>
      <c r="J379" s="220" t="s">
        <v>297</v>
      </c>
      <c r="K379" s="220" t="s">
        <v>336</v>
      </c>
      <c r="L379" s="220" t="s">
        <v>601</v>
      </c>
      <c r="M379" s="220" t="s">
        <v>600</v>
      </c>
      <c r="N379" s="220" t="s">
        <v>329</v>
      </c>
      <c r="O379" s="220" t="s">
        <v>297</v>
      </c>
      <c r="P379" s="220" t="s">
        <v>599</v>
      </c>
      <c r="Q379" s="220" t="s">
        <v>598</v>
      </c>
      <c r="R379" s="220"/>
      <c r="S379" s="220" t="s">
        <v>791</v>
      </c>
      <c r="T379" s="220" t="s">
        <v>151</v>
      </c>
      <c r="U379" s="220"/>
      <c r="V379" s="220"/>
      <c r="W379" s="220"/>
      <c r="X379" s="220"/>
      <c r="Y379" s="283"/>
      <c r="Z379" s="220"/>
      <c r="AA379" s="220"/>
      <c r="AB379" s="220"/>
      <c r="AC379" s="220"/>
      <c r="AD379" s="220"/>
      <c r="AE379" s="283"/>
      <c r="AF379" s="220"/>
      <c r="AG379" s="220"/>
      <c r="AH379" s="220"/>
      <c r="AI379" s="220"/>
      <c r="AJ379" s="226">
        <v>4</v>
      </c>
      <c r="AK379" s="226">
        <v>0</v>
      </c>
      <c r="AL379" s="225">
        <v>1.52E-2</v>
      </c>
      <c r="AM379" s="220"/>
      <c r="AN379" s="225">
        <v>129.06800000000001</v>
      </c>
      <c r="AO379" s="220"/>
      <c r="AP379" s="220"/>
      <c r="AQ379" s="283"/>
      <c r="AR379" s="283"/>
      <c r="AS379" s="283"/>
      <c r="AT379" s="223">
        <v>0</v>
      </c>
      <c r="AU379" s="284">
        <v>18</v>
      </c>
      <c r="AV379" s="221">
        <v>42702</v>
      </c>
      <c r="AW379" s="221">
        <v>42702.6492155093</v>
      </c>
      <c r="AX379" s="220" t="s">
        <v>293</v>
      </c>
      <c r="AY379" s="219" t="s">
        <v>1474</v>
      </c>
    </row>
    <row r="380" spans="1:51" hidden="1" outlineLevel="1" collapsed="1">
      <c r="A380" s="227" t="s">
        <v>289</v>
      </c>
      <c r="B380" s="220" t="s">
        <v>1473</v>
      </c>
      <c r="C380" s="220" t="s">
        <v>1473</v>
      </c>
      <c r="D380" s="220" t="s">
        <v>1472</v>
      </c>
      <c r="E380" s="220" t="s">
        <v>1471</v>
      </c>
      <c r="F380" s="220" t="s">
        <v>1470</v>
      </c>
      <c r="G380" s="220"/>
      <c r="H380" s="220" t="s">
        <v>1469</v>
      </c>
      <c r="I380" s="220" t="s">
        <v>413</v>
      </c>
      <c r="J380" s="220" t="s">
        <v>297</v>
      </c>
      <c r="K380" s="220" t="s">
        <v>412</v>
      </c>
      <c r="L380" s="220" t="s">
        <v>601</v>
      </c>
      <c r="M380" s="220" t="s">
        <v>600</v>
      </c>
      <c r="N380" s="220" t="s">
        <v>329</v>
      </c>
      <c r="O380" s="220" t="s">
        <v>297</v>
      </c>
      <c r="P380" s="220" t="s">
        <v>599</v>
      </c>
      <c r="Q380" s="220" t="s">
        <v>598</v>
      </c>
      <c r="R380" s="220"/>
      <c r="S380" s="220" t="s">
        <v>791</v>
      </c>
      <c r="T380" s="220" t="s">
        <v>151</v>
      </c>
      <c r="U380" s="220"/>
      <c r="V380" s="220"/>
      <c r="W380" s="220"/>
      <c r="X380" s="220"/>
      <c r="Y380" s="283"/>
      <c r="Z380" s="220"/>
      <c r="AA380" s="220"/>
      <c r="AB380" s="220"/>
      <c r="AC380" s="220"/>
      <c r="AD380" s="220"/>
      <c r="AE380" s="283"/>
      <c r="AF380" s="220"/>
      <c r="AG380" s="220"/>
      <c r="AH380" s="220"/>
      <c r="AI380" s="220"/>
      <c r="AJ380" s="226">
        <v>2</v>
      </c>
      <c r="AK380" s="226">
        <v>0</v>
      </c>
      <c r="AL380" s="225">
        <v>7.6E-3</v>
      </c>
      <c r="AM380" s="220"/>
      <c r="AN380" s="225">
        <v>64.534000000000006</v>
      </c>
      <c r="AO380" s="220"/>
      <c r="AP380" s="220"/>
      <c r="AQ380" s="283"/>
      <c r="AR380" s="283"/>
      <c r="AS380" s="283"/>
      <c r="AT380" s="223">
        <v>0</v>
      </c>
      <c r="AU380" s="284">
        <v>9</v>
      </c>
      <c r="AV380" s="221">
        <v>42702</v>
      </c>
      <c r="AW380" s="221">
        <v>42702.651114814798</v>
      </c>
      <c r="AX380" s="220" t="s">
        <v>293</v>
      </c>
      <c r="AY380" s="219" t="s">
        <v>1468</v>
      </c>
    </row>
    <row r="381" spans="1:51" hidden="1" outlineLevel="1" collapsed="1">
      <c r="A381" s="227" t="s">
        <v>289</v>
      </c>
      <c r="B381" s="220" t="s">
        <v>1465</v>
      </c>
      <c r="C381" s="220" t="s">
        <v>1465</v>
      </c>
      <c r="D381" s="220" t="s">
        <v>1464</v>
      </c>
      <c r="E381" s="220" t="s">
        <v>1463</v>
      </c>
      <c r="F381" s="220" t="s">
        <v>354</v>
      </c>
      <c r="G381" s="220"/>
      <c r="H381" s="220" t="s">
        <v>1462</v>
      </c>
      <c r="I381" s="220" t="s">
        <v>308</v>
      </c>
      <c r="J381" s="220" t="s">
        <v>297</v>
      </c>
      <c r="K381" s="220" t="s">
        <v>307</v>
      </c>
      <c r="L381" s="220" t="s">
        <v>601</v>
      </c>
      <c r="M381" s="220" t="s">
        <v>600</v>
      </c>
      <c r="N381" s="220" t="s">
        <v>329</v>
      </c>
      <c r="O381" s="220" t="s">
        <v>297</v>
      </c>
      <c r="P381" s="220" t="s">
        <v>599</v>
      </c>
      <c r="Q381" s="220" t="s">
        <v>598</v>
      </c>
      <c r="R381" s="220"/>
      <c r="S381" s="220" t="s">
        <v>791</v>
      </c>
      <c r="T381" s="220" t="s">
        <v>151</v>
      </c>
      <c r="U381" s="220"/>
      <c r="V381" s="220"/>
      <c r="W381" s="220"/>
      <c r="X381" s="220"/>
      <c r="Y381" s="283"/>
      <c r="Z381" s="220"/>
      <c r="AA381" s="220"/>
      <c r="AB381" s="220"/>
      <c r="AC381" s="220"/>
      <c r="AD381" s="220"/>
      <c r="AE381" s="283"/>
      <c r="AF381" s="220"/>
      <c r="AG381" s="220"/>
      <c r="AH381" s="220"/>
      <c r="AI381" s="220"/>
      <c r="AJ381" s="226">
        <v>25</v>
      </c>
      <c r="AK381" s="226">
        <v>0</v>
      </c>
      <c r="AL381" s="225">
        <v>6.7500000000000004E-2</v>
      </c>
      <c r="AM381" s="220"/>
      <c r="AN381" s="225">
        <v>579.79999999999995</v>
      </c>
      <c r="AO381" s="220"/>
      <c r="AP381" s="220"/>
      <c r="AQ381" s="283"/>
      <c r="AR381" s="283"/>
      <c r="AS381" s="283"/>
      <c r="AT381" s="223">
        <v>0</v>
      </c>
      <c r="AU381" s="284">
        <v>100</v>
      </c>
      <c r="AV381" s="221">
        <v>42702</v>
      </c>
      <c r="AW381" s="221">
        <v>42702.651940543998</v>
      </c>
      <c r="AX381" s="220" t="s">
        <v>293</v>
      </c>
      <c r="AY381" s="219" t="s">
        <v>1467</v>
      </c>
    </row>
    <row r="382" spans="1:51" hidden="1" outlineLevel="1" collapsed="1">
      <c r="A382" s="227" t="s">
        <v>289</v>
      </c>
      <c r="B382" s="220" t="s">
        <v>1465</v>
      </c>
      <c r="C382" s="220" t="s">
        <v>1465</v>
      </c>
      <c r="D382" s="220" t="s">
        <v>1464</v>
      </c>
      <c r="E382" s="220" t="s">
        <v>1463</v>
      </c>
      <c r="F382" s="220" t="s">
        <v>354</v>
      </c>
      <c r="G382" s="220"/>
      <c r="H382" s="220" t="s">
        <v>1462</v>
      </c>
      <c r="I382" s="220" t="s">
        <v>308</v>
      </c>
      <c r="J382" s="220" t="s">
        <v>297</v>
      </c>
      <c r="K382" s="220" t="s">
        <v>307</v>
      </c>
      <c r="L382" s="220" t="s">
        <v>601</v>
      </c>
      <c r="M382" s="220" t="s">
        <v>600</v>
      </c>
      <c r="N382" s="220" t="s">
        <v>329</v>
      </c>
      <c r="O382" s="220" t="s">
        <v>297</v>
      </c>
      <c r="P382" s="220" t="s">
        <v>599</v>
      </c>
      <c r="Q382" s="220" t="s">
        <v>598</v>
      </c>
      <c r="R382" s="220"/>
      <c r="S382" s="220" t="s">
        <v>791</v>
      </c>
      <c r="T382" s="220" t="s">
        <v>151</v>
      </c>
      <c r="U382" s="220"/>
      <c r="V382" s="220"/>
      <c r="W382" s="220"/>
      <c r="X382" s="220"/>
      <c r="Y382" s="283"/>
      <c r="Z382" s="220"/>
      <c r="AA382" s="220"/>
      <c r="AB382" s="220"/>
      <c r="AC382" s="220"/>
      <c r="AD382" s="220"/>
      <c r="AE382" s="283"/>
      <c r="AF382" s="220"/>
      <c r="AG382" s="220"/>
      <c r="AH382" s="220"/>
      <c r="AI382" s="220"/>
      <c r="AJ382" s="226">
        <v>25</v>
      </c>
      <c r="AK382" s="226">
        <v>0</v>
      </c>
      <c r="AL382" s="225">
        <v>0.1</v>
      </c>
      <c r="AM382" s="220"/>
      <c r="AN382" s="225">
        <v>844.5</v>
      </c>
      <c r="AO382" s="220"/>
      <c r="AP382" s="220"/>
      <c r="AQ382" s="283"/>
      <c r="AR382" s="283"/>
      <c r="AS382" s="283"/>
      <c r="AT382" s="223">
        <v>0</v>
      </c>
      <c r="AU382" s="284">
        <v>140</v>
      </c>
      <c r="AV382" s="221">
        <v>42702</v>
      </c>
      <c r="AW382" s="221">
        <v>42702.651940543998</v>
      </c>
      <c r="AX382" s="220" t="s">
        <v>293</v>
      </c>
      <c r="AY382" s="219" t="s">
        <v>1466</v>
      </c>
    </row>
    <row r="383" spans="1:51" hidden="1" outlineLevel="1" collapsed="1">
      <c r="A383" s="227" t="s">
        <v>289</v>
      </c>
      <c r="B383" s="220" t="s">
        <v>1465</v>
      </c>
      <c r="C383" s="220" t="s">
        <v>1465</v>
      </c>
      <c r="D383" s="220" t="s">
        <v>1464</v>
      </c>
      <c r="E383" s="220" t="s">
        <v>1463</v>
      </c>
      <c r="F383" s="220" t="s">
        <v>354</v>
      </c>
      <c r="G383" s="220"/>
      <c r="H383" s="220" t="s">
        <v>1462</v>
      </c>
      <c r="I383" s="220" t="s">
        <v>308</v>
      </c>
      <c r="J383" s="220" t="s">
        <v>297</v>
      </c>
      <c r="K383" s="220" t="s">
        <v>307</v>
      </c>
      <c r="L383" s="220" t="s">
        <v>601</v>
      </c>
      <c r="M383" s="220" t="s">
        <v>600</v>
      </c>
      <c r="N383" s="220" t="s">
        <v>329</v>
      </c>
      <c r="O383" s="220" t="s">
        <v>297</v>
      </c>
      <c r="P383" s="220" t="s">
        <v>599</v>
      </c>
      <c r="Q383" s="220" t="s">
        <v>598</v>
      </c>
      <c r="R383" s="220"/>
      <c r="S383" s="220" t="s">
        <v>791</v>
      </c>
      <c r="T383" s="220" t="s">
        <v>151</v>
      </c>
      <c r="U383" s="220"/>
      <c r="V383" s="220"/>
      <c r="W383" s="220"/>
      <c r="X383" s="220"/>
      <c r="Y383" s="283"/>
      <c r="Z383" s="220"/>
      <c r="AA383" s="220"/>
      <c r="AB383" s="220"/>
      <c r="AC383" s="220"/>
      <c r="AD383" s="220"/>
      <c r="AE383" s="283"/>
      <c r="AF383" s="220"/>
      <c r="AG383" s="220"/>
      <c r="AH383" s="220"/>
      <c r="AI383" s="220"/>
      <c r="AJ383" s="226">
        <v>25</v>
      </c>
      <c r="AK383" s="226">
        <v>0</v>
      </c>
      <c r="AL383" s="225">
        <v>9.5000000000000001E-2</v>
      </c>
      <c r="AM383" s="220"/>
      <c r="AN383" s="225">
        <v>806.67499999999995</v>
      </c>
      <c r="AO383" s="220"/>
      <c r="AP383" s="220"/>
      <c r="AQ383" s="283"/>
      <c r="AR383" s="283"/>
      <c r="AS383" s="283"/>
      <c r="AT383" s="223">
        <v>0</v>
      </c>
      <c r="AU383" s="284">
        <v>112.5</v>
      </c>
      <c r="AV383" s="221">
        <v>42702</v>
      </c>
      <c r="AW383" s="221">
        <v>42702.651940543998</v>
      </c>
      <c r="AX383" s="220" t="s">
        <v>293</v>
      </c>
      <c r="AY383" s="219" t="s">
        <v>1461</v>
      </c>
    </row>
    <row r="384" spans="1:51" hidden="1" outlineLevel="1" collapsed="1">
      <c r="A384" s="227" t="s">
        <v>289</v>
      </c>
      <c r="B384" s="220" t="s">
        <v>1460</v>
      </c>
      <c r="C384" s="220" t="s">
        <v>1460</v>
      </c>
      <c r="D384" s="220" t="s">
        <v>1418</v>
      </c>
      <c r="E384" s="220" t="s">
        <v>1417</v>
      </c>
      <c r="F384" s="220" t="s">
        <v>1416</v>
      </c>
      <c r="G384" s="220"/>
      <c r="H384" s="220" t="s">
        <v>1415</v>
      </c>
      <c r="I384" s="220" t="s">
        <v>531</v>
      </c>
      <c r="J384" s="220" t="s">
        <v>297</v>
      </c>
      <c r="K384" s="220" t="s">
        <v>530</v>
      </c>
      <c r="L384" s="220" t="s">
        <v>601</v>
      </c>
      <c r="M384" s="220" t="s">
        <v>600</v>
      </c>
      <c r="N384" s="220" t="s">
        <v>329</v>
      </c>
      <c r="O384" s="220" t="s">
        <v>297</v>
      </c>
      <c r="P384" s="220" t="s">
        <v>599</v>
      </c>
      <c r="Q384" s="220" t="s">
        <v>598</v>
      </c>
      <c r="R384" s="220"/>
      <c r="S384" s="220" t="s">
        <v>791</v>
      </c>
      <c r="T384" s="220" t="s">
        <v>151</v>
      </c>
      <c r="U384" s="220"/>
      <c r="V384" s="220"/>
      <c r="W384" s="220"/>
      <c r="X384" s="220"/>
      <c r="Y384" s="283"/>
      <c r="Z384" s="220"/>
      <c r="AA384" s="220"/>
      <c r="AB384" s="220"/>
      <c r="AC384" s="220"/>
      <c r="AD384" s="220"/>
      <c r="AE384" s="283"/>
      <c r="AF384" s="220"/>
      <c r="AG384" s="220"/>
      <c r="AH384" s="220"/>
      <c r="AI384" s="220"/>
      <c r="AJ384" s="226">
        <v>4</v>
      </c>
      <c r="AK384" s="226">
        <v>0</v>
      </c>
      <c r="AL384" s="225">
        <v>1.52E-2</v>
      </c>
      <c r="AM384" s="220"/>
      <c r="AN384" s="225">
        <v>129.06800000000001</v>
      </c>
      <c r="AO384" s="220"/>
      <c r="AP384" s="220"/>
      <c r="AQ384" s="283"/>
      <c r="AR384" s="283"/>
      <c r="AS384" s="283"/>
      <c r="AT384" s="223">
        <v>0</v>
      </c>
      <c r="AU384" s="284">
        <v>18</v>
      </c>
      <c r="AV384" s="221">
        <v>42702</v>
      </c>
      <c r="AW384" s="221">
        <v>42702.653372141198</v>
      </c>
      <c r="AX384" s="220" t="s">
        <v>293</v>
      </c>
      <c r="AY384" s="219" t="s">
        <v>1459</v>
      </c>
    </row>
    <row r="385" spans="1:51" hidden="1" outlineLevel="1" collapsed="1">
      <c r="A385" s="227" t="s">
        <v>289</v>
      </c>
      <c r="B385" s="220" t="s">
        <v>1457</v>
      </c>
      <c r="C385" s="220" t="s">
        <v>1457</v>
      </c>
      <c r="D385" s="220" t="s">
        <v>1456</v>
      </c>
      <c r="E385" s="220" t="s">
        <v>1455</v>
      </c>
      <c r="F385" s="220" t="s">
        <v>1396</v>
      </c>
      <c r="G385" s="220"/>
      <c r="H385" s="220" t="s">
        <v>1454</v>
      </c>
      <c r="I385" s="220" t="s">
        <v>531</v>
      </c>
      <c r="J385" s="220" t="s">
        <v>297</v>
      </c>
      <c r="K385" s="220" t="s">
        <v>530</v>
      </c>
      <c r="L385" s="220" t="s">
        <v>601</v>
      </c>
      <c r="M385" s="220" t="s">
        <v>600</v>
      </c>
      <c r="N385" s="220" t="s">
        <v>329</v>
      </c>
      <c r="O385" s="220" t="s">
        <v>297</v>
      </c>
      <c r="P385" s="220" t="s">
        <v>599</v>
      </c>
      <c r="Q385" s="220" t="s">
        <v>598</v>
      </c>
      <c r="R385" s="220"/>
      <c r="S385" s="220" t="s">
        <v>791</v>
      </c>
      <c r="T385" s="220" t="s">
        <v>151</v>
      </c>
      <c r="U385" s="220"/>
      <c r="V385" s="220"/>
      <c r="W385" s="220"/>
      <c r="X385" s="220"/>
      <c r="Y385" s="283"/>
      <c r="Z385" s="220"/>
      <c r="AA385" s="220"/>
      <c r="AB385" s="220"/>
      <c r="AC385" s="220"/>
      <c r="AD385" s="220"/>
      <c r="AE385" s="283"/>
      <c r="AF385" s="220"/>
      <c r="AG385" s="220"/>
      <c r="AH385" s="220"/>
      <c r="AI385" s="220"/>
      <c r="AJ385" s="226">
        <v>6</v>
      </c>
      <c r="AK385" s="226">
        <v>0</v>
      </c>
      <c r="AL385" s="225">
        <v>1.6199999999999999E-2</v>
      </c>
      <c r="AM385" s="220"/>
      <c r="AN385" s="225">
        <v>139.15199999999999</v>
      </c>
      <c r="AO385" s="220"/>
      <c r="AP385" s="220"/>
      <c r="AQ385" s="283"/>
      <c r="AR385" s="283"/>
      <c r="AS385" s="283"/>
      <c r="AT385" s="223">
        <v>0</v>
      </c>
      <c r="AU385" s="284">
        <v>24</v>
      </c>
      <c r="AV385" s="221">
        <v>42702</v>
      </c>
      <c r="AW385" s="221">
        <v>42702.655526620401</v>
      </c>
      <c r="AX385" s="220" t="s">
        <v>293</v>
      </c>
      <c r="AY385" s="219" t="s">
        <v>1453</v>
      </c>
    </row>
    <row r="386" spans="1:51" hidden="1" outlineLevel="1" collapsed="1">
      <c r="A386" s="227" t="s">
        <v>289</v>
      </c>
      <c r="B386" s="220" t="s">
        <v>1457</v>
      </c>
      <c r="C386" s="220" t="s">
        <v>1457</v>
      </c>
      <c r="D386" s="220" t="s">
        <v>1456</v>
      </c>
      <c r="E386" s="220" t="s">
        <v>1455</v>
      </c>
      <c r="F386" s="220" t="s">
        <v>1396</v>
      </c>
      <c r="G386" s="220"/>
      <c r="H386" s="220" t="s">
        <v>1454</v>
      </c>
      <c r="I386" s="220" t="s">
        <v>531</v>
      </c>
      <c r="J386" s="220" t="s">
        <v>297</v>
      </c>
      <c r="K386" s="220" t="s">
        <v>530</v>
      </c>
      <c r="L386" s="220" t="s">
        <v>601</v>
      </c>
      <c r="M386" s="220" t="s">
        <v>600</v>
      </c>
      <c r="N386" s="220" t="s">
        <v>329</v>
      </c>
      <c r="O386" s="220" t="s">
        <v>297</v>
      </c>
      <c r="P386" s="220" t="s">
        <v>599</v>
      </c>
      <c r="Q386" s="220" t="s">
        <v>598</v>
      </c>
      <c r="R386" s="220"/>
      <c r="S386" s="220" t="s">
        <v>791</v>
      </c>
      <c r="T386" s="220" t="s">
        <v>151</v>
      </c>
      <c r="U386" s="220"/>
      <c r="V386" s="220"/>
      <c r="W386" s="220"/>
      <c r="X386" s="220"/>
      <c r="Y386" s="283"/>
      <c r="Z386" s="220"/>
      <c r="AA386" s="220"/>
      <c r="AB386" s="220"/>
      <c r="AC386" s="220"/>
      <c r="AD386" s="220"/>
      <c r="AE386" s="283"/>
      <c r="AF386" s="220"/>
      <c r="AG386" s="220"/>
      <c r="AH386" s="220"/>
      <c r="AI386" s="220"/>
      <c r="AJ386" s="226">
        <v>2</v>
      </c>
      <c r="AK386" s="226">
        <v>0</v>
      </c>
      <c r="AL386" s="225">
        <v>7.6E-3</v>
      </c>
      <c r="AM386" s="220"/>
      <c r="AN386" s="225">
        <v>64.534000000000006</v>
      </c>
      <c r="AO386" s="220"/>
      <c r="AP386" s="220"/>
      <c r="AQ386" s="283"/>
      <c r="AR386" s="283"/>
      <c r="AS386" s="283"/>
      <c r="AT386" s="223">
        <v>0</v>
      </c>
      <c r="AU386" s="284">
        <v>9</v>
      </c>
      <c r="AV386" s="221">
        <v>42702</v>
      </c>
      <c r="AW386" s="221">
        <v>42702.655526620401</v>
      </c>
      <c r="AX386" s="220" t="s">
        <v>293</v>
      </c>
      <c r="AY386" s="219" t="s">
        <v>1458</v>
      </c>
    </row>
    <row r="387" spans="1:51" hidden="1" outlineLevel="1" collapsed="1">
      <c r="A387" s="227" t="s">
        <v>289</v>
      </c>
      <c r="B387" s="220" t="s">
        <v>1451</v>
      </c>
      <c r="C387" s="220" t="s">
        <v>1451</v>
      </c>
      <c r="D387" s="220" t="s">
        <v>1450</v>
      </c>
      <c r="E387" s="220" t="s">
        <v>1449</v>
      </c>
      <c r="F387" s="220" t="s">
        <v>1448</v>
      </c>
      <c r="G387" s="220"/>
      <c r="H387" s="220" t="s">
        <v>1447</v>
      </c>
      <c r="I387" s="220" t="s">
        <v>568</v>
      </c>
      <c r="J387" s="220" t="s">
        <v>297</v>
      </c>
      <c r="K387" s="220" t="s">
        <v>567</v>
      </c>
      <c r="L387" s="220" t="s">
        <v>601</v>
      </c>
      <c r="M387" s="220" t="s">
        <v>600</v>
      </c>
      <c r="N387" s="220" t="s">
        <v>329</v>
      </c>
      <c r="O387" s="220" t="s">
        <v>297</v>
      </c>
      <c r="P387" s="220" t="s">
        <v>599</v>
      </c>
      <c r="Q387" s="220" t="s">
        <v>598</v>
      </c>
      <c r="R387" s="220"/>
      <c r="S387" s="220" t="s">
        <v>791</v>
      </c>
      <c r="T387" s="220" t="s">
        <v>151</v>
      </c>
      <c r="U387" s="220"/>
      <c r="V387" s="220"/>
      <c r="W387" s="220"/>
      <c r="X387" s="220"/>
      <c r="Y387" s="283"/>
      <c r="Z387" s="220"/>
      <c r="AA387" s="220"/>
      <c r="AB387" s="220"/>
      <c r="AC387" s="220"/>
      <c r="AD387" s="220"/>
      <c r="AE387" s="283"/>
      <c r="AF387" s="220"/>
      <c r="AG387" s="220"/>
      <c r="AH387" s="220"/>
      <c r="AI387" s="220"/>
      <c r="AJ387" s="226">
        <v>2</v>
      </c>
      <c r="AK387" s="226">
        <v>0</v>
      </c>
      <c r="AL387" s="225">
        <v>5.4000000000000003E-3</v>
      </c>
      <c r="AM387" s="220"/>
      <c r="AN387" s="225">
        <v>46.384</v>
      </c>
      <c r="AO387" s="220"/>
      <c r="AP387" s="220"/>
      <c r="AQ387" s="283"/>
      <c r="AR387" s="283"/>
      <c r="AS387" s="283"/>
      <c r="AT387" s="223">
        <v>0</v>
      </c>
      <c r="AU387" s="284">
        <v>8</v>
      </c>
      <c r="AV387" s="221">
        <v>42703</v>
      </c>
      <c r="AW387" s="221">
        <v>42703.531657754596</v>
      </c>
      <c r="AX387" s="220" t="s">
        <v>293</v>
      </c>
      <c r="AY387" s="219" t="s">
        <v>1452</v>
      </c>
    </row>
    <row r="388" spans="1:51" hidden="1" outlineLevel="1" collapsed="1">
      <c r="A388" s="227" t="s">
        <v>289</v>
      </c>
      <c r="B388" s="220" t="s">
        <v>1451</v>
      </c>
      <c r="C388" s="220" t="s">
        <v>1451</v>
      </c>
      <c r="D388" s="220" t="s">
        <v>1450</v>
      </c>
      <c r="E388" s="220" t="s">
        <v>1449</v>
      </c>
      <c r="F388" s="220" t="s">
        <v>1448</v>
      </c>
      <c r="G388" s="220"/>
      <c r="H388" s="220" t="s">
        <v>1447</v>
      </c>
      <c r="I388" s="220" t="s">
        <v>568</v>
      </c>
      <c r="J388" s="220" t="s">
        <v>297</v>
      </c>
      <c r="K388" s="220" t="s">
        <v>567</v>
      </c>
      <c r="L388" s="220" t="s">
        <v>601</v>
      </c>
      <c r="M388" s="220" t="s">
        <v>600</v>
      </c>
      <c r="N388" s="220" t="s">
        <v>329</v>
      </c>
      <c r="O388" s="220" t="s">
        <v>297</v>
      </c>
      <c r="P388" s="220" t="s">
        <v>599</v>
      </c>
      <c r="Q388" s="220" t="s">
        <v>598</v>
      </c>
      <c r="R388" s="220"/>
      <c r="S388" s="220" t="s">
        <v>791</v>
      </c>
      <c r="T388" s="220" t="s">
        <v>151</v>
      </c>
      <c r="U388" s="220"/>
      <c r="V388" s="220"/>
      <c r="W388" s="220"/>
      <c r="X388" s="220"/>
      <c r="Y388" s="283"/>
      <c r="Z388" s="220"/>
      <c r="AA388" s="220"/>
      <c r="AB388" s="220"/>
      <c r="AC388" s="220"/>
      <c r="AD388" s="220"/>
      <c r="AE388" s="283"/>
      <c r="AF388" s="220"/>
      <c r="AG388" s="220"/>
      <c r="AH388" s="220"/>
      <c r="AI388" s="220"/>
      <c r="AJ388" s="226">
        <v>2</v>
      </c>
      <c r="AK388" s="226">
        <v>0</v>
      </c>
      <c r="AL388" s="225">
        <v>7.6E-3</v>
      </c>
      <c r="AM388" s="220"/>
      <c r="AN388" s="225">
        <v>64.534000000000006</v>
      </c>
      <c r="AO388" s="220"/>
      <c r="AP388" s="220"/>
      <c r="AQ388" s="283"/>
      <c r="AR388" s="283"/>
      <c r="AS388" s="283"/>
      <c r="AT388" s="223">
        <v>0</v>
      </c>
      <c r="AU388" s="284">
        <v>9</v>
      </c>
      <c r="AV388" s="221">
        <v>42703</v>
      </c>
      <c r="AW388" s="221">
        <v>42703.531657754596</v>
      </c>
      <c r="AX388" s="220" t="s">
        <v>293</v>
      </c>
      <c r="AY388" s="219" t="s">
        <v>1446</v>
      </c>
    </row>
    <row r="389" spans="1:51" hidden="1" outlineLevel="1" collapsed="1">
      <c r="A389" s="227" t="s">
        <v>289</v>
      </c>
      <c r="B389" s="220" t="s">
        <v>1445</v>
      </c>
      <c r="C389" s="220" t="s">
        <v>1445</v>
      </c>
      <c r="D389" s="220" t="s">
        <v>1444</v>
      </c>
      <c r="E389" s="220" t="s">
        <v>1443</v>
      </c>
      <c r="F389" s="220" t="s">
        <v>1442</v>
      </c>
      <c r="G389" s="220"/>
      <c r="H389" s="220" t="s">
        <v>1441</v>
      </c>
      <c r="I389" s="220" t="s">
        <v>298</v>
      </c>
      <c r="J389" s="220" t="s">
        <v>297</v>
      </c>
      <c r="K389" s="220" t="s">
        <v>296</v>
      </c>
      <c r="L389" s="220" t="s">
        <v>601</v>
      </c>
      <c r="M389" s="220" t="s">
        <v>600</v>
      </c>
      <c r="N389" s="220" t="s">
        <v>329</v>
      </c>
      <c r="O389" s="220" t="s">
        <v>297</v>
      </c>
      <c r="P389" s="220" t="s">
        <v>599</v>
      </c>
      <c r="Q389" s="220" t="s">
        <v>598</v>
      </c>
      <c r="R389" s="220"/>
      <c r="S389" s="220" t="s">
        <v>791</v>
      </c>
      <c r="T389" s="220" t="s">
        <v>151</v>
      </c>
      <c r="U389" s="220"/>
      <c r="V389" s="220"/>
      <c r="W389" s="220"/>
      <c r="X389" s="220"/>
      <c r="Y389" s="283"/>
      <c r="Z389" s="220"/>
      <c r="AA389" s="220"/>
      <c r="AB389" s="220"/>
      <c r="AC389" s="220"/>
      <c r="AD389" s="220"/>
      <c r="AE389" s="283"/>
      <c r="AF389" s="220"/>
      <c r="AG389" s="220"/>
      <c r="AH389" s="220"/>
      <c r="AI389" s="220"/>
      <c r="AJ389" s="226">
        <v>10</v>
      </c>
      <c r="AK389" s="226">
        <v>0</v>
      </c>
      <c r="AL389" s="225">
        <v>3.7999999999999999E-2</v>
      </c>
      <c r="AM389" s="220"/>
      <c r="AN389" s="225">
        <v>322.67</v>
      </c>
      <c r="AO389" s="220"/>
      <c r="AP389" s="220"/>
      <c r="AQ389" s="283"/>
      <c r="AR389" s="283"/>
      <c r="AS389" s="283"/>
      <c r="AT389" s="223">
        <v>0</v>
      </c>
      <c r="AU389" s="284">
        <v>45</v>
      </c>
      <c r="AV389" s="221">
        <v>42719</v>
      </c>
      <c r="AW389" s="221">
        <v>42719.626048530103</v>
      </c>
      <c r="AX389" s="220" t="s">
        <v>293</v>
      </c>
      <c r="AY389" s="219" t="s">
        <v>1440</v>
      </c>
    </row>
    <row r="390" spans="1:51" hidden="1" outlineLevel="1" collapsed="1">
      <c r="A390" s="227" t="s">
        <v>289</v>
      </c>
      <c r="B390" s="220" t="s">
        <v>1437</v>
      </c>
      <c r="C390" s="220" t="s">
        <v>1437</v>
      </c>
      <c r="D390" s="220" t="s">
        <v>1436</v>
      </c>
      <c r="E390" s="220" t="s">
        <v>1435</v>
      </c>
      <c r="F390" s="220" t="s">
        <v>1434</v>
      </c>
      <c r="G390" s="220"/>
      <c r="H390" s="220" t="s">
        <v>1433</v>
      </c>
      <c r="I390" s="220" t="s">
        <v>329</v>
      </c>
      <c r="J390" s="220" t="s">
        <v>297</v>
      </c>
      <c r="K390" s="220" t="s">
        <v>397</v>
      </c>
      <c r="L390" s="220" t="s">
        <v>601</v>
      </c>
      <c r="M390" s="220" t="s">
        <v>600</v>
      </c>
      <c r="N390" s="220" t="s">
        <v>329</v>
      </c>
      <c r="O390" s="220" t="s">
        <v>297</v>
      </c>
      <c r="P390" s="220" t="s">
        <v>599</v>
      </c>
      <c r="Q390" s="220" t="s">
        <v>598</v>
      </c>
      <c r="R390" s="220"/>
      <c r="S390" s="220" t="s">
        <v>791</v>
      </c>
      <c r="T390" s="220" t="s">
        <v>151</v>
      </c>
      <c r="U390" s="220"/>
      <c r="V390" s="220"/>
      <c r="W390" s="220"/>
      <c r="X390" s="220"/>
      <c r="Y390" s="283"/>
      <c r="Z390" s="220"/>
      <c r="AA390" s="220"/>
      <c r="AB390" s="220"/>
      <c r="AC390" s="220"/>
      <c r="AD390" s="220"/>
      <c r="AE390" s="283"/>
      <c r="AF390" s="220"/>
      <c r="AG390" s="220"/>
      <c r="AH390" s="220"/>
      <c r="AI390" s="220"/>
      <c r="AJ390" s="226">
        <v>11</v>
      </c>
      <c r="AK390" s="226">
        <v>0</v>
      </c>
      <c r="AL390" s="225">
        <v>4.3999999999999997E-2</v>
      </c>
      <c r="AM390" s="220"/>
      <c r="AN390" s="225">
        <v>371.58</v>
      </c>
      <c r="AO390" s="220"/>
      <c r="AP390" s="220"/>
      <c r="AQ390" s="283"/>
      <c r="AR390" s="283"/>
      <c r="AS390" s="283"/>
      <c r="AT390" s="223">
        <v>0</v>
      </c>
      <c r="AU390" s="284">
        <v>61.6</v>
      </c>
      <c r="AV390" s="221">
        <v>42719</v>
      </c>
      <c r="AW390" s="221">
        <v>42719.6268824074</v>
      </c>
      <c r="AX390" s="220" t="s">
        <v>293</v>
      </c>
      <c r="AY390" s="219" t="s">
        <v>1432</v>
      </c>
    </row>
    <row r="391" spans="1:51" hidden="1" outlineLevel="1" collapsed="1">
      <c r="A391" s="227" t="s">
        <v>289</v>
      </c>
      <c r="B391" s="220" t="s">
        <v>1437</v>
      </c>
      <c r="C391" s="220" t="s">
        <v>1437</v>
      </c>
      <c r="D391" s="220" t="s">
        <v>1436</v>
      </c>
      <c r="E391" s="220" t="s">
        <v>1435</v>
      </c>
      <c r="F391" s="220" t="s">
        <v>1434</v>
      </c>
      <c r="G391" s="220"/>
      <c r="H391" s="220" t="s">
        <v>1433</v>
      </c>
      <c r="I391" s="220" t="s">
        <v>329</v>
      </c>
      <c r="J391" s="220" t="s">
        <v>297</v>
      </c>
      <c r="K391" s="220" t="s">
        <v>397</v>
      </c>
      <c r="L391" s="220" t="s">
        <v>601</v>
      </c>
      <c r="M391" s="220" t="s">
        <v>600</v>
      </c>
      <c r="N391" s="220" t="s">
        <v>329</v>
      </c>
      <c r="O391" s="220" t="s">
        <v>297</v>
      </c>
      <c r="P391" s="220" t="s">
        <v>599</v>
      </c>
      <c r="Q391" s="220" t="s">
        <v>598</v>
      </c>
      <c r="R391" s="220"/>
      <c r="S391" s="220" t="s">
        <v>791</v>
      </c>
      <c r="T391" s="220" t="s">
        <v>151</v>
      </c>
      <c r="U391" s="220"/>
      <c r="V391" s="220"/>
      <c r="W391" s="220"/>
      <c r="X391" s="220"/>
      <c r="Y391" s="283"/>
      <c r="Z391" s="220"/>
      <c r="AA391" s="220"/>
      <c r="AB391" s="220"/>
      <c r="AC391" s="220"/>
      <c r="AD391" s="220"/>
      <c r="AE391" s="283"/>
      <c r="AF391" s="220"/>
      <c r="AG391" s="220"/>
      <c r="AH391" s="220"/>
      <c r="AI391" s="220"/>
      <c r="AJ391" s="226">
        <v>14</v>
      </c>
      <c r="AK391" s="226">
        <v>0</v>
      </c>
      <c r="AL391" s="225">
        <v>5.3199999999999997E-2</v>
      </c>
      <c r="AM391" s="220"/>
      <c r="AN391" s="225">
        <v>451.738</v>
      </c>
      <c r="AO391" s="220"/>
      <c r="AP391" s="220"/>
      <c r="AQ391" s="283"/>
      <c r="AR391" s="283"/>
      <c r="AS391" s="283"/>
      <c r="AT391" s="223">
        <v>0</v>
      </c>
      <c r="AU391" s="284">
        <v>63</v>
      </c>
      <c r="AV391" s="221">
        <v>42719</v>
      </c>
      <c r="AW391" s="221">
        <v>42719.6268824074</v>
      </c>
      <c r="AX391" s="220" t="s">
        <v>293</v>
      </c>
      <c r="AY391" s="219" t="s">
        <v>1438</v>
      </c>
    </row>
    <row r="392" spans="1:51" hidden="1" outlineLevel="1" collapsed="1">
      <c r="A392" s="227" t="s">
        <v>289</v>
      </c>
      <c r="B392" s="220" t="s">
        <v>1437</v>
      </c>
      <c r="C392" s="220" t="s">
        <v>1437</v>
      </c>
      <c r="D392" s="220" t="s">
        <v>1436</v>
      </c>
      <c r="E392" s="220" t="s">
        <v>1435</v>
      </c>
      <c r="F392" s="220" t="s">
        <v>1434</v>
      </c>
      <c r="G392" s="220"/>
      <c r="H392" s="220" t="s">
        <v>1433</v>
      </c>
      <c r="I392" s="220" t="s">
        <v>329</v>
      </c>
      <c r="J392" s="220" t="s">
        <v>297</v>
      </c>
      <c r="K392" s="220" t="s">
        <v>397</v>
      </c>
      <c r="L392" s="220" t="s">
        <v>601</v>
      </c>
      <c r="M392" s="220" t="s">
        <v>600</v>
      </c>
      <c r="N392" s="220" t="s">
        <v>329</v>
      </c>
      <c r="O392" s="220" t="s">
        <v>297</v>
      </c>
      <c r="P392" s="220" t="s">
        <v>599</v>
      </c>
      <c r="Q392" s="220" t="s">
        <v>598</v>
      </c>
      <c r="R392" s="220"/>
      <c r="S392" s="220" t="s">
        <v>791</v>
      </c>
      <c r="T392" s="220" t="s">
        <v>151</v>
      </c>
      <c r="U392" s="220"/>
      <c r="V392" s="220"/>
      <c r="W392" s="220"/>
      <c r="X392" s="220"/>
      <c r="Y392" s="283"/>
      <c r="Z392" s="220"/>
      <c r="AA392" s="220"/>
      <c r="AB392" s="220"/>
      <c r="AC392" s="220"/>
      <c r="AD392" s="220"/>
      <c r="AE392" s="283"/>
      <c r="AF392" s="220"/>
      <c r="AG392" s="220"/>
      <c r="AH392" s="220"/>
      <c r="AI392" s="220"/>
      <c r="AJ392" s="226">
        <v>14</v>
      </c>
      <c r="AK392" s="226">
        <v>0</v>
      </c>
      <c r="AL392" s="225">
        <v>3.78E-2</v>
      </c>
      <c r="AM392" s="220"/>
      <c r="AN392" s="225">
        <v>324.68799999999999</v>
      </c>
      <c r="AO392" s="220"/>
      <c r="AP392" s="220"/>
      <c r="AQ392" s="283"/>
      <c r="AR392" s="283"/>
      <c r="AS392" s="283"/>
      <c r="AT392" s="223">
        <v>0</v>
      </c>
      <c r="AU392" s="284">
        <v>56</v>
      </c>
      <c r="AV392" s="221">
        <v>42719</v>
      </c>
      <c r="AW392" s="221">
        <v>42719.6268824074</v>
      </c>
      <c r="AX392" s="220" t="s">
        <v>293</v>
      </c>
      <c r="AY392" s="219" t="s">
        <v>1439</v>
      </c>
    </row>
    <row r="393" spans="1:51" hidden="1" outlineLevel="1" collapsed="1">
      <c r="A393" s="227" t="s">
        <v>289</v>
      </c>
      <c r="B393" s="220" t="s">
        <v>1431</v>
      </c>
      <c r="C393" s="220" t="s">
        <v>1431</v>
      </c>
      <c r="D393" s="220" t="s">
        <v>1430</v>
      </c>
      <c r="E393" s="220" t="s">
        <v>1429</v>
      </c>
      <c r="F393" s="220" t="s">
        <v>1428</v>
      </c>
      <c r="G393" s="220"/>
      <c r="H393" s="220" t="s">
        <v>1427</v>
      </c>
      <c r="I393" s="220" t="s">
        <v>329</v>
      </c>
      <c r="J393" s="220" t="s">
        <v>297</v>
      </c>
      <c r="K393" s="220" t="s">
        <v>328</v>
      </c>
      <c r="L393" s="220" t="s">
        <v>601</v>
      </c>
      <c r="M393" s="220" t="s">
        <v>600</v>
      </c>
      <c r="N393" s="220" t="s">
        <v>329</v>
      </c>
      <c r="O393" s="220" t="s">
        <v>297</v>
      </c>
      <c r="P393" s="220" t="s">
        <v>599</v>
      </c>
      <c r="Q393" s="220" t="s">
        <v>598</v>
      </c>
      <c r="R393" s="220"/>
      <c r="S393" s="220" t="s">
        <v>791</v>
      </c>
      <c r="T393" s="220" t="s">
        <v>151</v>
      </c>
      <c r="U393" s="220"/>
      <c r="V393" s="220"/>
      <c r="W393" s="220"/>
      <c r="X393" s="220"/>
      <c r="Y393" s="283"/>
      <c r="Z393" s="220"/>
      <c r="AA393" s="220"/>
      <c r="AB393" s="220"/>
      <c r="AC393" s="220"/>
      <c r="AD393" s="220"/>
      <c r="AE393" s="283"/>
      <c r="AF393" s="220"/>
      <c r="AG393" s="220"/>
      <c r="AH393" s="220"/>
      <c r="AI393" s="220"/>
      <c r="AJ393" s="226">
        <v>4</v>
      </c>
      <c r="AK393" s="226">
        <v>0</v>
      </c>
      <c r="AL393" s="225">
        <v>1.6E-2</v>
      </c>
      <c r="AM393" s="220"/>
      <c r="AN393" s="225">
        <v>135.12</v>
      </c>
      <c r="AO393" s="220"/>
      <c r="AP393" s="220"/>
      <c r="AQ393" s="283"/>
      <c r="AR393" s="283"/>
      <c r="AS393" s="283"/>
      <c r="AT393" s="223">
        <v>0</v>
      </c>
      <c r="AU393" s="284">
        <v>22.4</v>
      </c>
      <c r="AV393" s="221">
        <v>42719</v>
      </c>
      <c r="AW393" s="221">
        <v>42719.627865937502</v>
      </c>
      <c r="AX393" s="220" t="s">
        <v>293</v>
      </c>
      <c r="AY393" s="219" t="s">
        <v>1426</v>
      </c>
    </row>
    <row r="394" spans="1:51" hidden="1" outlineLevel="1" collapsed="1">
      <c r="A394" s="227" t="s">
        <v>289</v>
      </c>
      <c r="B394" s="220" t="s">
        <v>1425</v>
      </c>
      <c r="C394" s="220" t="s">
        <v>1425</v>
      </c>
      <c r="D394" s="220" t="s">
        <v>1424</v>
      </c>
      <c r="E394" s="220" t="s">
        <v>1423</v>
      </c>
      <c r="F394" s="220" t="s">
        <v>1422</v>
      </c>
      <c r="G394" s="220"/>
      <c r="H394" s="220" t="s">
        <v>1421</v>
      </c>
      <c r="I394" s="220" t="s">
        <v>329</v>
      </c>
      <c r="J394" s="220" t="s">
        <v>297</v>
      </c>
      <c r="K394" s="220" t="s">
        <v>397</v>
      </c>
      <c r="L394" s="220" t="s">
        <v>601</v>
      </c>
      <c r="M394" s="220" t="s">
        <v>600</v>
      </c>
      <c r="N394" s="220" t="s">
        <v>329</v>
      </c>
      <c r="O394" s="220" t="s">
        <v>297</v>
      </c>
      <c r="P394" s="220" t="s">
        <v>599</v>
      </c>
      <c r="Q394" s="220" t="s">
        <v>598</v>
      </c>
      <c r="R394" s="220"/>
      <c r="S394" s="220" t="s">
        <v>791</v>
      </c>
      <c r="T394" s="220" t="s">
        <v>151</v>
      </c>
      <c r="U394" s="220"/>
      <c r="V394" s="220"/>
      <c r="W394" s="220"/>
      <c r="X394" s="220"/>
      <c r="Y394" s="283"/>
      <c r="Z394" s="220"/>
      <c r="AA394" s="220"/>
      <c r="AB394" s="220"/>
      <c r="AC394" s="220"/>
      <c r="AD394" s="220"/>
      <c r="AE394" s="283"/>
      <c r="AF394" s="220"/>
      <c r="AG394" s="220"/>
      <c r="AH394" s="220"/>
      <c r="AI394" s="220"/>
      <c r="AJ394" s="226">
        <v>2</v>
      </c>
      <c r="AK394" s="226">
        <v>0</v>
      </c>
      <c r="AL394" s="225">
        <v>7.6E-3</v>
      </c>
      <c r="AM394" s="220"/>
      <c r="AN394" s="225">
        <v>64.534000000000006</v>
      </c>
      <c r="AO394" s="220"/>
      <c r="AP394" s="220"/>
      <c r="AQ394" s="283"/>
      <c r="AR394" s="283"/>
      <c r="AS394" s="283"/>
      <c r="AT394" s="223">
        <v>0</v>
      </c>
      <c r="AU394" s="284">
        <v>9</v>
      </c>
      <c r="AV394" s="221">
        <v>42719</v>
      </c>
      <c r="AW394" s="221">
        <v>42719.629433564798</v>
      </c>
      <c r="AX394" s="220" t="s">
        <v>293</v>
      </c>
      <c r="AY394" s="219" t="s">
        <v>1420</v>
      </c>
    </row>
    <row r="395" spans="1:51" hidden="1" outlineLevel="1" collapsed="1">
      <c r="A395" s="227" t="s">
        <v>289</v>
      </c>
      <c r="B395" s="220" t="s">
        <v>1419</v>
      </c>
      <c r="C395" s="220" t="s">
        <v>1419</v>
      </c>
      <c r="D395" s="220" t="s">
        <v>1418</v>
      </c>
      <c r="E395" s="220" t="s">
        <v>1417</v>
      </c>
      <c r="F395" s="220" t="s">
        <v>1416</v>
      </c>
      <c r="G395" s="220"/>
      <c r="H395" s="220" t="s">
        <v>1415</v>
      </c>
      <c r="I395" s="220" t="s">
        <v>531</v>
      </c>
      <c r="J395" s="220" t="s">
        <v>297</v>
      </c>
      <c r="K395" s="220" t="s">
        <v>530</v>
      </c>
      <c r="L395" s="220" t="s">
        <v>601</v>
      </c>
      <c r="M395" s="220" t="s">
        <v>600</v>
      </c>
      <c r="N395" s="220" t="s">
        <v>329</v>
      </c>
      <c r="O395" s="220" t="s">
        <v>297</v>
      </c>
      <c r="P395" s="220" t="s">
        <v>599</v>
      </c>
      <c r="Q395" s="220" t="s">
        <v>598</v>
      </c>
      <c r="R395" s="220"/>
      <c r="S395" s="220" t="s">
        <v>791</v>
      </c>
      <c r="T395" s="220" t="s">
        <v>151</v>
      </c>
      <c r="U395" s="220"/>
      <c r="V395" s="220"/>
      <c r="W395" s="220"/>
      <c r="X395" s="220"/>
      <c r="Y395" s="283"/>
      <c r="Z395" s="220"/>
      <c r="AA395" s="220"/>
      <c r="AB395" s="220"/>
      <c r="AC395" s="220"/>
      <c r="AD395" s="220"/>
      <c r="AE395" s="283"/>
      <c r="AF395" s="220"/>
      <c r="AG395" s="220"/>
      <c r="AH395" s="220"/>
      <c r="AI395" s="220"/>
      <c r="AJ395" s="226">
        <v>2</v>
      </c>
      <c r="AK395" s="226">
        <v>0</v>
      </c>
      <c r="AL395" s="225">
        <v>7.6E-3</v>
      </c>
      <c r="AM395" s="220"/>
      <c r="AN395" s="225">
        <v>64.534000000000006</v>
      </c>
      <c r="AO395" s="220"/>
      <c r="AP395" s="220"/>
      <c r="AQ395" s="283"/>
      <c r="AR395" s="283"/>
      <c r="AS395" s="283"/>
      <c r="AT395" s="223">
        <v>0</v>
      </c>
      <c r="AU395" s="284">
        <v>9</v>
      </c>
      <c r="AV395" s="221">
        <v>42719</v>
      </c>
      <c r="AW395" s="221">
        <v>42719.630420370398</v>
      </c>
      <c r="AX395" s="220" t="s">
        <v>293</v>
      </c>
      <c r="AY395" s="219" t="s">
        <v>1414</v>
      </c>
    </row>
    <row r="396" spans="1:51" ht="20.399999999999999" hidden="1" outlineLevel="1" collapsed="1">
      <c r="A396" s="227" t="s">
        <v>289</v>
      </c>
      <c r="B396" s="220" t="s">
        <v>1413</v>
      </c>
      <c r="C396" s="220" t="s">
        <v>1413</v>
      </c>
      <c r="D396" s="220" t="s">
        <v>1412</v>
      </c>
      <c r="E396" s="220" t="s">
        <v>1411</v>
      </c>
      <c r="F396" s="220" t="s">
        <v>1410</v>
      </c>
      <c r="G396" s="220"/>
      <c r="H396" s="220" t="s">
        <v>1409</v>
      </c>
      <c r="I396" s="220" t="s">
        <v>531</v>
      </c>
      <c r="J396" s="220" t="s">
        <v>297</v>
      </c>
      <c r="K396" s="220" t="s">
        <v>530</v>
      </c>
      <c r="L396" s="220" t="s">
        <v>601</v>
      </c>
      <c r="M396" s="220" t="s">
        <v>600</v>
      </c>
      <c r="N396" s="220" t="s">
        <v>329</v>
      </c>
      <c r="O396" s="220" t="s">
        <v>297</v>
      </c>
      <c r="P396" s="220" t="s">
        <v>599</v>
      </c>
      <c r="Q396" s="220" t="s">
        <v>598</v>
      </c>
      <c r="R396" s="220"/>
      <c r="S396" s="220" t="s">
        <v>791</v>
      </c>
      <c r="T396" s="220" t="s">
        <v>151</v>
      </c>
      <c r="U396" s="220"/>
      <c r="V396" s="220"/>
      <c r="W396" s="220"/>
      <c r="X396" s="220"/>
      <c r="Y396" s="283"/>
      <c r="Z396" s="220"/>
      <c r="AA396" s="220"/>
      <c r="AB396" s="220"/>
      <c r="AC396" s="220"/>
      <c r="AD396" s="220"/>
      <c r="AE396" s="283"/>
      <c r="AF396" s="220"/>
      <c r="AG396" s="220"/>
      <c r="AH396" s="220"/>
      <c r="AI396" s="220"/>
      <c r="AJ396" s="226">
        <v>4</v>
      </c>
      <c r="AK396" s="226">
        <v>0</v>
      </c>
      <c r="AL396" s="225">
        <v>1.52E-2</v>
      </c>
      <c r="AM396" s="220"/>
      <c r="AN396" s="225">
        <v>129.06800000000001</v>
      </c>
      <c r="AO396" s="220"/>
      <c r="AP396" s="220"/>
      <c r="AQ396" s="283"/>
      <c r="AR396" s="283"/>
      <c r="AS396" s="283"/>
      <c r="AT396" s="223">
        <v>0</v>
      </c>
      <c r="AU396" s="284">
        <v>18</v>
      </c>
      <c r="AV396" s="221">
        <v>42726</v>
      </c>
      <c r="AW396" s="221">
        <v>42726.7844392361</v>
      </c>
      <c r="AX396" s="220" t="s">
        <v>293</v>
      </c>
      <c r="AY396" s="219" t="s">
        <v>1408</v>
      </c>
    </row>
    <row r="397" spans="1:51" hidden="1" outlineLevel="1" collapsed="1">
      <c r="A397" s="227" t="s">
        <v>289</v>
      </c>
      <c r="B397" s="220" t="s">
        <v>1407</v>
      </c>
      <c r="C397" s="220" t="s">
        <v>1407</v>
      </c>
      <c r="D397" s="220" t="s">
        <v>1406</v>
      </c>
      <c r="E397" s="220" t="s">
        <v>1405</v>
      </c>
      <c r="F397" s="220" t="s">
        <v>1404</v>
      </c>
      <c r="G397" s="220"/>
      <c r="H397" s="220" t="s">
        <v>1403</v>
      </c>
      <c r="I397" s="220" t="s">
        <v>337</v>
      </c>
      <c r="J397" s="220" t="s">
        <v>297</v>
      </c>
      <c r="K397" s="220" t="s">
        <v>336</v>
      </c>
      <c r="L397" s="220" t="s">
        <v>601</v>
      </c>
      <c r="M397" s="220" t="s">
        <v>600</v>
      </c>
      <c r="N397" s="220" t="s">
        <v>329</v>
      </c>
      <c r="O397" s="220" t="s">
        <v>297</v>
      </c>
      <c r="P397" s="220" t="s">
        <v>599</v>
      </c>
      <c r="Q397" s="220" t="s">
        <v>598</v>
      </c>
      <c r="R397" s="220"/>
      <c r="S397" s="220" t="s">
        <v>895</v>
      </c>
      <c r="T397" s="220" t="s">
        <v>150</v>
      </c>
      <c r="U397" s="220"/>
      <c r="V397" s="220"/>
      <c r="W397" s="220"/>
      <c r="X397" s="220"/>
      <c r="Y397" s="283"/>
      <c r="Z397" s="220"/>
      <c r="AA397" s="220"/>
      <c r="AB397" s="220"/>
      <c r="AC397" s="220"/>
      <c r="AD397" s="220"/>
      <c r="AE397" s="283"/>
      <c r="AF397" s="220"/>
      <c r="AG397" s="220"/>
      <c r="AH397" s="220" t="s">
        <v>1337</v>
      </c>
      <c r="AI397" s="220"/>
      <c r="AJ397" s="226">
        <v>70</v>
      </c>
      <c r="AK397" s="226">
        <v>0</v>
      </c>
      <c r="AL397" s="225">
        <v>0.27300000000000002</v>
      </c>
      <c r="AM397" s="220"/>
      <c r="AN397" s="225">
        <v>2329.3200000000002</v>
      </c>
      <c r="AO397" s="220"/>
      <c r="AP397" s="220"/>
      <c r="AQ397" s="283"/>
      <c r="AR397" s="283"/>
      <c r="AS397" s="283"/>
      <c r="AT397" s="223">
        <v>0</v>
      </c>
      <c r="AU397" s="284">
        <v>700</v>
      </c>
      <c r="AV397" s="221">
        <v>42774</v>
      </c>
      <c r="AW397" s="221">
        <v>42774.626848495398</v>
      </c>
      <c r="AX397" s="220" t="s">
        <v>293</v>
      </c>
      <c r="AY397" s="219" t="s">
        <v>1402</v>
      </c>
    </row>
    <row r="398" spans="1:51" ht="20.399999999999999" hidden="1" outlineLevel="1" collapsed="1">
      <c r="A398" s="227" t="s">
        <v>289</v>
      </c>
      <c r="B398" s="220" t="s">
        <v>1399</v>
      </c>
      <c r="C398" s="220" t="s">
        <v>1399</v>
      </c>
      <c r="D398" s="220" t="s">
        <v>1398</v>
      </c>
      <c r="E398" s="220" t="s">
        <v>1397</v>
      </c>
      <c r="F398" s="220" t="s">
        <v>1396</v>
      </c>
      <c r="G398" s="220"/>
      <c r="H398" s="220" t="s">
        <v>1395</v>
      </c>
      <c r="I398" s="220" t="s">
        <v>329</v>
      </c>
      <c r="J398" s="220" t="s">
        <v>297</v>
      </c>
      <c r="K398" s="220" t="s">
        <v>328</v>
      </c>
      <c r="L398" s="220" t="s">
        <v>601</v>
      </c>
      <c r="M398" s="220" t="s">
        <v>600</v>
      </c>
      <c r="N398" s="220" t="s">
        <v>329</v>
      </c>
      <c r="O398" s="220" t="s">
        <v>297</v>
      </c>
      <c r="P398" s="220" t="s">
        <v>599</v>
      </c>
      <c r="Q398" s="220" t="s">
        <v>598</v>
      </c>
      <c r="R398" s="220"/>
      <c r="S398" s="220" t="s">
        <v>895</v>
      </c>
      <c r="T398" s="220" t="s">
        <v>150</v>
      </c>
      <c r="U398" s="220"/>
      <c r="V398" s="220"/>
      <c r="W398" s="220"/>
      <c r="X398" s="220"/>
      <c r="Y398" s="283"/>
      <c r="Z398" s="220"/>
      <c r="AA398" s="220"/>
      <c r="AB398" s="220"/>
      <c r="AC398" s="220"/>
      <c r="AD398" s="220"/>
      <c r="AE398" s="283"/>
      <c r="AF398" s="220"/>
      <c r="AG398" s="220"/>
      <c r="AH398" s="220" t="s">
        <v>1401</v>
      </c>
      <c r="AI398" s="220"/>
      <c r="AJ398" s="226">
        <v>2</v>
      </c>
      <c r="AK398" s="226">
        <v>0</v>
      </c>
      <c r="AL398" s="225">
        <v>1.18E-2</v>
      </c>
      <c r="AM398" s="220"/>
      <c r="AN398" s="225">
        <v>100.836</v>
      </c>
      <c r="AO398" s="220"/>
      <c r="AP398" s="220"/>
      <c r="AQ398" s="283"/>
      <c r="AR398" s="283"/>
      <c r="AS398" s="283"/>
      <c r="AT398" s="223">
        <v>0</v>
      </c>
      <c r="AU398" s="284">
        <v>20</v>
      </c>
      <c r="AV398" s="221">
        <v>42774</v>
      </c>
      <c r="AW398" s="221">
        <v>42774.631579479203</v>
      </c>
      <c r="AX398" s="220" t="s">
        <v>293</v>
      </c>
      <c r="AY398" s="219" t="s">
        <v>1400</v>
      </c>
    </row>
    <row r="399" spans="1:51" hidden="1" outlineLevel="1" collapsed="1">
      <c r="A399" s="227" t="s">
        <v>289</v>
      </c>
      <c r="B399" s="220" t="s">
        <v>1399</v>
      </c>
      <c r="C399" s="220" t="s">
        <v>1399</v>
      </c>
      <c r="D399" s="220" t="s">
        <v>1398</v>
      </c>
      <c r="E399" s="220" t="s">
        <v>1397</v>
      </c>
      <c r="F399" s="220" t="s">
        <v>1396</v>
      </c>
      <c r="G399" s="220"/>
      <c r="H399" s="220" t="s">
        <v>1395</v>
      </c>
      <c r="I399" s="220" t="s">
        <v>329</v>
      </c>
      <c r="J399" s="220" t="s">
        <v>297</v>
      </c>
      <c r="K399" s="220" t="s">
        <v>328</v>
      </c>
      <c r="L399" s="220" t="s">
        <v>601</v>
      </c>
      <c r="M399" s="220" t="s">
        <v>600</v>
      </c>
      <c r="N399" s="220" t="s">
        <v>329</v>
      </c>
      <c r="O399" s="220" t="s">
        <v>297</v>
      </c>
      <c r="P399" s="220" t="s">
        <v>599</v>
      </c>
      <c r="Q399" s="220" t="s">
        <v>598</v>
      </c>
      <c r="R399" s="220"/>
      <c r="S399" s="220" t="s">
        <v>895</v>
      </c>
      <c r="T399" s="220" t="s">
        <v>150</v>
      </c>
      <c r="U399" s="220"/>
      <c r="V399" s="220"/>
      <c r="W399" s="220"/>
      <c r="X399" s="220"/>
      <c r="Y399" s="283"/>
      <c r="Z399" s="220"/>
      <c r="AA399" s="220"/>
      <c r="AB399" s="220"/>
      <c r="AC399" s="220"/>
      <c r="AD399" s="220"/>
      <c r="AE399" s="283"/>
      <c r="AF399" s="220"/>
      <c r="AG399" s="220"/>
      <c r="AH399" s="220" t="s">
        <v>1394</v>
      </c>
      <c r="AI399" s="220"/>
      <c r="AJ399" s="226">
        <v>8</v>
      </c>
      <c r="AK399" s="226">
        <v>0</v>
      </c>
      <c r="AL399" s="225">
        <v>3.8399999999999997E-2</v>
      </c>
      <c r="AM399" s="220"/>
      <c r="AN399" s="225">
        <v>325.89600000000002</v>
      </c>
      <c r="AO399" s="220"/>
      <c r="AP399" s="220"/>
      <c r="AQ399" s="283"/>
      <c r="AR399" s="283"/>
      <c r="AS399" s="283"/>
      <c r="AT399" s="223">
        <v>0</v>
      </c>
      <c r="AU399" s="284">
        <v>80</v>
      </c>
      <c r="AV399" s="221">
        <v>42774</v>
      </c>
      <c r="AW399" s="221">
        <v>42774.631579479203</v>
      </c>
      <c r="AX399" s="220" t="s">
        <v>293</v>
      </c>
      <c r="AY399" s="219" t="s">
        <v>1393</v>
      </c>
    </row>
    <row r="400" spans="1:51" hidden="1" outlineLevel="1" collapsed="1">
      <c r="A400" s="227" t="s">
        <v>289</v>
      </c>
      <c r="B400" s="220" t="s">
        <v>1392</v>
      </c>
      <c r="C400" s="220" t="s">
        <v>1392</v>
      </c>
      <c r="D400" s="220" t="s">
        <v>1391</v>
      </c>
      <c r="E400" s="220" t="s">
        <v>1390</v>
      </c>
      <c r="F400" s="220" t="s">
        <v>1389</v>
      </c>
      <c r="G400" s="220"/>
      <c r="H400" s="220" t="s">
        <v>1388</v>
      </c>
      <c r="I400" s="220" t="s">
        <v>531</v>
      </c>
      <c r="J400" s="220" t="s">
        <v>297</v>
      </c>
      <c r="K400" s="220" t="s">
        <v>530</v>
      </c>
      <c r="L400" s="220" t="s">
        <v>601</v>
      </c>
      <c r="M400" s="220" t="s">
        <v>600</v>
      </c>
      <c r="N400" s="220" t="s">
        <v>329</v>
      </c>
      <c r="O400" s="220" t="s">
        <v>297</v>
      </c>
      <c r="P400" s="220" t="s">
        <v>599</v>
      </c>
      <c r="Q400" s="220" t="s">
        <v>598</v>
      </c>
      <c r="R400" s="220"/>
      <c r="S400" s="220" t="s">
        <v>791</v>
      </c>
      <c r="T400" s="220" t="s">
        <v>151</v>
      </c>
      <c r="U400" s="220"/>
      <c r="V400" s="220"/>
      <c r="W400" s="220"/>
      <c r="X400" s="220"/>
      <c r="Y400" s="283"/>
      <c r="Z400" s="220"/>
      <c r="AA400" s="220"/>
      <c r="AB400" s="220"/>
      <c r="AC400" s="220"/>
      <c r="AD400" s="220"/>
      <c r="AE400" s="283"/>
      <c r="AF400" s="220"/>
      <c r="AG400" s="220"/>
      <c r="AH400" s="220"/>
      <c r="AI400" s="220"/>
      <c r="AJ400" s="226">
        <v>2</v>
      </c>
      <c r="AK400" s="226">
        <v>0</v>
      </c>
      <c r="AL400" s="225">
        <v>7.6E-3</v>
      </c>
      <c r="AM400" s="220"/>
      <c r="AN400" s="225">
        <v>64.534000000000006</v>
      </c>
      <c r="AO400" s="220"/>
      <c r="AP400" s="220"/>
      <c r="AQ400" s="283"/>
      <c r="AR400" s="283"/>
      <c r="AS400" s="283"/>
      <c r="AT400" s="223">
        <v>0</v>
      </c>
      <c r="AU400" s="284">
        <v>9</v>
      </c>
      <c r="AV400" s="221">
        <v>42719</v>
      </c>
      <c r="AW400" s="221">
        <v>42775.696197488403</v>
      </c>
      <c r="AX400" s="220" t="s">
        <v>293</v>
      </c>
      <c r="AY400" s="219" t="s">
        <v>1387</v>
      </c>
    </row>
    <row r="401" spans="1:51" hidden="1" outlineLevel="1" collapsed="1">
      <c r="A401" s="227" t="s">
        <v>289</v>
      </c>
      <c r="B401" s="220" t="s">
        <v>1385</v>
      </c>
      <c r="C401" s="220" t="s">
        <v>1385</v>
      </c>
      <c r="D401" s="220" t="s">
        <v>1384</v>
      </c>
      <c r="E401" s="220" t="s">
        <v>1383</v>
      </c>
      <c r="F401" s="220" t="s">
        <v>1382</v>
      </c>
      <c r="G401" s="220"/>
      <c r="H401" s="220" t="s">
        <v>1381</v>
      </c>
      <c r="I401" s="220" t="s">
        <v>329</v>
      </c>
      <c r="J401" s="220" t="s">
        <v>297</v>
      </c>
      <c r="K401" s="220" t="s">
        <v>328</v>
      </c>
      <c r="L401" s="220" t="s">
        <v>601</v>
      </c>
      <c r="M401" s="220" t="s">
        <v>600</v>
      </c>
      <c r="N401" s="220" t="s">
        <v>329</v>
      </c>
      <c r="O401" s="220" t="s">
        <v>297</v>
      </c>
      <c r="P401" s="220" t="s">
        <v>599</v>
      </c>
      <c r="Q401" s="220" t="s">
        <v>598</v>
      </c>
      <c r="R401" s="220"/>
      <c r="S401" s="220" t="s">
        <v>791</v>
      </c>
      <c r="T401" s="220" t="s">
        <v>151</v>
      </c>
      <c r="U401" s="220"/>
      <c r="V401" s="220"/>
      <c r="W401" s="220"/>
      <c r="X401" s="220"/>
      <c r="Y401" s="283"/>
      <c r="Z401" s="220"/>
      <c r="AA401" s="220"/>
      <c r="AB401" s="220"/>
      <c r="AC401" s="220"/>
      <c r="AD401" s="220"/>
      <c r="AE401" s="283"/>
      <c r="AF401" s="220"/>
      <c r="AG401" s="220"/>
      <c r="AH401" s="220"/>
      <c r="AI401" s="220"/>
      <c r="AJ401" s="226">
        <v>12</v>
      </c>
      <c r="AK401" s="226">
        <v>0</v>
      </c>
      <c r="AL401" s="225">
        <v>4.5600000000000002E-2</v>
      </c>
      <c r="AM401" s="220"/>
      <c r="AN401" s="225">
        <v>387.20400000000001</v>
      </c>
      <c r="AO401" s="220"/>
      <c r="AP401" s="220"/>
      <c r="AQ401" s="283"/>
      <c r="AR401" s="283"/>
      <c r="AS401" s="283"/>
      <c r="AT401" s="223">
        <v>0</v>
      </c>
      <c r="AU401" s="284">
        <v>54</v>
      </c>
      <c r="AV401" s="221">
        <v>42733</v>
      </c>
      <c r="AW401" s="221">
        <v>42775.705532210603</v>
      </c>
      <c r="AX401" s="220" t="s">
        <v>293</v>
      </c>
      <c r="AY401" s="219" t="s">
        <v>1380</v>
      </c>
    </row>
    <row r="402" spans="1:51" hidden="1" outlineLevel="1" collapsed="1">
      <c r="A402" s="227" t="s">
        <v>289</v>
      </c>
      <c r="B402" s="220" t="s">
        <v>1385</v>
      </c>
      <c r="C402" s="220" t="s">
        <v>1385</v>
      </c>
      <c r="D402" s="220" t="s">
        <v>1384</v>
      </c>
      <c r="E402" s="220" t="s">
        <v>1383</v>
      </c>
      <c r="F402" s="220" t="s">
        <v>1382</v>
      </c>
      <c r="G402" s="220"/>
      <c r="H402" s="220" t="s">
        <v>1381</v>
      </c>
      <c r="I402" s="220" t="s">
        <v>329</v>
      </c>
      <c r="J402" s="220" t="s">
        <v>297</v>
      </c>
      <c r="K402" s="220" t="s">
        <v>328</v>
      </c>
      <c r="L402" s="220" t="s">
        <v>601</v>
      </c>
      <c r="M402" s="220" t="s">
        <v>600</v>
      </c>
      <c r="N402" s="220" t="s">
        <v>329</v>
      </c>
      <c r="O402" s="220" t="s">
        <v>297</v>
      </c>
      <c r="P402" s="220" t="s">
        <v>599</v>
      </c>
      <c r="Q402" s="220" t="s">
        <v>598</v>
      </c>
      <c r="R402" s="220"/>
      <c r="S402" s="220" t="s">
        <v>791</v>
      </c>
      <c r="T402" s="220" t="s">
        <v>151</v>
      </c>
      <c r="U402" s="220"/>
      <c r="V402" s="220"/>
      <c r="W402" s="220"/>
      <c r="X402" s="220"/>
      <c r="Y402" s="283"/>
      <c r="Z402" s="220"/>
      <c r="AA402" s="220"/>
      <c r="AB402" s="220"/>
      <c r="AC402" s="220"/>
      <c r="AD402" s="220"/>
      <c r="AE402" s="283"/>
      <c r="AF402" s="220"/>
      <c r="AG402" s="220"/>
      <c r="AH402" s="220"/>
      <c r="AI402" s="220"/>
      <c r="AJ402" s="226">
        <v>10</v>
      </c>
      <c r="AK402" s="226">
        <v>0</v>
      </c>
      <c r="AL402" s="225">
        <v>0.04</v>
      </c>
      <c r="AM402" s="220"/>
      <c r="AN402" s="225">
        <v>337.8</v>
      </c>
      <c r="AO402" s="220"/>
      <c r="AP402" s="220"/>
      <c r="AQ402" s="283"/>
      <c r="AR402" s="283"/>
      <c r="AS402" s="283"/>
      <c r="AT402" s="223">
        <v>0</v>
      </c>
      <c r="AU402" s="284">
        <v>56</v>
      </c>
      <c r="AV402" s="221">
        <v>42733</v>
      </c>
      <c r="AW402" s="221">
        <v>42775.705532210603</v>
      </c>
      <c r="AX402" s="220" t="s">
        <v>293</v>
      </c>
      <c r="AY402" s="219" t="s">
        <v>1386</v>
      </c>
    </row>
    <row r="403" spans="1:51" hidden="1" outlineLevel="1" collapsed="1">
      <c r="A403" s="227" t="s">
        <v>289</v>
      </c>
      <c r="B403" s="220" t="s">
        <v>1379</v>
      </c>
      <c r="C403" s="220" t="s">
        <v>1379</v>
      </c>
      <c r="D403" s="220" t="s">
        <v>1378</v>
      </c>
      <c r="E403" s="220" t="s">
        <v>1377</v>
      </c>
      <c r="F403" s="220" t="s">
        <v>1376</v>
      </c>
      <c r="G403" s="220"/>
      <c r="H403" s="220" t="s">
        <v>1375</v>
      </c>
      <c r="I403" s="220" t="s">
        <v>337</v>
      </c>
      <c r="J403" s="220" t="s">
        <v>297</v>
      </c>
      <c r="K403" s="220" t="s">
        <v>336</v>
      </c>
      <c r="L403" s="220" t="s">
        <v>601</v>
      </c>
      <c r="M403" s="220" t="s">
        <v>600</v>
      </c>
      <c r="N403" s="220" t="s">
        <v>329</v>
      </c>
      <c r="O403" s="220" t="s">
        <v>297</v>
      </c>
      <c r="P403" s="220" t="s">
        <v>599</v>
      </c>
      <c r="Q403" s="220" t="s">
        <v>598</v>
      </c>
      <c r="R403" s="220"/>
      <c r="S403" s="220" t="s">
        <v>791</v>
      </c>
      <c r="T403" s="220" t="s">
        <v>151</v>
      </c>
      <c r="U403" s="220"/>
      <c r="V403" s="220"/>
      <c r="W403" s="220"/>
      <c r="X403" s="220"/>
      <c r="Y403" s="283"/>
      <c r="Z403" s="220"/>
      <c r="AA403" s="220"/>
      <c r="AB403" s="220"/>
      <c r="AC403" s="220"/>
      <c r="AD403" s="220"/>
      <c r="AE403" s="283"/>
      <c r="AF403" s="220"/>
      <c r="AG403" s="220"/>
      <c r="AH403" s="220"/>
      <c r="AI403" s="220"/>
      <c r="AJ403" s="226">
        <v>25</v>
      </c>
      <c r="AK403" s="226">
        <v>0</v>
      </c>
      <c r="AL403" s="225">
        <v>9.5000000000000001E-2</v>
      </c>
      <c r="AM403" s="220"/>
      <c r="AN403" s="225">
        <v>806.67499999999995</v>
      </c>
      <c r="AO403" s="220"/>
      <c r="AP403" s="220"/>
      <c r="AQ403" s="283"/>
      <c r="AR403" s="283"/>
      <c r="AS403" s="283"/>
      <c r="AT403" s="223">
        <v>0</v>
      </c>
      <c r="AU403" s="284">
        <v>112.5</v>
      </c>
      <c r="AV403" s="221">
        <v>42754</v>
      </c>
      <c r="AW403" s="221">
        <v>42775.7118960648</v>
      </c>
      <c r="AX403" s="220" t="s">
        <v>293</v>
      </c>
      <c r="AY403" s="219" t="s">
        <v>1374</v>
      </c>
    </row>
    <row r="404" spans="1:51" hidden="1" outlineLevel="1" collapsed="1">
      <c r="A404" s="227" t="s">
        <v>289</v>
      </c>
      <c r="B404" s="220" t="s">
        <v>1373</v>
      </c>
      <c r="C404" s="220" t="s">
        <v>1373</v>
      </c>
      <c r="D404" s="220" t="s">
        <v>1364</v>
      </c>
      <c r="E404" s="220" t="s">
        <v>1363</v>
      </c>
      <c r="F404" s="220" t="s">
        <v>1362</v>
      </c>
      <c r="G404" s="220"/>
      <c r="H404" s="220" t="s">
        <v>1361</v>
      </c>
      <c r="I404" s="220" t="s">
        <v>329</v>
      </c>
      <c r="J404" s="220" t="s">
        <v>297</v>
      </c>
      <c r="K404" s="220" t="s">
        <v>328</v>
      </c>
      <c r="L404" s="220" t="s">
        <v>601</v>
      </c>
      <c r="M404" s="220" t="s">
        <v>600</v>
      </c>
      <c r="N404" s="220" t="s">
        <v>329</v>
      </c>
      <c r="O404" s="220" t="s">
        <v>297</v>
      </c>
      <c r="P404" s="220" t="s">
        <v>599</v>
      </c>
      <c r="Q404" s="220" t="s">
        <v>598</v>
      </c>
      <c r="R404" s="220"/>
      <c r="S404" s="220" t="s">
        <v>791</v>
      </c>
      <c r="T404" s="220" t="s">
        <v>151</v>
      </c>
      <c r="U404" s="220"/>
      <c r="V404" s="220"/>
      <c r="W404" s="220"/>
      <c r="X404" s="220"/>
      <c r="Y404" s="283"/>
      <c r="Z404" s="220"/>
      <c r="AA404" s="220"/>
      <c r="AB404" s="220"/>
      <c r="AC404" s="220"/>
      <c r="AD404" s="220"/>
      <c r="AE404" s="283"/>
      <c r="AF404" s="220"/>
      <c r="AG404" s="220"/>
      <c r="AH404" s="220"/>
      <c r="AI404" s="220"/>
      <c r="AJ404" s="226">
        <v>2</v>
      </c>
      <c r="AK404" s="226">
        <v>0</v>
      </c>
      <c r="AL404" s="225">
        <v>8.0000000000000002E-3</v>
      </c>
      <c r="AM404" s="220"/>
      <c r="AN404" s="225">
        <v>67.56</v>
      </c>
      <c r="AO404" s="220"/>
      <c r="AP404" s="220"/>
      <c r="AQ404" s="283"/>
      <c r="AR404" s="283"/>
      <c r="AS404" s="283"/>
      <c r="AT404" s="223">
        <v>0</v>
      </c>
      <c r="AU404" s="284">
        <v>11.2</v>
      </c>
      <c r="AV404" s="221">
        <v>42747</v>
      </c>
      <c r="AW404" s="221">
        <v>42775.712720682903</v>
      </c>
      <c r="AX404" s="220" t="s">
        <v>293</v>
      </c>
      <c r="AY404" s="219" t="s">
        <v>1372</v>
      </c>
    </row>
    <row r="405" spans="1:51" hidden="1" outlineLevel="1" collapsed="1">
      <c r="A405" s="227" t="s">
        <v>289</v>
      </c>
      <c r="B405" s="220" t="s">
        <v>1371</v>
      </c>
      <c r="C405" s="220" t="s">
        <v>1371</v>
      </c>
      <c r="D405" s="220" t="s">
        <v>1370</v>
      </c>
      <c r="E405" s="220" t="s">
        <v>1369</v>
      </c>
      <c r="F405" s="220" t="s">
        <v>1368</v>
      </c>
      <c r="G405" s="220"/>
      <c r="H405" s="220" t="s">
        <v>1367</v>
      </c>
      <c r="I405" s="220" t="s">
        <v>382</v>
      </c>
      <c r="J405" s="220" t="s">
        <v>297</v>
      </c>
      <c r="K405" s="220" t="s">
        <v>381</v>
      </c>
      <c r="L405" s="220" t="s">
        <v>601</v>
      </c>
      <c r="M405" s="220" t="s">
        <v>600</v>
      </c>
      <c r="N405" s="220" t="s">
        <v>329</v>
      </c>
      <c r="O405" s="220" t="s">
        <v>297</v>
      </c>
      <c r="P405" s="220" t="s">
        <v>599</v>
      </c>
      <c r="Q405" s="220" t="s">
        <v>598</v>
      </c>
      <c r="R405" s="220"/>
      <c r="S405" s="220" t="s">
        <v>791</v>
      </c>
      <c r="T405" s="220" t="s">
        <v>151</v>
      </c>
      <c r="U405" s="220"/>
      <c r="V405" s="220"/>
      <c r="W405" s="220"/>
      <c r="X405" s="220"/>
      <c r="Y405" s="283"/>
      <c r="Z405" s="220"/>
      <c r="AA405" s="220"/>
      <c r="AB405" s="220"/>
      <c r="AC405" s="220"/>
      <c r="AD405" s="220"/>
      <c r="AE405" s="283"/>
      <c r="AF405" s="220"/>
      <c r="AG405" s="220"/>
      <c r="AH405" s="220"/>
      <c r="AI405" s="220"/>
      <c r="AJ405" s="226">
        <v>1</v>
      </c>
      <c r="AK405" s="226">
        <v>0</v>
      </c>
      <c r="AL405" s="225">
        <v>3.8E-3</v>
      </c>
      <c r="AM405" s="220"/>
      <c r="AN405" s="225">
        <v>32.267000000000003</v>
      </c>
      <c r="AO405" s="220"/>
      <c r="AP405" s="220"/>
      <c r="AQ405" s="283"/>
      <c r="AR405" s="283"/>
      <c r="AS405" s="283"/>
      <c r="AT405" s="223">
        <v>0</v>
      </c>
      <c r="AU405" s="284">
        <v>4.5</v>
      </c>
      <c r="AV405" s="221">
        <v>42754</v>
      </c>
      <c r="AW405" s="221">
        <v>42775.713909375001</v>
      </c>
      <c r="AX405" s="220" t="s">
        <v>293</v>
      </c>
      <c r="AY405" s="219" t="s">
        <v>1366</v>
      </c>
    </row>
    <row r="406" spans="1:51" hidden="1" outlineLevel="1" collapsed="1">
      <c r="A406" s="227" t="s">
        <v>289</v>
      </c>
      <c r="B406" s="220" t="s">
        <v>1365</v>
      </c>
      <c r="C406" s="220" t="s">
        <v>1365</v>
      </c>
      <c r="D406" s="220" t="s">
        <v>1364</v>
      </c>
      <c r="E406" s="220" t="s">
        <v>1363</v>
      </c>
      <c r="F406" s="220" t="s">
        <v>1362</v>
      </c>
      <c r="G406" s="220"/>
      <c r="H406" s="220" t="s">
        <v>1361</v>
      </c>
      <c r="I406" s="220" t="s">
        <v>329</v>
      </c>
      <c r="J406" s="220" t="s">
        <v>297</v>
      </c>
      <c r="K406" s="220" t="s">
        <v>328</v>
      </c>
      <c r="L406" s="220" t="s">
        <v>601</v>
      </c>
      <c r="M406" s="220" t="s">
        <v>600</v>
      </c>
      <c r="N406" s="220" t="s">
        <v>329</v>
      </c>
      <c r="O406" s="220" t="s">
        <v>297</v>
      </c>
      <c r="P406" s="220" t="s">
        <v>599</v>
      </c>
      <c r="Q406" s="220" t="s">
        <v>598</v>
      </c>
      <c r="R406" s="220"/>
      <c r="S406" s="220" t="s">
        <v>791</v>
      </c>
      <c r="T406" s="220" t="s">
        <v>151</v>
      </c>
      <c r="U406" s="220"/>
      <c r="V406" s="220"/>
      <c r="W406" s="220"/>
      <c r="X406" s="220"/>
      <c r="Y406" s="283"/>
      <c r="Z406" s="220"/>
      <c r="AA406" s="220"/>
      <c r="AB406" s="220"/>
      <c r="AC406" s="220"/>
      <c r="AD406" s="220"/>
      <c r="AE406" s="283"/>
      <c r="AF406" s="220"/>
      <c r="AG406" s="220"/>
      <c r="AH406" s="220"/>
      <c r="AI406" s="220"/>
      <c r="AJ406" s="226">
        <v>1</v>
      </c>
      <c r="AK406" s="226">
        <v>0</v>
      </c>
      <c r="AL406" s="225">
        <v>3.8E-3</v>
      </c>
      <c r="AM406" s="220"/>
      <c r="AN406" s="225">
        <v>32.267000000000003</v>
      </c>
      <c r="AO406" s="220"/>
      <c r="AP406" s="220"/>
      <c r="AQ406" s="283"/>
      <c r="AR406" s="283"/>
      <c r="AS406" s="283"/>
      <c r="AT406" s="223">
        <v>0</v>
      </c>
      <c r="AU406" s="284">
        <v>4.5</v>
      </c>
      <c r="AV406" s="221">
        <v>42747</v>
      </c>
      <c r="AW406" s="221">
        <v>42775.741581134302</v>
      </c>
      <c r="AX406" s="220" t="s">
        <v>293</v>
      </c>
      <c r="AY406" s="219" t="s">
        <v>1360</v>
      </c>
    </row>
    <row r="407" spans="1:51" hidden="1" outlineLevel="1" collapsed="1">
      <c r="A407" s="227" t="s">
        <v>289</v>
      </c>
      <c r="B407" s="220" t="s">
        <v>1359</v>
      </c>
      <c r="C407" s="220" t="s">
        <v>1359</v>
      </c>
      <c r="D407" s="220" t="s">
        <v>1358</v>
      </c>
      <c r="E407" s="220" t="s">
        <v>1357</v>
      </c>
      <c r="F407" s="220" t="s">
        <v>1356</v>
      </c>
      <c r="G407" s="220"/>
      <c r="H407" s="220" t="s">
        <v>1355</v>
      </c>
      <c r="I407" s="220" t="s">
        <v>382</v>
      </c>
      <c r="J407" s="220" t="s">
        <v>297</v>
      </c>
      <c r="K407" s="220" t="s">
        <v>381</v>
      </c>
      <c r="L407" s="220" t="s">
        <v>601</v>
      </c>
      <c r="M407" s="220" t="s">
        <v>600</v>
      </c>
      <c r="N407" s="220" t="s">
        <v>329</v>
      </c>
      <c r="O407" s="220" t="s">
        <v>297</v>
      </c>
      <c r="P407" s="220" t="s">
        <v>599</v>
      </c>
      <c r="Q407" s="220" t="s">
        <v>598</v>
      </c>
      <c r="R407" s="220"/>
      <c r="S407" s="220" t="s">
        <v>791</v>
      </c>
      <c r="T407" s="220" t="s">
        <v>151</v>
      </c>
      <c r="U407" s="220"/>
      <c r="V407" s="220"/>
      <c r="W407" s="220"/>
      <c r="X407" s="220"/>
      <c r="Y407" s="283"/>
      <c r="Z407" s="220"/>
      <c r="AA407" s="220"/>
      <c r="AB407" s="220"/>
      <c r="AC407" s="220"/>
      <c r="AD407" s="220"/>
      <c r="AE407" s="283"/>
      <c r="AF407" s="220"/>
      <c r="AG407" s="220"/>
      <c r="AH407" s="220"/>
      <c r="AI407" s="220"/>
      <c r="AJ407" s="226">
        <v>10</v>
      </c>
      <c r="AK407" s="226">
        <v>0</v>
      </c>
      <c r="AL407" s="225">
        <v>3.7999999999999999E-2</v>
      </c>
      <c r="AM407" s="220"/>
      <c r="AN407" s="225">
        <v>322.67</v>
      </c>
      <c r="AO407" s="220"/>
      <c r="AP407" s="220"/>
      <c r="AQ407" s="283"/>
      <c r="AR407" s="283"/>
      <c r="AS407" s="283"/>
      <c r="AT407" s="223">
        <v>0</v>
      </c>
      <c r="AU407" s="284">
        <v>45</v>
      </c>
      <c r="AV407" s="221">
        <v>42789</v>
      </c>
      <c r="AW407" s="221">
        <v>42789.5412665162</v>
      </c>
      <c r="AX407" s="220" t="s">
        <v>293</v>
      </c>
      <c r="AY407" s="219" t="s">
        <v>1354</v>
      </c>
    </row>
    <row r="408" spans="1:51" ht="20.399999999999999" hidden="1" outlineLevel="1" collapsed="1">
      <c r="A408" s="227" t="s">
        <v>289</v>
      </c>
      <c r="B408" s="220" t="s">
        <v>1353</v>
      </c>
      <c r="C408" s="220" t="s">
        <v>1353</v>
      </c>
      <c r="D408" s="220" t="s">
        <v>1351</v>
      </c>
      <c r="E408" s="220" t="s">
        <v>1350</v>
      </c>
      <c r="F408" s="220" t="s">
        <v>806</v>
      </c>
      <c r="G408" s="220"/>
      <c r="H408" s="220" t="s">
        <v>1349</v>
      </c>
      <c r="I408" s="220" t="s">
        <v>329</v>
      </c>
      <c r="J408" s="220" t="s">
        <v>297</v>
      </c>
      <c r="K408" s="220" t="s">
        <v>328</v>
      </c>
      <c r="L408" s="220" t="s">
        <v>601</v>
      </c>
      <c r="M408" s="220" t="s">
        <v>600</v>
      </c>
      <c r="N408" s="220" t="s">
        <v>329</v>
      </c>
      <c r="O408" s="220" t="s">
        <v>297</v>
      </c>
      <c r="P408" s="220" t="s">
        <v>599</v>
      </c>
      <c r="Q408" s="220" t="s">
        <v>598</v>
      </c>
      <c r="R408" s="220"/>
      <c r="S408" s="220" t="s">
        <v>791</v>
      </c>
      <c r="T408" s="220" t="s">
        <v>151</v>
      </c>
      <c r="U408" s="220"/>
      <c r="V408" s="220"/>
      <c r="W408" s="220"/>
      <c r="X408" s="220"/>
      <c r="Y408" s="283"/>
      <c r="Z408" s="220"/>
      <c r="AA408" s="220"/>
      <c r="AB408" s="220"/>
      <c r="AC408" s="220"/>
      <c r="AD408" s="220"/>
      <c r="AE408" s="283"/>
      <c r="AF408" s="220"/>
      <c r="AG408" s="220"/>
      <c r="AH408" s="220"/>
      <c r="AI408" s="220"/>
      <c r="AJ408" s="226">
        <v>5</v>
      </c>
      <c r="AK408" s="226">
        <v>0</v>
      </c>
      <c r="AL408" s="225">
        <v>1.9E-2</v>
      </c>
      <c r="AM408" s="220"/>
      <c r="AN408" s="225">
        <v>161.33500000000001</v>
      </c>
      <c r="AO408" s="220"/>
      <c r="AP408" s="220"/>
      <c r="AQ408" s="283"/>
      <c r="AR408" s="283"/>
      <c r="AS408" s="283"/>
      <c r="AT408" s="223">
        <v>0</v>
      </c>
      <c r="AU408" s="284">
        <v>22.5</v>
      </c>
      <c r="AV408" s="221">
        <v>42789</v>
      </c>
      <c r="AW408" s="221">
        <v>42789.5425783912</v>
      </c>
      <c r="AX408" s="220" t="s">
        <v>293</v>
      </c>
      <c r="AY408" s="219" t="s">
        <v>1352</v>
      </c>
    </row>
    <row r="409" spans="1:51" hidden="1" outlineLevel="1" collapsed="1">
      <c r="A409" s="227" t="s">
        <v>289</v>
      </c>
      <c r="B409" s="220" t="s">
        <v>1348</v>
      </c>
      <c r="C409" s="220" t="s">
        <v>1348</v>
      </c>
      <c r="D409" s="220" t="s">
        <v>1347</v>
      </c>
      <c r="E409" s="220" t="s">
        <v>1346</v>
      </c>
      <c r="F409" s="220" t="s">
        <v>1345</v>
      </c>
      <c r="G409" s="220"/>
      <c r="H409" s="220" t="s">
        <v>1344</v>
      </c>
      <c r="I409" s="220" t="s">
        <v>329</v>
      </c>
      <c r="J409" s="220" t="s">
        <v>297</v>
      </c>
      <c r="K409" s="220" t="s">
        <v>328</v>
      </c>
      <c r="L409" s="220" t="s">
        <v>601</v>
      </c>
      <c r="M409" s="220" t="s">
        <v>600</v>
      </c>
      <c r="N409" s="220" t="s">
        <v>329</v>
      </c>
      <c r="O409" s="220" t="s">
        <v>297</v>
      </c>
      <c r="P409" s="220" t="s">
        <v>599</v>
      </c>
      <c r="Q409" s="220" t="s">
        <v>598</v>
      </c>
      <c r="R409" s="220"/>
      <c r="S409" s="220" t="s">
        <v>791</v>
      </c>
      <c r="T409" s="220" t="s">
        <v>151</v>
      </c>
      <c r="U409" s="220"/>
      <c r="V409" s="220"/>
      <c r="W409" s="220"/>
      <c r="X409" s="220"/>
      <c r="Y409" s="283"/>
      <c r="Z409" s="220"/>
      <c r="AA409" s="220"/>
      <c r="AB409" s="220"/>
      <c r="AC409" s="220"/>
      <c r="AD409" s="220"/>
      <c r="AE409" s="283"/>
      <c r="AF409" s="220"/>
      <c r="AG409" s="220"/>
      <c r="AH409" s="220"/>
      <c r="AI409" s="220"/>
      <c r="AJ409" s="226">
        <v>1</v>
      </c>
      <c r="AK409" s="226">
        <v>0</v>
      </c>
      <c r="AL409" s="225">
        <v>4.0000000000000001E-3</v>
      </c>
      <c r="AM409" s="220"/>
      <c r="AN409" s="225">
        <v>33.78</v>
      </c>
      <c r="AO409" s="220"/>
      <c r="AP409" s="220"/>
      <c r="AQ409" s="283"/>
      <c r="AR409" s="283"/>
      <c r="AS409" s="283"/>
      <c r="AT409" s="223">
        <v>0</v>
      </c>
      <c r="AU409" s="284">
        <v>5.6</v>
      </c>
      <c r="AV409" s="221">
        <v>42794</v>
      </c>
      <c r="AW409" s="221">
        <v>42794.536915972203</v>
      </c>
      <c r="AX409" s="220" t="s">
        <v>293</v>
      </c>
      <c r="AY409" s="219" t="s">
        <v>1343</v>
      </c>
    </row>
    <row r="410" spans="1:51" hidden="1" outlineLevel="1" collapsed="1">
      <c r="A410" s="227" t="s">
        <v>289</v>
      </c>
      <c r="B410" s="220" t="s">
        <v>1342</v>
      </c>
      <c r="C410" s="220" t="s">
        <v>1342</v>
      </c>
      <c r="D410" s="220" t="s">
        <v>1341</v>
      </c>
      <c r="E410" s="220" t="s">
        <v>1340</v>
      </c>
      <c r="F410" s="220" t="s">
        <v>1339</v>
      </c>
      <c r="G410" s="220"/>
      <c r="H410" s="220" t="s">
        <v>1338</v>
      </c>
      <c r="I410" s="220" t="s">
        <v>413</v>
      </c>
      <c r="J410" s="220" t="s">
        <v>297</v>
      </c>
      <c r="K410" s="220" t="s">
        <v>412</v>
      </c>
      <c r="L410" s="220" t="s">
        <v>601</v>
      </c>
      <c r="M410" s="220" t="s">
        <v>600</v>
      </c>
      <c r="N410" s="220" t="s">
        <v>329</v>
      </c>
      <c r="O410" s="220" t="s">
        <v>297</v>
      </c>
      <c r="P410" s="220" t="s">
        <v>599</v>
      </c>
      <c r="Q410" s="220" t="s">
        <v>598</v>
      </c>
      <c r="R410" s="220"/>
      <c r="S410" s="220" t="s">
        <v>895</v>
      </c>
      <c r="T410" s="220" t="s">
        <v>150</v>
      </c>
      <c r="U410" s="220"/>
      <c r="V410" s="220"/>
      <c r="W410" s="220"/>
      <c r="X410" s="220"/>
      <c r="Y410" s="283"/>
      <c r="Z410" s="220"/>
      <c r="AA410" s="220"/>
      <c r="AB410" s="220"/>
      <c r="AC410" s="220"/>
      <c r="AD410" s="220"/>
      <c r="AE410" s="283"/>
      <c r="AF410" s="220"/>
      <c r="AG410" s="220"/>
      <c r="AH410" s="220" t="s">
        <v>1337</v>
      </c>
      <c r="AI410" s="220"/>
      <c r="AJ410" s="226">
        <v>32</v>
      </c>
      <c r="AK410" s="226">
        <v>0</v>
      </c>
      <c r="AL410" s="225">
        <v>0.12479999999999999</v>
      </c>
      <c r="AM410" s="220"/>
      <c r="AN410" s="225">
        <v>1064.8320000000001</v>
      </c>
      <c r="AO410" s="220"/>
      <c r="AP410" s="220"/>
      <c r="AQ410" s="283"/>
      <c r="AR410" s="283"/>
      <c r="AS410" s="283"/>
      <c r="AT410" s="223">
        <v>0</v>
      </c>
      <c r="AU410" s="284">
        <v>320</v>
      </c>
      <c r="AV410" s="221">
        <v>42802</v>
      </c>
      <c r="AW410" s="221">
        <v>42802.591133831003</v>
      </c>
      <c r="AX410" s="220" t="s">
        <v>293</v>
      </c>
      <c r="AY410" s="219" t="s">
        <v>1336</v>
      </c>
    </row>
    <row r="411" spans="1:51" hidden="1" outlineLevel="1" collapsed="1">
      <c r="A411" s="227" t="s">
        <v>289</v>
      </c>
      <c r="B411" s="220" t="s">
        <v>1333</v>
      </c>
      <c r="C411" s="220" t="s">
        <v>1333</v>
      </c>
      <c r="D411" s="220" t="s">
        <v>1332</v>
      </c>
      <c r="E411" s="220" t="s">
        <v>1331</v>
      </c>
      <c r="F411" s="220" t="s">
        <v>1330</v>
      </c>
      <c r="G411" s="220"/>
      <c r="H411" s="220" t="s">
        <v>1329</v>
      </c>
      <c r="I411" s="220" t="s">
        <v>329</v>
      </c>
      <c r="J411" s="220" t="s">
        <v>297</v>
      </c>
      <c r="K411" s="220" t="s">
        <v>328</v>
      </c>
      <c r="L411" s="220" t="s">
        <v>601</v>
      </c>
      <c r="M411" s="220" t="s">
        <v>600</v>
      </c>
      <c r="N411" s="220" t="s">
        <v>329</v>
      </c>
      <c r="O411" s="220" t="s">
        <v>297</v>
      </c>
      <c r="P411" s="220" t="s">
        <v>599</v>
      </c>
      <c r="Q411" s="220" t="s">
        <v>598</v>
      </c>
      <c r="R411" s="220"/>
      <c r="S411" s="220" t="s">
        <v>895</v>
      </c>
      <c r="T411" s="220" t="s">
        <v>150</v>
      </c>
      <c r="U411" s="220"/>
      <c r="V411" s="220"/>
      <c r="W411" s="220"/>
      <c r="X411" s="220"/>
      <c r="Y411" s="283"/>
      <c r="Z411" s="220"/>
      <c r="AA411" s="220"/>
      <c r="AB411" s="220"/>
      <c r="AC411" s="220"/>
      <c r="AD411" s="220"/>
      <c r="AE411" s="283"/>
      <c r="AF411" s="220"/>
      <c r="AG411" s="220"/>
      <c r="AH411" s="220" t="s">
        <v>1335</v>
      </c>
      <c r="AI411" s="220"/>
      <c r="AJ411" s="226">
        <v>25</v>
      </c>
      <c r="AK411" s="226">
        <v>0</v>
      </c>
      <c r="AL411" s="225">
        <v>0.10249999999999999</v>
      </c>
      <c r="AM411" s="220"/>
      <c r="AN411" s="225">
        <v>864.65</v>
      </c>
      <c r="AO411" s="220"/>
      <c r="AP411" s="220"/>
      <c r="AQ411" s="283"/>
      <c r="AR411" s="283"/>
      <c r="AS411" s="283"/>
      <c r="AT411" s="223">
        <v>0</v>
      </c>
      <c r="AU411" s="284">
        <v>250</v>
      </c>
      <c r="AV411" s="221">
        <v>42811</v>
      </c>
      <c r="AW411" s="221">
        <v>42811.7676993403</v>
      </c>
      <c r="AX411" s="220" t="s">
        <v>293</v>
      </c>
      <c r="AY411" s="219" t="s">
        <v>1334</v>
      </c>
    </row>
    <row r="412" spans="1:51" hidden="1" outlineLevel="1" collapsed="1">
      <c r="A412" s="227" t="s">
        <v>289</v>
      </c>
      <c r="B412" s="220" t="s">
        <v>1333</v>
      </c>
      <c r="C412" s="220" t="s">
        <v>1333</v>
      </c>
      <c r="D412" s="220" t="s">
        <v>1332</v>
      </c>
      <c r="E412" s="220" t="s">
        <v>1331</v>
      </c>
      <c r="F412" s="220" t="s">
        <v>1330</v>
      </c>
      <c r="G412" s="220"/>
      <c r="H412" s="220" t="s">
        <v>1329</v>
      </c>
      <c r="I412" s="220" t="s">
        <v>329</v>
      </c>
      <c r="J412" s="220" t="s">
        <v>297</v>
      </c>
      <c r="K412" s="220" t="s">
        <v>328</v>
      </c>
      <c r="L412" s="220" t="s">
        <v>601</v>
      </c>
      <c r="M412" s="220" t="s">
        <v>600</v>
      </c>
      <c r="N412" s="220" t="s">
        <v>329</v>
      </c>
      <c r="O412" s="220" t="s">
        <v>297</v>
      </c>
      <c r="P412" s="220" t="s">
        <v>599</v>
      </c>
      <c r="Q412" s="220" t="s">
        <v>598</v>
      </c>
      <c r="R412" s="220"/>
      <c r="S412" s="220" t="s">
        <v>895</v>
      </c>
      <c r="T412" s="220" t="s">
        <v>150</v>
      </c>
      <c r="U412" s="220"/>
      <c r="V412" s="220"/>
      <c r="W412" s="220"/>
      <c r="X412" s="220"/>
      <c r="Y412" s="283"/>
      <c r="Z412" s="220"/>
      <c r="AA412" s="220"/>
      <c r="AB412" s="220"/>
      <c r="AC412" s="220"/>
      <c r="AD412" s="220"/>
      <c r="AE412" s="283"/>
      <c r="AF412" s="220"/>
      <c r="AG412" s="220"/>
      <c r="AH412" s="220" t="s">
        <v>1328</v>
      </c>
      <c r="AI412" s="220"/>
      <c r="AJ412" s="226">
        <v>2</v>
      </c>
      <c r="AK412" s="226">
        <v>0</v>
      </c>
      <c r="AL412" s="225">
        <v>8.0000000000000002E-3</v>
      </c>
      <c r="AM412" s="220"/>
      <c r="AN412" s="225">
        <v>68.567999999999998</v>
      </c>
      <c r="AO412" s="220"/>
      <c r="AP412" s="220"/>
      <c r="AQ412" s="283"/>
      <c r="AR412" s="283"/>
      <c r="AS412" s="283"/>
      <c r="AT412" s="223">
        <v>0</v>
      </c>
      <c r="AU412" s="284">
        <v>20</v>
      </c>
      <c r="AV412" s="221">
        <v>42811</v>
      </c>
      <c r="AW412" s="221">
        <v>42811.7676993403</v>
      </c>
      <c r="AX412" s="220" t="s">
        <v>293</v>
      </c>
      <c r="AY412" s="219" t="s">
        <v>1327</v>
      </c>
    </row>
    <row r="413" spans="1:51" hidden="1" outlineLevel="1" collapsed="1">
      <c r="A413" s="227" t="s">
        <v>289</v>
      </c>
      <c r="B413" s="220" t="s">
        <v>1326</v>
      </c>
      <c r="C413" s="220" t="s">
        <v>1326</v>
      </c>
      <c r="D413" s="220" t="s">
        <v>1303</v>
      </c>
      <c r="E413" s="220" t="s">
        <v>1302</v>
      </c>
      <c r="F413" s="220" t="s">
        <v>1301</v>
      </c>
      <c r="G413" s="220"/>
      <c r="H413" s="220" t="s">
        <v>1300</v>
      </c>
      <c r="I413" s="220" t="s">
        <v>329</v>
      </c>
      <c r="J413" s="220" t="s">
        <v>297</v>
      </c>
      <c r="K413" s="220" t="s">
        <v>397</v>
      </c>
      <c r="L413" s="220" t="s">
        <v>601</v>
      </c>
      <c r="M413" s="220" t="s">
        <v>600</v>
      </c>
      <c r="N413" s="220" t="s">
        <v>329</v>
      </c>
      <c r="O413" s="220" t="s">
        <v>297</v>
      </c>
      <c r="P413" s="220" t="s">
        <v>599</v>
      </c>
      <c r="Q413" s="220" t="s">
        <v>598</v>
      </c>
      <c r="R413" s="220"/>
      <c r="S413" s="220" t="s">
        <v>791</v>
      </c>
      <c r="T413" s="220" t="s">
        <v>151</v>
      </c>
      <c r="U413" s="220"/>
      <c r="V413" s="220"/>
      <c r="W413" s="220"/>
      <c r="X413" s="220"/>
      <c r="Y413" s="283"/>
      <c r="Z413" s="220"/>
      <c r="AA413" s="220"/>
      <c r="AB413" s="220"/>
      <c r="AC413" s="220"/>
      <c r="AD413" s="220"/>
      <c r="AE413" s="283"/>
      <c r="AF413" s="220"/>
      <c r="AG413" s="220"/>
      <c r="AH413" s="220"/>
      <c r="AI413" s="220"/>
      <c r="AJ413" s="226">
        <v>5</v>
      </c>
      <c r="AK413" s="226">
        <v>0</v>
      </c>
      <c r="AL413" s="225">
        <v>1.9E-2</v>
      </c>
      <c r="AM413" s="220"/>
      <c r="AN413" s="225">
        <v>161.33500000000001</v>
      </c>
      <c r="AO413" s="220"/>
      <c r="AP413" s="220"/>
      <c r="AQ413" s="283"/>
      <c r="AR413" s="283"/>
      <c r="AS413" s="283"/>
      <c r="AT413" s="223">
        <v>0</v>
      </c>
      <c r="AU413" s="284">
        <v>22.5</v>
      </c>
      <c r="AV413" s="221">
        <v>42824</v>
      </c>
      <c r="AW413" s="221">
        <v>42824.713282835597</v>
      </c>
      <c r="AX413" s="220" t="s">
        <v>293</v>
      </c>
      <c r="AY413" s="219" t="s">
        <v>1325</v>
      </c>
    </row>
    <row r="414" spans="1:51" hidden="1" outlineLevel="1" collapsed="1">
      <c r="A414" s="227" t="s">
        <v>289</v>
      </c>
      <c r="B414" s="220" t="s">
        <v>1324</v>
      </c>
      <c r="C414" s="220" t="s">
        <v>1324</v>
      </c>
      <c r="D414" s="220" t="s">
        <v>1323</v>
      </c>
      <c r="E414" s="220" t="s">
        <v>1322</v>
      </c>
      <c r="F414" s="220" t="s">
        <v>1321</v>
      </c>
      <c r="G414" s="220"/>
      <c r="H414" s="220" t="s">
        <v>1320</v>
      </c>
      <c r="I414" s="220" t="s">
        <v>329</v>
      </c>
      <c r="J414" s="220" t="s">
        <v>297</v>
      </c>
      <c r="K414" s="220" t="s">
        <v>328</v>
      </c>
      <c r="L414" s="220" t="s">
        <v>601</v>
      </c>
      <c r="M414" s="220" t="s">
        <v>600</v>
      </c>
      <c r="N414" s="220" t="s">
        <v>329</v>
      </c>
      <c r="O414" s="220" t="s">
        <v>297</v>
      </c>
      <c r="P414" s="220" t="s">
        <v>599</v>
      </c>
      <c r="Q414" s="220" t="s">
        <v>598</v>
      </c>
      <c r="R414" s="220"/>
      <c r="S414" s="220" t="s">
        <v>791</v>
      </c>
      <c r="T414" s="220" t="s">
        <v>151</v>
      </c>
      <c r="U414" s="220"/>
      <c r="V414" s="220"/>
      <c r="W414" s="220"/>
      <c r="X414" s="220"/>
      <c r="Y414" s="283"/>
      <c r="Z414" s="220"/>
      <c r="AA414" s="220"/>
      <c r="AB414" s="220"/>
      <c r="AC414" s="220"/>
      <c r="AD414" s="220"/>
      <c r="AE414" s="283"/>
      <c r="AF414" s="220"/>
      <c r="AG414" s="220"/>
      <c r="AH414" s="220"/>
      <c r="AI414" s="220"/>
      <c r="AJ414" s="226">
        <v>2</v>
      </c>
      <c r="AK414" s="226">
        <v>0</v>
      </c>
      <c r="AL414" s="225">
        <v>8.0000000000000002E-3</v>
      </c>
      <c r="AM414" s="220"/>
      <c r="AN414" s="225">
        <v>67.56</v>
      </c>
      <c r="AO414" s="220"/>
      <c r="AP414" s="220"/>
      <c r="AQ414" s="283"/>
      <c r="AR414" s="283"/>
      <c r="AS414" s="283"/>
      <c r="AT414" s="223">
        <v>0</v>
      </c>
      <c r="AU414" s="284">
        <v>11.2</v>
      </c>
      <c r="AV414" s="221">
        <v>42824</v>
      </c>
      <c r="AW414" s="221">
        <v>42824.714325659697</v>
      </c>
      <c r="AX414" s="220" t="s">
        <v>293</v>
      </c>
      <c r="AY414" s="219" t="s">
        <v>1319</v>
      </c>
    </row>
    <row r="415" spans="1:51" hidden="1" outlineLevel="1" collapsed="1">
      <c r="A415" s="227" t="s">
        <v>289</v>
      </c>
      <c r="B415" s="220" t="s">
        <v>1317</v>
      </c>
      <c r="C415" s="220" t="s">
        <v>1317</v>
      </c>
      <c r="D415" s="220" t="s">
        <v>1316</v>
      </c>
      <c r="E415" s="220" t="s">
        <v>1315</v>
      </c>
      <c r="F415" s="220" t="s">
        <v>1314</v>
      </c>
      <c r="G415" s="220"/>
      <c r="H415" s="220" t="s">
        <v>1313</v>
      </c>
      <c r="I415" s="220" t="s">
        <v>345</v>
      </c>
      <c r="J415" s="220" t="s">
        <v>297</v>
      </c>
      <c r="K415" s="220" t="s">
        <v>344</v>
      </c>
      <c r="L415" s="220" t="s">
        <v>601</v>
      </c>
      <c r="M415" s="220" t="s">
        <v>600</v>
      </c>
      <c r="N415" s="220" t="s">
        <v>329</v>
      </c>
      <c r="O415" s="220" t="s">
        <v>297</v>
      </c>
      <c r="P415" s="220" t="s">
        <v>599</v>
      </c>
      <c r="Q415" s="220" t="s">
        <v>598</v>
      </c>
      <c r="R415" s="220"/>
      <c r="S415" s="220" t="s">
        <v>791</v>
      </c>
      <c r="T415" s="220" t="s">
        <v>151</v>
      </c>
      <c r="U415" s="220"/>
      <c r="V415" s="220"/>
      <c r="W415" s="220"/>
      <c r="X415" s="220"/>
      <c r="Y415" s="283"/>
      <c r="Z415" s="220"/>
      <c r="AA415" s="220"/>
      <c r="AB415" s="220"/>
      <c r="AC415" s="220"/>
      <c r="AD415" s="220"/>
      <c r="AE415" s="283"/>
      <c r="AF415" s="220"/>
      <c r="AG415" s="220"/>
      <c r="AH415" s="220"/>
      <c r="AI415" s="220"/>
      <c r="AJ415" s="226">
        <v>2</v>
      </c>
      <c r="AK415" s="226">
        <v>0</v>
      </c>
      <c r="AL415" s="225">
        <v>7.6E-3</v>
      </c>
      <c r="AM415" s="220"/>
      <c r="AN415" s="225">
        <v>64.534000000000006</v>
      </c>
      <c r="AO415" s="220"/>
      <c r="AP415" s="220"/>
      <c r="AQ415" s="283"/>
      <c r="AR415" s="283"/>
      <c r="AS415" s="283"/>
      <c r="AT415" s="223">
        <v>0</v>
      </c>
      <c r="AU415" s="284">
        <v>9</v>
      </c>
      <c r="AV415" s="221">
        <v>42824</v>
      </c>
      <c r="AW415" s="221">
        <v>42824.715253738403</v>
      </c>
      <c r="AX415" s="220" t="s">
        <v>293</v>
      </c>
      <c r="AY415" s="219" t="s">
        <v>1312</v>
      </c>
    </row>
    <row r="416" spans="1:51" hidden="1" outlineLevel="1" collapsed="1">
      <c r="A416" s="227" t="s">
        <v>289</v>
      </c>
      <c r="B416" s="220" t="s">
        <v>1317</v>
      </c>
      <c r="C416" s="220" t="s">
        <v>1317</v>
      </c>
      <c r="D416" s="220" t="s">
        <v>1316</v>
      </c>
      <c r="E416" s="220" t="s">
        <v>1315</v>
      </c>
      <c r="F416" s="220" t="s">
        <v>1314</v>
      </c>
      <c r="G416" s="220"/>
      <c r="H416" s="220" t="s">
        <v>1313</v>
      </c>
      <c r="I416" s="220" t="s">
        <v>345</v>
      </c>
      <c r="J416" s="220" t="s">
        <v>297</v>
      </c>
      <c r="K416" s="220" t="s">
        <v>344</v>
      </c>
      <c r="L416" s="220" t="s">
        <v>601</v>
      </c>
      <c r="M416" s="220" t="s">
        <v>600</v>
      </c>
      <c r="N416" s="220" t="s">
        <v>329</v>
      </c>
      <c r="O416" s="220" t="s">
        <v>297</v>
      </c>
      <c r="P416" s="220" t="s">
        <v>599</v>
      </c>
      <c r="Q416" s="220" t="s">
        <v>598</v>
      </c>
      <c r="R416" s="220"/>
      <c r="S416" s="220" t="s">
        <v>791</v>
      </c>
      <c r="T416" s="220" t="s">
        <v>151</v>
      </c>
      <c r="U416" s="220"/>
      <c r="V416" s="220"/>
      <c r="W416" s="220"/>
      <c r="X416" s="220"/>
      <c r="Y416" s="283"/>
      <c r="Z416" s="220"/>
      <c r="AA416" s="220"/>
      <c r="AB416" s="220"/>
      <c r="AC416" s="220"/>
      <c r="AD416" s="220"/>
      <c r="AE416" s="283"/>
      <c r="AF416" s="220"/>
      <c r="AG416" s="220"/>
      <c r="AH416" s="220"/>
      <c r="AI416" s="220"/>
      <c r="AJ416" s="226">
        <v>2</v>
      </c>
      <c r="AK416" s="226">
        <v>0</v>
      </c>
      <c r="AL416" s="225">
        <v>5.4000000000000003E-3</v>
      </c>
      <c r="AM416" s="220"/>
      <c r="AN416" s="225">
        <v>46.384</v>
      </c>
      <c r="AO416" s="220"/>
      <c r="AP416" s="220"/>
      <c r="AQ416" s="283"/>
      <c r="AR416" s="283"/>
      <c r="AS416" s="283"/>
      <c r="AT416" s="223">
        <v>0</v>
      </c>
      <c r="AU416" s="284">
        <v>8</v>
      </c>
      <c r="AV416" s="221">
        <v>42824</v>
      </c>
      <c r="AW416" s="221">
        <v>42824.715253738403</v>
      </c>
      <c r="AX416" s="220" t="s">
        <v>293</v>
      </c>
      <c r="AY416" s="219" t="s">
        <v>1318</v>
      </c>
    </row>
    <row r="417" spans="1:51" hidden="1" outlineLevel="1" collapsed="1">
      <c r="A417" s="227" t="s">
        <v>289</v>
      </c>
      <c r="B417" s="220" t="s">
        <v>1310</v>
      </c>
      <c r="C417" s="220" t="s">
        <v>1310</v>
      </c>
      <c r="D417" s="220" t="s">
        <v>1309</v>
      </c>
      <c r="E417" s="220" t="s">
        <v>1308</v>
      </c>
      <c r="F417" s="220" t="s">
        <v>1307</v>
      </c>
      <c r="G417" s="220"/>
      <c r="H417" s="220" t="s">
        <v>1306</v>
      </c>
      <c r="I417" s="220" t="s">
        <v>329</v>
      </c>
      <c r="J417" s="220" t="s">
        <v>297</v>
      </c>
      <c r="K417" s="220" t="s">
        <v>328</v>
      </c>
      <c r="L417" s="220" t="s">
        <v>601</v>
      </c>
      <c r="M417" s="220" t="s">
        <v>600</v>
      </c>
      <c r="N417" s="220" t="s">
        <v>329</v>
      </c>
      <c r="O417" s="220" t="s">
        <v>297</v>
      </c>
      <c r="P417" s="220" t="s">
        <v>599</v>
      </c>
      <c r="Q417" s="220" t="s">
        <v>598</v>
      </c>
      <c r="R417" s="220"/>
      <c r="S417" s="220" t="s">
        <v>791</v>
      </c>
      <c r="T417" s="220" t="s">
        <v>151</v>
      </c>
      <c r="U417" s="220"/>
      <c r="V417" s="220"/>
      <c r="W417" s="220"/>
      <c r="X417" s="220"/>
      <c r="Y417" s="283"/>
      <c r="Z417" s="220"/>
      <c r="AA417" s="220"/>
      <c r="AB417" s="220"/>
      <c r="AC417" s="220"/>
      <c r="AD417" s="220"/>
      <c r="AE417" s="283"/>
      <c r="AF417" s="220"/>
      <c r="AG417" s="220"/>
      <c r="AH417" s="220"/>
      <c r="AI417" s="220"/>
      <c r="AJ417" s="226">
        <v>4</v>
      </c>
      <c r="AK417" s="226">
        <v>0</v>
      </c>
      <c r="AL417" s="225">
        <v>1.6E-2</v>
      </c>
      <c r="AM417" s="220"/>
      <c r="AN417" s="225">
        <v>135.12</v>
      </c>
      <c r="AO417" s="220"/>
      <c r="AP417" s="220"/>
      <c r="AQ417" s="283"/>
      <c r="AR417" s="283"/>
      <c r="AS417" s="283"/>
      <c r="AT417" s="223">
        <v>0</v>
      </c>
      <c r="AU417" s="284">
        <v>22.4</v>
      </c>
      <c r="AV417" s="221">
        <v>42824</v>
      </c>
      <c r="AW417" s="221">
        <v>42824.716399884303</v>
      </c>
      <c r="AX417" s="220" t="s">
        <v>293</v>
      </c>
      <c r="AY417" s="219" t="s">
        <v>1311</v>
      </c>
    </row>
    <row r="418" spans="1:51" hidden="1" outlineLevel="1" collapsed="1">
      <c r="A418" s="227" t="s">
        <v>289</v>
      </c>
      <c r="B418" s="220" t="s">
        <v>1310</v>
      </c>
      <c r="C418" s="220" t="s">
        <v>1310</v>
      </c>
      <c r="D418" s="220" t="s">
        <v>1309</v>
      </c>
      <c r="E418" s="220" t="s">
        <v>1308</v>
      </c>
      <c r="F418" s="220" t="s">
        <v>1307</v>
      </c>
      <c r="G418" s="220"/>
      <c r="H418" s="220" t="s">
        <v>1306</v>
      </c>
      <c r="I418" s="220" t="s">
        <v>329</v>
      </c>
      <c r="J418" s="220" t="s">
        <v>297</v>
      </c>
      <c r="K418" s="220" t="s">
        <v>328</v>
      </c>
      <c r="L418" s="220" t="s">
        <v>601</v>
      </c>
      <c r="M418" s="220" t="s">
        <v>600</v>
      </c>
      <c r="N418" s="220" t="s">
        <v>329</v>
      </c>
      <c r="O418" s="220" t="s">
        <v>297</v>
      </c>
      <c r="P418" s="220" t="s">
        <v>599</v>
      </c>
      <c r="Q418" s="220" t="s">
        <v>598</v>
      </c>
      <c r="R418" s="220"/>
      <c r="S418" s="220" t="s">
        <v>791</v>
      </c>
      <c r="T418" s="220" t="s">
        <v>151</v>
      </c>
      <c r="U418" s="220"/>
      <c r="V418" s="220"/>
      <c r="W418" s="220"/>
      <c r="X418" s="220"/>
      <c r="Y418" s="283"/>
      <c r="Z418" s="220"/>
      <c r="AA418" s="220"/>
      <c r="AB418" s="220"/>
      <c r="AC418" s="220"/>
      <c r="AD418" s="220"/>
      <c r="AE418" s="283"/>
      <c r="AF418" s="220"/>
      <c r="AG418" s="220"/>
      <c r="AH418" s="220"/>
      <c r="AI418" s="220"/>
      <c r="AJ418" s="226">
        <v>4</v>
      </c>
      <c r="AK418" s="226">
        <v>0</v>
      </c>
      <c r="AL418" s="225">
        <v>1.52E-2</v>
      </c>
      <c r="AM418" s="220"/>
      <c r="AN418" s="225">
        <v>129.06800000000001</v>
      </c>
      <c r="AO418" s="220"/>
      <c r="AP418" s="220"/>
      <c r="AQ418" s="283"/>
      <c r="AR418" s="283"/>
      <c r="AS418" s="283"/>
      <c r="AT418" s="223">
        <v>0</v>
      </c>
      <c r="AU418" s="284">
        <v>18</v>
      </c>
      <c r="AV418" s="221">
        <v>42824</v>
      </c>
      <c r="AW418" s="221">
        <v>42824.716399884303</v>
      </c>
      <c r="AX418" s="220" t="s">
        <v>293</v>
      </c>
      <c r="AY418" s="219" t="s">
        <v>1305</v>
      </c>
    </row>
    <row r="419" spans="1:51" hidden="1" outlineLevel="1" collapsed="1">
      <c r="A419" s="227" t="s">
        <v>289</v>
      </c>
      <c r="B419" s="220" t="s">
        <v>1304</v>
      </c>
      <c r="C419" s="220" t="s">
        <v>1304</v>
      </c>
      <c r="D419" s="220" t="s">
        <v>1303</v>
      </c>
      <c r="E419" s="220" t="s">
        <v>1302</v>
      </c>
      <c r="F419" s="220" t="s">
        <v>1301</v>
      </c>
      <c r="G419" s="220"/>
      <c r="H419" s="220" t="s">
        <v>1300</v>
      </c>
      <c r="I419" s="220" t="s">
        <v>329</v>
      </c>
      <c r="J419" s="220" t="s">
        <v>297</v>
      </c>
      <c r="K419" s="220" t="s">
        <v>397</v>
      </c>
      <c r="L419" s="220" t="s">
        <v>601</v>
      </c>
      <c r="M419" s="220" t="s">
        <v>600</v>
      </c>
      <c r="N419" s="220" t="s">
        <v>329</v>
      </c>
      <c r="O419" s="220" t="s">
        <v>297</v>
      </c>
      <c r="P419" s="220" t="s">
        <v>599</v>
      </c>
      <c r="Q419" s="220" t="s">
        <v>598</v>
      </c>
      <c r="R419" s="220"/>
      <c r="S419" s="220" t="s">
        <v>791</v>
      </c>
      <c r="T419" s="220" t="s">
        <v>151</v>
      </c>
      <c r="U419" s="220"/>
      <c r="V419" s="220"/>
      <c r="W419" s="220"/>
      <c r="X419" s="220"/>
      <c r="Y419" s="283"/>
      <c r="Z419" s="220"/>
      <c r="AA419" s="220"/>
      <c r="AB419" s="220"/>
      <c r="AC419" s="220"/>
      <c r="AD419" s="220"/>
      <c r="AE419" s="283"/>
      <c r="AF419" s="220"/>
      <c r="AG419" s="220"/>
      <c r="AH419" s="220"/>
      <c r="AI419" s="220"/>
      <c r="AJ419" s="226">
        <v>5</v>
      </c>
      <c r="AK419" s="226">
        <v>0</v>
      </c>
      <c r="AL419" s="225">
        <v>1.35E-2</v>
      </c>
      <c r="AM419" s="220"/>
      <c r="AN419" s="225">
        <v>115.96</v>
      </c>
      <c r="AO419" s="220"/>
      <c r="AP419" s="220"/>
      <c r="AQ419" s="283"/>
      <c r="AR419" s="283"/>
      <c r="AS419" s="283"/>
      <c r="AT419" s="223">
        <v>0</v>
      </c>
      <c r="AU419" s="284">
        <v>20</v>
      </c>
      <c r="AV419" s="221">
        <v>42846</v>
      </c>
      <c r="AW419" s="221">
        <v>42846.699536539403</v>
      </c>
      <c r="AX419" s="220" t="s">
        <v>293</v>
      </c>
      <c r="AY419" s="219" t="s">
        <v>1299</v>
      </c>
    </row>
    <row r="420" spans="1:51" hidden="1" outlineLevel="1" collapsed="1">
      <c r="A420" s="227" t="s">
        <v>289</v>
      </c>
      <c r="B420" s="220" t="s">
        <v>1297</v>
      </c>
      <c r="C420" s="220" t="s">
        <v>1297</v>
      </c>
      <c r="D420" s="220" t="s">
        <v>1296</v>
      </c>
      <c r="E420" s="220" t="s">
        <v>1295</v>
      </c>
      <c r="F420" s="220" t="s">
        <v>1294</v>
      </c>
      <c r="G420" s="220"/>
      <c r="H420" s="220" t="s">
        <v>1293</v>
      </c>
      <c r="I420" s="220" t="s">
        <v>345</v>
      </c>
      <c r="J420" s="220" t="s">
        <v>297</v>
      </c>
      <c r="K420" s="220" t="s">
        <v>344</v>
      </c>
      <c r="L420" s="220" t="s">
        <v>601</v>
      </c>
      <c r="M420" s="220" t="s">
        <v>600</v>
      </c>
      <c r="N420" s="220" t="s">
        <v>329</v>
      </c>
      <c r="O420" s="220" t="s">
        <v>297</v>
      </c>
      <c r="P420" s="220" t="s">
        <v>599</v>
      </c>
      <c r="Q420" s="220" t="s">
        <v>598</v>
      </c>
      <c r="R420" s="220"/>
      <c r="S420" s="220" t="s">
        <v>791</v>
      </c>
      <c r="T420" s="220" t="s">
        <v>151</v>
      </c>
      <c r="U420" s="220"/>
      <c r="V420" s="220"/>
      <c r="W420" s="220"/>
      <c r="X420" s="220"/>
      <c r="Y420" s="283"/>
      <c r="Z420" s="220"/>
      <c r="AA420" s="220"/>
      <c r="AB420" s="220"/>
      <c r="AC420" s="220"/>
      <c r="AD420" s="220"/>
      <c r="AE420" s="283"/>
      <c r="AF420" s="220"/>
      <c r="AG420" s="220"/>
      <c r="AH420" s="220"/>
      <c r="AI420" s="220"/>
      <c r="AJ420" s="226">
        <v>1</v>
      </c>
      <c r="AK420" s="226">
        <v>0</v>
      </c>
      <c r="AL420" s="225">
        <v>4.0000000000000001E-3</v>
      </c>
      <c r="AM420" s="220"/>
      <c r="AN420" s="225">
        <v>33.78</v>
      </c>
      <c r="AO420" s="220"/>
      <c r="AP420" s="220"/>
      <c r="AQ420" s="283"/>
      <c r="AR420" s="283"/>
      <c r="AS420" s="283"/>
      <c r="AT420" s="223">
        <v>0</v>
      </c>
      <c r="AU420" s="284">
        <v>5.6</v>
      </c>
      <c r="AV420" s="221">
        <v>42846</v>
      </c>
      <c r="AW420" s="221">
        <v>42846.700620335701</v>
      </c>
      <c r="AX420" s="220" t="s">
        <v>293</v>
      </c>
      <c r="AY420" s="219" t="s">
        <v>1298</v>
      </c>
    </row>
    <row r="421" spans="1:51" hidden="1" outlineLevel="1" collapsed="1">
      <c r="A421" s="227" t="s">
        <v>289</v>
      </c>
      <c r="B421" s="220" t="s">
        <v>1297</v>
      </c>
      <c r="C421" s="220" t="s">
        <v>1297</v>
      </c>
      <c r="D421" s="220" t="s">
        <v>1296</v>
      </c>
      <c r="E421" s="220" t="s">
        <v>1295</v>
      </c>
      <c r="F421" s="220" t="s">
        <v>1294</v>
      </c>
      <c r="G421" s="220"/>
      <c r="H421" s="220" t="s">
        <v>1293</v>
      </c>
      <c r="I421" s="220" t="s">
        <v>345</v>
      </c>
      <c r="J421" s="220" t="s">
        <v>297</v>
      </c>
      <c r="K421" s="220" t="s">
        <v>344</v>
      </c>
      <c r="L421" s="220" t="s">
        <v>601</v>
      </c>
      <c r="M421" s="220" t="s">
        <v>600</v>
      </c>
      <c r="N421" s="220" t="s">
        <v>329</v>
      </c>
      <c r="O421" s="220" t="s">
        <v>297</v>
      </c>
      <c r="P421" s="220" t="s">
        <v>599</v>
      </c>
      <c r="Q421" s="220" t="s">
        <v>598</v>
      </c>
      <c r="R421" s="220"/>
      <c r="S421" s="220" t="s">
        <v>791</v>
      </c>
      <c r="T421" s="220" t="s">
        <v>151</v>
      </c>
      <c r="U421" s="220"/>
      <c r="V421" s="220"/>
      <c r="W421" s="220"/>
      <c r="X421" s="220"/>
      <c r="Y421" s="283"/>
      <c r="Z421" s="220"/>
      <c r="AA421" s="220"/>
      <c r="AB421" s="220"/>
      <c r="AC421" s="220"/>
      <c r="AD421" s="220"/>
      <c r="AE421" s="283"/>
      <c r="AF421" s="220"/>
      <c r="AG421" s="220"/>
      <c r="AH421" s="220"/>
      <c r="AI421" s="220"/>
      <c r="AJ421" s="226">
        <v>7</v>
      </c>
      <c r="AK421" s="226">
        <v>0</v>
      </c>
      <c r="AL421" s="225">
        <v>2.6599999999999999E-2</v>
      </c>
      <c r="AM421" s="220"/>
      <c r="AN421" s="225">
        <v>225.869</v>
      </c>
      <c r="AO421" s="220"/>
      <c r="AP421" s="220"/>
      <c r="AQ421" s="283"/>
      <c r="AR421" s="283"/>
      <c r="AS421" s="283"/>
      <c r="AT421" s="223">
        <v>0</v>
      </c>
      <c r="AU421" s="284">
        <v>31.5</v>
      </c>
      <c r="AV421" s="221">
        <v>42846</v>
      </c>
      <c r="AW421" s="221">
        <v>42846.700620335701</v>
      </c>
      <c r="AX421" s="220" t="s">
        <v>293</v>
      </c>
      <c r="AY421" s="219" t="s">
        <v>1292</v>
      </c>
    </row>
    <row r="422" spans="1:51" hidden="1" outlineLevel="1" collapsed="1">
      <c r="A422" s="227" t="s">
        <v>289</v>
      </c>
      <c r="B422" s="220" t="s">
        <v>1291</v>
      </c>
      <c r="C422" s="220" t="s">
        <v>1291</v>
      </c>
      <c r="D422" s="220" t="s">
        <v>1290</v>
      </c>
      <c r="E422" s="220" t="s">
        <v>1289</v>
      </c>
      <c r="F422" s="220" t="s">
        <v>1288</v>
      </c>
      <c r="G422" s="220"/>
      <c r="H422" s="220" t="s">
        <v>1287</v>
      </c>
      <c r="I422" s="220" t="s">
        <v>1252</v>
      </c>
      <c r="J422" s="220" t="s">
        <v>297</v>
      </c>
      <c r="K422" s="220" t="s">
        <v>1251</v>
      </c>
      <c r="L422" s="220" t="s">
        <v>601</v>
      </c>
      <c r="M422" s="220" t="s">
        <v>600</v>
      </c>
      <c r="N422" s="220" t="s">
        <v>329</v>
      </c>
      <c r="O422" s="220" t="s">
        <v>297</v>
      </c>
      <c r="P422" s="220" t="s">
        <v>599</v>
      </c>
      <c r="Q422" s="220" t="s">
        <v>598</v>
      </c>
      <c r="R422" s="220"/>
      <c r="S422" s="220" t="s">
        <v>791</v>
      </c>
      <c r="T422" s="220" t="s">
        <v>151</v>
      </c>
      <c r="U422" s="220"/>
      <c r="V422" s="220"/>
      <c r="W422" s="220"/>
      <c r="X422" s="220"/>
      <c r="Y422" s="283"/>
      <c r="Z422" s="220"/>
      <c r="AA422" s="220"/>
      <c r="AB422" s="220"/>
      <c r="AC422" s="220"/>
      <c r="AD422" s="220"/>
      <c r="AE422" s="283"/>
      <c r="AF422" s="220"/>
      <c r="AG422" s="220"/>
      <c r="AH422" s="220"/>
      <c r="AI422" s="220"/>
      <c r="AJ422" s="226">
        <v>3</v>
      </c>
      <c r="AK422" s="226">
        <v>0</v>
      </c>
      <c r="AL422" s="225">
        <v>1.14E-2</v>
      </c>
      <c r="AM422" s="220"/>
      <c r="AN422" s="225">
        <v>96.801000000000002</v>
      </c>
      <c r="AO422" s="220"/>
      <c r="AP422" s="220"/>
      <c r="AQ422" s="283"/>
      <c r="AR422" s="283"/>
      <c r="AS422" s="283"/>
      <c r="AT422" s="223">
        <v>0</v>
      </c>
      <c r="AU422" s="284">
        <v>13.5</v>
      </c>
      <c r="AV422" s="221">
        <v>42846</v>
      </c>
      <c r="AW422" s="221">
        <v>42846.7021451736</v>
      </c>
      <c r="AX422" s="220" t="s">
        <v>293</v>
      </c>
      <c r="AY422" s="219" t="s">
        <v>1286</v>
      </c>
    </row>
    <row r="423" spans="1:51" hidden="1" outlineLevel="1" collapsed="1">
      <c r="A423" s="227" t="s">
        <v>289</v>
      </c>
      <c r="B423" s="220" t="s">
        <v>1283</v>
      </c>
      <c r="C423" s="220" t="s">
        <v>1283</v>
      </c>
      <c r="D423" s="220" t="s">
        <v>1282</v>
      </c>
      <c r="E423" s="220" t="s">
        <v>1281</v>
      </c>
      <c r="F423" s="220" t="s">
        <v>1280</v>
      </c>
      <c r="G423" s="220"/>
      <c r="H423" s="220" t="s">
        <v>1279</v>
      </c>
      <c r="I423" s="220" t="s">
        <v>329</v>
      </c>
      <c r="J423" s="220" t="s">
        <v>297</v>
      </c>
      <c r="K423" s="220" t="s">
        <v>328</v>
      </c>
      <c r="L423" s="220" t="s">
        <v>601</v>
      </c>
      <c r="M423" s="220" t="s">
        <v>600</v>
      </c>
      <c r="N423" s="220" t="s">
        <v>329</v>
      </c>
      <c r="O423" s="220" t="s">
        <v>297</v>
      </c>
      <c r="P423" s="220" t="s">
        <v>599</v>
      </c>
      <c r="Q423" s="220" t="s">
        <v>598</v>
      </c>
      <c r="R423" s="220"/>
      <c r="S423" s="220" t="s">
        <v>791</v>
      </c>
      <c r="T423" s="220" t="s">
        <v>151</v>
      </c>
      <c r="U423" s="220"/>
      <c r="V423" s="220"/>
      <c r="W423" s="220"/>
      <c r="X423" s="220"/>
      <c r="Y423" s="283"/>
      <c r="Z423" s="220"/>
      <c r="AA423" s="220"/>
      <c r="AB423" s="220"/>
      <c r="AC423" s="220"/>
      <c r="AD423" s="220"/>
      <c r="AE423" s="283"/>
      <c r="AF423" s="220"/>
      <c r="AG423" s="220"/>
      <c r="AH423" s="220"/>
      <c r="AI423" s="220"/>
      <c r="AJ423" s="226">
        <v>2</v>
      </c>
      <c r="AK423" s="226">
        <v>0</v>
      </c>
      <c r="AL423" s="225">
        <v>5.4000000000000003E-3</v>
      </c>
      <c r="AM423" s="220"/>
      <c r="AN423" s="225">
        <v>46.384</v>
      </c>
      <c r="AO423" s="220"/>
      <c r="AP423" s="220"/>
      <c r="AQ423" s="283"/>
      <c r="AR423" s="283"/>
      <c r="AS423" s="283"/>
      <c r="AT423" s="223">
        <v>0</v>
      </c>
      <c r="AU423" s="284">
        <v>8</v>
      </c>
      <c r="AV423" s="221">
        <v>42846</v>
      </c>
      <c r="AW423" s="221">
        <v>42846.703093286997</v>
      </c>
      <c r="AX423" s="220" t="s">
        <v>293</v>
      </c>
      <c r="AY423" s="219" t="s">
        <v>1278</v>
      </c>
    </row>
    <row r="424" spans="1:51" hidden="1" outlineLevel="1" collapsed="1">
      <c r="A424" s="227" t="s">
        <v>289</v>
      </c>
      <c r="B424" s="220" t="s">
        <v>1283</v>
      </c>
      <c r="C424" s="220" t="s">
        <v>1283</v>
      </c>
      <c r="D424" s="220" t="s">
        <v>1282</v>
      </c>
      <c r="E424" s="220" t="s">
        <v>1281</v>
      </c>
      <c r="F424" s="220" t="s">
        <v>1280</v>
      </c>
      <c r="G424" s="220"/>
      <c r="H424" s="220" t="s">
        <v>1279</v>
      </c>
      <c r="I424" s="220" t="s">
        <v>329</v>
      </c>
      <c r="J424" s="220" t="s">
        <v>297</v>
      </c>
      <c r="K424" s="220" t="s">
        <v>328</v>
      </c>
      <c r="L424" s="220" t="s">
        <v>601</v>
      </c>
      <c r="M424" s="220" t="s">
        <v>600</v>
      </c>
      <c r="N424" s="220" t="s">
        <v>329</v>
      </c>
      <c r="O424" s="220" t="s">
        <v>297</v>
      </c>
      <c r="P424" s="220" t="s">
        <v>599</v>
      </c>
      <c r="Q424" s="220" t="s">
        <v>598</v>
      </c>
      <c r="R424" s="220"/>
      <c r="S424" s="220" t="s">
        <v>791</v>
      </c>
      <c r="T424" s="220" t="s">
        <v>151</v>
      </c>
      <c r="U424" s="220"/>
      <c r="V424" s="220"/>
      <c r="W424" s="220"/>
      <c r="X424" s="220"/>
      <c r="Y424" s="283"/>
      <c r="Z424" s="220"/>
      <c r="AA424" s="220"/>
      <c r="AB424" s="220"/>
      <c r="AC424" s="220"/>
      <c r="AD424" s="220"/>
      <c r="AE424" s="283"/>
      <c r="AF424" s="220"/>
      <c r="AG424" s="220"/>
      <c r="AH424" s="220"/>
      <c r="AI424" s="220"/>
      <c r="AJ424" s="226">
        <v>4</v>
      </c>
      <c r="AK424" s="226">
        <v>0</v>
      </c>
      <c r="AL424" s="225">
        <v>1.6E-2</v>
      </c>
      <c r="AM424" s="220"/>
      <c r="AN424" s="225">
        <v>135.12</v>
      </c>
      <c r="AO424" s="220"/>
      <c r="AP424" s="220"/>
      <c r="AQ424" s="283"/>
      <c r="AR424" s="283"/>
      <c r="AS424" s="283"/>
      <c r="AT424" s="223">
        <v>0</v>
      </c>
      <c r="AU424" s="284">
        <v>22.4</v>
      </c>
      <c r="AV424" s="221">
        <v>42846</v>
      </c>
      <c r="AW424" s="221">
        <v>42846.703093286997</v>
      </c>
      <c r="AX424" s="220" t="s">
        <v>293</v>
      </c>
      <c r="AY424" s="219" t="s">
        <v>1284</v>
      </c>
    </row>
    <row r="425" spans="1:51" hidden="1" outlineLevel="1" collapsed="1">
      <c r="A425" s="227" t="s">
        <v>289</v>
      </c>
      <c r="B425" s="220" t="s">
        <v>1283</v>
      </c>
      <c r="C425" s="220" t="s">
        <v>1283</v>
      </c>
      <c r="D425" s="220" t="s">
        <v>1282</v>
      </c>
      <c r="E425" s="220" t="s">
        <v>1281</v>
      </c>
      <c r="F425" s="220" t="s">
        <v>1280</v>
      </c>
      <c r="G425" s="220"/>
      <c r="H425" s="220" t="s">
        <v>1279</v>
      </c>
      <c r="I425" s="220" t="s">
        <v>329</v>
      </c>
      <c r="J425" s="220" t="s">
        <v>297</v>
      </c>
      <c r="K425" s="220" t="s">
        <v>328</v>
      </c>
      <c r="L425" s="220" t="s">
        <v>601</v>
      </c>
      <c r="M425" s="220" t="s">
        <v>600</v>
      </c>
      <c r="N425" s="220" t="s">
        <v>329</v>
      </c>
      <c r="O425" s="220" t="s">
        <v>297</v>
      </c>
      <c r="P425" s="220" t="s">
        <v>599</v>
      </c>
      <c r="Q425" s="220" t="s">
        <v>598</v>
      </c>
      <c r="R425" s="220"/>
      <c r="S425" s="220" t="s">
        <v>791</v>
      </c>
      <c r="T425" s="220" t="s">
        <v>151</v>
      </c>
      <c r="U425" s="220"/>
      <c r="V425" s="220"/>
      <c r="W425" s="220"/>
      <c r="X425" s="220"/>
      <c r="Y425" s="283"/>
      <c r="Z425" s="220"/>
      <c r="AA425" s="220"/>
      <c r="AB425" s="220"/>
      <c r="AC425" s="220"/>
      <c r="AD425" s="220"/>
      <c r="AE425" s="283"/>
      <c r="AF425" s="220"/>
      <c r="AG425" s="220"/>
      <c r="AH425" s="220"/>
      <c r="AI425" s="220"/>
      <c r="AJ425" s="226">
        <v>2</v>
      </c>
      <c r="AK425" s="226">
        <v>0</v>
      </c>
      <c r="AL425" s="225">
        <v>7.6E-3</v>
      </c>
      <c r="AM425" s="220"/>
      <c r="AN425" s="225">
        <v>64.534000000000006</v>
      </c>
      <c r="AO425" s="220"/>
      <c r="AP425" s="220"/>
      <c r="AQ425" s="283"/>
      <c r="AR425" s="283"/>
      <c r="AS425" s="283"/>
      <c r="AT425" s="223">
        <v>0</v>
      </c>
      <c r="AU425" s="284">
        <v>9</v>
      </c>
      <c r="AV425" s="221">
        <v>42846</v>
      </c>
      <c r="AW425" s="221">
        <v>42846.703093286997</v>
      </c>
      <c r="AX425" s="220" t="s">
        <v>293</v>
      </c>
      <c r="AY425" s="219" t="s">
        <v>1285</v>
      </c>
    </row>
    <row r="426" spans="1:51" hidden="1" outlineLevel="1" collapsed="1">
      <c r="A426" s="227" t="s">
        <v>289</v>
      </c>
      <c r="B426" s="220" t="s">
        <v>1277</v>
      </c>
      <c r="C426" s="220" t="s">
        <v>1277</v>
      </c>
      <c r="D426" s="220" t="s">
        <v>1010</v>
      </c>
      <c r="E426" s="220" t="s">
        <v>1009</v>
      </c>
      <c r="F426" s="220" t="s">
        <v>1008</v>
      </c>
      <c r="G426" s="220"/>
      <c r="H426" s="220" t="s">
        <v>1007</v>
      </c>
      <c r="I426" s="220" t="s">
        <v>345</v>
      </c>
      <c r="J426" s="220" t="s">
        <v>297</v>
      </c>
      <c r="K426" s="220" t="s">
        <v>344</v>
      </c>
      <c r="L426" s="220" t="s">
        <v>601</v>
      </c>
      <c r="M426" s="220" t="s">
        <v>600</v>
      </c>
      <c r="N426" s="220" t="s">
        <v>329</v>
      </c>
      <c r="O426" s="220" t="s">
        <v>297</v>
      </c>
      <c r="P426" s="220" t="s">
        <v>599</v>
      </c>
      <c r="Q426" s="220" t="s">
        <v>598</v>
      </c>
      <c r="R426" s="220"/>
      <c r="S426" s="220" t="s">
        <v>791</v>
      </c>
      <c r="T426" s="220" t="s">
        <v>151</v>
      </c>
      <c r="U426" s="220"/>
      <c r="V426" s="220"/>
      <c r="W426" s="220"/>
      <c r="X426" s="220"/>
      <c r="Y426" s="283"/>
      <c r="Z426" s="220"/>
      <c r="AA426" s="220"/>
      <c r="AB426" s="220"/>
      <c r="AC426" s="220"/>
      <c r="AD426" s="220"/>
      <c r="AE426" s="283"/>
      <c r="AF426" s="220"/>
      <c r="AG426" s="220"/>
      <c r="AH426" s="220"/>
      <c r="AI426" s="220"/>
      <c r="AJ426" s="226">
        <v>1</v>
      </c>
      <c r="AK426" s="226">
        <v>0</v>
      </c>
      <c r="AL426" s="225">
        <v>3.8E-3</v>
      </c>
      <c r="AM426" s="220"/>
      <c r="AN426" s="225">
        <v>32.267000000000003</v>
      </c>
      <c r="AO426" s="220"/>
      <c r="AP426" s="220"/>
      <c r="AQ426" s="283"/>
      <c r="AR426" s="283"/>
      <c r="AS426" s="283"/>
      <c r="AT426" s="223">
        <v>0</v>
      </c>
      <c r="AU426" s="284">
        <v>4.5</v>
      </c>
      <c r="AV426" s="221">
        <v>42879</v>
      </c>
      <c r="AW426" s="221">
        <v>42879.446023148201</v>
      </c>
      <c r="AX426" s="220" t="s">
        <v>293</v>
      </c>
      <c r="AY426" s="219" t="s">
        <v>1276</v>
      </c>
    </row>
    <row r="427" spans="1:51" hidden="1" outlineLevel="1" collapsed="1">
      <c r="A427" s="227" t="s">
        <v>289</v>
      </c>
      <c r="B427" s="220" t="s">
        <v>1275</v>
      </c>
      <c r="C427" s="220" t="s">
        <v>1275</v>
      </c>
      <c r="D427" s="220" t="s">
        <v>1220</v>
      </c>
      <c r="E427" s="220" t="s">
        <v>1219</v>
      </c>
      <c r="F427" s="220" t="s">
        <v>1218</v>
      </c>
      <c r="G427" s="220"/>
      <c r="H427" s="220" t="s">
        <v>1217</v>
      </c>
      <c r="I427" s="220" t="s">
        <v>329</v>
      </c>
      <c r="J427" s="220" t="s">
        <v>297</v>
      </c>
      <c r="K427" s="220" t="s">
        <v>328</v>
      </c>
      <c r="L427" s="220" t="s">
        <v>601</v>
      </c>
      <c r="M427" s="220" t="s">
        <v>600</v>
      </c>
      <c r="N427" s="220" t="s">
        <v>329</v>
      </c>
      <c r="O427" s="220" t="s">
        <v>297</v>
      </c>
      <c r="P427" s="220" t="s">
        <v>599</v>
      </c>
      <c r="Q427" s="220" t="s">
        <v>598</v>
      </c>
      <c r="R427" s="220"/>
      <c r="S427" s="220" t="s">
        <v>791</v>
      </c>
      <c r="T427" s="220" t="s">
        <v>151</v>
      </c>
      <c r="U427" s="220"/>
      <c r="V427" s="220"/>
      <c r="W427" s="220"/>
      <c r="X427" s="220"/>
      <c r="Y427" s="283"/>
      <c r="Z427" s="220"/>
      <c r="AA427" s="220"/>
      <c r="AB427" s="220"/>
      <c r="AC427" s="220"/>
      <c r="AD427" s="220"/>
      <c r="AE427" s="283"/>
      <c r="AF427" s="220"/>
      <c r="AG427" s="220"/>
      <c r="AH427" s="220"/>
      <c r="AI427" s="220"/>
      <c r="AJ427" s="226">
        <v>10</v>
      </c>
      <c r="AK427" s="226">
        <v>0</v>
      </c>
      <c r="AL427" s="225">
        <v>3.7999999999999999E-2</v>
      </c>
      <c r="AM427" s="220"/>
      <c r="AN427" s="225">
        <v>322.67</v>
      </c>
      <c r="AO427" s="220"/>
      <c r="AP427" s="220"/>
      <c r="AQ427" s="283"/>
      <c r="AR427" s="283"/>
      <c r="AS427" s="283"/>
      <c r="AT427" s="223">
        <v>0</v>
      </c>
      <c r="AU427" s="284">
        <v>45</v>
      </c>
      <c r="AV427" s="221">
        <v>42879</v>
      </c>
      <c r="AW427" s="221">
        <v>42879.7603087963</v>
      </c>
      <c r="AX427" s="220" t="s">
        <v>293</v>
      </c>
      <c r="AY427" s="219" t="s">
        <v>1274</v>
      </c>
    </row>
    <row r="428" spans="1:51" hidden="1" outlineLevel="1" collapsed="1">
      <c r="A428" s="227" t="s">
        <v>289</v>
      </c>
      <c r="B428" s="220" t="s">
        <v>1273</v>
      </c>
      <c r="C428" s="220" t="s">
        <v>1273</v>
      </c>
      <c r="D428" s="220" t="s">
        <v>1010</v>
      </c>
      <c r="E428" s="220" t="s">
        <v>1009</v>
      </c>
      <c r="F428" s="220" t="s">
        <v>1008</v>
      </c>
      <c r="G428" s="220"/>
      <c r="H428" s="220" t="s">
        <v>1007</v>
      </c>
      <c r="I428" s="220" t="s">
        <v>345</v>
      </c>
      <c r="J428" s="220" t="s">
        <v>297</v>
      </c>
      <c r="K428" s="220" t="s">
        <v>344</v>
      </c>
      <c r="L428" s="220" t="s">
        <v>601</v>
      </c>
      <c r="M428" s="220" t="s">
        <v>600</v>
      </c>
      <c r="N428" s="220" t="s">
        <v>329</v>
      </c>
      <c r="O428" s="220" t="s">
        <v>297</v>
      </c>
      <c r="P428" s="220" t="s">
        <v>599</v>
      </c>
      <c r="Q428" s="220" t="s">
        <v>598</v>
      </c>
      <c r="R428" s="220"/>
      <c r="S428" s="220" t="s">
        <v>791</v>
      </c>
      <c r="T428" s="220" t="s">
        <v>151</v>
      </c>
      <c r="U428" s="220"/>
      <c r="V428" s="220"/>
      <c r="W428" s="220"/>
      <c r="X428" s="220"/>
      <c r="Y428" s="283"/>
      <c r="Z428" s="220"/>
      <c r="AA428" s="220"/>
      <c r="AB428" s="220"/>
      <c r="AC428" s="220"/>
      <c r="AD428" s="220"/>
      <c r="AE428" s="283"/>
      <c r="AF428" s="220"/>
      <c r="AG428" s="220"/>
      <c r="AH428" s="220"/>
      <c r="AI428" s="220"/>
      <c r="AJ428" s="226">
        <v>1</v>
      </c>
      <c r="AK428" s="226">
        <v>0</v>
      </c>
      <c r="AL428" s="225">
        <v>3.8E-3</v>
      </c>
      <c r="AM428" s="220"/>
      <c r="AN428" s="225">
        <v>32.267000000000003</v>
      </c>
      <c r="AO428" s="220"/>
      <c r="AP428" s="220"/>
      <c r="AQ428" s="283"/>
      <c r="AR428" s="283"/>
      <c r="AS428" s="283"/>
      <c r="AT428" s="223">
        <v>0</v>
      </c>
      <c r="AU428" s="284">
        <v>4.5</v>
      </c>
      <c r="AV428" s="221">
        <v>42880</v>
      </c>
      <c r="AW428" s="221">
        <v>42880.720618090301</v>
      </c>
      <c r="AX428" s="220" t="s">
        <v>293</v>
      </c>
      <c r="AY428" s="219" t="s">
        <v>1272</v>
      </c>
    </row>
    <row r="429" spans="1:51" hidden="1" outlineLevel="1" collapsed="1">
      <c r="A429" s="227" t="s">
        <v>289</v>
      </c>
      <c r="B429" s="220" t="s">
        <v>1269</v>
      </c>
      <c r="C429" s="220" t="s">
        <v>1269</v>
      </c>
      <c r="D429" s="220" t="s">
        <v>1268</v>
      </c>
      <c r="E429" s="220" t="s">
        <v>1267</v>
      </c>
      <c r="F429" s="220" t="s">
        <v>1266</v>
      </c>
      <c r="G429" s="220"/>
      <c r="H429" s="220" t="s">
        <v>1265</v>
      </c>
      <c r="I429" s="220" t="s">
        <v>329</v>
      </c>
      <c r="J429" s="220" t="s">
        <v>297</v>
      </c>
      <c r="K429" s="220" t="s">
        <v>397</v>
      </c>
      <c r="L429" s="220" t="s">
        <v>601</v>
      </c>
      <c r="M429" s="220" t="s">
        <v>600</v>
      </c>
      <c r="N429" s="220" t="s">
        <v>329</v>
      </c>
      <c r="O429" s="220" t="s">
        <v>297</v>
      </c>
      <c r="P429" s="220" t="s">
        <v>599</v>
      </c>
      <c r="Q429" s="220" t="s">
        <v>598</v>
      </c>
      <c r="R429" s="220"/>
      <c r="S429" s="220" t="s">
        <v>791</v>
      </c>
      <c r="T429" s="220" t="s">
        <v>151</v>
      </c>
      <c r="U429" s="220"/>
      <c r="V429" s="220"/>
      <c r="W429" s="220"/>
      <c r="X429" s="220"/>
      <c r="Y429" s="283"/>
      <c r="Z429" s="220"/>
      <c r="AA429" s="220"/>
      <c r="AB429" s="220"/>
      <c r="AC429" s="220"/>
      <c r="AD429" s="220"/>
      <c r="AE429" s="283"/>
      <c r="AF429" s="220"/>
      <c r="AG429" s="220"/>
      <c r="AH429" s="220"/>
      <c r="AI429" s="220"/>
      <c r="AJ429" s="226">
        <v>2</v>
      </c>
      <c r="AK429" s="226">
        <v>0</v>
      </c>
      <c r="AL429" s="225">
        <v>7.6E-3</v>
      </c>
      <c r="AM429" s="220"/>
      <c r="AN429" s="225">
        <v>64.534000000000006</v>
      </c>
      <c r="AO429" s="220"/>
      <c r="AP429" s="220"/>
      <c r="AQ429" s="283"/>
      <c r="AR429" s="283"/>
      <c r="AS429" s="283"/>
      <c r="AT429" s="223">
        <v>0</v>
      </c>
      <c r="AU429" s="284">
        <v>11.2</v>
      </c>
      <c r="AV429" s="221">
        <v>42886</v>
      </c>
      <c r="AW429" s="221">
        <v>42886.430599537001</v>
      </c>
      <c r="AX429" s="220" t="s">
        <v>293</v>
      </c>
      <c r="AY429" s="219" t="s">
        <v>1271</v>
      </c>
    </row>
    <row r="430" spans="1:51" hidden="1" outlineLevel="1" collapsed="1">
      <c r="A430" s="227" t="s">
        <v>289</v>
      </c>
      <c r="B430" s="220" t="s">
        <v>1269</v>
      </c>
      <c r="C430" s="220" t="s">
        <v>1269</v>
      </c>
      <c r="D430" s="220" t="s">
        <v>1268</v>
      </c>
      <c r="E430" s="220" t="s">
        <v>1267</v>
      </c>
      <c r="F430" s="220" t="s">
        <v>1266</v>
      </c>
      <c r="G430" s="220"/>
      <c r="H430" s="220" t="s">
        <v>1265</v>
      </c>
      <c r="I430" s="220" t="s">
        <v>329</v>
      </c>
      <c r="J430" s="220" t="s">
        <v>297</v>
      </c>
      <c r="K430" s="220" t="s">
        <v>397</v>
      </c>
      <c r="L430" s="220" t="s">
        <v>601</v>
      </c>
      <c r="M430" s="220" t="s">
        <v>600</v>
      </c>
      <c r="N430" s="220" t="s">
        <v>329</v>
      </c>
      <c r="O430" s="220" t="s">
        <v>297</v>
      </c>
      <c r="P430" s="220" t="s">
        <v>599</v>
      </c>
      <c r="Q430" s="220" t="s">
        <v>598</v>
      </c>
      <c r="R430" s="220"/>
      <c r="S430" s="220" t="s">
        <v>791</v>
      </c>
      <c r="T430" s="220" t="s">
        <v>151</v>
      </c>
      <c r="U430" s="220"/>
      <c r="V430" s="220"/>
      <c r="W430" s="220"/>
      <c r="X430" s="220"/>
      <c r="Y430" s="283"/>
      <c r="Z430" s="220"/>
      <c r="AA430" s="220"/>
      <c r="AB430" s="220"/>
      <c r="AC430" s="220"/>
      <c r="AD430" s="220"/>
      <c r="AE430" s="283"/>
      <c r="AF430" s="220"/>
      <c r="AG430" s="220"/>
      <c r="AH430" s="220"/>
      <c r="AI430" s="220"/>
      <c r="AJ430" s="226">
        <v>2</v>
      </c>
      <c r="AK430" s="226">
        <v>0</v>
      </c>
      <c r="AL430" s="225">
        <v>5.4000000000000003E-3</v>
      </c>
      <c r="AM430" s="220"/>
      <c r="AN430" s="225">
        <v>46.384</v>
      </c>
      <c r="AO430" s="220"/>
      <c r="AP430" s="220"/>
      <c r="AQ430" s="283"/>
      <c r="AR430" s="283"/>
      <c r="AS430" s="283"/>
      <c r="AT430" s="223">
        <v>0</v>
      </c>
      <c r="AU430" s="284">
        <v>8</v>
      </c>
      <c r="AV430" s="221">
        <v>42886</v>
      </c>
      <c r="AW430" s="221">
        <v>42886.430599537001</v>
      </c>
      <c r="AX430" s="220" t="s">
        <v>293</v>
      </c>
      <c r="AY430" s="219" t="s">
        <v>1264</v>
      </c>
    </row>
    <row r="431" spans="1:51" hidden="1" outlineLevel="1" collapsed="1">
      <c r="A431" s="227" t="s">
        <v>289</v>
      </c>
      <c r="B431" s="220" t="s">
        <v>1269</v>
      </c>
      <c r="C431" s="220" t="s">
        <v>1269</v>
      </c>
      <c r="D431" s="220" t="s">
        <v>1268</v>
      </c>
      <c r="E431" s="220" t="s">
        <v>1267</v>
      </c>
      <c r="F431" s="220" t="s">
        <v>1266</v>
      </c>
      <c r="G431" s="220"/>
      <c r="H431" s="220" t="s">
        <v>1265</v>
      </c>
      <c r="I431" s="220" t="s">
        <v>329</v>
      </c>
      <c r="J431" s="220" t="s">
        <v>297</v>
      </c>
      <c r="K431" s="220" t="s">
        <v>397</v>
      </c>
      <c r="L431" s="220" t="s">
        <v>601</v>
      </c>
      <c r="M431" s="220" t="s">
        <v>600</v>
      </c>
      <c r="N431" s="220" t="s">
        <v>329</v>
      </c>
      <c r="O431" s="220" t="s">
        <v>297</v>
      </c>
      <c r="P431" s="220" t="s">
        <v>599</v>
      </c>
      <c r="Q431" s="220" t="s">
        <v>598</v>
      </c>
      <c r="R431" s="220"/>
      <c r="S431" s="220" t="s">
        <v>791</v>
      </c>
      <c r="T431" s="220" t="s">
        <v>151</v>
      </c>
      <c r="U431" s="220"/>
      <c r="V431" s="220"/>
      <c r="W431" s="220"/>
      <c r="X431" s="220"/>
      <c r="Y431" s="283"/>
      <c r="Z431" s="220"/>
      <c r="AA431" s="220"/>
      <c r="AB431" s="220"/>
      <c r="AC431" s="220"/>
      <c r="AD431" s="220"/>
      <c r="AE431" s="283"/>
      <c r="AF431" s="220"/>
      <c r="AG431" s="220"/>
      <c r="AH431" s="220"/>
      <c r="AI431" s="220"/>
      <c r="AJ431" s="226">
        <v>6</v>
      </c>
      <c r="AK431" s="226">
        <v>0</v>
      </c>
      <c r="AL431" s="225">
        <v>2.2800000000000001E-2</v>
      </c>
      <c r="AM431" s="220"/>
      <c r="AN431" s="225">
        <v>193.602</v>
      </c>
      <c r="AO431" s="220"/>
      <c r="AP431" s="220"/>
      <c r="AQ431" s="283"/>
      <c r="AR431" s="283"/>
      <c r="AS431" s="283"/>
      <c r="AT431" s="223">
        <v>0</v>
      </c>
      <c r="AU431" s="284">
        <v>27</v>
      </c>
      <c r="AV431" s="221">
        <v>42886</v>
      </c>
      <c r="AW431" s="221">
        <v>42886.430599537001</v>
      </c>
      <c r="AX431" s="220" t="s">
        <v>293</v>
      </c>
      <c r="AY431" s="219" t="s">
        <v>1270</v>
      </c>
    </row>
    <row r="432" spans="1:51" hidden="1" outlineLevel="1" collapsed="1">
      <c r="A432" s="227" t="s">
        <v>289</v>
      </c>
      <c r="B432" s="220" t="s">
        <v>1263</v>
      </c>
      <c r="C432" s="220" t="s">
        <v>1263</v>
      </c>
      <c r="D432" s="220" t="s">
        <v>1262</v>
      </c>
      <c r="E432" s="220" t="s">
        <v>1261</v>
      </c>
      <c r="F432" s="220" t="s">
        <v>1260</v>
      </c>
      <c r="G432" s="220"/>
      <c r="H432" s="220" t="s">
        <v>1259</v>
      </c>
      <c r="I432" s="220" t="s">
        <v>382</v>
      </c>
      <c r="J432" s="220" t="s">
        <v>297</v>
      </c>
      <c r="K432" s="220" t="s">
        <v>381</v>
      </c>
      <c r="L432" s="220" t="s">
        <v>601</v>
      </c>
      <c r="M432" s="220" t="s">
        <v>600</v>
      </c>
      <c r="N432" s="220" t="s">
        <v>329</v>
      </c>
      <c r="O432" s="220" t="s">
        <v>297</v>
      </c>
      <c r="P432" s="220" t="s">
        <v>599</v>
      </c>
      <c r="Q432" s="220" t="s">
        <v>598</v>
      </c>
      <c r="R432" s="220"/>
      <c r="S432" s="220" t="s">
        <v>791</v>
      </c>
      <c r="T432" s="220" t="s">
        <v>151</v>
      </c>
      <c r="U432" s="220"/>
      <c r="V432" s="220"/>
      <c r="W432" s="220"/>
      <c r="X432" s="220"/>
      <c r="Y432" s="283"/>
      <c r="Z432" s="220"/>
      <c r="AA432" s="220"/>
      <c r="AB432" s="220"/>
      <c r="AC432" s="220"/>
      <c r="AD432" s="220"/>
      <c r="AE432" s="283"/>
      <c r="AF432" s="220"/>
      <c r="AG432" s="220"/>
      <c r="AH432" s="220"/>
      <c r="AI432" s="220"/>
      <c r="AJ432" s="226">
        <v>1</v>
      </c>
      <c r="AK432" s="226">
        <v>0</v>
      </c>
      <c r="AL432" s="225">
        <v>4.0000000000000001E-3</v>
      </c>
      <c r="AM432" s="220"/>
      <c r="AN432" s="225">
        <v>33.78</v>
      </c>
      <c r="AO432" s="220"/>
      <c r="AP432" s="220"/>
      <c r="AQ432" s="283"/>
      <c r="AR432" s="283"/>
      <c r="AS432" s="283"/>
      <c r="AT432" s="223">
        <v>0</v>
      </c>
      <c r="AU432" s="284">
        <v>5.6</v>
      </c>
      <c r="AV432" s="221">
        <v>42886</v>
      </c>
      <c r="AW432" s="221">
        <v>42886.432321527798</v>
      </c>
      <c r="AX432" s="220" t="s">
        <v>293</v>
      </c>
      <c r="AY432" s="219" t="s">
        <v>1258</v>
      </c>
    </row>
    <row r="433" spans="1:51" hidden="1" outlineLevel="1" collapsed="1">
      <c r="A433" s="227" t="s">
        <v>289</v>
      </c>
      <c r="B433" s="220" t="s">
        <v>1257</v>
      </c>
      <c r="C433" s="220" t="s">
        <v>1257</v>
      </c>
      <c r="D433" s="220" t="s">
        <v>1256</v>
      </c>
      <c r="E433" s="220" t="s">
        <v>1255</v>
      </c>
      <c r="F433" s="220" t="s">
        <v>1254</v>
      </c>
      <c r="G433" s="220"/>
      <c r="H433" s="220" t="s">
        <v>1253</v>
      </c>
      <c r="I433" s="220" t="s">
        <v>1252</v>
      </c>
      <c r="J433" s="220" t="s">
        <v>297</v>
      </c>
      <c r="K433" s="220" t="s">
        <v>1251</v>
      </c>
      <c r="L433" s="220" t="s">
        <v>601</v>
      </c>
      <c r="M433" s="220" t="s">
        <v>600</v>
      </c>
      <c r="N433" s="220" t="s">
        <v>329</v>
      </c>
      <c r="O433" s="220" t="s">
        <v>297</v>
      </c>
      <c r="P433" s="220" t="s">
        <v>599</v>
      </c>
      <c r="Q433" s="220" t="s">
        <v>598</v>
      </c>
      <c r="R433" s="220"/>
      <c r="S433" s="220" t="s">
        <v>791</v>
      </c>
      <c r="T433" s="220" t="s">
        <v>151</v>
      </c>
      <c r="U433" s="220"/>
      <c r="V433" s="220"/>
      <c r="W433" s="220"/>
      <c r="X433" s="220"/>
      <c r="Y433" s="283"/>
      <c r="Z433" s="220"/>
      <c r="AA433" s="220"/>
      <c r="AB433" s="220"/>
      <c r="AC433" s="220"/>
      <c r="AD433" s="220"/>
      <c r="AE433" s="283"/>
      <c r="AF433" s="220"/>
      <c r="AG433" s="220"/>
      <c r="AH433" s="220"/>
      <c r="AI433" s="220"/>
      <c r="AJ433" s="226">
        <v>2</v>
      </c>
      <c r="AK433" s="226">
        <v>0</v>
      </c>
      <c r="AL433" s="225">
        <v>5.4000000000000003E-3</v>
      </c>
      <c r="AM433" s="220"/>
      <c r="AN433" s="225">
        <v>46.384</v>
      </c>
      <c r="AO433" s="220"/>
      <c r="AP433" s="220"/>
      <c r="AQ433" s="283"/>
      <c r="AR433" s="283"/>
      <c r="AS433" s="283"/>
      <c r="AT433" s="223">
        <v>0</v>
      </c>
      <c r="AU433" s="284">
        <v>8</v>
      </c>
      <c r="AV433" s="221">
        <v>42886</v>
      </c>
      <c r="AW433" s="221">
        <v>42886.6966791667</v>
      </c>
      <c r="AX433" s="220" t="s">
        <v>293</v>
      </c>
      <c r="AY433" s="219" t="s">
        <v>1250</v>
      </c>
    </row>
    <row r="434" spans="1:51" hidden="1" outlineLevel="1" collapsed="1">
      <c r="A434" s="227" t="s">
        <v>289</v>
      </c>
      <c r="B434" s="220" t="s">
        <v>1249</v>
      </c>
      <c r="C434" s="220" t="s">
        <v>1249</v>
      </c>
      <c r="D434" s="220" t="s">
        <v>1010</v>
      </c>
      <c r="E434" s="220" t="s">
        <v>1009</v>
      </c>
      <c r="F434" s="220" t="s">
        <v>1008</v>
      </c>
      <c r="G434" s="220"/>
      <c r="H434" s="220" t="s">
        <v>1007</v>
      </c>
      <c r="I434" s="220" t="s">
        <v>345</v>
      </c>
      <c r="J434" s="220" t="s">
        <v>297</v>
      </c>
      <c r="K434" s="220" t="s">
        <v>344</v>
      </c>
      <c r="L434" s="220" t="s">
        <v>601</v>
      </c>
      <c r="M434" s="220" t="s">
        <v>600</v>
      </c>
      <c r="N434" s="220" t="s">
        <v>329</v>
      </c>
      <c r="O434" s="220" t="s">
        <v>297</v>
      </c>
      <c r="P434" s="220" t="s">
        <v>599</v>
      </c>
      <c r="Q434" s="220" t="s">
        <v>598</v>
      </c>
      <c r="R434" s="220"/>
      <c r="S434" s="220" t="s">
        <v>791</v>
      </c>
      <c r="T434" s="220" t="s">
        <v>151</v>
      </c>
      <c r="U434" s="220"/>
      <c r="V434" s="220"/>
      <c r="W434" s="220"/>
      <c r="X434" s="220"/>
      <c r="Y434" s="283"/>
      <c r="Z434" s="220"/>
      <c r="AA434" s="220"/>
      <c r="AB434" s="220"/>
      <c r="AC434" s="220"/>
      <c r="AD434" s="220"/>
      <c r="AE434" s="283"/>
      <c r="AF434" s="220"/>
      <c r="AG434" s="220"/>
      <c r="AH434" s="220"/>
      <c r="AI434" s="220"/>
      <c r="AJ434" s="226">
        <v>1</v>
      </c>
      <c r="AK434" s="226">
        <v>0</v>
      </c>
      <c r="AL434" s="225">
        <v>3.8E-3</v>
      </c>
      <c r="AM434" s="220"/>
      <c r="AN434" s="225">
        <v>32.267000000000003</v>
      </c>
      <c r="AO434" s="220"/>
      <c r="AP434" s="220"/>
      <c r="AQ434" s="283"/>
      <c r="AR434" s="283"/>
      <c r="AS434" s="283"/>
      <c r="AT434" s="223">
        <v>0</v>
      </c>
      <c r="AU434" s="284">
        <v>4.5</v>
      </c>
      <c r="AV434" s="221">
        <v>42898</v>
      </c>
      <c r="AW434" s="221">
        <v>42898.653564039298</v>
      </c>
      <c r="AX434" s="220" t="s">
        <v>293</v>
      </c>
      <c r="AY434" s="219" t="s">
        <v>1248</v>
      </c>
    </row>
    <row r="435" spans="1:51" hidden="1" outlineLevel="1" collapsed="1">
      <c r="A435" s="227" t="s">
        <v>289</v>
      </c>
      <c r="B435" s="220" t="s">
        <v>1247</v>
      </c>
      <c r="C435" s="220" t="s">
        <v>1247</v>
      </c>
      <c r="D435" s="220" t="s">
        <v>1246</v>
      </c>
      <c r="E435" s="220" t="s">
        <v>1245</v>
      </c>
      <c r="F435" s="220" t="s">
        <v>1244</v>
      </c>
      <c r="G435" s="220"/>
      <c r="H435" s="220" t="s">
        <v>1243</v>
      </c>
      <c r="I435" s="220" t="s">
        <v>329</v>
      </c>
      <c r="J435" s="220" t="s">
        <v>297</v>
      </c>
      <c r="K435" s="220" t="s">
        <v>328</v>
      </c>
      <c r="L435" s="220" t="s">
        <v>601</v>
      </c>
      <c r="M435" s="220" t="s">
        <v>600</v>
      </c>
      <c r="N435" s="220" t="s">
        <v>329</v>
      </c>
      <c r="O435" s="220" t="s">
        <v>297</v>
      </c>
      <c r="P435" s="220" t="s">
        <v>599</v>
      </c>
      <c r="Q435" s="220" t="s">
        <v>598</v>
      </c>
      <c r="R435" s="220"/>
      <c r="S435" s="220" t="s">
        <v>791</v>
      </c>
      <c r="T435" s="220" t="s">
        <v>151</v>
      </c>
      <c r="U435" s="220"/>
      <c r="V435" s="220"/>
      <c r="W435" s="220"/>
      <c r="X435" s="220"/>
      <c r="Y435" s="283"/>
      <c r="Z435" s="220"/>
      <c r="AA435" s="220"/>
      <c r="AB435" s="220"/>
      <c r="AC435" s="220"/>
      <c r="AD435" s="220"/>
      <c r="AE435" s="283"/>
      <c r="AF435" s="220"/>
      <c r="AG435" s="220"/>
      <c r="AH435" s="220"/>
      <c r="AI435" s="220"/>
      <c r="AJ435" s="226">
        <v>2</v>
      </c>
      <c r="AK435" s="226">
        <v>0</v>
      </c>
      <c r="AL435" s="225">
        <v>8.0000000000000002E-3</v>
      </c>
      <c r="AM435" s="220"/>
      <c r="AN435" s="225">
        <v>67.56</v>
      </c>
      <c r="AO435" s="220"/>
      <c r="AP435" s="220"/>
      <c r="AQ435" s="283"/>
      <c r="AR435" s="283"/>
      <c r="AS435" s="283"/>
      <c r="AT435" s="223">
        <v>0</v>
      </c>
      <c r="AU435" s="284">
        <v>11.2</v>
      </c>
      <c r="AV435" s="221">
        <v>42898</v>
      </c>
      <c r="AW435" s="221">
        <v>42898.6552542477</v>
      </c>
      <c r="AX435" s="220" t="s">
        <v>293</v>
      </c>
      <c r="AY435" s="219" t="s">
        <v>1242</v>
      </c>
    </row>
    <row r="436" spans="1:51" hidden="1" outlineLevel="1" collapsed="1">
      <c r="A436" s="227" t="s">
        <v>289</v>
      </c>
      <c r="B436" s="220" t="s">
        <v>1241</v>
      </c>
      <c r="C436" s="220" t="s">
        <v>1241</v>
      </c>
      <c r="D436" s="220" t="s">
        <v>1240</v>
      </c>
      <c r="E436" s="220" t="s">
        <v>1239</v>
      </c>
      <c r="F436" s="220" t="s">
        <v>1238</v>
      </c>
      <c r="G436" s="220"/>
      <c r="H436" s="220" t="s">
        <v>1237</v>
      </c>
      <c r="I436" s="220" t="s">
        <v>329</v>
      </c>
      <c r="J436" s="220" t="s">
        <v>297</v>
      </c>
      <c r="K436" s="220" t="s">
        <v>397</v>
      </c>
      <c r="L436" s="220" t="s">
        <v>601</v>
      </c>
      <c r="M436" s="220" t="s">
        <v>600</v>
      </c>
      <c r="N436" s="220" t="s">
        <v>329</v>
      </c>
      <c r="O436" s="220" t="s">
        <v>297</v>
      </c>
      <c r="P436" s="220" t="s">
        <v>599</v>
      </c>
      <c r="Q436" s="220" t="s">
        <v>598</v>
      </c>
      <c r="R436" s="220"/>
      <c r="S436" s="220" t="s">
        <v>895</v>
      </c>
      <c r="T436" s="220" t="s">
        <v>150</v>
      </c>
      <c r="U436" s="220"/>
      <c r="V436" s="220"/>
      <c r="W436" s="220"/>
      <c r="X436" s="220"/>
      <c r="Y436" s="283"/>
      <c r="Z436" s="220"/>
      <c r="AA436" s="220"/>
      <c r="AB436" s="220"/>
      <c r="AC436" s="220"/>
      <c r="AD436" s="220"/>
      <c r="AE436" s="283"/>
      <c r="AF436" s="220"/>
      <c r="AG436" s="220"/>
      <c r="AH436" s="220" t="s">
        <v>1236</v>
      </c>
      <c r="AI436" s="220"/>
      <c r="AJ436" s="226">
        <v>56</v>
      </c>
      <c r="AK436" s="226">
        <v>0</v>
      </c>
      <c r="AL436" s="225">
        <v>0.26319999999999999</v>
      </c>
      <c r="AM436" s="220"/>
      <c r="AN436" s="225">
        <v>2230.48</v>
      </c>
      <c r="AO436" s="220"/>
      <c r="AP436" s="220"/>
      <c r="AQ436" s="283"/>
      <c r="AR436" s="283"/>
      <c r="AS436" s="283"/>
      <c r="AT436" s="223">
        <v>0</v>
      </c>
      <c r="AU436" s="284">
        <v>560</v>
      </c>
      <c r="AV436" s="221">
        <v>42898</v>
      </c>
      <c r="AW436" s="221">
        <v>42898.673445057902</v>
      </c>
      <c r="AX436" s="220" t="s">
        <v>293</v>
      </c>
      <c r="AY436" s="219" t="s">
        <v>1235</v>
      </c>
    </row>
    <row r="437" spans="1:51" hidden="1" outlineLevel="1" collapsed="1">
      <c r="A437" s="227" t="s">
        <v>289</v>
      </c>
      <c r="B437" s="220" t="s">
        <v>1233</v>
      </c>
      <c r="C437" s="220" t="s">
        <v>1233</v>
      </c>
      <c r="D437" s="220" t="s">
        <v>1232</v>
      </c>
      <c r="E437" s="220" t="s">
        <v>1231</v>
      </c>
      <c r="F437" s="220" t="s">
        <v>1230</v>
      </c>
      <c r="G437" s="220"/>
      <c r="H437" s="220" t="s">
        <v>1229</v>
      </c>
      <c r="I437" s="220" t="s">
        <v>329</v>
      </c>
      <c r="J437" s="220" t="s">
        <v>297</v>
      </c>
      <c r="K437" s="220" t="s">
        <v>328</v>
      </c>
      <c r="L437" s="220" t="s">
        <v>601</v>
      </c>
      <c r="M437" s="220" t="s">
        <v>600</v>
      </c>
      <c r="N437" s="220" t="s">
        <v>329</v>
      </c>
      <c r="O437" s="220" t="s">
        <v>297</v>
      </c>
      <c r="P437" s="220" t="s">
        <v>599</v>
      </c>
      <c r="Q437" s="220" t="s">
        <v>598</v>
      </c>
      <c r="R437" s="220"/>
      <c r="S437" s="220" t="s">
        <v>791</v>
      </c>
      <c r="T437" s="220" t="s">
        <v>151</v>
      </c>
      <c r="U437" s="220"/>
      <c r="V437" s="220"/>
      <c r="W437" s="220"/>
      <c r="X437" s="220"/>
      <c r="Y437" s="283"/>
      <c r="Z437" s="220"/>
      <c r="AA437" s="220"/>
      <c r="AB437" s="220"/>
      <c r="AC437" s="220"/>
      <c r="AD437" s="220"/>
      <c r="AE437" s="283"/>
      <c r="AF437" s="220"/>
      <c r="AG437" s="220"/>
      <c r="AH437" s="220"/>
      <c r="AI437" s="220"/>
      <c r="AJ437" s="226">
        <v>3</v>
      </c>
      <c r="AK437" s="226">
        <v>0</v>
      </c>
      <c r="AL437" s="225">
        <v>1.14E-2</v>
      </c>
      <c r="AM437" s="220"/>
      <c r="AN437" s="225">
        <v>96.801000000000002</v>
      </c>
      <c r="AO437" s="220"/>
      <c r="AP437" s="220"/>
      <c r="AQ437" s="283"/>
      <c r="AR437" s="283"/>
      <c r="AS437" s="283"/>
      <c r="AT437" s="223">
        <v>0</v>
      </c>
      <c r="AU437" s="284">
        <v>13.5</v>
      </c>
      <c r="AV437" s="221">
        <v>42909</v>
      </c>
      <c r="AW437" s="221">
        <v>42909.648393206</v>
      </c>
      <c r="AX437" s="220" t="s">
        <v>293</v>
      </c>
      <c r="AY437" s="219" t="s">
        <v>1234</v>
      </c>
    </row>
    <row r="438" spans="1:51" hidden="1" outlineLevel="1" collapsed="1">
      <c r="A438" s="227" t="s">
        <v>289</v>
      </c>
      <c r="B438" s="220" t="s">
        <v>1233</v>
      </c>
      <c r="C438" s="220" t="s">
        <v>1233</v>
      </c>
      <c r="D438" s="220" t="s">
        <v>1232</v>
      </c>
      <c r="E438" s="220" t="s">
        <v>1231</v>
      </c>
      <c r="F438" s="220" t="s">
        <v>1230</v>
      </c>
      <c r="G438" s="220"/>
      <c r="H438" s="220" t="s">
        <v>1229</v>
      </c>
      <c r="I438" s="220" t="s">
        <v>329</v>
      </c>
      <c r="J438" s="220" t="s">
        <v>297</v>
      </c>
      <c r="K438" s="220" t="s">
        <v>328</v>
      </c>
      <c r="L438" s="220" t="s">
        <v>601</v>
      </c>
      <c r="M438" s="220" t="s">
        <v>600</v>
      </c>
      <c r="N438" s="220" t="s">
        <v>329</v>
      </c>
      <c r="O438" s="220" t="s">
        <v>297</v>
      </c>
      <c r="P438" s="220" t="s">
        <v>599</v>
      </c>
      <c r="Q438" s="220" t="s">
        <v>598</v>
      </c>
      <c r="R438" s="220"/>
      <c r="S438" s="220" t="s">
        <v>791</v>
      </c>
      <c r="T438" s="220" t="s">
        <v>151</v>
      </c>
      <c r="U438" s="220"/>
      <c r="V438" s="220"/>
      <c r="W438" s="220"/>
      <c r="X438" s="220"/>
      <c r="Y438" s="283"/>
      <c r="Z438" s="220"/>
      <c r="AA438" s="220"/>
      <c r="AB438" s="220"/>
      <c r="AC438" s="220"/>
      <c r="AD438" s="220"/>
      <c r="AE438" s="283"/>
      <c r="AF438" s="220"/>
      <c r="AG438" s="220"/>
      <c r="AH438" s="220"/>
      <c r="AI438" s="220"/>
      <c r="AJ438" s="226">
        <v>7</v>
      </c>
      <c r="AK438" s="226">
        <v>0</v>
      </c>
      <c r="AL438" s="225">
        <v>1.89E-2</v>
      </c>
      <c r="AM438" s="220"/>
      <c r="AN438" s="225">
        <v>162.34399999999999</v>
      </c>
      <c r="AO438" s="220"/>
      <c r="AP438" s="220"/>
      <c r="AQ438" s="283"/>
      <c r="AR438" s="283"/>
      <c r="AS438" s="283"/>
      <c r="AT438" s="223">
        <v>0</v>
      </c>
      <c r="AU438" s="284">
        <v>28</v>
      </c>
      <c r="AV438" s="221">
        <v>42909</v>
      </c>
      <c r="AW438" s="221">
        <v>42909.648393206</v>
      </c>
      <c r="AX438" s="220" t="s">
        <v>293</v>
      </c>
      <c r="AY438" s="219" t="s">
        <v>1228</v>
      </c>
    </row>
    <row r="439" spans="1:51" ht="20.399999999999999" hidden="1" outlineLevel="1" collapsed="1">
      <c r="A439" s="227" t="s">
        <v>289</v>
      </c>
      <c r="B439" s="220" t="s">
        <v>1227</v>
      </c>
      <c r="C439" s="220" t="s">
        <v>1227</v>
      </c>
      <c r="D439" s="220" t="s">
        <v>1226</v>
      </c>
      <c r="E439" s="220" t="s">
        <v>1225</v>
      </c>
      <c r="F439" s="220" t="s">
        <v>1224</v>
      </c>
      <c r="G439" s="220"/>
      <c r="H439" s="220" t="s">
        <v>1223</v>
      </c>
      <c r="I439" s="220" t="s">
        <v>329</v>
      </c>
      <c r="J439" s="220" t="s">
        <v>297</v>
      </c>
      <c r="K439" s="220" t="s">
        <v>397</v>
      </c>
      <c r="L439" s="220" t="s">
        <v>601</v>
      </c>
      <c r="M439" s="220" t="s">
        <v>600</v>
      </c>
      <c r="N439" s="220" t="s">
        <v>329</v>
      </c>
      <c r="O439" s="220" t="s">
        <v>297</v>
      </c>
      <c r="P439" s="220" t="s">
        <v>599</v>
      </c>
      <c r="Q439" s="220" t="s">
        <v>598</v>
      </c>
      <c r="R439" s="220"/>
      <c r="S439" s="220" t="s">
        <v>791</v>
      </c>
      <c r="T439" s="220" t="s">
        <v>151</v>
      </c>
      <c r="U439" s="220"/>
      <c r="V439" s="220"/>
      <c r="W439" s="220"/>
      <c r="X439" s="220"/>
      <c r="Y439" s="283"/>
      <c r="Z439" s="220"/>
      <c r="AA439" s="220"/>
      <c r="AB439" s="220"/>
      <c r="AC439" s="220"/>
      <c r="AD439" s="220"/>
      <c r="AE439" s="283"/>
      <c r="AF439" s="220"/>
      <c r="AG439" s="220"/>
      <c r="AH439" s="220"/>
      <c r="AI439" s="220"/>
      <c r="AJ439" s="226">
        <v>4</v>
      </c>
      <c r="AK439" s="226">
        <v>0</v>
      </c>
      <c r="AL439" s="225">
        <v>1.52E-2</v>
      </c>
      <c r="AM439" s="220"/>
      <c r="AN439" s="225">
        <v>129.06800000000001</v>
      </c>
      <c r="AO439" s="220"/>
      <c r="AP439" s="220"/>
      <c r="AQ439" s="283"/>
      <c r="AR439" s="283"/>
      <c r="AS439" s="283"/>
      <c r="AT439" s="223">
        <v>0</v>
      </c>
      <c r="AU439" s="284">
        <v>18</v>
      </c>
      <c r="AV439" s="221">
        <v>42914</v>
      </c>
      <c r="AW439" s="221">
        <v>42921.6053982292</v>
      </c>
      <c r="AX439" s="220" t="s">
        <v>293</v>
      </c>
      <c r="AY439" s="219" t="s">
        <v>1222</v>
      </c>
    </row>
    <row r="440" spans="1:51" hidden="1" outlineLevel="1" collapsed="1">
      <c r="A440" s="227" t="s">
        <v>289</v>
      </c>
      <c r="B440" s="220" t="s">
        <v>1221</v>
      </c>
      <c r="C440" s="220" t="s">
        <v>1221</v>
      </c>
      <c r="D440" s="220" t="s">
        <v>1220</v>
      </c>
      <c r="E440" s="220" t="s">
        <v>1219</v>
      </c>
      <c r="F440" s="220" t="s">
        <v>1218</v>
      </c>
      <c r="G440" s="220"/>
      <c r="H440" s="220" t="s">
        <v>1217</v>
      </c>
      <c r="I440" s="220" t="s">
        <v>329</v>
      </c>
      <c r="J440" s="220" t="s">
        <v>297</v>
      </c>
      <c r="K440" s="220" t="s">
        <v>328</v>
      </c>
      <c r="L440" s="220" t="s">
        <v>601</v>
      </c>
      <c r="M440" s="220" t="s">
        <v>600</v>
      </c>
      <c r="N440" s="220" t="s">
        <v>329</v>
      </c>
      <c r="O440" s="220" t="s">
        <v>297</v>
      </c>
      <c r="P440" s="220" t="s">
        <v>599</v>
      </c>
      <c r="Q440" s="220" t="s">
        <v>598</v>
      </c>
      <c r="R440" s="220"/>
      <c r="S440" s="220" t="s">
        <v>791</v>
      </c>
      <c r="T440" s="220" t="s">
        <v>151</v>
      </c>
      <c r="U440" s="220"/>
      <c r="V440" s="220"/>
      <c r="W440" s="220"/>
      <c r="X440" s="220"/>
      <c r="Y440" s="283"/>
      <c r="Z440" s="220"/>
      <c r="AA440" s="220"/>
      <c r="AB440" s="220"/>
      <c r="AC440" s="220"/>
      <c r="AD440" s="220"/>
      <c r="AE440" s="283"/>
      <c r="AF440" s="220"/>
      <c r="AG440" s="220"/>
      <c r="AH440" s="220"/>
      <c r="AI440" s="220"/>
      <c r="AJ440" s="226">
        <v>5</v>
      </c>
      <c r="AK440" s="226">
        <v>0</v>
      </c>
      <c r="AL440" s="225">
        <v>1.9E-2</v>
      </c>
      <c r="AM440" s="220"/>
      <c r="AN440" s="225">
        <v>161.33500000000001</v>
      </c>
      <c r="AO440" s="220"/>
      <c r="AP440" s="220"/>
      <c r="AQ440" s="283"/>
      <c r="AR440" s="283"/>
      <c r="AS440" s="283"/>
      <c r="AT440" s="223">
        <v>0</v>
      </c>
      <c r="AU440" s="284">
        <v>22.5</v>
      </c>
      <c r="AV440" s="221">
        <v>42927</v>
      </c>
      <c r="AW440" s="221">
        <v>42927.601135879602</v>
      </c>
      <c r="AX440" s="220" t="s">
        <v>293</v>
      </c>
      <c r="AY440" s="219" t="s">
        <v>1216</v>
      </c>
    </row>
    <row r="441" spans="1:51" hidden="1" outlineLevel="1" collapsed="1">
      <c r="A441" s="227" t="s">
        <v>289</v>
      </c>
      <c r="B441" s="220" t="s">
        <v>1215</v>
      </c>
      <c r="C441" s="220" t="s">
        <v>1215</v>
      </c>
      <c r="D441" s="220" t="s">
        <v>1010</v>
      </c>
      <c r="E441" s="220" t="s">
        <v>1009</v>
      </c>
      <c r="F441" s="220" t="s">
        <v>1008</v>
      </c>
      <c r="G441" s="220"/>
      <c r="H441" s="220" t="s">
        <v>1007</v>
      </c>
      <c r="I441" s="220" t="s">
        <v>345</v>
      </c>
      <c r="J441" s="220" t="s">
        <v>297</v>
      </c>
      <c r="K441" s="220" t="s">
        <v>344</v>
      </c>
      <c r="L441" s="220" t="s">
        <v>601</v>
      </c>
      <c r="M441" s="220" t="s">
        <v>600</v>
      </c>
      <c r="N441" s="220" t="s">
        <v>329</v>
      </c>
      <c r="O441" s="220" t="s">
        <v>297</v>
      </c>
      <c r="P441" s="220" t="s">
        <v>599</v>
      </c>
      <c r="Q441" s="220" t="s">
        <v>598</v>
      </c>
      <c r="R441" s="220"/>
      <c r="S441" s="220" t="s">
        <v>791</v>
      </c>
      <c r="T441" s="220" t="s">
        <v>151</v>
      </c>
      <c r="U441" s="220"/>
      <c r="V441" s="220"/>
      <c r="W441" s="220"/>
      <c r="X441" s="220"/>
      <c r="Y441" s="283"/>
      <c r="Z441" s="220"/>
      <c r="AA441" s="220"/>
      <c r="AB441" s="220"/>
      <c r="AC441" s="220"/>
      <c r="AD441" s="220"/>
      <c r="AE441" s="283"/>
      <c r="AF441" s="220"/>
      <c r="AG441" s="220"/>
      <c r="AH441" s="220"/>
      <c r="AI441" s="220"/>
      <c r="AJ441" s="226">
        <v>1</v>
      </c>
      <c r="AK441" s="226">
        <v>0</v>
      </c>
      <c r="AL441" s="225">
        <v>3.8E-3</v>
      </c>
      <c r="AM441" s="220"/>
      <c r="AN441" s="225">
        <v>32.267000000000003</v>
      </c>
      <c r="AO441" s="220"/>
      <c r="AP441" s="220"/>
      <c r="AQ441" s="283"/>
      <c r="AR441" s="283"/>
      <c r="AS441" s="283"/>
      <c r="AT441" s="223">
        <v>0</v>
      </c>
      <c r="AU441" s="284">
        <v>4.5</v>
      </c>
      <c r="AV441" s="221">
        <v>42929</v>
      </c>
      <c r="AW441" s="221">
        <v>42929.759636724499</v>
      </c>
      <c r="AX441" s="220" t="s">
        <v>293</v>
      </c>
      <c r="AY441" s="219" t="s">
        <v>1214</v>
      </c>
    </row>
    <row r="442" spans="1:51" hidden="1" outlineLevel="1" collapsed="1">
      <c r="A442" s="227" t="s">
        <v>289</v>
      </c>
      <c r="B442" s="220" t="s">
        <v>1212</v>
      </c>
      <c r="C442" s="220" t="s">
        <v>1212</v>
      </c>
      <c r="D442" s="220" t="s">
        <v>1050</v>
      </c>
      <c r="E442" s="220" t="s">
        <v>1049</v>
      </c>
      <c r="F442" s="220" t="s">
        <v>1048</v>
      </c>
      <c r="G442" s="220"/>
      <c r="H442" s="220" t="s">
        <v>1047</v>
      </c>
      <c r="I442" s="220" t="s">
        <v>329</v>
      </c>
      <c r="J442" s="220" t="s">
        <v>297</v>
      </c>
      <c r="K442" s="220" t="s">
        <v>397</v>
      </c>
      <c r="L442" s="220" t="s">
        <v>601</v>
      </c>
      <c r="M442" s="220" t="s">
        <v>600</v>
      </c>
      <c r="N442" s="220" t="s">
        <v>329</v>
      </c>
      <c r="O442" s="220" t="s">
        <v>297</v>
      </c>
      <c r="P442" s="220" t="s">
        <v>599</v>
      </c>
      <c r="Q442" s="220" t="s">
        <v>598</v>
      </c>
      <c r="R442" s="220"/>
      <c r="S442" s="220" t="s">
        <v>791</v>
      </c>
      <c r="T442" s="220" t="s">
        <v>151</v>
      </c>
      <c r="U442" s="220"/>
      <c r="V442" s="220"/>
      <c r="W442" s="220"/>
      <c r="X442" s="220"/>
      <c r="Y442" s="283"/>
      <c r="Z442" s="220"/>
      <c r="AA442" s="220"/>
      <c r="AB442" s="220"/>
      <c r="AC442" s="220"/>
      <c r="AD442" s="220"/>
      <c r="AE442" s="283"/>
      <c r="AF442" s="220"/>
      <c r="AG442" s="220"/>
      <c r="AH442" s="220"/>
      <c r="AI442" s="220"/>
      <c r="AJ442" s="226">
        <v>3</v>
      </c>
      <c r="AK442" s="226">
        <v>0</v>
      </c>
      <c r="AL442" s="225">
        <v>1.14E-2</v>
      </c>
      <c r="AM442" s="220"/>
      <c r="AN442" s="225">
        <v>96.801000000000002</v>
      </c>
      <c r="AO442" s="220"/>
      <c r="AP442" s="220"/>
      <c r="AQ442" s="283"/>
      <c r="AR442" s="283"/>
      <c r="AS442" s="283"/>
      <c r="AT442" s="223">
        <v>0</v>
      </c>
      <c r="AU442" s="284">
        <v>13.5</v>
      </c>
      <c r="AV442" s="221">
        <v>42933</v>
      </c>
      <c r="AW442" s="221">
        <v>42933.560542164298</v>
      </c>
      <c r="AX442" s="220" t="s">
        <v>293</v>
      </c>
      <c r="AY442" s="219" t="s">
        <v>1213</v>
      </c>
    </row>
    <row r="443" spans="1:51" hidden="1" outlineLevel="1" collapsed="1">
      <c r="A443" s="227" t="s">
        <v>289</v>
      </c>
      <c r="B443" s="220" t="s">
        <v>1212</v>
      </c>
      <c r="C443" s="220" t="s">
        <v>1212</v>
      </c>
      <c r="D443" s="220" t="s">
        <v>1050</v>
      </c>
      <c r="E443" s="220" t="s">
        <v>1049</v>
      </c>
      <c r="F443" s="220" t="s">
        <v>1048</v>
      </c>
      <c r="G443" s="220"/>
      <c r="H443" s="220" t="s">
        <v>1047</v>
      </c>
      <c r="I443" s="220" t="s">
        <v>329</v>
      </c>
      <c r="J443" s="220" t="s">
        <v>297</v>
      </c>
      <c r="K443" s="220" t="s">
        <v>397</v>
      </c>
      <c r="L443" s="220" t="s">
        <v>601</v>
      </c>
      <c r="M443" s="220" t="s">
        <v>600</v>
      </c>
      <c r="N443" s="220" t="s">
        <v>329</v>
      </c>
      <c r="O443" s="220" t="s">
        <v>297</v>
      </c>
      <c r="P443" s="220" t="s">
        <v>599</v>
      </c>
      <c r="Q443" s="220" t="s">
        <v>598</v>
      </c>
      <c r="R443" s="220"/>
      <c r="S443" s="220" t="s">
        <v>791</v>
      </c>
      <c r="T443" s="220" t="s">
        <v>151</v>
      </c>
      <c r="U443" s="220"/>
      <c r="V443" s="220"/>
      <c r="W443" s="220"/>
      <c r="X443" s="220"/>
      <c r="Y443" s="283"/>
      <c r="Z443" s="220"/>
      <c r="AA443" s="220"/>
      <c r="AB443" s="220"/>
      <c r="AC443" s="220"/>
      <c r="AD443" s="220"/>
      <c r="AE443" s="283"/>
      <c r="AF443" s="220"/>
      <c r="AG443" s="220"/>
      <c r="AH443" s="220"/>
      <c r="AI443" s="220"/>
      <c r="AJ443" s="226">
        <v>1</v>
      </c>
      <c r="AK443" s="226">
        <v>0</v>
      </c>
      <c r="AL443" s="225">
        <v>4.0000000000000001E-3</v>
      </c>
      <c r="AM443" s="220"/>
      <c r="AN443" s="225">
        <v>33.78</v>
      </c>
      <c r="AO443" s="220"/>
      <c r="AP443" s="220"/>
      <c r="AQ443" s="283"/>
      <c r="AR443" s="283"/>
      <c r="AS443" s="283"/>
      <c r="AT443" s="223">
        <v>0</v>
      </c>
      <c r="AU443" s="284">
        <v>5.6</v>
      </c>
      <c r="AV443" s="221">
        <v>42933</v>
      </c>
      <c r="AW443" s="221">
        <v>42933.560542164298</v>
      </c>
      <c r="AX443" s="220" t="s">
        <v>293</v>
      </c>
      <c r="AY443" s="219" t="s">
        <v>1211</v>
      </c>
    </row>
    <row r="444" spans="1:51" hidden="1" outlineLevel="1" collapsed="1">
      <c r="A444" s="227" t="s">
        <v>289</v>
      </c>
      <c r="B444" s="220" t="s">
        <v>1209</v>
      </c>
      <c r="C444" s="220" t="s">
        <v>1209</v>
      </c>
      <c r="D444" s="220" t="s">
        <v>1078</v>
      </c>
      <c r="E444" s="220" t="s">
        <v>1077</v>
      </c>
      <c r="F444" s="220" t="s">
        <v>1076</v>
      </c>
      <c r="G444" s="220"/>
      <c r="H444" s="220" t="s">
        <v>1075</v>
      </c>
      <c r="I444" s="220" t="s">
        <v>329</v>
      </c>
      <c r="J444" s="220" t="s">
        <v>297</v>
      </c>
      <c r="K444" s="220" t="s">
        <v>328</v>
      </c>
      <c r="L444" s="220" t="s">
        <v>601</v>
      </c>
      <c r="M444" s="220" t="s">
        <v>600</v>
      </c>
      <c r="N444" s="220" t="s">
        <v>329</v>
      </c>
      <c r="O444" s="220" t="s">
        <v>297</v>
      </c>
      <c r="P444" s="220" t="s">
        <v>599</v>
      </c>
      <c r="Q444" s="220" t="s">
        <v>598</v>
      </c>
      <c r="R444" s="220"/>
      <c r="S444" s="220" t="s">
        <v>791</v>
      </c>
      <c r="T444" s="220" t="s">
        <v>151</v>
      </c>
      <c r="U444" s="220"/>
      <c r="V444" s="220"/>
      <c r="W444" s="220"/>
      <c r="X444" s="220"/>
      <c r="Y444" s="283"/>
      <c r="Z444" s="220"/>
      <c r="AA444" s="220"/>
      <c r="AB444" s="220"/>
      <c r="AC444" s="220"/>
      <c r="AD444" s="220"/>
      <c r="AE444" s="283"/>
      <c r="AF444" s="220"/>
      <c r="AG444" s="220"/>
      <c r="AH444" s="220"/>
      <c r="AI444" s="220"/>
      <c r="AJ444" s="226">
        <v>20</v>
      </c>
      <c r="AK444" s="226">
        <v>0</v>
      </c>
      <c r="AL444" s="225">
        <v>7.5999999999999998E-2</v>
      </c>
      <c r="AM444" s="220"/>
      <c r="AN444" s="225">
        <v>645.34</v>
      </c>
      <c r="AO444" s="220"/>
      <c r="AP444" s="220"/>
      <c r="AQ444" s="283"/>
      <c r="AR444" s="283"/>
      <c r="AS444" s="283"/>
      <c r="AT444" s="223">
        <v>0</v>
      </c>
      <c r="AU444" s="284">
        <v>90</v>
      </c>
      <c r="AV444" s="221">
        <v>42934</v>
      </c>
      <c r="AW444" s="221">
        <v>42934.512228969899</v>
      </c>
      <c r="AX444" s="220" t="s">
        <v>293</v>
      </c>
      <c r="AY444" s="219" t="s">
        <v>1208</v>
      </c>
    </row>
    <row r="445" spans="1:51" hidden="1" outlineLevel="1" collapsed="1">
      <c r="A445" s="227" t="s">
        <v>289</v>
      </c>
      <c r="B445" s="220" t="s">
        <v>1209</v>
      </c>
      <c r="C445" s="220" t="s">
        <v>1209</v>
      </c>
      <c r="D445" s="220" t="s">
        <v>1078</v>
      </c>
      <c r="E445" s="220" t="s">
        <v>1077</v>
      </c>
      <c r="F445" s="220" t="s">
        <v>1076</v>
      </c>
      <c r="G445" s="220"/>
      <c r="H445" s="220" t="s">
        <v>1075</v>
      </c>
      <c r="I445" s="220" t="s">
        <v>329</v>
      </c>
      <c r="J445" s="220" t="s">
        <v>297</v>
      </c>
      <c r="K445" s="220" t="s">
        <v>328</v>
      </c>
      <c r="L445" s="220" t="s">
        <v>601</v>
      </c>
      <c r="M445" s="220" t="s">
        <v>600</v>
      </c>
      <c r="N445" s="220" t="s">
        <v>329</v>
      </c>
      <c r="O445" s="220" t="s">
        <v>297</v>
      </c>
      <c r="P445" s="220" t="s">
        <v>599</v>
      </c>
      <c r="Q445" s="220" t="s">
        <v>598</v>
      </c>
      <c r="R445" s="220"/>
      <c r="S445" s="220" t="s">
        <v>791</v>
      </c>
      <c r="T445" s="220" t="s">
        <v>151</v>
      </c>
      <c r="U445" s="220"/>
      <c r="V445" s="220"/>
      <c r="W445" s="220"/>
      <c r="X445" s="220"/>
      <c r="Y445" s="283"/>
      <c r="Z445" s="220"/>
      <c r="AA445" s="220"/>
      <c r="AB445" s="220"/>
      <c r="AC445" s="220"/>
      <c r="AD445" s="220"/>
      <c r="AE445" s="283"/>
      <c r="AF445" s="220"/>
      <c r="AG445" s="220"/>
      <c r="AH445" s="220"/>
      <c r="AI445" s="220"/>
      <c r="AJ445" s="226">
        <v>9</v>
      </c>
      <c r="AK445" s="226">
        <v>0</v>
      </c>
      <c r="AL445" s="225">
        <v>2.4299999999999999E-2</v>
      </c>
      <c r="AM445" s="220"/>
      <c r="AN445" s="225">
        <v>208.72800000000001</v>
      </c>
      <c r="AO445" s="220"/>
      <c r="AP445" s="220"/>
      <c r="AQ445" s="283"/>
      <c r="AR445" s="283"/>
      <c r="AS445" s="283"/>
      <c r="AT445" s="223">
        <v>0</v>
      </c>
      <c r="AU445" s="284">
        <v>36</v>
      </c>
      <c r="AV445" s="221">
        <v>42934</v>
      </c>
      <c r="AW445" s="221">
        <v>42934.512228969899</v>
      </c>
      <c r="AX445" s="220" t="s">
        <v>293</v>
      </c>
      <c r="AY445" s="219" t="s">
        <v>1210</v>
      </c>
    </row>
    <row r="446" spans="1:51" hidden="1" outlineLevel="1" collapsed="1">
      <c r="A446" s="227" t="s">
        <v>289</v>
      </c>
      <c r="B446" s="220" t="s">
        <v>1207</v>
      </c>
      <c r="C446" s="220" t="s">
        <v>1207</v>
      </c>
      <c r="D446" s="220" t="s">
        <v>1206</v>
      </c>
      <c r="E446" s="220" t="s">
        <v>1205</v>
      </c>
      <c r="F446" s="220" t="s">
        <v>1204</v>
      </c>
      <c r="G446" s="220"/>
      <c r="H446" s="220" t="s">
        <v>1203</v>
      </c>
      <c r="I446" s="220" t="s">
        <v>329</v>
      </c>
      <c r="J446" s="220" t="s">
        <v>297</v>
      </c>
      <c r="K446" s="220" t="s">
        <v>328</v>
      </c>
      <c r="L446" s="220" t="s">
        <v>850</v>
      </c>
      <c r="M446" s="220" t="s">
        <v>849</v>
      </c>
      <c r="N446" s="220" t="s">
        <v>329</v>
      </c>
      <c r="O446" s="220" t="s">
        <v>297</v>
      </c>
      <c r="P446" s="220" t="s">
        <v>848</v>
      </c>
      <c r="Q446" s="220" t="s">
        <v>847</v>
      </c>
      <c r="R446" s="220"/>
      <c r="S446" s="220" t="s">
        <v>791</v>
      </c>
      <c r="T446" s="220" t="s">
        <v>151</v>
      </c>
      <c r="U446" s="220"/>
      <c r="V446" s="220"/>
      <c r="W446" s="220"/>
      <c r="X446" s="220"/>
      <c r="Y446" s="283"/>
      <c r="Z446" s="220"/>
      <c r="AA446" s="220"/>
      <c r="AB446" s="220"/>
      <c r="AC446" s="220"/>
      <c r="AD446" s="220"/>
      <c r="AE446" s="283"/>
      <c r="AF446" s="220"/>
      <c r="AG446" s="220"/>
      <c r="AH446" s="220" t="s">
        <v>985</v>
      </c>
      <c r="AI446" s="220"/>
      <c r="AJ446" s="226">
        <v>8</v>
      </c>
      <c r="AK446" s="226">
        <v>0</v>
      </c>
      <c r="AL446" s="225">
        <v>3.2000000000000001E-2</v>
      </c>
      <c r="AM446" s="220"/>
      <c r="AN446" s="225">
        <v>274.27199999999999</v>
      </c>
      <c r="AO446" s="220"/>
      <c r="AP446" s="220"/>
      <c r="AQ446" s="283"/>
      <c r="AR446" s="283"/>
      <c r="AS446" s="283"/>
      <c r="AT446" s="223">
        <v>0</v>
      </c>
      <c r="AU446" s="284">
        <v>14.96</v>
      </c>
      <c r="AV446" s="221">
        <v>42937</v>
      </c>
      <c r="AW446" s="221">
        <v>42937.778202083296</v>
      </c>
      <c r="AX446" s="220" t="s">
        <v>293</v>
      </c>
      <c r="AY446" s="219" t="s">
        <v>1202</v>
      </c>
    </row>
    <row r="447" spans="1:51" hidden="1" outlineLevel="1" collapsed="1">
      <c r="A447" s="227" t="s">
        <v>289</v>
      </c>
      <c r="B447" s="220" t="s">
        <v>1199</v>
      </c>
      <c r="C447" s="220" t="s">
        <v>1199</v>
      </c>
      <c r="D447" s="220" t="s">
        <v>1198</v>
      </c>
      <c r="E447" s="220" t="s">
        <v>1197</v>
      </c>
      <c r="F447" s="220" t="s">
        <v>1196</v>
      </c>
      <c r="G447" s="220"/>
      <c r="H447" s="220" t="s">
        <v>1195</v>
      </c>
      <c r="I447" s="220" t="s">
        <v>298</v>
      </c>
      <c r="J447" s="220" t="s">
        <v>297</v>
      </c>
      <c r="K447" s="220" t="s">
        <v>296</v>
      </c>
      <c r="L447" s="220" t="s">
        <v>959</v>
      </c>
      <c r="M447" s="220" t="s">
        <v>958</v>
      </c>
      <c r="N447" s="220" t="s">
        <v>329</v>
      </c>
      <c r="O447" s="220" t="s">
        <v>297</v>
      </c>
      <c r="P447" s="220" t="s">
        <v>397</v>
      </c>
      <c r="Q447" s="220" t="s">
        <v>957</v>
      </c>
      <c r="R447" s="220"/>
      <c r="S447" s="220" t="s">
        <v>791</v>
      </c>
      <c r="T447" s="220" t="s">
        <v>151</v>
      </c>
      <c r="U447" s="220"/>
      <c r="V447" s="220"/>
      <c r="W447" s="220"/>
      <c r="X447" s="220"/>
      <c r="Y447" s="283"/>
      <c r="Z447" s="220"/>
      <c r="AA447" s="220"/>
      <c r="AB447" s="220"/>
      <c r="AC447" s="220"/>
      <c r="AD447" s="220"/>
      <c r="AE447" s="283"/>
      <c r="AF447" s="220"/>
      <c r="AG447" s="220"/>
      <c r="AH447" s="220" t="s">
        <v>1194</v>
      </c>
      <c r="AI447" s="220"/>
      <c r="AJ447" s="226">
        <v>4</v>
      </c>
      <c r="AK447" s="226">
        <v>0</v>
      </c>
      <c r="AL447" s="225">
        <v>1.7600000000000001E-2</v>
      </c>
      <c r="AM447" s="220"/>
      <c r="AN447" s="225">
        <v>149.23599999999999</v>
      </c>
      <c r="AO447" s="220"/>
      <c r="AP447" s="220"/>
      <c r="AQ447" s="283"/>
      <c r="AR447" s="283"/>
      <c r="AS447" s="283"/>
      <c r="AT447" s="223">
        <v>0</v>
      </c>
      <c r="AU447" s="284">
        <v>20</v>
      </c>
      <c r="AV447" s="221">
        <v>42937</v>
      </c>
      <c r="AW447" s="221">
        <v>42937.805287384297</v>
      </c>
      <c r="AX447" s="220" t="s">
        <v>293</v>
      </c>
      <c r="AY447" s="219" t="s">
        <v>1193</v>
      </c>
    </row>
    <row r="448" spans="1:51" hidden="1" outlineLevel="1" collapsed="1">
      <c r="A448" s="227" t="s">
        <v>289</v>
      </c>
      <c r="B448" s="220" t="s">
        <v>1199</v>
      </c>
      <c r="C448" s="220" t="s">
        <v>1199</v>
      </c>
      <c r="D448" s="220" t="s">
        <v>1198</v>
      </c>
      <c r="E448" s="220" t="s">
        <v>1197</v>
      </c>
      <c r="F448" s="220" t="s">
        <v>1196</v>
      </c>
      <c r="G448" s="220"/>
      <c r="H448" s="220" t="s">
        <v>1195</v>
      </c>
      <c r="I448" s="220" t="s">
        <v>298</v>
      </c>
      <c r="J448" s="220" t="s">
        <v>297</v>
      </c>
      <c r="K448" s="220" t="s">
        <v>296</v>
      </c>
      <c r="L448" s="220" t="s">
        <v>959</v>
      </c>
      <c r="M448" s="220" t="s">
        <v>958</v>
      </c>
      <c r="N448" s="220" t="s">
        <v>329</v>
      </c>
      <c r="O448" s="220" t="s">
        <v>297</v>
      </c>
      <c r="P448" s="220" t="s">
        <v>397</v>
      </c>
      <c r="Q448" s="220" t="s">
        <v>957</v>
      </c>
      <c r="R448" s="220"/>
      <c r="S448" s="220" t="s">
        <v>791</v>
      </c>
      <c r="T448" s="220" t="s">
        <v>151</v>
      </c>
      <c r="U448" s="220"/>
      <c r="V448" s="220"/>
      <c r="W448" s="220"/>
      <c r="X448" s="220"/>
      <c r="Y448" s="283"/>
      <c r="Z448" s="220"/>
      <c r="AA448" s="220"/>
      <c r="AB448" s="220"/>
      <c r="AC448" s="220"/>
      <c r="AD448" s="220"/>
      <c r="AE448" s="283"/>
      <c r="AF448" s="220"/>
      <c r="AG448" s="220"/>
      <c r="AH448" s="220" t="s">
        <v>1201</v>
      </c>
      <c r="AI448" s="220"/>
      <c r="AJ448" s="226">
        <v>4</v>
      </c>
      <c r="AK448" s="226">
        <v>0</v>
      </c>
      <c r="AL448" s="225">
        <v>1.4800000000000001E-2</v>
      </c>
      <c r="AM448" s="220"/>
      <c r="AN448" s="225">
        <v>125.036</v>
      </c>
      <c r="AO448" s="220"/>
      <c r="AP448" s="220"/>
      <c r="AQ448" s="283"/>
      <c r="AR448" s="283"/>
      <c r="AS448" s="283"/>
      <c r="AT448" s="223">
        <v>0</v>
      </c>
      <c r="AU448" s="284">
        <v>17.96</v>
      </c>
      <c r="AV448" s="221">
        <v>42937</v>
      </c>
      <c r="AW448" s="221">
        <v>42937.805287384297</v>
      </c>
      <c r="AX448" s="220" t="s">
        <v>293</v>
      </c>
      <c r="AY448" s="219" t="s">
        <v>1200</v>
      </c>
    </row>
    <row r="449" spans="1:51" hidden="1" outlineLevel="1" collapsed="1">
      <c r="A449" s="227" t="s">
        <v>289</v>
      </c>
      <c r="B449" s="220" t="s">
        <v>1192</v>
      </c>
      <c r="C449" s="220" t="s">
        <v>1192</v>
      </c>
      <c r="D449" s="220" t="s">
        <v>1191</v>
      </c>
      <c r="E449" s="220" t="s">
        <v>1190</v>
      </c>
      <c r="F449" s="220" t="s">
        <v>1189</v>
      </c>
      <c r="G449" s="220"/>
      <c r="H449" s="220" t="s">
        <v>1188</v>
      </c>
      <c r="I449" s="220" t="s">
        <v>928</v>
      </c>
      <c r="J449" s="220" t="s">
        <v>297</v>
      </c>
      <c r="K449" s="220" t="s">
        <v>412</v>
      </c>
      <c r="L449" s="220" t="s">
        <v>959</v>
      </c>
      <c r="M449" s="220" t="s">
        <v>958</v>
      </c>
      <c r="N449" s="220" t="s">
        <v>329</v>
      </c>
      <c r="O449" s="220" t="s">
        <v>297</v>
      </c>
      <c r="P449" s="220" t="s">
        <v>397</v>
      </c>
      <c r="Q449" s="220" t="s">
        <v>957</v>
      </c>
      <c r="R449" s="220"/>
      <c r="S449" s="220" t="s">
        <v>791</v>
      </c>
      <c r="T449" s="220" t="s">
        <v>151</v>
      </c>
      <c r="U449" s="220"/>
      <c r="V449" s="220"/>
      <c r="W449" s="220"/>
      <c r="X449" s="220"/>
      <c r="Y449" s="283"/>
      <c r="Z449" s="220"/>
      <c r="AA449" s="220"/>
      <c r="AB449" s="220"/>
      <c r="AC449" s="220"/>
      <c r="AD449" s="220"/>
      <c r="AE449" s="283"/>
      <c r="AF449" s="220"/>
      <c r="AG449" s="220"/>
      <c r="AH449" s="220" t="s">
        <v>1187</v>
      </c>
      <c r="AI449" s="220"/>
      <c r="AJ449" s="226">
        <v>3</v>
      </c>
      <c r="AK449" s="226">
        <v>0</v>
      </c>
      <c r="AL449" s="225">
        <v>1.32E-2</v>
      </c>
      <c r="AM449" s="220"/>
      <c r="AN449" s="225">
        <v>111.92700000000001</v>
      </c>
      <c r="AO449" s="220"/>
      <c r="AP449" s="220"/>
      <c r="AQ449" s="283"/>
      <c r="AR449" s="283"/>
      <c r="AS449" s="283"/>
      <c r="AT449" s="223">
        <v>0</v>
      </c>
      <c r="AU449" s="284">
        <v>15</v>
      </c>
      <c r="AV449" s="221">
        <v>42937</v>
      </c>
      <c r="AW449" s="221">
        <v>42937.811945798603</v>
      </c>
      <c r="AX449" s="220" t="s">
        <v>293</v>
      </c>
      <c r="AY449" s="219" t="s">
        <v>1186</v>
      </c>
    </row>
    <row r="450" spans="1:51" ht="20.399999999999999" hidden="1" outlineLevel="1" collapsed="1">
      <c r="A450" s="227" t="s">
        <v>289</v>
      </c>
      <c r="B450" s="220" t="s">
        <v>1183</v>
      </c>
      <c r="C450" s="220" t="s">
        <v>1183</v>
      </c>
      <c r="D450" s="220" t="s">
        <v>1182</v>
      </c>
      <c r="E450" s="220" t="s">
        <v>1181</v>
      </c>
      <c r="F450" s="220" t="s">
        <v>1180</v>
      </c>
      <c r="G450" s="220"/>
      <c r="H450" s="220" t="s">
        <v>1179</v>
      </c>
      <c r="I450" s="220" t="s">
        <v>329</v>
      </c>
      <c r="J450" s="220" t="s">
        <v>297</v>
      </c>
      <c r="K450" s="220" t="s">
        <v>328</v>
      </c>
      <c r="L450" s="220" t="s">
        <v>1178</v>
      </c>
      <c r="M450" s="220" t="s">
        <v>1177</v>
      </c>
      <c r="N450" s="220" t="s">
        <v>1176</v>
      </c>
      <c r="O450" s="220" t="s">
        <v>1175</v>
      </c>
      <c r="P450" s="220" t="s">
        <v>1174</v>
      </c>
      <c r="Q450" s="220" t="s">
        <v>1173</v>
      </c>
      <c r="R450" s="220"/>
      <c r="S450" s="220" t="s">
        <v>895</v>
      </c>
      <c r="T450" s="220" t="s">
        <v>150</v>
      </c>
      <c r="U450" s="220"/>
      <c r="V450" s="220"/>
      <c r="W450" s="220"/>
      <c r="X450" s="220"/>
      <c r="Y450" s="283"/>
      <c r="Z450" s="220"/>
      <c r="AA450" s="220"/>
      <c r="AB450" s="220"/>
      <c r="AC450" s="220"/>
      <c r="AD450" s="220"/>
      <c r="AE450" s="283"/>
      <c r="AF450" s="220"/>
      <c r="AG450" s="220"/>
      <c r="AH450" s="220" t="s">
        <v>1185</v>
      </c>
      <c r="AI450" s="220"/>
      <c r="AJ450" s="226">
        <v>1</v>
      </c>
      <c r="AK450" s="226">
        <v>0</v>
      </c>
      <c r="AL450" s="225">
        <v>4.0000000000000001E-3</v>
      </c>
      <c r="AM450" s="220"/>
      <c r="AN450" s="225">
        <v>34.283999999999999</v>
      </c>
      <c r="AO450" s="220"/>
      <c r="AP450" s="220"/>
      <c r="AQ450" s="283"/>
      <c r="AR450" s="283"/>
      <c r="AS450" s="283"/>
      <c r="AT450" s="223">
        <v>0</v>
      </c>
      <c r="AU450" s="284">
        <v>7.99</v>
      </c>
      <c r="AV450" s="221">
        <v>42937</v>
      </c>
      <c r="AW450" s="221">
        <v>42937.816817476902</v>
      </c>
      <c r="AX450" s="220" t="s">
        <v>293</v>
      </c>
      <c r="AY450" s="219" t="s">
        <v>1184</v>
      </c>
    </row>
    <row r="451" spans="1:51" ht="20.399999999999999" hidden="1" outlineLevel="1" collapsed="1">
      <c r="A451" s="227" t="s">
        <v>289</v>
      </c>
      <c r="B451" s="220" t="s">
        <v>1183</v>
      </c>
      <c r="C451" s="220" t="s">
        <v>1183</v>
      </c>
      <c r="D451" s="220" t="s">
        <v>1182</v>
      </c>
      <c r="E451" s="220" t="s">
        <v>1181</v>
      </c>
      <c r="F451" s="220" t="s">
        <v>1180</v>
      </c>
      <c r="G451" s="220"/>
      <c r="H451" s="220" t="s">
        <v>1179</v>
      </c>
      <c r="I451" s="220" t="s">
        <v>329</v>
      </c>
      <c r="J451" s="220" t="s">
        <v>297</v>
      </c>
      <c r="K451" s="220" t="s">
        <v>328</v>
      </c>
      <c r="L451" s="220" t="s">
        <v>1178</v>
      </c>
      <c r="M451" s="220" t="s">
        <v>1177</v>
      </c>
      <c r="N451" s="220" t="s">
        <v>1176</v>
      </c>
      <c r="O451" s="220" t="s">
        <v>1175</v>
      </c>
      <c r="P451" s="220" t="s">
        <v>1174</v>
      </c>
      <c r="Q451" s="220" t="s">
        <v>1173</v>
      </c>
      <c r="R451" s="220"/>
      <c r="S451" s="220" t="s">
        <v>895</v>
      </c>
      <c r="T451" s="220" t="s">
        <v>150</v>
      </c>
      <c r="U451" s="220"/>
      <c r="V451" s="220"/>
      <c r="W451" s="220"/>
      <c r="X451" s="220"/>
      <c r="Y451" s="283"/>
      <c r="Z451" s="220"/>
      <c r="AA451" s="220"/>
      <c r="AB451" s="220"/>
      <c r="AC451" s="220"/>
      <c r="AD451" s="220"/>
      <c r="AE451" s="283"/>
      <c r="AF451" s="220"/>
      <c r="AG451" s="220"/>
      <c r="AH451" s="220" t="s">
        <v>1172</v>
      </c>
      <c r="AI451" s="220"/>
      <c r="AJ451" s="226">
        <v>20</v>
      </c>
      <c r="AK451" s="226">
        <v>0</v>
      </c>
      <c r="AL451" s="225">
        <v>7.8E-2</v>
      </c>
      <c r="AM451" s="220"/>
      <c r="AN451" s="225">
        <v>655.42</v>
      </c>
      <c r="AO451" s="220"/>
      <c r="AP451" s="220"/>
      <c r="AQ451" s="283"/>
      <c r="AR451" s="283"/>
      <c r="AS451" s="283"/>
      <c r="AT451" s="223">
        <v>0</v>
      </c>
      <c r="AU451" s="284">
        <v>70</v>
      </c>
      <c r="AV451" s="221">
        <v>42937</v>
      </c>
      <c r="AW451" s="221">
        <v>42937.816817476902</v>
      </c>
      <c r="AX451" s="220" t="s">
        <v>293</v>
      </c>
      <c r="AY451" s="219" t="s">
        <v>1171</v>
      </c>
    </row>
    <row r="452" spans="1:51" hidden="1" outlineLevel="1" collapsed="1">
      <c r="A452" s="227" t="s">
        <v>289</v>
      </c>
      <c r="B452" s="220" t="s">
        <v>1166</v>
      </c>
      <c r="C452" s="220" t="s">
        <v>1166</v>
      </c>
      <c r="D452" s="220" t="s">
        <v>1165</v>
      </c>
      <c r="E452" s="220" t="s">
        <v>1164</v>
      </c>
      <c r="F452" s="220" t="s">
        <v>407</v>
      </c>
      <c r="G452" s="220"/>
      <c r="H452" s="220" t="s">
        <v>1163</v>
      </c>
      <c r="I452" s="220" t="s">
        <v>413</v>
      </c>
      <c r="J452" s="220" t="s">
        <v>297</v>
      </c>
      <c r="K452" s="220" t="s">
        <v>412</v>
      </c>
      <c r="L452" s="220" t="s">
        <v>850</v>
      </c>
      <c r="M452" s="220" t="s">
        <v>849</v>
      </c>
      <c r="N452" s="220" t="s">
        <v>329</v>
      </c>
      <c r="O452" s="220" t="s">
        <v>297</v>
      </c>
      <c r="P452" s="220" t="s">
        <v>848</v>
      </c>
      <c r="Q452" s="220" t="s">
        <v>847</v>
      </c>
      <c r="R452" s="220"/>
      <c r="S452" s="220" t="s">
        <v>791</v>
      </c>
      <c r="T452" s="220" t="s">
        <v>151</v>
      </c>
      <c r="U452" s="220"/>
      <c r="V452" s="220"/>
      <c r="W452" s="220"/>
      <c r="X452" s="220"/>
      <c r="Y452" s="283"/>
      <c r="Z452" s="220"/>
      <c r="AA452" s="220"/>
      <c r="AB452" s="220"/>
      <c r="AC452" s="220"/>
      <c r="AD452" s="220"/>
      <c r="AE452" s="283"/>
      <c r="AF452" s="220"/>
      <c r="AG452" s="220"/>
      <c r="AH452" s="220" t="s">
        <v>1168</v>
      </c>
      <c r="AI452" s="220"/>
      <c r="AJ452" s="226">
        <v>8</v>
      </c>
      <c r="AK452" s="226">
        <v>0</v>
      </c>
      <c r="AL452" s="225">
        <v>3.5200000000000002E-2</v>
      </c>
      <c r="AM452" s="220"/>
      <c r="AN452" s="225">
        <v>298.47199999999998</v>
      </c>
      <c r="AO452" s="220"/>
      <c r="AP452" s="220"/>
      <c r="AQ452" s="283"/>
      <c r="AR452" s="283"/>
      <c r="AS452" s="283"/>
      <c r="AT452" s="223">
        <v>0</v>
      </c>
      <c r="AU452" s="284">
        <v>38</v>
      </c>
      <c r="AV452" s="221">
        <v>42940</v>
      </c>
      <c r="AW452" s="221">
        <v>42940.726356250001</v>
      </c>
      <c r="AX452" s="220" t="s">
        <v>293</v>
      </c>
      <c r="AY452" s="219" t="s">
        <v>1167</v>
      </c>
    </row>
    <row r="453" spans="1:51" ht="20.399999999999999" hidden="1" outlineLevel="1" collapsed="1">
      <c r="A453" s="227" t="s">
        <v>289</v>
      </c>
      <c r="B453" s="220" t="s">
        <v>1166</v>
      </c>
      <c r="C453" s="220" t="s">
        <v>1166</v>
      </c>
      <c r="D453" s="220" t="s">
        <v>1165</v>
      </c>
      <c r="E453" s="220" t="s">
        <v>1164</v>
      </c>
      <c r="F453" s="220" t="s">
        <v>407</v>
      </c>
      <c r="G453" s="220"/>
      <c r="H453" s="220" t="s">
        <v>1163</v>
      </c>
      <c r="I453" s="220" t="s">
        <v>413</v>
      </c>
      <c r="J453" s="220" t="s">
        <v>297</v>
      </c>
      <c r="K453" s="220" t="s">
        <v>412</v>
      </c>
      <c r="L453" s="220" t="s">
        <v>850</v>
      </c>
      <c r="M453" s="220" t="s">
        <v>849</v>
      </c>
      <c r="N453" s="220" t="s">
        <v>329</v>
      </c>
      <c r="O453" s="220" t="s">
        <v>297</v>
      </c>
      <c r="P453" s="220" t="s">
        <v>848</v>
      </c>
      <c r="Q453" s="220" t="s">
        <v>847</v>
      </c>
      <c r="R453" s="220"/>
      <c r="S453" s="220" t="s">
        <v>791</v>
      </c>
      <c r="T453" s="220" t="s">
        <v>151</v>
      </c>
      <c r="U453" s="220"/>
      <c r="V453" s="220"/>
      <c r="W453" s="220"/>
      <c r="X453" s="220"/>
      <c r="Y453" s="283"/>
      <c r="Z453" s="220"/>
      <c r="AA453" s="220"/>
      <c r="AB453" s="220"/>
      <c r="AC453" s="220"/>
      <c r="AD453" s="220"/>
      <c r="AE453" s="283"/>
      <c r="AF453" s="220"/>
      <c r="AG453" s="220"/>
      <c r="AH453" s="220" t="s">
        <v>1170</v>
      </c>
      <c r="AI453" s="220"/>
      <c r="AJ453" s="226">
        <v>4</v>
      </c>
      <c r="AK453" s="226">
        <v>0</v>
      </c>
      <c r="AL453" s="225">
        <v>1.04E-2</v>
      </c>
      <c r="AM453" s="220"/>
      <c r="AN453" s="225">
        <v>88.736000000000004</v>
      </c>
      <c r="AO453" s="220"/>
      <c r="AP453" s="220"/>
      <c r="AQ453" s="283"/>
      <c r="AR453" s="283"/>
      <c r="AS453" s="283"/>
      <c r="AT453" s="223">
        <v>0</v>
      </c>
      <c r="AU453" s="284">
        <v>13.96</v>
      </c>
      <c r="AV453" s="221">
        <v>42940</v>
      </c>
      <c r="AW453" s="221">
        <v>42940.726356250001</v>
      </c>
      <c r="AX453" s="220" t="s">
        <v>293</v>
      </c>
      <c r="AY453" s="219" t="s">
        <v>1169</v>
      </c>
    </row>
    <row r="454" spans="1:51" hidden="1" outlineLevel="1" collapsed="1">
      <c r="A454" s="227" t="s">
        <v>289</v>
      </c>
      <c r="B454" s="220" t="s">
        <v>1166</v>
      </c>
      <c r="C454" s="220" t="s">
        <v>1166</v>
      </c>
      <c r="D454" s="220" t="s">
        <v>1165</v>
      </c>
      <c r="E454" s="220" t="s">
        <v>1164</v>
      </c>
      <c r="F454" s="220" t="s">
        <v>407</v>
      </c>
      <c r="G454" s="220"/>
      <c r="H454" s="220" t="s">
        <v>1163</v>
      </c>
      <c r="I454" s="220" t="s">
        <v>413</v>
      </c>
      <c r="J454" s="220" t="s">
        <v>297</v>
      </c>
      <c r="K454" s="220" t="s">
        <v>412</v>
      </c>
      <c r="L454" s="220" t="s">
        <v>850</v>
      </c>
      <c r="M454" s="220" t="s">
        <v>849</v>
      </c>
      <c r="N454" s="220" t="s">
        <v>329</v>
      </c>
      <c r="O454" s="220" t="s">
        <v>297</v>
      </c>
      <c r="P454" s="220" t="s">
        <v>848</v>
      </c>
      <c r="Q454" s="220" t="s">
        <v>847</v>
      </c>
      <c r="R454" s="220"/>
      <c r="S454" s="220" t="s">
        <v>791</v>
      </c>
      <c r="T454" s="220" t="s">
        <v>151</v>
      </c>
      <c r="U454" s="220"/>
      <c r="V454" s="220"/>
      <c r="W454" s="220"/>
      <c r="X454" s="220"/>
      <c r="Y454" s="283"/>
      <c r="Z454" s="220"/>
      <c r="AA454" s="220"/>
      <c r="AB454" s="220"/>
      <c r="AC454" s="220"/>
      <c r="AD454" s="220"/>
      <c r="AE454" s="283"/>
      <c r="AF454" s="220"/>
      <c r="AG454" s="220"/>
      <c r="AH454" s="220" t="s">
        <v>985</v>
      </c>
      <c r="AI454" s="220"/>
      <c r="AJ454" s="226">
        <v>16</v>
      </c>
      <c r="AK454" s="226">
        <v>0</v>
      </c>
      <c r="AL454" s="225">
        <v>6.4000000000000001E-2</v>
      </c>
      <c r="AM454" s="220"/>
      <c r="AN454" s="225">
        <v>548.54399999999998</v>
      </c>
      <c r="AO454" s="220"/>
      <c r="AP454" s="220"/>
      <c r="AQ454" s="283"/>
      <c r="AR454" s="283"/>
      <c r="AS454" s="283"/>
      <c r="AT454" s="223">
        <v>0</v>
      </c>
      <c r="AU454" s="284">
        <v>29.92</v>
      </c>
      <c r="AV454" s="221">
        <v>42940</v>
      </c>
      <c r="AW454" s="221">
        <v>42940.726356250001</v>
      </c>
      <c r="AX454" s="220" t="s">
        <v>293</v>
      </c>
      <c r="AY454" s="219" t="s">
        <v>1162</v>
      </c>
    </row>
    <row r="455" spans="1:51" hidden="1" outlineLevel="1" collapsed="1">
      <c r="A455" s="227" t="s">
        <v>289</v>
      </c>
      <c r="B455" s="220" t="s">
        <v>1161</v>
      </c>
      <c r="C455" s="220" t="s">
        <v>1161</v>
      </c>
      <c r="D455" s="220" t="s">
        <v>1160</v>
      </c>
      <c r="E455" s="220" t="s">
        <v>1159</v>
      </c>
      <c r="F455" s="220" t="s">
        <v>1158</v>
      </c>
      <c r="G455" s="220"/>
      <c r="H455" s="220" t="s">
        <v>1157</v>
      </c>
      <c r="I455" s="220" t="s">
        <v>568</v>
      </c>
      <c r="J455" s="220" t="s">
        <v>297</v>
      </c>
      <c r="K455" s="220" t="s">
        <v>567</v>
      </c>
      <c r="L455" s="220" t="s">
        <v>601</v>
      </c>
      <c r="M455" s="220" t="s">
        <v>600</v>
      </c>
      <c r="N455" s="220" t="s">
        <v>329</v>
      </c>
      <c r="O455" s="220" t="s">
        <v>297</v>
      </c>
      <c r="P455" s="220" t="s">
        <v>599</v>
      </c>
      <c r="Q455" s="220" t="s">
        <v>598</v>
      </c>
      <c r="R455" s="220"/>
      <c r="S455" s="220" t="s">
        <v>791</v>
      </c>
      <c r="T455" s="220" t="s">
        <v>151</v>
      </c>
      <c r="U455" s="220"/>
      <c r="V455" s="220"/>
      <c r="W455" s="220"/>
      <c r="X455" s="220"/>
      <c r="Y455" s="283"/>
      <c r="Z455" s="220"/>
      <c r="AA455" s="220"/>
      <c r="AB455" s="220"/>
      <c r="AC455" s="220"/>
      <c r="AD455" s="220"/>
      <c r="AE455" s="283"/>
      <c r="AF455" s="220"/>
      <c r="AG455" s="220"/>
      <c r="AH455" s="220"/>
      <c r="AI455" s="220"/>
      <c r="AJ455" s="226">
        <v>1</v>
      </c>
      <c r="AK455" s="226">
        <v>0</v>
      </c>
      <c r="AL455" s="225">
        <v>3.8E-3</v>
      </c>
      <c r="AM455" s="220"/>
      <c r="AN455" s="225">
        <v>32.267000000000003</v>
      </c>
      <c r="AO455" s="220"/>
      <c r="AP455" s="220"/>
      <c r="AQ455" s="283"/>
      <c r="AR455" s="283"/>
      <c r="AS455" s="283"/>
      <c r="AT455" s="223">
        <v>0</v>
      </c>
      <c r="AU455" s="284">
        <v>4.5</v>
      </c>
      <c r="AV455" s="221">
        <v>42941</v>
      </c>
      <c r="AW455" s="221">
        <v>42941.428206169003</v>
      </c>
      <c r="AX455" s="220" t="s">
        <v>293</v>
      </c>
      <c r="AY455" s="219" t="s">
        <v>1156</v>
      </c>
    </row>
    <row r="456" spans="1:51" ht="20.399999999999999" hidden="1" outlineLevel="1" collapsed="1">
      <c r="A456" s="227" t="s">
        <v>289</v>
      </c>
      <c r="B456" s="220" t="s">
        <v>1155</v>
      </c>
      <c r="C456" s="220" t="s">
        <v>1155</v>
      </c>
      <c r="D456" s="220" t="s">
        <v>1134</v>
      </c>
      <c r="E456" s="220" t="s">
        <v>1133</v>
      </c>
      <c r="F456" s="220" t="s">
        <v>1132</v>
      </c>
      <c r="G456" s="220"/>
      <c r="H456" s="220" t="s">
        <v>1131</v>
      </c>
      <c r="I456" s="220" t="s">
        <v>329</v>
      </c>
      <c r="J456" s="220" t="s">
        <v>297</v>
      </c>
      <c r="K456" s="220" t="s">
        <v>328</v>
      </c>
      <c r="L456" s="220" t="s">
        <v>601</v>
      </c>
      <c r="M456" s="220" t="s">
        <v>600</v>
      </c>
      <c r="N456" s="220" t="s">
        <v>329</v>
      </c>
      <c r="O456" s="220" t="s">
        <v>297</v>
      </c>
      <c r="P456" s="220" t="s">
        <v>599</v>
      </c>
      <c r="Q456" s="220" t="s">
        <v>598</v>
      </c>
      <c r="R456" s="220"/>
      <c r="S456" s="220" t="s">
        <v>791</v>
      </c>
      <c r="T456" s="220" t="s">
        <v>151</v>
      </c>
      <c r="U456" s="220"/>
      <c r="V456" s="220"/>
      <c r="W456" s="220"/>
      <c r="X456" s="220"/>
      <c r="Y456" s="283"/>
      <c r="Z456" s="220"/>
      <c r="AA456" s="220"/>
      <c r="AB456" s="220"/>
      <c r="AC456" s="220"/>
      <c r="AD456" s="220"/>
      <c r="AE456" s="283"/>
      <c r="AF456" s="220"/>
      <c r="AG456" s="220"/>
      <c r="AH456" s="220"/>
      <c r="AI456" s="220"/>
      <c r="AJ456" s="226">
        <v>6</v>
      </c>
      <c r="AK456" s="226">
        <v>0</v>
      </c>
      <c r="AL456" s="225">
        <v>2.2800000000000001E-2</v>
      </c>
      <c r="AM456" s="220"/>
      <c r="AN456" s="225">
        <v>193.602</v>
      </c>
      <c r="AO456" s="220"/>
      <c r="AP456" s="220"/>
      <c r="AQ456" s="283"/>
      <c r="AR456" s="283"/>
      <c r="AS456" s="283"/>
      <c r="AT456" s="223">
        <v>0</v>
      </c>
      <c r="AU456" s="284">
        <v>27</v>
      </c>
      <c r="AV456" s="221">
        <v>42941</v>
      </c>
      <c r="AW456" s="221">
        <v>42941.443959837998</v>
      </c>
      <c r="AX456" s="220" t="s">
        <v>293</v>
      </c>
      <c r="AY456" s="219" t="s">
        <v>1154</v>
      </c>
    </row>
    <row r="457" spans="1:51" hidden="1" outlineLevel="1" collapsed="1">
      <c r="A457" s="227" t="s">
        <v>289</v>
      </c>
      <c r="B457" s="220" t="s">
        <v>1153</v>
      </c>
      <c r="C457" s="220" t="s">
        <v>1153</v>
      </c>
      <c r="D457" s="220" t="s">
        <v>1050</v>
      </c>
      <c r="E457" s="220" t="s">
        <v>1049</v>
      </c>
      <c r="F457" s="220" t="s">
        <v>1048</v>
      </c>
      <c r="G457" s="220"/>
      <c r="H457" s="220" t="s">
        <v>1047</v>
      </c>
      <c r="I457" s="220" t="s">
        <v>329</v>
      </c>
      <c r="J457" s="220" t="s">
        <v>297</v>
      </c>
      <c r="K457" s="220" t="s">
        <v>397</v>
      </c>
      <c r="L457" s="220" t="s">
        <v>601</v>
      </c>
      <c r="M457" s="220" t="s">
        <v>600</v>
      </c>
      <c r="N457" s="220" t="s">
        <v>329</v>
      </c>
      <c r="O457" s="220" t="s">
        <v>297</v>
      </c>
      <c r="P457" s="220" t="s">
        <v>599</v>
      </c>
      <c r="Q457" s="220" t="s">
        <v>598</v>
      </c>
      <c r="R457" s="220"/>
      <c r="S457" s="220" t="s">
        <v>791</v>
      </c>
      <c r="T457" s="220" t="s">
        <v>151</v>
      </c>
      <c r="U457" s="220"/>
      <c r="V457" s="220"/>
      <c r="W457" s="220"/>
      <c r="X457" s="220"/>
      <c r="Y457" s="283"/>
      <c r="Z457" s="220"/>
      <c r="AA457" s="220"/>
      <c r="AB457" s="220"/>
      <c r="AC457" s="220"/>
      <c r="AD457" s="220"/>
      <c r="AE457" s="283"/>
      <c r="AF457" s="220"/>
      <c r="AG457" s="220"/>
      <c r="AH457" s="220"/>
      <c r="AI457" s="220"/>
      <c r="AJ457" s="226">
        <v>5</v>
      </c>
      <c r="AK457" s="226">
        <v>0</v>
      </c>
      <c r="AL457" s="225">
        <v>1.9E-2</v>
      </c>
      <c r="AM457" s="220"/>
      <c r="AN457" s="225">
        <v>161.33500000000001</v>
      </c>
      <c r="AO457" s="220"/>
      <c r="AP457" s="220"/>
      <c r="AQ457" s="283"/>
      <c r="AR457" s="283"/>
      <c r="AS457" s="283"/>
      <c r="AT457" s="223">
        <v>0</v>
      </c>
      <c r="AU457" s="284">
        <v>22.5</v>
      </c>
      <c r="AV457" s="221">
        <v>42941</v>
      </c>
      <c r="AW457" s="221">
        <v>42941.515431979198</v>
      </c>
      <c r="AX457" s="220" t="s">
        <v>293</v>
      </c>
      <c r="AY457" s="219" t="s">
        <v>1152</v>
      </c>
    </row>
    <row r="458" spans="1:51" hidden="1" outlineLevel="1" collapsed="1">
      <c r="A458" s="227" t="s">
        <v>289</v>
      </c>
      <c r="B458" s="220" t="s">
        <v>1142</v>
      </c>
      <c r="C458" s="220" t="s">
        <v>1142</v>
      </c>
      <c r="D458" s="220" t="s">
        <v>1141</v>
      </c>
      <c r="E458" s="220" t="s">
        <v>1140</v>
      </c>
      <c r="F458" s="220" t="s">
        <v>1139</v>
      </c>
      <c r="G458" s="220"/>
      <c r="H458" s="220" t="s">
        <v>1138</v>
      </c>
      <c r="I458" s="220" t="s">
        <v>329</v>
      </c>
      <c r="J458" s="220" t="s">
        <v>297</v>
      </c>
      <c r="K458" s="220" t="s">
        <v>397</v>
      </c>
      <c r="L458" s="220" t="s">
        <v>1017</v>
      </c>
      <c r="M458" s="220" t="s">
        <v>1016</v>
      </c>
      <c r="N458" s="220" t="s">
        <v>329</v>
      </c>
      <c r="O458" s="220" t="s">
        <v>297</v>
      </c>
      <c r="P458" s="220" t="s">
        <v>848</v>
      </c>
      <c r="Q458" s="220" t="s">
        <v>1015</v>
      </c>
      <c r="R458" s="220" t="s">
        <v>1014</v>
      </c>
      <c r="S458" s="220" t="s">
        <v>791</v>
      </c>
      <c r="T458" s="220" t="s">
        <v>151</v>
      </c>
      <c r="U458" s="220"/>
      <c r="V458" s="220"/>
      <c r="W458" s="220"/>
      <c r="X458" s="220"/>
      <c r="Y458" s="283"/>
      <c r="Z458" s="220"/>
      <c r="AA458" s="220"/>
      <c r="AB458" s="220"/>
      <c r="AC458" s="220"/>
      <c r="AD458" s="220"/>
      <c r="AE458" s="283"/>
      <c r="AF458" s="220"/>
      <c r="AG458" s="220"/>
      <c r="AH458" s="220"/>
      <c r="AI458" s="220"/>
      <c r="AJ458" s="226">
        <v>16</v>
      </c>
      <c r="AK458" s="226">
        <v>0</v>
      </c>
      <c r="AL458" s="225">
        <v>6.4000000000000001E-2</v>
      </c>
      <c r="AM458" s="220"/>
      <c r="AN458" s="225">
        <v>548.54399999999998</v>
      </c>
      <c r="AO458" s="220"/>
      <c r="AP458" s="220"/>
      <c r="AQ458" s="283"/>
      <c r="AR458" s="283"/>
      <c r="AS458" s="283"/>
      <c r="AT458" s="223">
        <v>0</v>
      </c>
      <c r="AU458" s="284">
        <v>80</v>
      </c>
      <c r="AV458" s="221">
        <v>42949</v>
      </c>
      <c r="AW458" s="221">
        <v>42942.486203472203</v>
      </c>
      <c r="AX458" s="220" t="s">
        <v>293</v>
      </c>
      <c r="AY458" s="219" t="s">
        <v>1147</v>
      </c>
    </row>
    <row r="459" spans="1:51" hidden="1" outlineLevel="1" collapsed="1">
      <c r="A459" s="227" t="s">
        <v>289</v>
      </c>
      <c r="B459" s="220" t="s">
        <v>1142</v>
      </c>
      <c r="C459" s="220" t="s">
        <v>1142</v>
      </c>
      <c r="D459" s="220" t="s">
        <v>1141</v>
      </c>
      <c r="E459" s="220" t="s">
        <v>1140</v>
      </c>
      <c r="F459" s="220" t="s">
        <v>1139</v>
      </c>
      <c r="G459" s="220"/>
      <c r="H459" s="220" t="s">
        <v>1138</v>
      </c>
      <c r="I459" s="220" t="s">
        <v>329</v>
      </c>
      <c r="J459" s="220" t="s">
        <v>297</v>
      </c>
      <c r="K459" s="220" t="s">
        <v>397</v>
      </c>
      <c r="L459" s="220" t="s">
        <v>1017</v>
      </c>
      <c r="M459" s="220" t="s">
        <v>1016</v>
      </c>
      <c r="N459" s="220" t="s">
        <v>329</v>
      </c>
      <c r="O459" s="220" t="s">
        <v>297</v>
      </c>
      <c r="P459" s="220" t="s">
        <v>848</v>
      </c>
      <c r="Q459" s="220" t="s">
        <v>1015</v>
      </c>
      <c r="R459" s="220" t="s">
        <v>1014</v>
      </c>
      <c r="S459" s="220" t="s">
        <v>791</v>
      </c>
      <c r="T459" s="220" t="s">
        <v>151</v>
      </c>
      <c r="U459" s="220"/>
      <c r="V459" s="220"/>
      <c r="W459" s="220"/>
      <c r="X459" s="220"/>
      <c r="Y459" s="283"/>
      <c r="Z459" s="220"/>
      <c r="AA459" s="220"/>
      <c r="AB459" s="220"/>
      <c r="AC459" s="220"/>
      <c r="AD459" s="220"/>
      <c r="AE459" s="283"/>
      <c r="AF459" s="220"/>
      <c r="AG459" s="220"/>
      <c r="AH459" s="220" t="s">
        <v>1137</v>
      </c>
      <c r="AI459" s="220"/>
      <c r="AJ459" s="226">
        <v>6</v>
      </c>
      <c r="AK459" s="226">
        <v>0</v>
      </c>
      <c r="AL459" s="225">
        <v>2.4E-2</v>
      </c>
      <c r="AM459" s="220"/>
      <c r="AN459" s="225">
        <v>205.70400000000001</v>
      </c>
      <c r="AO459" s="220"/>
      <c r="AP459" s="220"/>
      <c r="AQ459" s="283"/>
      <c r="AR459" s="283"/>
      <c r="AS459" s="283"/>
      <c r="AT459" s="223">
        <v>0</v>
      </c>
      <c r="AU459" s="284">
        <v>21.6</v>
      </c>
      <c r="AV459" s="221">
        <v>42949</v>
      </c>
      <c r="AW459" s="221">
        <v>42942.486203472203</v>
      </c>
      <c r="AX459" s="220" t="s">
        <v>293</v>
      </c>
      <c r="AY459" s="219" t="s">
        <v>1136</v>
      </c>
    </row>
    <row r="460" spans="1:51" hidden="1" outlineLevel="1" collapsed="1">
      <c r="A460" s="227" t="s">
        <v>289</v>
      </c>
      <c r="B460" s="220" t="s">
        <v>1142</v>
      </c>
      <c r="C460" s="220" t="s">
        <v>1142</v>
      </c>
      <c r="D460" s="220" t="s">
        <v>1141</v>
      </c>
      <c r="E460" s="220" t="s">
        <v>1140</v>
      </c>
      <c r="F460" s="220" t="s">
        <v>1139</v>
      </c>
      <c r="G460" s="220"/>
      <c r="H460" s="220" t="s">
        <v>1138</v>
      </c>
      <c r="I460" s="220" t="s">
        <v>329</v>
      </c>
      <c r="J460" s="220" t="s">
        <v>297</v>
      </c>
      <c r="K460" s="220" t="s">
        <v>397</v>
      </c>
      <c r="L460" s="220" t="s">
        <v>1017</v>
      </c>
      <c r="M460" s="220" t="s">
        <v>1016</v>
      </c>
      <c r="N460" s="220" t="s">
        <v>329</v>
      </c>
      <c r="O460" s="220" t="s">
        <v>297</v>
      </c>
      <c r="P460" s="220" t="s">
        <v>848</v>
      </c>
      <c r="Q460" s="220" t="s">
        <v>1015</v>
      </c>
      <c r="R460" s="220" t="s">
        <v>1014</v>
      </c>
      <c r="S460" s="220" t="s">
        <v>895</v>
      </c>
      <c r="T460" s="220" t="s">
        <v>150</v>
      </c>
      <c r="U460" s="220"/>
      <c r="V460" s="220"/>
      <c r="W460" s="220"/>
      <c r="X460" s="220"/>
      <c r="Y460" s="283"/>
      <c r="Z460" s="220"/>
      <c r="AA460" s="220"/>
      <c r="AB460" s="220"/>
      <c r="AC460" s="220"/>
      <c r="AD460" s="220"/>
      <c r="AE460" s="283"/>
      <c r="AF460" s="220"/>
      <c r="AG460" s="220"/>
      <c r="AH460" s="220" t="s">
        <v>1146</v>
      </c>
      <c r="AI460" s="220"/>
      <c r="AJ460" s="226">
        <v>1</v>
      </c>
      <c r="AK460" s="226">
        <v>0</v>
      </c>
      <c r="AL460" s="225">
        <v>4.4999999999999997E-3</v>
      </c>
      <c r="AM460" s="220"/>
      <c r="AN460" s="225">
        <v>38.317</v>
      </c>
      <c r="AO460" s="220"/>
      <c r="AP460" s="220"/>
      <c r="AQ460" s="283"/>
      <c r="AR460" s="283"/>
      <c r="AS460" s="283"/>
      <c r="AT460" s="223">
        <v>0</v>
      </c>
      <c r="AU460" s="284">
        <v>8.9</v>
      </c>
      <c r="AV460" s="221">
        <v>42949</v>
      </c>
      <c r="AW460" s="221">
        <v>42942.486203472203</v>
      </c>
      <c r="AX460" s="220" t="s">
        <v>293</v>
      </c>
      <c r="AY460" s="219" t="s">
        <v>1145</v>
      </c>
    </row>
    <row r="461" spans="1:51" ht="20.399999999999999" hidden="1" outlineLevel="1" collapsed="1">
      <c r="A461" s="227" t="s">
        <v>289</v>
      </c>
      <c r="B461" s="220" t="s">
        <v>1142</v>
      </c>
      <c r="C461" s="220" t="s">
        <v>1142</v>
      </c>
      <c r="D461" s="220" t="s">
        <v>1141</v>
      </c>
      <c r="E461" s="220" t="s">
        <v>1140</v>
      </c>
      <c r="F461" s="220" t="s">
        <v>1139</v>
      </c>
      <c r="G461" s="220"/>
      <c r="H461" s="220" t="s">
        <v>1138</v>
      </c>
      <c r="I461" s="220" t="s">
        <v>329</v>
      </c>
      <c r="J461" s="220" t="s">
        <v>297</v>
      </c>
      <c r="K461" s="220" t="s">
        <v>397</v>
      </c>
      <c r="L461" s="220" t="s">
        <v>1017</v>
      </c>
      <c r="M461" s="220" t="s">
        <v>1016</v>
      </c>
      <c r="N461" s="220" t="s">
        <v>329</v>
      </c>
      <c r="O461" s="220" t="s">
        <v>297</v>
      </c>
      <c r="P461" s="220" t="s">
        <v>848</v>
      </c>
      <c r="Q461" s="220" t="s">
        <v>1015</v>
      </c>
      <c r="R461" s="220" t="s">
        <v>1014</v>
      </c>
      <c r="S461" s="220" t="s">
        <v>895</v>
      </c>
      <c r="T461" s="220" t="s">
        <v>150</v>
      </c>
      <c r="U461" s="220"/>
      <c r="V461" s="220"/>
      <c r="W461" s="220"/>
      <c r="X461" s="220"/>
      <c r="Y461" s="283"/>
      <c r="Z461" s="220"/>
      <c r="AA461" s="220"/>
      <c r="AB461" s="220"/>
      <c r="AC461" s="220"/>
      <c r="AD461" s="220"/>
      <c r="AE461" s="283"/>
      <c r="AF461" s="220"/>
      <c r="AG461" s="220"/>
      <c r="AH461" s="220" t="s">
        <v>1151</v>
      </c>
      <c r="AI461" s="220"/>
      <c r="AJ461" s="226">
        <v>2</v>
      </c>
      <c r="AK461" s="226">
        <v>0</v>
      </c>
      <c r="AL461" s="225">
        <v>9.1999999999999998E-3</v>
      </c>
      <c r="AM461" s="220"/>
      <c r="AN461" s="225">
        <v>77.641999999999996</v>
      </c>
      <c r="AO461" s="220"/>
      <c r="AP461" s="220"/>
      <c r="AQ461" s="283"/>
      <c r="AR461" s="283"/>
      <c r="AS461" s="283"/>
      <c r="AT461" s="223">
        <v>0</v>
      </c>
      <c r="AU461" s="284">
        <v>18.32</v>
      </c>
      <c r="AV461" s="221">
        <v>42949</v>
      </c>
      <c r="AW461" s="221">
        <v>42942.486203472203</v>
      </c>
      <c r="AX461" s="220" t="s">
        <v>293</v>
      </c>
      <c r="AY461" s="219" t="s">
        <v>1150</v>
      </c>
    </row>
    <row r="462" spans="1:51" ht="20.399999999999999" hidden="1" outlineLevel="1" collapsed="1">
      <c r="A462" s="227" t="s">
        <v>289</v>
      </c>
      <c r="B462" s="220" t="s">
        <v>1142</v>
      </c>
      <c r="C462" s="220" t="s">
        <v>1142</v>
      </c>
      <c r="D462" s="220" t="s">
        <v>1141</v>
      </c>
      <c r="E462" s="220" t="s">
        <v>1140</v>
      </c>
      <c r="F462" s="220" t="s">
        <v>1139</v>
      </c>
      <c r="G462" s="220"/>
      <c r="H462" s="220" t="s">
        <v>1138</v>
      </c>
      <c r="I462" s="220" t="s">
        <v>329</v>
      </c>
      <c r="J462" s="220" t="s">
        <v>297</v>
      </c>
      <c r="K462" s="220" t="s">
        <v>397</v>
      </c>
      <c r="L462" s="220" t="s">
        <v>1017</v>
      </c>
      <c r="M462" s="220" t="s">
        <v>1016</v>
      </c>
      <c r="N462" s="220" t="s">
        <v>329</v>
      </c>
      <c r="O462" s="220" t="s">
        <v>297</v>
      </c>
      <c r="P462" s="220" t="s">
        <v>848</v>
      </c>
      <c r="Q462" s="220" t="s">
        <v>1015</v>
      </c>
      <c r="R462" s="220" t="s">
        <v>1014</v>
      </c>
      <c r="S462" s="220" t="s">
        <v>895</v>
      </c>
      <c r="T462" s="220" t="s">
        <v>150</v>
      </c>
      <c r="U462" s="220"/>
      <c r="V462" s="220"/>
      <c r="W462" s="220"/>
      <c r="X462" s="220"/>
      <c r="Y462" s="283"/>
      <c r="Z462" s="220"/>
      <c r="AA462" s="220"/>
      <c r="AB462" s="220"/>
      <c r="AC462" s="220"/>
      <c r="AD462" s="220"/>
      <c r="AE462" s="283"/>
      <c r="AF462" s="220"/>
      <c r="AG462" s="220"/>
      <c r="AH462" s="220" t="s">
        <v>1144</v>
      </c>
      <c r="AI462" s="220"/>
      <c r="AJ462" s="226">
        <v>1</v>
      </c>
      <c r="AK462" s="226">
        <v>0</v>
      </c>
      <c r="AL462" s="225">
        <v>4.5999999999999999E-3</v>
      </c>
      <c r="AM462" s="220"/>
      <c r="AN462" s="225">
        <v>38.820999999999998</v>
      </c>
      <c r="AO462" s="220"/>
      <c r="AP462" s="220"/>
      <c r="AQ462" s="283"/>
      <c r="AR462" s="283"/>
      <c r="AS462" s="283"/>
      <c r="AT462" s="223">
        <v>0</v>
      </c>
      <c r="AU462" s="284">
        <v>10</v>
      </c>
      <c r="AV462" s="221">
        <v>42949</v>
      </c>
      <c r="AW462" s="221">
        <v>42942.486203472203</v>
      </c>
      <c r="AX462" s="220" t="s">
        <v>293</v>
      </c>
      <c r="AY462" s="219" t="s">
        <v>1143</v>
      </c>
    </row>
    <row r="463" spans="1:51" hidden="1" outlineLevel="1" collapsed="1">
      <c r="A463" s="227" t="s">
        <v>289</v>
      </c>
      <c r="B463" s="220" t="s">
        <v>1142</v>
      </c>
      <c r="C463" s="220" t="s">
        <v>1142</v>
      </c>
      <c r="D463" s="220" t="s">
        <v>1141</v>
      </c>
      <c r="E463" s="220" t="s">
        <v>1140</v>
      </c>
      <c r="F463" s="220" t="s">
        <v>1139</v>
      </c>
      <c r="G463" s="220"/>
      <c r="H463" s="220" t="s">
        <v>1138</v>
      </c>
      <c r="I463" s="220" t="s">
        <v>329</v>
      </c>
      <c r="J463" s="220" t="s">
        <v>297</v>
      </c>
      <c r="K463" s="220" t="s">
        <v>397</v>
      </c>
      <c r="L463" s="220" t="s">
        <v>1017</v>
      </c>
      <c r="M463" s="220" t="s">
        <v>1016</v>
      </c>
      <c r="N463" s="220" t="s">
        <v>329</v>
      </c>
      <c r="O463" s="220" t="s">
        <v>297</v>
      </c>
      <c r="P463" s="220" t="s">
        <v>848</v>
      </c>
      <c r="Q463" s="220" t="s">
        <v>1015</v>
      </c>
      <c r="R463" s="220" t="s">
        <v>1014</v>
      </c>
      <c r="S463" s="220" t="s">
        <v>895</v>
      </c>
      <c r="T463" s="220" t="s">
        <v>150</v>
      </c>
      <c r="U463" s="220"/>
      <c r="V463" s="220"/>
      <c r="W463" s="220"/>
      <c r="X463" s="220"/>
      <c r="Y463" s="283"/>
      <c r="Z463" s="220"/>
      <c r="AA463" s="220"/>
      <c r="AB463" s="220"/>
      <c r="AC463" s="220"/>
      <c r="AD463" s="220"/>
      <c r="AE463" s="283"/>
      <c r="AF463" s="220"/>
      <c r="AG463" s="220"/>
      <c r="AH463" s="220" t="s">
        <v>1149</v>
      </c>
      <c r="AI463" s="220"/>
      <c r="AJ463" s="226">
        <v>1</v>
      </c>
      <c r="AK463" s="226">
        <v>0</v>
      </c>
      <c r="AL463" s="225">
        <v>3.7000000000000002E-3</v>
      </c>
      <c r="AM463" s="220"/>
      <c r="AN463" s="225">
        <v>31.259</v>
      </c>
      <c r="AO463" s="220"/>
      <c r="AP463" s="220"/>
      <c r="AQ463" s="283"/>
      <c r="AR463" s="283"/>
      <c r="AS463" s="283"/>
      <c r="AT463" s="223">
        <v>0</v>
      </c>
      <c r="AU463" s="284">
        <v>8.6</v>
      </c>
      <c r="AV463" s="221">
        <v>42949</v>
      </c>
      <c r="AW463" s="221">
        <v>42942.486203472203</v>
      </c>
      <c r="AX463" s="220" t="s">
        <v>293</v>
      </c>
      <c r="AY463" s="219" t="s">
        <v>1148</v>
      </c>
    </row>
    <row r="464" spans="1:51" ht="20.399999999999999" hidden="1" outlineLevel="1" collapsed="1">
      <c r="A464" s="227" t="s">
        <v>289</v>
      </c>
      <c r="B464" s="220" t="s">
        <v>1135</v>
      </c>
      <c r="C464" s="220" t="s">
        <v>1135</v>
      </c>
      <c r="D464" s="220" t="s">
        <v>1134</v>
      </c>
      <c r="E464" s="220" t="s">
        <v>1133</v>
      </c>
      <c r="F464" s="220" t="s">
        <v>1132</v>
      </c>
      <c r="G464" s="220"/>
      <c r="H464" s="220" t="s">
        <v>1131</v>
      </c>
      <c r="I464" s="220" t="s">
        <v>329</v>
      </c>
      <c r="J464" s="220" t="s">
        <v>297</v>
      </c>
      <c r="K464" s="220" t="s">
        <v>328</v>
      </c>
      <c r="L464" s="220" t="s">
        <v>601</v>
      </c>
      <c r="M464" s="220" t="s">
        <v>600</v>
      </c>
      <c r="N464" s="220" t="s">
        <v>329</v>
      </c>
      <c r="O464" s="220" t="s">
        <v>297</v>
      </c>
      <c r="P464" s="220" t="s">
        <v>599</v>
      </c>
      <c r="Q464" s="220" t="s">
        <v>598</v>
      </c>
      <c r="R464" s="220"/>
      <c r="S464" s="220" t="s">
        <v>791</v>
      </c>
      <c r="T464" s="220" t="s">
        <v>151</v>
      </c>
      <c r="U464" s="220"/>
      <c r="V464" s="220"/>
      <c r="W464" s="220"/>
      <c r="X464" s="220"/>
      <c r="Y464" s="283"/>
      <c r="Z464" s="220"/>
      <c r="AA464" s="220"/>
      <c r="AB464" s="220"/>
      <c r="AC464" s="220"/>
      <c r="AD464" s="220"/>
      <c r="AE464" s="283"/>
      <c r="AF464" s="220"/>
      <c r="AG464" s="220"/>
      <c r="AH464" s="220"/>
      <c r="AI464" s="220"/>
      <c r="AJ464" s="226">
        <v>8</v>
      </c>
      <c r="AK464" s="226">
        <v>0</v>
      </c>
      <c r="AL464" s="225">
        <v>3.04E-2</v>
      </c>
      <c r="AM464" s="220"/>
      <c r="AN464" s="225">
        <v>258.13600000000002</v>
      </c>
      <c r="AO464" s="220"/>
      <c r="AP464" s="220"/>
      <c r="AQ464" s="283"/>
      <c r="AR464" s="283"/>
      <c r="AS464" s="283"/>
      <c r="AT464" s="223">
        <v>0</v>
      </c>
      <c r="AU464" s="284">
        <v>36</v>
      </c>
      <c r="AV464" s="221">
        <v>42944</v>
      </c>
      <c r="AW464" s="221">
        <v>42944.685320451397</v>
      </c>
      <c r="AX464" s="220" t="s">
        <v>293</v>
      </c>
      <c r="AY464" s="219" t="s">
        <v>1130</v>
      </c>
    </row>
    <row r="465" spans="1:51" ht="30.6" hidden="1" outlineLevel="1" collapsed="1">
      <c r="A465" s="227" t="s">
        <v>289</v>
      </c>
      <c r="B465" s="220" t="s">
        <v>1125</v>
      </c>
      <c r="C465" s="220" t="s">
        <v>1125</v>
      </c>
      <c r="D465" s="220" t="s">
        <v>1124</v>
      </c>
      <c r="E465" s="220" t="s">
        <v>1123</v>
      </c>
      <c r="F465" s="220" t="s">
        <v>1122</v>
      </c>
      <c r="G465" s="220"/>
      <c r="H465" s="220" t="s">
        <v>1121</v>
      </c>
      <c r="I465" s="220" t="s">
        <v>329</v>
      </c>
      <c r="J465" s="220" t="s">
        <v>297</v>
      </c>
      <c r="K465" s="220" t="s">
        <v>397</v>
      </c>
      <c r="L465" s="220" t="s">
        <v>1120</v>
      </c>
      <c r="M465" s="220" t="s">
        <v>1119</v>
      </c>
      <c r="N465" s="220" t="s">
        <v>1119</v>
      </c>
      <c r="O465" s="220" t="s">
        <v>297</v>
      </c>
      <c r="P465" s="220" t="s">
        <v>397</v>
      </c>
      <c r="Q465" s="220"/>
      <c r="R465" s="220"/>
      <c r="S465" s="220" t="s">
        <v>791</v>
      </c>
      <c r="T465" s="220" t="s">
        <v>151</v>
      </c>
      <c r="U465" s="220"/>
      <c r="V465" s="220"/>
      <c r="W465" s="220"/>
      <c r="X465" s="220"/>
      <c r="Y465" s="283"/>
      <c r="Z465" s="220"/>
      <c r="AA465" s="220"/>
      <c r="AB465" s="220"/>
      <c r="AC465" s="220"/>
      <c r="AD465" s="220"/>
      <c r="AE465" s="283"/>
      <c r="AF465" s="220"/>
      <c r="AG465" s="220"/>
      <c r="AH465" s="220" t="s">
        <v>1127</v>
      </c>
      <c r="AI465" s="220"/>
      <c r="AJ465" s="226">
        <v>1</v>
      </c>
      <c r="AK465" s="226">
        <v>0</v>
      </c>
      <c r="AL465" s="225">
        <v>3.8E-3</v>
      </c>
      <c r="AM465" s="220"/>
      <c r="AN465" s="225">
        <v>32.066000000000003</v>
      </c>
      <c r="AO465" s="220"/>
      <c r="AP465" s="220"/>
      <c r="AQ465" s="283"/>
      <c r="AR465" s="283"/>
      <c r="AS465" s="283"/>
      <c r="AT465" s="223">
        <v>0</v>
      </c>
      <c r="AU465" s="284">
        <v>4.8600000000000003</v>
      </c>
      <c r="AV465" s="221">
        <v>42949</v>
      </c>
      <c r="AW465" s="221">
        <v>42949.573773958298</v>
      </c>
      <c r="AX465" s="220" t="s">
        <v>293</v>
      </c>
      <c r="AY465" s="219" t="s">
        <v>1126</v>
      </c>
    </row>
    <row r="466" spans="1:51" ht="20.399999999999999" hidden="1" outlineLevel="1" collapsed="1">
      <c r="A466" s="227" t="s">
        <v>289</v>
      </c>
      <c r="B466" s="220" t="s">
        <v>1125</v>
      </c>
      <c r="C466" s="220" t="s">
        <v>1125</v>
      </c>
      <c r="D466" s="220" t="s">
        <v>1124</v>
      </c>
      <c r="E466" s="220" t="s">
        <v>1123</v>
      </c>
      <c r="F466" s="220" t="s">
        <v>1122</v>
      </c>
      <c r="G466" s="220"/>
      <c r="H466" s="220" t="s">
        <v>1121</v>
      </c>
      <c r="I466" s="220" t="s">
        <v>329</v>
      </c>
      <c r="J466" s="220" t="s">
        <v>297</v>
      </c>
      <c r="K466" s="220" t="s">
        <v>397</v>
      </c>
      <c r="L466" s="220" t="s">
        <v>1120</v>
      </c>
      <c r="M466" s="220" t="s">
        <v>1119</v>
      </c>
      <c r="N466" s="220" t="s">
        <v>1119</v>
      </c>
      <c r="O466" s="220" t="s">
        <v>297</v>
      </c>
      <c r="P466" s="220" t="s">
        <v>397</v>
      </c>
      <c r="Q466" s="220"/>
      <c r="R466" s="220"/>
      <c r="S466" s="220" t="s">
        <v>791</v>
      </c>
      <c r="T466" s="220" t="s">
        <v>151</v>
      </c>
      <c r="U466" s="220"/>
      <c r="V466" s="220"/>
      <c r="W466" s="220"/>
      <c r="X466" s="220"/>
      <c r="Y466" s="283"/>
      <c r="Z466" s="220"/>
      <c r="AA466" s="220"/>
      <c r="AB466" s="220"/>
      <c r="AC466" s="220"/>
      <c r="AD466" s="220"/>
      <c r="AE466" s="283"/>
      <c r="AF466" s="220"/>
      <c r="AG466" s="220"/>
      <c r="AH466" s="220" t="s">
        <v>1129</v>
      </c>
      <c r="AI466" s="220"/>
      <c r="AJ466" s="226">
        <v>14</v>
      </c>
      <c r="AK466" s="226">
        <v>0</v>
      </c>
      <c r="AL466" s="225">
        <v>5.4600000000000003E-2</v>
      </c>
      <c r="AM466" s="220"/>
      <c r="AN466" s="225">
        <v>463.036</v>
      </c>
      <c r="AO466" s="220"/>
      <c r="AP466" s="220"/>
      <c r="AQ466" s="283"/>
      <c r="AR466" s="283"/>
      <c r="AS466" s="283"/>
      <c r="AT466" s="223">
        <v>0</v>
      </c>
      <c r="AU466" s="284">
        <v>55.86</v>
      </c>
      <c r="AV466" s="221">
        <v>42949</v>
      </c>
      <c r="AW466" s="221">
        <v>42949.573773958298</v>
      </c>
      <c r="AX466" s="220" t="s">
        <v>293</v>
      </c>
      <c r="AY466" s="219" t="s">
        <v>1128</v>
      </c>
    </row>
    <row r="467" spans="1:51" ht="20.399999999999999" hidden="1" outlineLevel="1" collapsed="1">
      <c r="A467" s="227" t="s">
        <v>289</v>
      </c>
      <c r="B467" s="220" t="s">
        <v>1125</v>
      </c>
      <c r="C467" s="220" t="s">
        <v>1125</v>
      </c>
      <c r="D467" s="220" t="s">
        <v>1124</v>
      </c>
      <c r="E467" s="220" t="s">
        <v>1123</v>
      </c>
      <c r="F467" s="220" t="s">
        <v>1122</v>
      </c>
      <c r="G467" s="220"/>
      <c r="H467" s="220" t="s">
        <v>1121</v>
      </c>
      <c r="I467" s="220" t="s">
        <v>329</v>
      </c>
      <c r="J467" s="220" t="s">
        <v>297</v>
      </c>
      <c r="K467" s="220" t="s">
        <v>397</v>
      </c>
      <c r="L467" s="220" t="s">
        <v>1120</v>
      </c>
      <c r="M467" s="220" t="s">
        <v>1119</v>
      </c>
      <c r="N467" s="220" t="s">
        <v>1119</v>
      </c>
      <c r="O467" s="220" t="s">
        <v>297</v>
      </c>
      <c r="P467" s="220" t="s">
        <v>397</v>
      </c>
      <c r="Q467" s="220"/>
      <c r="R467" s="220"/>
      <c r="S467" s="220" t="s">
        <v>791</v>
      </c>
      <c r="T467" s="220" t="s">
        <v>151</v>
      </c>
      <c r="U467" s="220"/>
      <c r="V467" s="220"/>
      <c r="W467" s="220"/>
      <c r="X467" s="220"/>
      <c r="Y467" s="283"/>
      <c r="Z467" s="220"/>
      <c r="AA467" s="220"/>
      <c r="AB467" s="220"/>
      <c r="AC467" s="220"/>
      <c r="AD467" s="220"/>
      <c r="AE467" s="283"/>
      <c r="AF467" s="220"/>
      <c r="AG467" s="220"/>
      <c r="AH467" s="220" t="s">
        <v>1118</v>
      </c>
      <c r="AI467" s="220"/>
      <c r="AJ467" s="226">
        <v>24</v>
      </c>
      <c r="AK467" s="226">
        <v>0</v>
      </c>
      <c r="AL467" s="225">
        <v>9.1200000000000003E-2</v>
      </c>
      <c r="AM467" s="220"/>
      <c r="AN467" s="225">
        <v>769.58399999999995</v>
      </c>
      <c r="AO467" s="220"/>
      <c r="AP467" s="220"/>
      <c r="AQ467" s="283"/>
      <c r="AR467" s="283"/>
      <c r="AS467" s="283"/>
      <c r="AT467" s="223">
        <v>0</v>
      </c>
      <c r="AU467" s="284">
        <v>94.08</v>
      </c>
      <c r="AV467" s="221">
        <v>42949</v>
      </c>
      <c r="AW467" s="221">
        <v>42949.573773958298</v>
      </c>
      <c r="AX467" s="220" t="s">
        <v>293</v>
      </c>
      <c r="AY467" s="219" t="s">
        <v>1117</v>
      </c>
    </row>
    <row r="468" spans="1:51" hidden="1" outlineLevel="1" collapsed="1">
      <c r="A468" s="227" t="s">
        <v>289</v>
      </c>
      <c r="B468" s="220" t="s">
        <v>1109</v>
      </c>
      <c r="C468" s="220" t="s">
        <v>1109</v>
      </c>
      <c r="D468" s="220" t="s">
        <v>1108</v>
      </c>
      <c r="E468" s="220" t="s">
        <v>1107</v>
      </c>
      <c r="F468" s="220" t="s">
        <v>1106</v>
      </c>
      <c r="G468" s="220"/>
      <c r="H468" s="220" t="s">
        <v>1105</v>
      </c>
      <c r="I468" s="220" t="s">
        <v>329</v>
      </c>
      <c r="J468" s="220" t="s">
        <v>297</v>
      </c>
      <c r="K468" s="220" t="s">
        <v>397</v>
      </c>
      <c r="L468" s="220" t="s">
        <v>850</v>
      </c>
      <c r="M468" s="220" t="s">
        <v>849</v>
      </c>
      <c r="N468" s="220" t="s">
        <v>329</v>
      </c>
      <c r="O468" s="220" t="s">
        <v>297</v>
      </c>
      <c r="P468" s="220" t="s">
        <v>848</v>
      </c>
      <c r="Q468" s="220" t="s">
        <v>847</v>
      </c>
      <c r="R468" s="220"/>
      <c r="S468" s="220" t="s">
        <v>791</v>
      </c>
      <c r="T468" s="220" t="s">
        <v>151</v>
      </c>
      <c r="U468" s="220"/>
      <c r="V468" s="220"/>
      <c r="W468" s="220"/>
      <c r="X468" s="220"/>
      <c r="Y468" s="283"/>
      <c r="Z468" s="220"/>
      <c r="AA468" s="220"/>
      <c r="AB468" s="220"/>
      <c r="AC468" s="220"/>
      <c r="AD468" s="220"/>
      <c r="AE468" s="283"/>
      <c r="AF468" s="220"/>
      <c r="AG468" s="220"/>
      <c r="AH468" s="220" t="s">
        <v>1111</v>
      </c>
      <c r="AI468" s="220"/>
      <c r="AJ468" s="226">
        <v>4</v>
      </c>
      <c r="AK468" s="226">
        <v>0</v>
      </c>
      <c r="AL468" s="225">
        <v>1.6E-2</v>
      </c>
      <c r="AM468" s="220"/>
      <c r="AN468" s="225">
        <v>135.12</v>
      </c>
      <c r="AO468" s="220"/>
      <c r="AP468" s="220"/>
      <c r="AQ468" s="283"/>
      <c r="AR468" s="283"/>
      <c r="AS468" s="283"/>
      <c r="AT468" s="223">
        <v>0</v>
      </c>
      <c r="AU468" s="284">
        <v>7.52</v>
      </c>
      <c r="AV468" s="221">
        <v>42954</v>
      </c>
      <c r="AW468" s="221">
        <v>42954.5407716435</v>
      </c>
      <c r="AX468" s="220" t="s">
        <v>293</v>
      </c>
      <c r="AY468" s="219" t="s">
        <v>1110</v>
      </c>
    </row>
    <row r="469" spans="1:51" hidden="1" outlineLevel="1" collapsed="1">
      <c r="A469" s="227" t="s">
        <v>289</v>
      </c>
      <c r="B469" s="220" t="s">
        <v>1109</v>
      </c>
      <c r="C469" s="220" t="s">
        <v>1109</v>
      </c>
      <c r="D469" s="220" t="s">
        <v>1108</v>
      </c>
      <c r="E469" s="220" t="s">
        <v>1107</v>
      </c>
      <c r="F469" s="220" t="s">
        <v>1106</v>
      </c>
      <c r="G469" s="220"/>
      <c r="H469" s="220" t="s">
        <v>1105</v>
      </c>
      <c r="I469" s="220" t="s">
        <v>329</v>
      </c>
      <c r="J469" s="220" t="s">
        <v>297</v>
      </c>
      <c r="K469" s="220" t="s">
        <v>397</v>
      </c>
      <c r="L469" s="220" t="s">
        <v>850</v>
      </c>
      <c r="M469" s="220" t="s">
        <v>849</v>
      </c>
      <c r="N469" s="220" t="s">
        <v>329</v>
      </c>
      <c r="O469" s="220" t="s">
        <v>297</v>
      </c>
      <c r="P469" s="220" t="s">
        <v>848</v>
      </c>
      <c r="Q469" s="220" t="s">
        <v>847</v>
      </c>
      <c r="R469" s="220"/>
      <c r="S469" s="220" t="s">
        <v>791</v>
      </c>
      <c r="T469" s="220" t="s">
        <v>151</v>
      </c>
      <c r="U469" s="220"/>
      <c r="V469" s="220"/>
      <c r="W469" s="220"/>
      <c r="X469" s="220"/>
      <c r="Y469" s="283"/>
      <c r="Z469" s="220"/>
      <c r="AA469" s="220"/>
      <c r="AB469" s="220"/>
      <c r="AC469" s="220"/>
      <c r="AD469" s="220"/>
      <c r="AE469" s="283"/>
      <c r="AF469" s="220"/>
      <c r="AG469" s="220"/>
      <c r="AH469" s="220" t="s">
        <v>985</v>
      </c>
      <c r="AI469" s="220"/>
      <c r="AJ469" s="226">
        <v>8</v>
      </c>
      <c r="AK469" s="226">
        <v>0</v>
      </c>
      <c r="AL469" s="225">
        <v>3.2000000000000001E-2</v>
      </c>
      <c r="AM469" s="220"/>
      <c r="AN469" s="225">
        <v>274.27199999999999</v>
      </c>
      <c r="AO469" s="220"/>
      <c r="AP469" s="220"/>
      <c r="AQ469" s="283"/>
      <c r="AR469" s="283"/>
      <c r="AS469" s="283"/>
      <c r="AT469" s="223">
        <v>0</v>
      </c>
      <c r="AU469" s="284">
        <v>14.96</v>
      </c>
      <c r="AV469" s="221">
        <v>42954</v>
      </c>
      <c r="AW469" s="221">
        <v>42954.5407716435</v>
      </c>
      <c r="AX469" s="220" t="s">
        <v>293</v>
      </c>
      <c r="AY469" s="219" t="s">
        <v>1104</v>
      </c>
    </row>
    <row r="470" spans="1:51" hidden="1" outlineLevel="1" collapsed="1">
      <c r="A470" s="227" t="s">
        <v>289</v>
      </c>
      <c r="B470" s="220" t="s">
        <v>1109</v>
      </c>
      <c r="C470" s="220" t="s">
        <v>1109</v>
      </c>
      <c r="D470" s="220" t="s">
        <v>1108</v>
      </c>
      <c r="E470" s="220" t="s">
        <v>1107</v>
      </c>
      <c r="F470" s="220" t="s">
        <v>1106</v>
      </c>
      <c r="G470" s="220"/>
      <c r="H470" s="220" t="s">
        <v>1105</v>
      </c>
      <c r="I470" s="220" t="s">
        <v>329</v>
      </c>
      <c r="J470" s="220" t="s">
        <v>297</v>
      </c>
      <c r="K470" s="220" t="s">
        <v>397</v>
      </c>
      <c r="L470" s="220" t="s">
        <v>850</v>
      </c>
      <c r="M470" s="220" t="s">
        <v>849</v>
      </c>
      <c r="N470" s="220" t="s">
        <v>329</v>
      </c>
      <c r="O470" s="220" t="s">
        <v>297</v>
      </c>
      <c r="P470" s="220" t="s">
        <v>848</v>
      </c>
      <c r="Q470" s="220" t="s">
        <v>847</v>
      </c>
      <c r="R470" s="220"/>
      <c r="S470" s="220" t="s">
        <v>791</v>
      </c>
      <c r="T470" s="220" t="s">
        <v>151</v>
      </c>
      <c r="U470" s="220"/>
      <c r="V470" s="220"/>
      <c r="W470" s="220"/>
      <c r="X470" s="220"/>
      <c r="Y470" s="283"/>
      <c r="Z470" s="220"/>
      <c r="AA470" s="220"/>
      <c r="AB470" s="220"/>
      <c r="AC470" s="220"/>
      <c r="AD470" s="220"/>
      <c r="AE470" s="283"/>
      <c r="AF470" s="220"/>
      <c r="AG470" s="220"/>
      <c r="AH470" s="220" t="s">
        <v>1115</v>
      </c>
      <c r="AI470" s="220"/>
      <c r="AJ470" s="226">
        <v>8</v>
      </c>
      <c r="AK470" s="226">
        <v>0</v>
      </c>
      <c r="AL470" s="225">
        <v>2.9600000000000001E-2</v>
      </c>
      <c r="AM470" s="220"/>
      <c r="AN470" s="225">
        <v>250.072</v>
      </c>
      <c r="AO470" s="220"/>
      <c r="AP470" s="220"/>
      <c r="AQ470" s="283"/>
      <c r="AR470" s="283"/>
      <c r="AS470" s="283"/>
      <c r="AT470" s="223">
        <v>0</v>
      </c>
      <c r="AU470" s="284">
        <v>28</v>
      </c>
      <c r="AV470" s="221">
        <v>42954</v>
      </c>
      <c r="AW470" s="221">
        <v>42954.5407716435</v>
      </c>
      <c r="AX470" s="220" t="s">
        <v>293</v>
      </c>
      <c r="AY470" s="219" t="s">
        <v>1114</v>
      </c>
    </row>
    <row r="471" spans="1:51" hidden="1" outlineLevel="1" collapsed="1">
      <c r="A471" s="227" t="s">
        <v>289</v>
      </c>
      <c r="B471" s="220" t="s">
        <v>1109</v>
      </c>
      <c r="C471" s="220" t="s">
        <v>1109</v>
      </c>
      <c r="D471" s="220" t="s">
        <v>1108</v>
      </c>
      <c r="E471" s="220" t="s">
        <v>1107</v>
      </c>
      <c r="F471" s="220" t="s">
        <v>1106</v>
      </c>
      <c r="G471" s="220"/>
      <c r="H471" s="220" t="s">
        <v>1105</v>
      </c>
      <c r="I471" s="220" t="s">
        <v>329</v>
      </c>
      <c r="J471" s="220" t="s">
        <v>297</v>
      </c>
      <c r="K471" s="220" t="s">
        <v>397</v>
      </c>
      <c r="L471" s="220" t="s">
        <v>850</v>
      </c>
      <c r="M471" s="220" t="s">
        <v>849</v>
      </c>
      <c r="N471" s="220" t="s">
        <v>329</v>
      </c>
      <c r="O471" s="220" t="s">
        <v>297</v>
      </c>
      <c r="P471" s="220" t="s">
        <v>848</v>
      </c>
      <c r="Q471" s="220" t="s">
        <v>847</v>
      </c>
      <c r="R471" s="220"/>
      <c r="S471" s="220" t="s">
        <v>791</v>
      </c>
      <c r="T471" s="220" t="s">
        <v>151</v>
      </c>
      <c r="U471" s="220"/>
      <c r="V471" s="220"/>
      <c r="W471" s="220"/>
      <c r="X471" s="220"/>
      <c r="Y471" s="283"/>
      <c r="Z471" s="220"/>
      <c r="AA471" s="220"/>
      <c r="AB471" s="220"/>
      <c r="AC471" s="220"/>
      <c r="AD471" s="220"/>
      <c r="AE471" s="283"/>
      <c r="AF471" s="220"/>
      <c r="AG471" s="220"/>
      <c r="AH471" s="220" t="s">
        <v>1113</v>
      </c>
      <c r="AI471" s="220"/>
      <c r="AJ471" s="226">
        <v>4</v>
      </c>
      <c r="AK471" s="226">
        <v>0</v>
      </c>
      <c r="AL471" s="225">
        <v>1.0800000000000001E-2</v>
      </c>
      <c r="AM471" s="220"/>
      <c r="AN471" s="225">
        <v>92.768000000000001</v>
      </c>
      <c r="AO471" s="220"/>
      <c r="AP471" s="220"/>
      <c r="AQ471" s="283"/>
      <c r="AR471" s="283"/>
      <c r="AS471" s="283"/>
      <c r="AT471" s="223">
        <v>0</v>
      </c>
      <c r="AU471" s="284">
        <v>5.48</v>
      </c>
      <c r="AV471" s="221">
        <v>42954</v>
      </c>
      <c r="AW471" s="221">
        <v>42954.5407716435</v>
      </c>
      <c r="AX471" s="220" t="s">
        <v>293</v>
      </c>
      <c r="AY471" s="219" t="s">
        <v>1112</v>
      </c>
    </row>
    <row r="472" spans="1:51" hidden="1" outlineLevel="1" collapsed="1">
      <c r="A472" s="227" t="s">
        <v>289</v>
      </c>
      <c r="B472" s="220" t="s">
        <v>1109</v>
      </c>
      <c r="C472" s="220" t="s">
        <v>1109</v>
      </c>
      <c r="D472" s="220" t="s">
        <v>1108</v>
      </c>
      <c r="E472" s="220" t="s">
        <v>1107</v>
      </c>
      <c r="F472" s="220" t="s">
        <v>1106</v>
      </c>
      <c r="G472" s="220"/>
      <c r="H472" s="220" t="s">
        <v>1105</v>
      </c>
      <c r="I472" s="220" t="s">
        <v>329</v>
      </c>
      <c r="J472" s="220" t="s">
        <v>297</v>
      </c>
      <c r="K472" s="220" t="s">
        <v>397</v>
      </c>
      <c r="L472" s="220" t="s">
        <v>850</v>
      </c>
      <c r="M472" s="220" t="s">
        <v>849</v>
      </c>
      <c r="N472" s="220" t="s">
        <v>329</v>
      </c>
      <c r="O472" s="220" t="s">
        <v>297</v>
      </c>
      <c r="P472" s="220" t="s">
        <v>848</v>
      </c>
      <c r="Q472" s="220" t="s">
        <v>847</v>
      </c>
      <c r="R472" s="220"/>
      <c r="S472" s="220" t="s">
        <v>791</v>
      </c>
      <c r="T472" s="220" t="s">
        <v>151</v>
      </c>
      <c r="U472" s="220"/>
      <c r="V472" s="220"/>
      <c r="W472" s="220"/>
      <c r="X472" s="220"/>
      <c r="Y472" s="283"/>
      <c r="Z472" s="220"/>
      <c r="AA472" s="220"/>
      <c r="AB472" s="220"/>
      <c r="AC472" s="220"/>
      <c r="AD472" s="220"/>
      <c r="AE472" s="283"/>
      <c r="AF472" s="220"/>
      <c r="AG472" s="220"/>
      <c r="AH472" s="220" t="s">
        <v>1005</v>
      </c>
      <c r="AI472" s="220"/>
      <c r="AJ472" s="226">
        <v>1</v>
      </c>
      <c r="AK472" s="226">
        <v>0</v>
      </c>
      <c r="AL472" s="225">
        <v>4.4999999999999997E-3</v>
      </c>
      <c r="AM472" s="220"/>
      <c r="AN472" s="225">
        <v>38.317</v>
      </c>
      <c r="AO472" s="220"/>
      <c r="AP472" s="220"/>
      <c r="AQ472" s="283"/>
      <c r="AR472" s="283"/>
      <c r="AS472" s="283"/>
      <c r="AT472" s="223">
        <v>0</v>
      </c>
      <c r="AU472" s="284">
        <v>5</v>
      </c>
      <c r="AV472" s="221">
        <v>42954</v>
      </c>
      <c r="AW472" s="221">
        <v>42954.5407716435</v>
      </c>
      <c r="AX472" s="220" t="s">
        <v>293</v>
      </c>
      <c r="AY472" s="219" t="s">
        <v>1116</v>
      </c>
    </row>
    <row r="473" spans="1:51" hidden="1" outlineLevel="1" collapsed="1">
      <c r="A473" s="227" t="s">
        <v>289</v>
      </c>
      <c r="B473" s="220" t="s">
        <v>1103</v>
      </c>
      <c r="C473" s="220" t="s">
        <v>1103</v>
      </c>
      <c r="D473" s="220" t="s">
        <v>1102</v>
      </c>
      <c r="E473" s="220" t="s">
        <v>1101</v>
      </c>
      <c r="F473" s="220" t="s">
        <v>1100</v>
      </c>
      <c r="G473" s="220"/>
      <c r="H473" s="220" t="s">
        <v>1099</v>
      </c>
      <c r="I473" s="220" t="s">
        <v>345</v>
      </c>
      <c r="J473" s="220" t="s">
        <v>297</v>
      </c>
      <c r="K473" s="220" t="s">
        <v>344</v>
      </c>
      <c r="L473" s="220" t="s">
        <v>601</v>
      </c>
      <c r="M473" s="220" t="s">
        <v>600</v>
      </c>
      <c r="N473" s="220" t="s">
        <v>329</v>
      </c>
      <c r="O473" s="220" t="s">
        <v>297</v>
      </c>
      <c r="P473" s="220" t="s">
        <v>599</v>
      </c>
      <c r="Q473" s="220" t="s">
        <v>598</v>
      </c>
      <c r="R473" s="220"/>
      <c r="S473" s="220" t="s">
        <v>791</v>
      </c>
      <c r="T473" s="220" t="s">
        <v>151</v>
      </c>
      <c r="U473" s="220"/>
      <c r="V473" s="220"/>
      <c r="W473" s="220"/>
      <c r="X473" s="220"/>
      <c r="Y473" s="283"/>
      <c r="Z473" s="220"/>
      <c r="AA473" s="220"/>
      <c r="AB473" s="220"/>
      <c r="AC473" s="220"/>
      <c r="AD473" s="220"/>
      <c r="AE473" s="283"/>
      <c r="AF473" s="220"/>
      <c r="AG473" s="220"/>
      <c r="AH473" s="220"/>
      <c r="AI473" s="220"/>
      <c r="AJ473" s="226">
        <v>12</v>
      </c>
      <c r="AK473" s="226">
        <v>0</v>
      </c>
      <c r="AL473" s="225">
        <v>4.8000000000000001E-2</v>
      </c>
      <c r="AM473" s="220"/>
      <c r="AN473" s="225">
        <v>405.36</v>
      </c>
      <c r="AO473" s="220"/>
      <c r="AP473" s="220"/>
      <c r="AQ473" s="283"/>
      <c r="AR473" s="283"/>
      <c r="AS473" s="283"/>
      <c r="AT473" s="223">
        <v>0</v>
      </c>
      <c r="AU473" s="284">
        <v>35.4</v>
      </c>
      <c r="AV473" s="221">
        <v>42954</v>
      </c>
      <c r="AW473" s="221">
        <v>42954.781707754599</v>
      </c>
      <c r="AX473" s="220" t="s">
        <v>293</v>
      </c>
      <c r="AY473" s="219" t="s">
        <v>1098</v>
      </c>
    </row>
    <row r="474" spans="1:51" hidden="1" outlineLevel="1" collapsed="1">
      <c r="A474" s="227" t="s">
        <v>289</v>
      </c>
      <c r="B474" s="220" t="s">
        <v>1096</v>
      </c>
      <c r="C474" s="220" t="s">
        <v>1096</v>
      </c>
      <c r="D474" s="220" t="s">
        <v>1095</v>
      </c>
      <c r="E474" s="220" t="s">
        <v>1094</v>
      </c>
      <c r="F474" s="220" t="s">
        <v>1093</v>
      </c>
      <c r="G474" s="220"/>
      <c r="H474" s="220" t="s">
        <v>1092</v>
      </c>
      <c r="I474" s="220" t="s">
        <v>329</v>
      </c>
      <c r="J474" s="220" t="s">
        <v>297</v>
      </c>
      <c r="K474" s="220" t="s">
        <v>397</v>
      </c>
      <c r="L474" s="220" t="s">
        <v>850</v>
      </c>
      <c r="M474" s="220" t="s">
        <v>849</v>
      </c>
      <c r="N474" s="220" t="s">
        <v>329</v>
      </c>
      <c r="O474" s="220" t="s">
        <v>297</v>
      </c>
      <c r="P474" s="220" t="s">
        <v>848</v>
      </c>
      <c r="Q474" s="220" t="s">
        <v>847</v>
      </c>
      <c r="R474" s="220"/>
      <c r="S474" s="220" t="s">
        <v>791</v>
      </c>
      <c r="T474" s="220" t="s">
        <v>151</v>
      </c>
      <c r="U474" s="220"/>
      <c r="V474" s="220"/>
      <c r="W474" s="220"/>
      <c r="X474" s="220"/>
      <c r="Y474" s="283"/>
      <c r="Z474" s="220"/>
      <c r="AA474" s="220"/>
      <c r="AB474" s="220"/>
      <c r="AC474" s="220"/>
      <c r="AD474" s="220"/>
      <c r="AE474" s="283"/>
      <c r="AF474" s="220"/>
      <c r="AG474" s="220"/>
      <c r="AH474" s="220" t="s">
        <v>863</v>
      </c>
      <c r="AI474" s="220"/>
      <c r="AJ474" s="226">
        <v>8</v>
      </c>
      <c r="AK474" s="226">
        <v>0</v>
      </c>
      <c r="AL474" s="225">
        <v>3.5200000000000002E-2</v>
      </c>
      <c r="AM474" s="220"/>
      <c r="AN474" s="225">
        <v>298.47199999999998</v>
      </c>
      <c r="AO474" s="220"/>
      <c r="AP474" s="220"/>
      <c r="AQ474" s="283"/>
      <c r="AR474" s="283"/>
      <c r="AS474" s="283"/>
      <c r="AT474" s="223">
        <v>0</v>
      </c>
      <c r="AU474" s="284">
        <v>26</v>
      </c>
      <c r="AV474" s="221">
        <v>42956</v>
      </c>
      <c r="AW474" s="221">
        <v>42956.671230057902</v>
      </c>
      <c r="AX474" s="220" t="s">
        <v>293</v>
      </c>
      <c r="AY474" s="219" t="s">
        <v>1091</v>
      </c>
    </row>
    <row r="475" spans="1:51" hidden="1" outlineLevel="1" collapsed="1">
      <c r="A475" s="227" t="s">
        <v>289</v>
      </c>
      <c r="B475" s="220" t="s">
        <v>1096</v>
      </c>
      <c r="C475" s="220" t="s">
        <v>1096</v>
      </c>
      <c r="D475" s="220" t="s">
        <v>1095</v>
      </c>
      <c r="E475" s="220" t="s">
        <v>1094</v>
      </c>
      <c r="F475" s="220" t="s">
        <v>1093</v>
      </c>
      <c r="G475" s="220"/>
      <c r="H475" s="220" t="s">
        <v>1092</v>
      </c>
      <c r="I475" s="220" t="s">
        <v>329</v>
      </c>
      <c r="J475" s="220" t="s">
        <v>297</v>
      </c>
      <c r="K475" s="220" t="s">
        <v>397</v>
      </c>
      <c r="L475" s="220" t="s">
        <v>850</v>
      </c>
      <c r="M475" s="220" t="s">
        <v>849</v>
      </c>
      <c r="N475" s="220" t="s">
        <v>329</v>
      </c>
      <c r="O475" s="220" t="s">
        <v>297</v>
      </c>
      <c r="P475" s="220" t="s">
        <v>848</v>
      </c>
      <c r="Q475" s="220" t="s">
        <v>847</v>
      </c>
      <c r="R475" s="220"/>
      <c r="S475" s="220" t="s">
        <v>791</v>
      </c>
      <c r="T475" s="220" t="s">
        <v>151</v>
      </c>
      <c r="U475" s="220"/>
      <c r="V475" s="220"/>
      <c r="W475" s="220"/>
      <c r="X475" s="220"/>
      <c r="Y475" s="283"/>
      <c r="Z475" s="220"/>
      <c r="AA475" s="220"/>
      <c r="AB475" s="220"/>
      <c r="AC475" s="220"/>
      <c r="AD475" s="220"/>
      <c r="AE475" s="283"/>
      <c r="AF475" s="220"/>
      <c r="AG475" s="220"/>
      <c r="AH475" s="220" t="s">
        <v>985</v>
      </c>
      <c r="AI475" s="220"/>
      <c r="AJ475" s="226">
        <v>8</v>
      </c>
      <c r="AK475" s="226">
        <v>0</v>
      </c>
      <c r="AL475" s="225">
        <v>3.2000000000000001E-2</v>
      </c>
      <c r="AM475" s="220"/>
      <c r="AN475" s="225">
        <v>274.27199999999999</v>
      </c>
      <c r="AO475" s="220"/>
      <c r="AP475" s="220"/>
      <c r="AQ475" s="283"/>
      <c r="AR475" s="283"/>
      <c r="AS475" s="283"/>
      <c r="AT475" s="223">
        <v>0</v>
      </c>
      <c r="AU475" s="284">
        <v>10.96</v>
      </c>
      <c r="AV475" s="221">
        <v>42956</v>
      </c>
      <c r="AW475" s="221">
        <v>42956.671230057902</v>
      </c>
      <c r="AX475" s="220" t="s">
        <v>293</v>
      </c>
      <c r="AY475" s="219" t="s">
        <v>1097</v>
      </c>
    </row>
    <row r="476" spans="1:51" hidden="1" outlineLevel="1" collapsed="1">
      <c r="A476" s="227" t="s">
        <v>289</v>
      </c>
      <c r="B476" s="220" t="s">
        <v>1088</v>
      </c>
      <c r="C476" s="220" t="s">
        <v>1088</v>
      </c>
      <c r="D476" s="220" t="s">
        <v>1087</v>
      </c>
      <c r="E476" s="220" t="s">
        <v>1086</v>
      </c>
      <c r="F476" s="220" t="s">
        <v>1085</v>
      </c>
      <c r="G476" s="220"/>
      <c r="H476" s="220" t="s">
        <v>1084</v>
      </c>
      <c r="I476" s="220" t="s">
        <v>329</v>
      </c>
      <c r="J476" s="220" t="s">
        <v>297</v>
      </c>
      <c r="K476" s="220" t="s">
        <v>328</v>
      </c>
      <c r="L476" s="220" t="s">
        <v>978</v>
      </c>
      <c r="M476" s="220" t="s">
        <v>977</v>
      </c>
      <c r="N476" s="220" t="s">
        <v>752</v>
      </c>
      <c r="O476" s="220" t="s">
        <v>297</v>
      </c>
      <c r="P476" s="220" t="s">
        <v>328</v>
      </c>
      <c r="Q476" s="220"/>
      <c r="R476" s="220" t="s">
        <v>976</v>
      </c>
      <c r="S476" s="220" t="s">
        <v>791</v>
      </c>
      <c r="T476" s="220" t="s">
        <v>151</v>
      </c>
      <c r="U476" s="220"/>
      <c r="V476" s="220"/>
      <c r="W476" s="220"/>
      <c r="X476" s="220"/>
      <c r="Y476" s="283"/>
      <c r="Z476" s="220"/>
      <c r="AA476" s="220"/>
      <c r="AB476" s="220"/>
      <c r="AC476" s="220"/>
      <c r="AD476" s="220"/>
      <c r="AE476" s="283"/>
      <c r="AF476" s="220"/>
      <c r="AG476" s="220"/>
      <c r="AH476" s="220" t="s">
        <v>1090</v>
      </c>
      <c r="AI476" s="220"/>
      <c r="AJ476" s="226">
        <v>1</v>
      </c>
      <c r="AK476" s="226">
        <v>0</v>
      </c>
      <c r="AL476" s="225">
        <v>6.4999999999999997E-3</v>
      </c>
      <c r="AM476" s="220"/>
      <c r="AN476" s="225">
        <v>55.459000000000003</v>
      </c>
      <c r="AO476" s="220"/>
      <c r="AP476" s="220"/>
      <c r="AQ476" s="283"/>
      <c r="AR476" s="283"/>
      <c r="AS476" s="283"/>
      <c r="AT476" s="223">
        <v>0</v>
      </c>
      <c r="AU476" s="284">
        <v>5</v>
      </c>
      <c r="AV476" s="221">
        <v>42956</v>
      </c>
      <c r="AW476" s="221">
        <v>42956.683269097201</v>
      </c>
      <c r="AX476" s="220" t="s">
        <v>293</v>
      </c>
      <c r="AY476" s="219" t="s">
        <v>1089</v>
      </c>
    </row>
    <row r="477" spans="1:51" hidden="1" outlineLevel="1" collapsed="1">
      <c r="A477" s="227" t="s">
        <v>289</v>
      </c>
      <c r="B477" s="220" t="s">
        <v>1088</v>
      </c>
      <c r="C477" s="220" t="s">
        <v>1088</v>
      </c>
      <c r="D477" s="220" t="s">
        <v>1087</v>
      </c>
      <c r="E477" s="220" t="s">
        <v>1086</v>
      </c>
      <c r="F477" s="220" t="s">
        <v>1085</v>
      </c>
      <c r="G477" s="220"/>
      <c r="H477" s="220" t="s">
        <v>1084</v>
      </c>
      <c r="I477" s="220" t="s">
        <v>329</v>
      </c>
      <c r="J477" s="220" t="s">
        <v>297</v>
      </c>
      <c r="K477" s="220" t="s">
        <v>328</v>
      </c>
      <c r="L477" s="220" t="s">
        <v>978</v>
      </c>
      <c r="M477" s="220" t="s">
        <v>977</v>
      </c>
      <c r="N477" s="220" t="s">
        <v>752</v>
      </c>
      <c r="O477" s="220" t="s">
        <v>297</v>
      </c>
      <c r="P477" s="220" t="s">
        <v>328</v>
      </c>
      <c r="Q477" s="220"/>
      <c r="R477" s="220" t="s">
        <v>976</v>
      </c>
      <c r="S477" s="220" t="s">
        <v>791</v>
      </c>
      <c r="T477" s="220" t="s">
        <v>151</v>
      </c>
      <c r="U477" s="220"/>
      <c r="V477" s="220"/>
      <c r="W477" s="220"/>
      <c r="X477" s="220"/>
      <c r="Y477" s="283"/>
      <c r="Z477" s="220"/>
      <c r="AA477" s="220"/>
      <c r="AB477" s="220"/>
      <c r="AC477" s="220"/>
      <c r="AD477" s="220"/>
      <c r="AE477" s="283"/>
      <c r="AF477" s="220"/>
      <c r="AG477" s="220"/>
      <c r="AH477" s="220" t="s">
        <v>1083</v>
      </c>
      <c r="AI477" s="220"/>
      <c r="AJ477" s="226">
        <v>4</v>
      </c>
      <c r="AK477" s="226">
        <v>0</v>
      </c>
      <c r="AL477" s="225">
        <v>1.6E-2</v>
      </c>
      <c r="AM477" s="220"/>
      <c r="AN477" s="225">
        <v>135.12</v>
      </c>
      <c r="AO477" s="220"/>
      <c r="AP477" s="220"/>
      <c r="AQ477" s="283"/>
      <c r="AR477" s="283"/>
      <c r="AS477" s="283"/>
      <c r="AT477" s="223">
        <v>0</v>
      </c>
      <c r="AU477" s="284">
        <v>9</v>
      </c>
      <c r="AV477" s="221">
        <v>42956</v>
      </c>
      <c r="AW477" s="221">
        <v>42956.683269097201</v>
      </c>
      <c r="AX477" s="220" t="s">
        <v>293</v>
      </c>
      <c r="AY477" s="219" t="s">
        <v>1082</v>
      </c>
    </row>
    <row r="478" spans="1:51" hidden="1" outlineLevel="1" collapsed="1">
      <c r="A478" s="227" t="s">
        <v>289</v>
      </c>
      <c r="B478" s="220" t="s">
        <v>1079</v>
      </c>
      <c r="C478" s="220" t="s">
        <v>1079</v>
      </c>
      <c r="D478" s="220" t="s">
        <v>1078</v>
      </c>
      <c r="E478" s="220" t="s">
        <v>1077</v>
      </c>
      <c r="F478" s="220" t="s">
        <v>1076</v>
      </c>
      <c r="G478" s="220"/>
      <c r="H478" s="220" t="s">
        <v>1075</v>
      </c>
      <c r="I478" s="220" t="s">
        <v>329</v>
      </c>
      <c r="J478" s="220" t="s">
        <v>297</v>
      </c>
      <c r="K478" s="220" t="s">
        <v>328</v>
      </c>
      <c r="L478" s="220" t="s">
        <v>978</v>
      </c>
      <c r="M478" s="220" t="s">
        <v>977</v>
      </c>
      <c r="N478" s="220" t="s">
        <v>752</v>
      </c>
      <c r="O478" s="220" t="s">
        <v>297</v>
      </c>
      <c r="P478" s="220" t="s">
        <v>328</v>
      </c>
      <c r="Q478" s="220"/>
      <c r="R478" s="220" t="s">
        <v>976</v>
      </c>
      <c r="S478" s="220" t="s">
        <v>791</v>
      </c>
      <c r="T478" s="220" t="s">
        <v>151</v>
      </c>
      <c r="U478" s="220"/>
      <c r="V478" s="220"/>
      <c r="W478" s="220"/>
      <c r="X478" s="220"/>
      <c r="Y478" s="283"/>
      <c r="Z478" s="220"/>
      <c r="AA478" s="220"/>
      <c r="AB478" s="220"/>
      <c r="AC478" s="220"/>
      <c r="AD478" s="220"/>
      <c r="AE478" s="283"/>
      <c r="AF478" s="220"/>
      <c r="AG478" s="220"/>
      <c r="AH478" s="220" t="s">
        <v>1081</v>
      </c>
      <c r="AI478" s="220"/>
      <c r="AJ478" s="226">
        <v>2</v>
      </c>
      <c r="AK478" s="226">
        <v>0</v>
      </c>
      <c r="AL478" s="225">
        <v>7.4000000000000003E-3</v>
      </c>
      <c r="AM478" s="220"/>
      <c r="AN478" s="225">
        <v>62.518000000000001</v>
      </c>
      <c r="AO478" s="220"/>
      <c r="AP478" s="220"/>
      <c r="AQ478" s="283"/>
      <c r="AR478" s="283"/>
      <c r="AS478" s="283"/>
      <c r="AT478" s="223">
        <v>0</v>
      </c>
      <c r="AU478" s="284">
        <v>9.44</v>
      </c>
      <c r="AV478" s="221">
        <v>42956</v>
      </c>
      <c r="AW478" s="221">
        <v>42956.699713576403</v>
      </c>
      <c r="AX478" s="220" t="s">
        <v>293</v>
      </c>
      <c r="AY478" s="219" t="s">
        <v>1080</v>
      </c>
    </row>
    <row r="479" spans="1:51" hidden="1" outlineLevel="1" collapsed="1">
      <c r="A479" s="227" t="s">
        <v>289</v>
      </c>
      <c r="B479" s="220" t="s">
        <v>1079</v>
      </c>
      <c r="C479" s="220" t="s">
        <v>1079</v>
      </c>
      <c r="D479" s="220" t="s">
        <v>1078</v>
      </c>
      <c r="E479" s="220" t="s">
        <v>1077</v>
      </c>
      <c r="F479" s="220" t="s">
        <v>1076</v>
      </c>
      <c r="G479" s="220"/>
      <c r="H479" s="220" t="s">
        <v>1075</v>
      </c>
      <c r="I479" s="220" t="s">
        <v>329</v>
      </c>
      <c r="J479" s="220" t="s">
        <v>297</v>
      </c>
      <c r="K479" s="220" t="s">
        <v>328</v>
      </c>
      <c r="L479" s="220" t="s">
        <v>978</v>
      </c>
      <c r="M479" s="220" t="s">
        <v>977</v>
      </c>
      <c r="N479" s="220" t="s">
        <v>752</v>
      </c>
      <c r="O479" s="220" t="s">
        <v>297</v>
      </c>
      <c r="P479" s="220" t="s">
        <v>328</v>
      </c>
      <c r="Q479" s="220"/>
      <c r="R479" s="220" t="s">
        <v>976</v>
      </c>
      <c r="S479" s="220" t="s">
        <v>791</v>
      </c>
      <c r="T479" s="220" t="s">
        <v>151</v>
      </c>
      <c r="U479" s="220"/>
      <c r="V479" s="220"/>
      <c r="W479" s="220"/>
      <c r="X479" s="220"/>
      <c r="Y479" s="283"/>
      <c r="Z479" s="220"/>
      <c r="AA479" s="220"/>
      <c r="AB479" s="220"/>
      <c r="AC479" s="220"/>
      <c r="AD479" s="220"/>
      <c r="AE479" s="283"/>
      <c r="AF479" s="220"/>
      <c r="AG479" s="220"/>
      <c r="AH479" s="220" t="s">
        <v>1053</v>
      </c>
      <c r="AI479" s="220"/>
      <c r="AJ479" s="226">
        <v>6</v>
      </c>
      <c r="AK479" s="226">
        <v>0</v>
      </c>
      <c r="AL479" s="225">
        <v>1.6799999999999999E-2</v>
      </c>
      <c r="AM479" s="220"/>
      <c r="AN479" s="225">
        <v>145.19999999999999</v>
      </c>
      <c r="AO479" s="220"/>
      <c r="AP479" s="220"/>
      <c r="AQ479" s="283"/>
      <c r="AR479" s="283"/>
      <c r="AS479" s="283"/>
      <c r="AT479" s="223">
        <v>0</v>
      </c>
      <c r="AU479" s="284">
        <v>18.899999999999999</v>
      </c>
      <c r="AV479" s="221">
        <v>42956</v>
      </c>
      <c r="AW479" s="221">
        <v>42956.699713576403</v>
      </c>
      <c r="AX479" s="220" t="s">
        <v>293</v>
      </c>
      <c r="AY479" s="219" t="s">
        <v>1074</v>
      </c>
    </row>
    <row r="480" spans="1:51" hidden="1" outlineLevel="1" collapsed="1">
      <c r="A480" s="227" t="s">
        <v>289</v>
      </c>
      <c r="B480" s="220" t="s">
        <v>1065</v>
      </c>
      <c r="C480" s="220" t="s">
        <v>1065</v>
      </c>
      <c r="D480" s="220" t="s">
        <v>1064</v>
      </c>
      <c r="E480" s="220" t="s">
        <v>1063</v>
      </c>
      <c r="F480" s="220" t="s">
        <v>1062</v>
      </c>
      <c r="G480" s="220"/>
      <c r="H480" s="220" t="s">
        <v>1061</v>
      </c>
      <c r="I480" s="220" t="s">
        <v>329</v>
      </c>
      <c r="J480" s="220" t="s">
        <v>297</v>
      </c>
      <c r="K480" s="220" t="s">
        <v>397</v>
      </c>
      <c r="L480" s="220" t="s">
        <v>959</v>
      </c>
      <c r="M480" s="220" t="s">
        <v>958</v>
      </c>
      <c r="N480" s="220" t="s">
        <v>329</v>
      </c>
      <c r="O480" s="220" t="s">
        <v>297</v>
      </c>
      <c r="P480" s="220" t="s">
        <v>397</v>
      </c>
      <c r="Q480" s="220" t="s">
        <v>957</v>
      </c>
      <c r="R480" s="220"/>
      <c r="S480" s="220" t="s">
        <v>895</v>
      </c>
      <c r="T480" s="220" t="s">
        <v>150</v>
      </c>
      <c r="U480" s="220"/>
      <c r="V480" s="220"/>
      <c r="W480" s="220"/>
      <c r="X480" s="220"/>
      <c r="Y480" s="283"/>
      <c r="Z480" s="220"/>
      <c r="AA480" s="220"/>
      <c r="AB480" s="220"/>
      <c r="AC480" s="220"/>
      <c r="AD480" s="220"/>
      <c r="AE480" s="283"/>
      <c r="AF480" s="220"/>
      <c r="AG480" s="220"/>
      <c r="AH480" s="220" t="s">
        <v>1069</v>
      </c>
      <c r="AI480" s="220"/>
      <c r="AJ480" s="226">
        <v>1</v>
      </c>
      <c r="AK480" s="226">
        <v>0</v>
      </c>
      <c r="AL480" s="225">
        <v>3.8999999999999998E-3</v>
      </c>
      <c r="AM480" s="220"/>
      <c r="AN480" s="225">
        <v>33.578000000000003</v>
      </c>
      <c r="AO480" s="220"/>
      <c r="AP480" s="220"/>
      <c r="AQ480" s="283"/>
      <c r="AR480" s="283"/>
      <c r="AS480" s="283"/>
      <c r="AT480" s="223">
        <v>0</v>
      </c>
      <c r="AU480" s="284">
        <v>9.44</v>
      </c>
      <c r="AV480" s="221">
        <v>42956</v>
      </c>
      <c r="AW480" s="221">
        <v>42956.764294247703</v>
      </c>
      <c r="AX480" s="220" t="s">
        <v>293</v>
      </c>
      <c r="AY480" s="219" t="s">
        <v>1068</v>
      </c>
    </row>
    <row r="481" spans="1:51" hidden="1" outlineLevel="1" collapsed="1">
      <c r="A481" s="227" t="s">
        <v>289</v>
      </c>
      <c r="B481" s="220" t="s">
        <v>1065</v>
      </c>
      <c r="C481" s="220" t="s">
        <v>1065</v>
      </c>
      <c r="D481" s="220" t="s">
        <v>1064</v>
      </c>
      <c r="E481" s="220" t="s">
        <v>1063</v>
      </c>
      <c r="F481" s="220" t="s">
        <v>1062</v>
      </c>
      <c r="G481" s="220"/>
      <c r="H481" s="220" t="s">
        <v>1061</v>
      </c>
      <c r="I481" s="220" t="s">
        <v>329</v>
      </c>
      <c r="J481" s="220" t="s">
        <v>297</v>
      </c>
      <c r="K481" s="220" t="s">
        <v>397</v>
      </c>
      <c r="L481" s="220" t="s">
        <v>959</v>
      </c>
      <c r="M481" s="220" t="s">
        <v>958</v>
      </c>
      <c r="N481" s="220" t="s">
        <v>329</v>
      </c>
      <c r="O481" s="220" t="s">
        <v>297</v>
      </c>
      <c r="P481" s="220" t="s">
        <v>397</v>
      </c>
      <c r="Q481" s="220" t="s">
        <v>957</v>
      </c>
      <c r="R481" s="220"/>
      <c r="S481" s="220" t="s">
        <v>895</v>
      </c>
      <c r="T481" s="220" t="s">
        <v>150</v>
      </c>
      <c r="U481" s="220"/>
      <c r="V481" s="220"/>
      <c r="W481" s="220"/>
      <c r="X481" s="220"/>
      <c r="Y481" s="283"/>
      <c r="Z481" s="220"/>
      <c r="AA481" s="220"/>
      <c r="AB481" s="220"/>
      <c r="AC481" s="220"/>
      <c r="AD481" s="220"/>
      <c r="AE481" s="283"/>
      <c r="AF481" s="220"/>
      <c r="AG481" s="220"/>
      <c r="AH481" s="220" t="s">
        <v>1071</v>
      </c>
      <c r="AI481" s="220"/>
      <c r="AJ481" s="226">
        <v>1</v>
      </c>
      <c r="AK481" s="226">
        <v>0</v>
      </c>
      <c r="AL481" s="225">
        <v>2.7E-2</v>
      </c>
      <c r="AM481" s="220"/>
      <c r="AN481" s="225">
        <v>229.904</v>
      </c>
      <c r="AO481" s="220"/>
      <c r="AP481" s="220"/>
      <c r="AQ481" s="283"/>
      <c r="AR481" s="283"/>
      <c r="AS481" s="283"/>
      <c r="AT481" s="223">
        <v>0</v>
      </c>
      <c r="AU481" s="284">
        <v>10</v>
      </c>
      <c r="AV481" s="221">
        <v>42956</v>
      </c>
      <c r="AW481" s="221">
        <v>42956.764294247703</v>
      </c>
      <c r="AX481" s="220" t="s">
        <v>293</v>
      </c>
      <c r="AY481" s="219" t="s">
        <v>1070</v>
      </c>
    </row>
    <row r="482" spans="1:51" ht="20.399999999999999" hidden="1" outlineLevel="1" collapsed="1">
      <c r="A482" s="227" t="s">
        <v>289</v>
      </c>
      <c r="B482" s="220" t="s">
        <v>1065</v>
      </c>
      <c r="C482" s="220" t="s">
        <v>1065</v>
      </c>
      <c r="D482" s="220" t="s">
        <v>1064</v>
      </c>
      <c r="E482" s="220" t="s">
        <v>1063</v>
      </c>
      <c r="F482" s="220" t="s">
        <v>1062</v>
      </c>
      <c r="G482" s="220"/>
      <c r="H482" s="220" t="s">
        <v>1061</v>
      </c>
      <c r="I482" s="220" t="s">
        <v>329</v>
      </c>
      <c r="J482" s="220" t="s">
        <v>297</v>
      </c>
      <c r="K482" s="220" t="s">
        <v>397</v>
      </c>
      <c r="L482" s="220" t="s">
        <v>959</v>
      </c>
      <c r="M482" s="220" t="s">
        <v>958</v>
      </c>
      <c r="N482" s="220" t="s">
        <v>329</v>
      </c>
      <c r="O482" s="220" t="s">
        <v>297</v>
      </c>
      <c r="P482" s="220" t="s">
        <v>397</v>
      </c>
      <c r="Q482" s="220" t="s">
        <v>957</v>
      </c>
      <c r="R482" s="220"/>
      <c r="S482" s="220" t="s">
        <v>791</v>
      </c>
      <c r="T482" s="220" t="s">
        <v>151</v>
      </c>
      <c r="U482" s="220"/>
      <c r="V482" s="220"/>
      <c r="W482" s="220"/>
      <c r="X482" s="220"/>
      <c r="Y482" s="283"/>
      <c r="Z482" s="220"/>
      <c r="AA482" s="220"/>
      <c r="AB482" s="220"/>
      <c r="AC482" s="220"/>
      <c r="AD482" s="220"/>
      <c r="AE482" s="283"/>
      <c r="AF482" s="220"/>
      <c r="AG482" s="220"/>
      <c r="AH482" s="220" t="s">
        <v>1060</v>
      </c>
      <c r="AI482" s="220"/>
      <c r="AJ482" s="226">
        <v>2</v>
      </c>
      <c r="AK482" s="226">
        <v>0</v>
      </c>
      <c r="AL482" s="225">
        <v>8.9999999999999993E-3</v>
      </c>
      <c r="AM482" s="220"/>
      <c r="AN482" s="225">
        <v>76.634</v>
      </c>
      <c r="AO482" s="220"/>
      <c r="AP482" s="220"/>
      <c r="AQ482" s="283"/>
      <c r="AR482" s="283"/>
      <c r="AS482" s="283"/>
      <c r="AT482" s="223">
        <v>0</v>
      </c>
      <c r="AU482" s="284">
        <v>4.3600000000000003</v>
      </c>
      <c r="AV482" s="221">
        <v>42956</v>
      </c>
      <c r="AW482" s="221">
        <v>42956.764294247703</v>
      </c>
      <c r="AX482" s="220" t="s">
        <v>293</v>
      </c>
      <c r="AY482" s="219" t="s">
        <v>1059</v>
      </c>
    </row>
    <row r="483" spans="1:51" hidden="1" outlineLevel="1" collapsed="1">
      <c r="A483" s="227" t="s">
        <v>289</v>
      </c>
      <c r="B483" s="220" t="s">
        <v>1065</v>
      </c>
      <c r="C483" s="220" t="s">
        <v>1065</v>
      </c>
      <c r="D483" s="220" t="s">
        <v>1064</v>
      </c>
      <c r="E483" s="220" t="s">
        <v>1063</v>
      </c>
      <c r="F483" s="220" t="s">
        <v>1062</v>
      </c>
      <c r="G483" s="220"/>
      <c r="H483" s="220" t="s">
        <v>1061</v>
      </c>
      <c r="I483" s="220" t="s">
        <v>329</v>
      </c>
      <c r="J483" s="220" t="s">
        <v>297</v>
      </c>
      <c r="K483" s="220" t="s">
        <v>397</v>
      </c>
      <c r="L483" s="220" t="s">
        <v>959</v>
      </c>
      <c r="M483" s="220" t="s">
        <v>958</v>
      </c>
      <c r="N483" s="220" t="s">
        <v>329</v>
      </c>
      <c r="O483" s="220" t="s">
        <v>297</v>
      </c>
      <c r="P483" s="220" t="s">
        <v>397</v>
      </c>
      <c r="Q483" s="220" t="s">
        <v>957</v>
      </c>
      <c r="R483" s="220"/>
      <c r="S483" s="220" t="s">
        <v>791</v>
      </c>
      <c r="T483" s="220" t="s">
        <v>151</v>
      </c>
      <c r="U483" s="220"/>
      <c r="V483" s="220"/>
      <c r="W483" s="220"/>
      <c r="X483" s="220"/>
      <c r="Y483" s="283"/>
      <c r="Z483" s="220"/>
      <c r="AA483" s="220"/>
      <c r="AB483" s="220"/>
      <c r="AC483" s="220"/>
      <c r="AD483" s="220"/>
      <c r="AE483" s="283"/>
      <c r="AF483" s="220"/>
      <c r="AG483" s="220"/>
      <c r="AH483" s="220" t="s">
        <v>1067</v>
      </c>
      <c r="AI483" s="220"/>
      <c r="AJ483" s="226">
        <v>1</v>
      </c>
      <c r="AK483" s="226">
        <v>0</v>
      </c>
      <c r="AL483" s="225">
        <v>6.1999999999999998E-3</v>
      </c>
      <c r="AM483" s="220"/>
      <c r="AN483" s="225">
        <v>52.433999999999997</v>
      </c>
      <c r="AO483" s="220"/>
      <c r="AP483" s="220"/>
      <c r="AQ483" s="283"/>
      <c r="AR483" s="283"/>
      <c r="AS483" s="283"/>
      <c r="AT483" s="223">
        <v>0</v>
      </c>
      <c r="AU483" s="284">
        <v>5</v>
      </c>
      <c r="AV483" s="221">
        <v>42956</v>
      </c>
      <c r="AW483" s="221">
        <v>42956.764294247703</v>
      </c>
      <c r="AX483" s="220" t="s">
        <v>293</v>
      </c>
      <c r="AY483" s="219" t="s">
        <v>1066</v>
      </c>
    </row>
    <row r="484" spans="1:51" ht="30.6" hidden="1" outlineLevel="1" collapsed="1">
      <c r="A484" s="227" t="s">
        <v>289</v>
      </c>
      <c r="B484" s="220" t="s">
        <v>1065</v>
      </c>
      <c r="C484" s="220" t="s">
        <v>1065</v>
      </c>
      <c r="D484" s="220" t="s">
        <v>1064</v>
      </c>
      <c r="E484" s="220" t="s">
        <v>1063</v>
      </c>
      <c r="F484" s="220" t="s">
        <v>1062</v>
      </c>
      <c r="G484" s="220"/>
      <c r="H484" s="220" t="s">
        <v>1061</v>
      </c>
      <c r="I484" s="220" t="s">
        <v>329</v>
      </c>
      <c r="J484" s="220" t="s">
        <v>297</v>
      </c>
      <c r="K484" s="220" t="s">
        <v>397</v>
      </c>
      <c r="L484" s="220" t="s">
        <v>959</v>
      </c>
      <c r="M484" s="220" t="s">
        <v>958</v>
      </c>
      <c r="N484" s="220" t="s">
        <v>329</v>
      </c>
      <c r="O484" s="220" t="s">
        <v>297</v>
      </c>
      <c r="P484" s="220" t="s">
        <v>397</v>
      </c>
      <c r="Q484" s="220" t="s">
        <v>957</v>
      </c>
      <c r="R484" s="220"/>
      <c r="S484" s="220" t="s">
        <v>791</v>
      </c>
      <c r="T484" s="220" t="s">
        <v>151</v>
      </c>
      <c r="U484" s="220"/>
      <c r="V484" s="220"/>
      <c r="W484" s="220"/>
      <c r="X484" s="220"/>
      <c r="Y484" s="283"/>
      <c r="Z484" s="220"/>
      <c r="AA484" s="220"/>
      <c r="AB484" s="220"/>
      <c r="AC484" s="220"/>
      <c r="AD484" s="220"/>
      <c r="AE484" s="283"/>
      <c r="AF484" s="220"/>
      <c r="AG484" s="220"/>
      <c r="AH484" s="220" t="s">
        <v>1073</v>
      </c>
      <c r="AI484" s="220"/>
      <c r="AJ484" s="226">
        <v>8</v>
      </c>
      <c r="AK484" s="226">
        <v>0</v>
      </c>
      <c r="AL484" s="225">
        <v>3.2800000000000003E-2</v>
      </c>
      <c r="AM484" s="220"/>
      <c r="AN484" s="225">
        <v>278.30399999999997</v>
      </c>
      <c r="AO484" s="220"/>
      <c r="AP484" s="220"/>
      <c r="AQ484" s="283"/>
      <c r="AR484" s="283"/>
      <c r="AS484" s="283"/>
      <c r="AT484" s="223">
        <v>0</v>
      </c>
      <c r="AU484" s="284">
        <v>6</v>
      </c>
      <c r="AV484" s="221">
        <v>42956</v>
      </c>
      <c r="AW484" s="221">
        <v>42956.764294247703</v>
      </c>
      <c r="AX484" s="220" t="s">
        <v>293</v>
      </c>
      <c r="AY484" s="219" t="s">
        <v>1072</v>
      </c>
    </row>
    <row r="485" spans="1:51" hidden="1" outlineLevel="1" collapsed="1">
      <c r="A485" s="227" t="s">
        <v>289</v>
      </c>
      <c r="B485" s="220" t="s">
        <v>1058</v>
      </c>
      <c r="C485" s="220" t="s">
        <v>1058</v>
      </c>
      <c r="D485" s="220" t="s">
        <v>1057</v>
      </c>
      <c r="E485" s="220" t="s">
        <v>1056</v>
      </c>
      <c r="F485" s="220" t="s">
        <v>1055</v>
      </c>
      <c r="G485" s="220"/>
      <c r="H485" s="220" t="s">
        <v>1054</v>
      </c>
      <c r="I485" s="220" t="s">
        <v>329</v>
      </c>
      <c r="J485" s="220" t="s">
        <v>297</v>
      </c>
      <c r="K485" s="220" t="s">
        <v>328</v>
      </c>
      <c r="L485" s="220" t="s">
        <v>978</v>
      </c>
      <c r="M485" s="220" t="s">
        <v>977</v>
      </c>
      <c r="N485" s="220" t="s">
        <v>752</v>
      </c>
      <c r="O485" s="220" t="s">
        <v>297</v>
      </c>
      <c r="P485" s="220" t="s">
        <v>328</v>
      </c>
      <c r="Q485" s="220"/>
      <c r="R485" s="220" t="s">
        <v>976</v>
      </c>
      <c r="S485" s="220" t="s">
        <v>791</v>
      </c>
      <c r="T485" s="220" t="s">
        <v>151</v>
      </c>
      <c r="U485" s="220"/>
      <c r="V485" s="220"/>
      <c r="W485" s="220"/>
      <c r="X485" s="220"/>
      <c r="Y485" s="283"/>
      <c r="Z485" s="220"/>
      <c r="AA485" s="220"/>
      <c r="AB485" s="220"/>
      <c r="AC485" s="220"/>
      <c r="AD485" s="220"/>
      <c r="AE485" s="283"/>
      <c r="AF485" s="220"/>
      <c r="AG485" s="220"/>
      <c r="AH485" s="220" t="s">
        <v>1053</v>
      </c>
      <c r="AI485" s="220"/>
      <c r="AJ485" s="226">
        <v>4</v>
      </c>
      <c r="AK485" s="226">
        <v>0</v>
      </c>
      <c r="AL485" s="225">
        <v>1.12E-2</v>
      </c>
      <c r="AM485" s="220"/>
      <c r="AN485" s="225">
        <v>96.8</v>
      </c>
      <c r="AO485" s="220"/>
      <c r="AP485" s="220"/>
      <c r="AQ485" s="283"/>
      <c r="AR485" s="283"/>
      <c r="AS485" s="283"/>
      <c r="AT485" s="223">
        <v>0</v>
      </c>
      <c r="AU485" s="284">
        <v>14</v>
      </c>
      <c r="AV485" s="221">
        <v>42957</v>
      </c>
      <c r="AW485" s="221">
        <v>42957.798842129603</v>
      </c>
      <c r="AX485" s="220" t="s">
        <v>293</v>
      </c>
      <c r="AY485" s="219" t="s">
        <v>1052</v>
      </c>
    </row>
    <row r="486" spans="1:51" hidden="1" outlineLevel="1" collapsed="1">
      <c r="A486" s="227" t="s">
        <v>289</v>
      </c>
      <c r="B486" s="220" t="s">
        <v>1051</v>
      </c>
      <c r="C486" s="220" t="s">
        <v>1051</v>
      </c>
      <c r="D486" s="220" t="s">
        <v>1050</v>
      </c>
      <c r="E486" s="220" t="s">
        <v>1049</v>
      </c>
      <c r="F486" s="220" t="s">
        <v>1048</v>
      </c>
      <c r="G486" s="220"/>
      <c r="H486" s="220" t="s">
        <v>1047</v>
      </c>
      <c r="I486" s="220" t="s">
        <v>329</v>
      </c>
      <c r="J486" s="220" t="s">
        <v>297</v>
      </c>
      <c r="K486" s="220" t="s">
        <v>397</v>
      </c>
      <c r="L486" s="220" t="s">
        <v>601</v>
      </c>
      <c r="M486" s="220" t="s">
        <v>600</v>
      </c>
      <c r="N486" s="220" t="s">
        <v>329</v>
      </c>
      <c r="O486" s="220" t="s">
        <v>297</v>
      </c>
      <c r="P486" s="220" t="s">
        <v>599</v>
      </c>
      <c r="Q486" s="220" t="s">
        <v>598</v>
      </c>
      <c r="R486" s="220"/>
      <c r="S486" s="220" t="s">
        <v>791</v>
      </c>
      <c r="T486" s="220" t="s">
        <v>151</v>
      </c>
      <c r="U486" s="220"/>
      <c r="V486" s="220"/>
      <c r="W486" s="220"/>
      <c r="X486" s="220"/>
      <c r="Y486" s="283"/>
      <c r="Z486" s="220"/>
      <c r="AA486" s="220"/>
      <c r="AB486" s="220"/>
      <c r="AC486" s="220"/>
      <c r="AD486" s="220"/>
      <c r="AE486" s="283"/>
      <c r="AF486" s="220"/>
      <c r="AG486" s="220"/>
      <c r="AH486" s="220"/>
      <c r="AI486" s="220"/>
      <c r="AJ486" s="226">
        <v>6</v>
      </c>
      <c r="AK486" s="226">
        <v>0</v>
      </c>
      <c r="AL486" s="225">
        <v>2.4E-2</v>
      </c>
      <c r="AM486" s="220"/>
      <c r="AN486" s="225">
        <v>202.68</v>
      </c>
      <c r="AO486" s="220"/>
      <c r="AP486" s="220"/>
      <c r="AQ486" s="283"/>
      <c r="AR486" s="283"/>
      <c r="AS486" s="283"/>
      <c r="AT486" s="223">
        <v>0</v>
      </c>
      <c r="AU486" s="284">
        <v>17.7</v>
      </c>
      <c r="AV486" s="221">
        <v>42961</v>
      </c>
      <c r="AW486" s="221">
        <v>42961.635425844899</v>
      </c>
      <c r="AX486" s="220" t="s">
        <v>293</v>
      </c>
      <c r="AY486" s="219" t="s">
        <v>1046</v>
      </c>
    </row>
    <row r="487" spans="1:51" hidden="1" outlineLevel="1" collapsed="1">
      <c r="A487" s="227" t="s">
        <v>289</v>
      </c>
      <c r="B487" s="220" t="s">
        <v>1044</v>
      </c>
      <c r="C487" s="220" t="s">
        <v>1044</v>
      </c>
      <c r="D487" s="220" t="s">
        <v>1043</v>
      </c>
      <c r="E487" s="220" t="s">
        <v>1042</v>
      </c>
      <c r="F487" s="220" t="s">
        <v>1041</v>
      </c>
      <c r="G487" s="220"/>
      <c r="H487" s="220" t="s">
        <v>1040</v>
      </c>
      <c r="I487" s="220" t="s">
        <v>329</v>
      </c>
      <c r="J487" s="220" t="s">
        <v>297</v>
      </c>
      <c r="K487" s="220" t="s">
        <v>397</v>
      </c>
      <c r="L487" s="220" t="s">
        <v>601</v>
      </c>
      <c r="M487" s="220" t="s">
        <v>600</v>
      </c>
      <c r="N487" s="220" t="s">
        <v>329</v>
      </c>
      <c r="O487" s="220" t="s">
        <v>297</v>
      </c>
      <c r="P487" s="220" t="s">
        <v>599</v>
      </c>
      <c r="Q487" s="220" t="s">
        <v>598</v>
      </c>
      <c r="R487" s="220"/>
      <c r="S487" s="220" t="s">
        <v>791</v>
      </c>
      <c r="T487" s="220" t="s">
        <v>151</v>
      </c>
      <c r="U487" s="220"/>
      <c r="V487" s="220"/>
      <c r="W487" s="220"/>
      <c r="X487" s="220"/>
      <c r="Y487" s="283"/>
      <c r="Z487" s="220"/>
      <c r="AA487" s="220"/>
      <c r="AB487" s="220"/>
      <c r="AC487" s="220"/>
      <c r="AD487" s="220"/>
      <c r="AE487" s="283"/>
      <c r="AF487" s="220"/>
      <c r="AG487" s="220"/>
      <c r="AH487" s="220"/>
      <c r="AI487" s="220"/>
      <c r="AJ487" s="226">
        <v>10</v>
      </c>
      <c r="AK487" s="226">
        <v>0</v>
      </c>
      <c r="AL487" s="225">
        <v>0.04</v>
      </c>
      <c r="AM487" s="220"/>
      <c r="AN487" s="225">
        <v>337.8</v>
      </c>
      <c r="AO487" s="220"/>
      <c r="AP487" s="220"/>
      <c r="AQ487" s="283"/>
      <c r="AR487" s="283"/>
      <c r="AS487" s="283"/>
      <c r="AT487" s="223">
        <v>0</v>
      </c>
      <c r="AU487" s="284">
        <v>29.5</v>
      </c>
      <c r="AV487" s="221">
        <v>42961</v>
      </c>
      <c r="AW487" s="221">
        <v>42961.6363909375</v>
      </c>
      <c r="AX487" s="220" t="s">
        <v>293</v>
      </c>
      <c r="AY487" s="219" t="s">
        <v>1039</v>
      </c>
    </row>
    <row r="488" spans="1:51" hidden="1" outlineLevel="1" collapsed="1">
      <c r="A488" s="227" t="s">
        <v>289</v>
      </c>
      <c r="B488" s="220" t="s">
        <v>1044</v>
      </c>
      <c r="C488" s="220" t="s">
        <v>1044</v>
      </c>
      <c r="D488" s="220" t="s">
        <v>1043</v>
      </c>
      <c r="E488" s="220" t="s">
        <v>1042</v>
      </c>
      <c r="F488" s="220" t="s">
        <v>1041</v>
      </c>
      <c r="G488" s="220"/>
      <c r="H488" s="220" t="s">
        <v>1040</v>
      </c>
      <c r="I488" s="220" t="s">
        <v>329</v>
      </c>
      <c r="J488" s="220" t="s">
        <v>297</v>
      </c>
      <c r="K488" s="220" t="s">
        <v>397</v>
      </c>
      <c r="L488" s="220" t="s">
        <v>601</v>
      </c>
      <c r="M488" s="220" t="s">
        <v>600</v>
      </c>
      <c r="N488" s="220" t="s">
        <v>329</v>
      </c>
      <c r="O488" s="220" t="s">
        <v>297</v>
      </c>
      <c r="P488" s="220" t="s">
        <v>599</v>
      </c>
      <c r="Q488" s="220" t="s">
        <v>598</v>
      </c>
      <c r="R488" s="220"/>
      <c r="S488" s="220" t="s">
        <v>791</v>
      </c>
      <c r="T488" s="220" t="s">
        <v>151</v>
      </c>
      <c r="U488" s="220"/>
      <c r="V488" s="220"/>
      <c r="W488" s="220"/>
      <c r="X488" s="220"/>
      <c r="Y488" s="283"/>
      <c r="Z488" s="220"/>
      <c r="AA488" s="220"/>
      <c r="AB488" s="220"/>
      <c r="AC488" s="220"/>
      <c r="AD488" s="220"/>
      <c r="AE488" s="283"/>
      <c r="AF488" s="220"/>
      <c r="AG488" s="220"/>
      <c r="AH488" s="220"/>
      <c r="AI488" s="220"/>
      <c r="AJ488" s="226">
        <v>8</v>
      </c>
      <c r="AK488" s="226">
        <v>0</v>
      </c>
      <c r="AL488" s="225">
        <v>3.1199999999999999E-2</v>
      </c>
      <c r="AM488" s="220"/>
      <c r="AN488" s="225">
        <v>262.16800000000001</v>
      </c>
      <c r="AO488" s="220"/>
      <c r="AP488" s="220"/>
      <c r="AQ488" s="283"/>
      <c r="AR488" s="283"/>
      <c r="AS488" s="283"/>
      <c r="AT488" s="223">
        <v>0</v>
      </c>
      <c r="AU488" s="284">
        <v>32</v>
      </c>
      <c r="AV488" s="221">
        <v>42961</v>
      </c>
      <c r="AW488" s="221">
        <v>42961.6363909375</v>
      </c>
      <c r="AX488" s="220" t="s">
        <v>293</v>
      </c>
      <c r="AY488" s="219" t="s">
        <v>1045</v>
      </c>
    </row>
    <row r="489" spans="1:51" hidden="1" outlineLevel="1" collapsed="1">
      <c r="A489" s="227" t="s">
        <v>289</v>
      </c>
      <c r="B489" s="220" t="s">
        <v>1038</v>
      </c>
      <c r="C489" s="220" t="s">
        <v>1038</v>
      </c>
      <c r="D489" s="220" t="s">
        <v>1037</v>
      </c>
      <c r="E489" s="220" t="s">
        <v>1036</v>
      </c>
      <c r="F489" s="220" t="s">
        <v>1035</v>
      </c>
      <c r="G489" s="220"/>
      <c r="H489" s="220" t="s">
        <v>1034</v>
      </c>
      <c r="I489" s="220" t="s">
        <v>329</v>
      </c>
      <c r="J489" s="220" t="s">
        <v>297</v>
      </c>
      <c r="K489" s="220" t="s">
        <v>397</v>
      </c>
      <c r="L489" s="220" t="s">
        <v>850</v>
      </c>
      <c r="M489" s="220" t="s">
        <v>849</v>
      </c>
      <c r="N489" s="220" t="s">
        <v>329</v>
      </c>
      <c r="O489" s="220" t="s">
        <v>297</v>
      </c>
      <c r="P489" s="220" t="s">
        <v>848</v>
      </c>
      <c r="Q489" s="220" t="s">
        <v>847</v>
      </c>
      <c r="R489" s="220"/>
      <c r="S489" s="220" t="s">
        <v>791</v>
      </c>
      <c r="T489" s="220" t="s">
        <v>151</v>
      </c>
      <c r="U489" s="220"/>
      <c r="V489" s="220"/>
      <c r="W489" s="220"/>
      <c r="X489" s="220"/>
      <c r="Y489" s="283"/>
      <c r="Z489" s="220"/>
      <c r="AA489" s="220"/>
      <c r="AB489" s="220"/>
      <c r="AC489" s="220"/>
      <c r="AD489" s="220"/>
      <c r="AE489" s="283"/>
      <c r="AF489" s="220"/>
      <c r="AG489" s="220"/>
      <c r="AH489" s="220" t="s">
        <v>1033</v>
      </c>
      <c r="AI489" s="220"/>
      <c r="AJ489" s="226">
        <v>8</v>
      </c>
      <c r="AK489" s="226">
        <v>0</v>
      </c>
      <c r="AL489" s="225">
        <v>3.2000000000000001E-2</v>
      </c>
      <c r="AM489" s="220"/>
      <c r="AN489" s="225">
        <v>274.27199999999999</v>
      </c>
      <c r="AO489" s="220"/>
      <c r="AP489" s="220"/>
      <c r="AQ489" s="283"/>
      <c r="AR489" s="283"/>
      <c r="AS489" s="283"/>
      <c r="AT489" s="223">
        <v>0</v>
      </c>
      <c r="AU489" s="284">
        <v>25.96</v>
      </c>
      <c r="AV489" s="221">
        <v>42962</v>
      </c>
      <c r="AW489" s="221">
        <v>42962.620611458296</v>
      </c>
      <c r="AX489" s="220" t="s">
        <v>293</v>
      </c>
      <c r="AY489" s="219" t="s">
        <v>1032</v>
      </c>
    </row>
    <row r="490" spans="1:51" hidden="1" outlineLevel="1" collapsed="1">
      <c r="A490" s="227" t="s">
        <v>289</v>
      </c>
      <c r="B490" s="220" t="s">
        <v>1031</v>
      </c>
      <c r="C490" s="220" t="s">
        <v>1031</v>
      </c>
      <c r="D490" s="220" t="s">
        <v>1030</v>
      </c>
      <c r="E490" s="220" t="s">
        <v>1029</v>
      </c>
      <c r="F490" s="220" t="s">
        <v>1028</v>
      </c>
      <c r="G490" s="220"/>
      <c r="H490" s="220" t="s">
        <v>1027</v>
      </c>
      <c r="I490" s="220" t="s">
        <v>329</v>
      </c>
      <c r="J490" s="220" t="s">
        <v>297</v>
      </c>
      <c r="K490" s="220" t="s">
        <v>397</v>
      </c>
      <c r="L490" s="220" t="s">
        <v>959</v>
      </c>
      <c r="M490" s="220" t="s">
        <v>958</v>
      </c>
      <c r="N490" s="220" t="s">
        <v>329</v>
      </c>
      <c r="O490" s="220" t="s">
        <v>297</v>
      </c>
      <c r="P490" s="220" t="s">
        <v>397</v>
      </c>
      <c r="Q490" s="220" t="s">
        <v>957</v>
      </c>
      <c r="R490" s="220"/>
      <c r="S490" s="220" t="s">
        <v>791</v>
      </c>
      <c r="T490" s="220" t="s">
        <v>151</v>
      </c>
      <c r="U490" s="220"/>
      <c r="V490" s="220"/>
      <c r="W490" s="220"/>
      <c r="X490" s="220"/>
      <c r="Y490" s="283"/>
      <c r="Z490" s="220"/>
      <c r="AA490" s="220"/>
      <c r="AB490" s="220"/>
      <c r="AC490" s="220"/>
      <c r="AD490" s="220"/>
      <c r="AE490" s="283"/>
      <c r="AF490" s="220"/>
      <c r="AG490" s="220"/>
      <c r="AH490" s="220" t="s">
        <v>1026</v>
      </c>
      <c r="AI490" s="220"/>
      <c r="AJ490" s="226">
        <v>12</v>
      </c>
      <c r="AK490" s="226">
        <v>0</v>
      </c>
      <c r="AL490" s="225">
        <v>4.4400000000000002E-2</v>
      </c>
      <c r="AM490" s="220"/>
      <c r="AN490" s="225">
        <v>375.108</v>
      </c>
      <c r="AO490" s="220"/>
      <c r="AP490" s="220"/>
      <c r="AQ490" s="283"/>
      <c r="AR490" s="283"/>
      <c r="AS490" s="283"/>
      <c r="AT490" s="223">
        <v>0</v>
      </c>
      <c r="AU490" s="284">
        <v>53.88</v>
      </c>
      <c r="AV490" s="221">
        <v>42962</v>
      </c>
      <c r="AW490" s="221">
        <v>42962.632401932897</v>
      </c>
      <c r="AX490" s="220" t="s">
        <v>293</v>
      </c>
      <c r="AY490" s="219" t="s">
        <v>1025</v>
      </c>
    </row>
    <row r="491" spans="1:51" ht="30.6" hidden="1" outlineLevel="1" collapsed="1">
      <c r="A491" s="227" t="s">
        <v>289</v>
      </c>
      <c r="B491" s="220" t="s">
        <v>1022</v>
      </c>
      <c r="C491" s="220" t="s">
        <v>1022</v>
      </c>
      <c r="D491" s="220" t="s">
        <v>1021</v>
      </c>
      <c r="E491" s="220" t="s">
        <v>1020</v>
      </c>
      <c r="F491" s="220" t="s">
        <v>1019</v>
      </c>
      <c r="G491" s="220"/>
      <c r="H491" s="220" t="s">
        <v>1018</v>
      </c>
      <c r="I491" s="220" t="s">
        <v>329</v>
      </c>
      <c r="J491" s="220" t="s">
        <v>297</v>
      </c>
      <c r="K491" s="220" t="s">
        <v>397</v>
      </c>
      <c r="L491" s="220" t="s">
        <v>1017</v>
      </c>
      <c r="M491" s="220" t="s">
        <v>1016</v>
      </c>
      <c r="N491" s="220" t="s">
        <v>329</v>
      </c>
      <c r="O491" s="220" t="s">
        <v>297</v>
      </c>
      <c r="P491" s="220" t="s">
        <v>848</v>
      </c>
      <c r="Q491" s="220" t="s">
        <v>1015</v>
      </c>
      <c r="R491" s="220" t="s">
        <v>1014</v>
      </c>
      <c r="S491" s="220" t="s">
        <v>791</v>
      </c>
      <c r="T491" s="220" t="s">
        <v>151</v>
      </c>
      <c r="U491" s="220"/>
      <c r="V491" s="220"/>
      <c r="W491" s="220"/>
      <c r="X491" s="220"/>
      <c r="Y491" s="283"/>
      <c r="Z491" s="220"/>
      <c r="AA491" s="220"/>
      <c r="AB491" s="220"/>
      <c r="AC491" s="220"/>
      <c r="AD491" s="220"/>
      <c r="AE491" s="283"/>
      <c r="AF491" s="220"/>
      <c r="AG491" s="220"/>
      <c r="AH491" s="220" t="s">
        <v>1013</v>
      </c>
      <c r="AI491" s="220"/>
      <c r="AJ491" s="226">
        <v>3</v>
      </c>
      <c r="AK491" s="226">
        <v>0</v>
      </c>
      <c r="AL491" s="225">
        <v>1.17E-2</v>
      </c>
      <c r="AM491" s="220"/>
      <c r="AN491" s="225">
        <v>99.828000000000003</v>
      </c>
      <c r="AO491" s="220"/>
      <c r="AP491" s="220"/>
      <c r="AQ491" s="283"/>
      <c r="AR491" s="283"/>
      <c r="AS491" s="283"/>
      <c r="AT491" s="223">
        <v>0</v>
      </c>
      <c r="AU491" s="284">
        <v>9</v>
      </c>
      <c r="AV491" s="221">
        <v>42962</v>
      </c>
      <c r="AW491" s="221">
        <v>42962.641889120401</v>
      </c>
      <c r="AX491" s="220" t="s">
        <v>293</v>
      </c>
      <c r="AY491" s="219" t="s">
        <v>1012</v>
      </c>
    </row>
    <row r="492" spans="1:51" hidden="1" outlineLevel="1" collapsed="1">
      <c r="A492" s="227" t="s">
        <v>289</v>
      </c>
      <c r="B492" s="220" t="s">
        <v>1022</v>
      </c>
      <c r="C492" s="220" t="s">
        <v>1022</v>
      </c>
      <c r="D492" s="220" t="s">
        <v>1021</v>
      </c>
      <c r="E492" s="220" t="s">
        <v>1020</v>
      </c>
      <c r="F492" s="220" t="s">
        <v>1019</v>
      </c>
      <c r="G492" s="220"/>
      <c r="H492" s="220" t="s">
        <v>1018</v>
      </c>
      <c r="I492" s="220" t="s">
        <v>329</v>
      </c>
      <c r="J492" s="220" t="s">
        <v>297</v>
      </c>
      <c r="K492" s="220" t="s">
        <v>397</v>
      </c>
      <c r="L492" s="220" t="s">
        <v>1017</v>
      </c>
      <c r="M492" s="220" t="s">
        <v>1016</v>
      </c>
      <c r="N492" s="220" t="s">
        <v>329</v>
      </c>
      <c r="O492" s="220" t="s">
        <v>297</v>
      </c>
      <c r="P492" s="220" t="s">
        <v>848</v>
      </c>
      <c r="Q492" s="220" t="s">
        <v>1015</v>
      </c>
      <c r="R492" s="220" t="s">
        <v>1014</v>
      </c>
      <c r="S492" s="220" t="s">
        <v>791</v>
      </c>
      <c r="T492" s="220" t="s">
        <v>151</v>
      </c>
      <c r="U492" s="220"/>
      <c r="V492" s="220"/>
      <c r="W492" s="220"/>
      <c r="X492" s="220"/>
      <c r="Y492" s="283"/>
      <c r="Z492" s="220"/>
      <c r="AA492" s="220"/>
      <c r="AB492" s="220"/>
      <c r="AC492" s="220"/>
      <c r="AD492" s="220"/>
      <c r="AE492" s="283"/>
      <c r="AF492" s="220"/>
      <c r="AG492" s="220"/>
      <c r="AH492" s="220" t="s">
        <v>1024</v>
      </c>
      <c r="AI492" s="220"/>
      <c r="AJ492" s="226">
        <v>18</v>
      </c>
      <c r="AK492" s="226">
        <v>0</v>
      </c>
      <c r="AL492" s="225">
        <v>7.1999999999999995E-2</v>
      </c>
      <c r="AM492" s="220"/>
      <c r="AN492" s="225">
        <v>617.11199999999997</v>
      </c>
      <c r="AO492" s="220"/>
      <c r="AP492" s="220"/>
      <c r="AQ492" s="283"/>
      <c r="AR492" s="283"/>
      <c r="AS492" s="283"/>
      <c r="AT492" s="223">
        <v>0</v>
      </c>
      <c r="AU492" s="284">
        <v>74.790000000000006</v>
      </c>
      <c r="AV492" s="221">
        <v>42962</v>
      </c>
      <c r="AW492" s="221">
        <v>42962.641889120401</v>
      </c>
      <c r="AX492" s="220" t="s">
        <v>293</v>
      </c>
      <c r="AY492" s="219" t="s">
        <v>1023</v>
      </c>
    </row>
    <row r="493" spans="1:51" hidden="1" outlineLevel="1" collapsed="1">
      <c r="A493" s="227" t="s">
        <v>289</v>
      </c>
      <c r="B493" s="220" t="s">
        <v>1011</v>
      </c>
      <c r="C493" s="220" t="s">
        <v>1011</v>
      </c>
      <c r="D493" s="220" t="s">
        <v>1010</v>
      </c>
      <c r="E493" s="220" t="s">
        <v>1009</v>
      </c>
      <c r="F493" s="220" t="s">
        <v>1008</v>
      </c>
      <c r="G493" s="220"/>
      <c r="H493" s="220" t="s">
        <v>1007</v>
      </c>
      <c r="I493" s="220" t="s">
        <v>345</v>
      </c>
      <c r="J493" s="220" t="s">
        <v>297</v>
      </c>
      <c r="K493" s="220" t="s">
        <v>344</v>
      </c>
      <c r="L493" s="220" t="s">
        <v>601</v>
      </c>
      <c r="M493" s="220" t="s">
        <v>600</v>
      </c>
      <c r="N493" s="220" t="s">
        <v>329</v>
      </c>
      <c r="O493" s="220" t="s">
        <v>297</v>
      </c>
      <c r="P493" s="220" t="s">
        <v>599</v>
      </c>
      <c r="Q493" s="220" t="s">
        <v>598</v>
      </c>
      <c r="R493" s="220"/>
      <c r="S493" s="220" t="s">
        <v>791</v>
      </c>
      <c r="T493" s="220" t="s">
        <v>151</v>
      </c>
      <c r="U493" s="220"/>
      <c r="V493" s="220"/>
      <c r="W493" s="220"/>
      <c r="X493" s="220"/>
      <c r="Y493" s="283"/>
      <c r="Z493" s="220"/>
      <c r="AA493" s="220"/>
      <c r="AB493" s="220"/>
      <c r="AC493" s="220"/>
      <c r="AD493" s="220"/>
      <c r="AE493" s="283"/>
      <c r="AF493" s="220"/>
      <c r="AG493" s="220"/>
      <c r="AH493" s="220"/>
      <c r="AI493" s="220"/>
      <c r="AJ493" s="226">
        <v>1</v>
      </c>
      <c r="AK493" s="226">
        <v>0</v>
      </c>
      <c r="AL493" s="225">
        <v>4.0000000000000001E-3</v>
      </c>
      <c r="AM493" s="220"/>
      <c r="AN493" s="225">
        <v>33.78</v>
      </c>
      <c r="AO493" s="220"/>
      <c r="AP493" s="220"/>
      <c r="AQ493" s="283"/>
      <c r="AR493" s="283"/>
      <c r="AS493" s="283"/>
      <c r="AT493" s="223">
        <v>0</v>
      </c>
      <c r="AU493" s="284">
        <v>2.95</v>
      </c>
      <c r="AV493" s="221">
        <v>42962</v>
      </c>
      <c r="AW493" s="221">
        <v>42962.690121990701</v>
      </c>
      <c r="AX493" s="220" t="s">
        <v>293</v>
      </c>
      <c r="AY493" s="219" t="s">
        <v>1006</v>
      </c>
    </row>
    <row r="494" spans="1:51" hidden="1" outlineLevel="1" collapsed="1">
      <c r="A494" s="227" t="s">
        <v>289</v>
      </c>
      <c r="B494" s="220" t="s">
        <v>1003</v>
      </c>
      <c r="C494" s="220" t="s">
        <v>1003</v>
      </c>
      <c r="D494" s="220" t="s">
        <v>932</v>
      </c>
      <c r="E494" s="220" t="s">
        <v>931</v>
      </c>
      <c r="F494" s="220" t="s">
        <v>930</v>
      </c>
      <c r="G494" s="220"/>
      <c r="H494" s="220" t="s">
        <v>929</v>
      </c>
      <c r="I494" s="220" t="s">
        <v>928</v>
      </c>
      <c r="J494" s="220" t="s">
        <v>297</v>
      </c>
      <c r="K494" s="220" t="s">
        <v>412</v>
      </c>
      <c r="L494" s="220" t="s">
        <v>850</v>
      </c>
      <c r="M494" s="220" t="s">
        <v>849</v>
      </c>
      <c r="N494" s="220" t="s">
        <v>329</v>
      </c>
      <c r="O494" s="220" t="s">
        <v>297</v>
      </c>
      <c r="P494" s="220" t="s">
        <v>848</v>
      </c>
      <c r="Q494" s="220" t="s">
        <v>847</v>
      </c>
      <c r="R494" s="220"/>
      <c r="S494" s="220" t="s">
        <v>791</v>
      </c>
      <c r="T494" s="220" t="s">
        <v>151</v>
      </c>
      <c r="U494" s="220"/>
      <c r="V494" s="220"/>
      <c r="W494" s="220"/>
      <c r="X494" s="220"/>
      <c r="Y494" s="283"/>
      <c r="Z494" s="220"/>
      <c r="AA494" s="220"/>
      <c r="AB494" s="220"/>
      <c r="AC494" s="220"/>
      <c r="AD494" s="220"/>
      <c r="AE494" s="283"/>
      <c r="AF494" s="220"/>
      <c r="AG494" s="220"/>
      <c r="AH494" s="220" t="s">
        <v>861</v>
      </c>
      <c r="AI494" s="220"/>
      <c r="AJ494" s="226">
        <v>6</v>
      </c>
      <c r="AK494" s="226">
        <v>0</v>
      </c>
      <c r="AL494" s="225">
        <v>2.4E-2</v>
      </c>
      <c r="AM494" s="220"/>
      <c r="AN494" s="225">
        <v>205.70400000000001</v>
      </c>
      <c r="AO494" s="220"/>
      <c r="AP494" s="220"/>
      <c r="AQ494" s="283"/>
      <c r="AR494" s="283"/>
      <c r="AS494" s="283"/>
      <c r="AT494" s="223">
        <v>0</v>
      </c>
      <c r="AU494" s="284">
        <v>16.47</v>
      </c>
      <c r="AV494" s="221">
        <v>42968</v>
      </c>
      <c r="AW494" s="221">
        <v>42968.679168090297</v>
      </c>
      <c r="AX494" s="220" t="s">
        <v>293</v>
      </c>
      <c r="AY494" s="219" t="s">
        <v>1002</v>
      </c>
    </row>
    <row r="495" spans="1:51" hidden="1" outlineLevel="1" collapsed="1">
      <c r="A495" s="227" t="s">
        <v>289</v>
      </c>
      <c r="B495" s="220" t="s">
        <v>1003</v>
      </c>
      <c r="C495" s="220" t="s">
        <v>1003</v>
      </c>
      <c r="D495" s="220" t="s">
        <v>932</v>
      </c>
      <c r="E495" s="220" t="s">
        <v>931</v>
      </c>
      <c r="F495" s="220" t="s">
        <v>930</v>
      </c>
      <c r="G495" s="220"/>
      <c r="H495" s="220" t="s">
        <v>929</v>
      </c>
      <c r="I495" s="220" t="s">
        <v>928</v>
      </c>
      <c r="J495" s="220" t="s">
        <v>297</v>
      </c>
      <c r="K495" s="220" t="s">
        <v>412</v>
      </c>
      <c r="L495" s="220" t="s">
        <v>850</v>
      </c>
      <c r="M495" s="220" t="s">
        <v>849</v>
      </c>
      <c r="N495" s="220" t="s">
        <v>329</v>
      </c>
      <c r="O495" s="220" t="s">
        <v>297</v>
      </c>
      <c r="P495" s="220" t="s">
        <v>848</v>
      </c>
      <c r="Q495" s="220" t="s">
        <v>847</v>
      </c>
      <c r="R495" s="220"/>
      <c r="S495" s="220" t="s">
        <v>791</v>
      </c>
      <c r="T495" s="220" t="s">
        <v>151</v>
      </c>
      <c r="U495" s="220"/>
      <c r="V495" s="220"/>
      <c r="W495" s="220"/>
      <c r="X495" s="220"/>
      <c r="Y495" s="283"/>
      <c r="Z495" s="220"/>
      <c r="AA495" s="220"/>
      <c r="AB495" s="220"/>
      <c r="AC495" s="220"/>
      <c r="AD495" s="220"/>
      <c r="AE495" s="283"/>
      <c r="AF495" s="220"/>
      <c r="AG495" s="220"/>
      <c r="AH495" s="220" t="s">
        <v>1005</v>
      </c>
      <c r="AI495" s="220"/>
      <c r="AJ495" s="226">
        <v>1</v>
      </c>
      <c r="AK495" s="226">
        <v>0</v>
      </c>
      <c r="AL495" s="225">
        <v>4.4999999999999997E-3</v>
      </c>
      <c r="AM495" s="220"/>
      <c r="AN495" s="225">
        <v>38.317</v>
      </c>
      <c r="AO495" s="220"/>
      <c r="AP495" s="220"/>
      <c r="AQ495" s="283"/>
      <c r="AR495" s="283"/>
      <c r="AS495" s="283"/>
      <c r="AT495" s="223">
        <v>0</v>
      </c>
      <c r="AU495" s="284">
        <v>5</v>
      </c>
      <c r="AV495" s="221">
        <v>42968</v>
      </c>
      <c r="AW495" s="221">
        <v>42968.679168090297</v>
      </c>
      <c r="AX495" s="220" t="s">
        <v>293</v>
      </c>
      <c r="AY495" s="219" t="s">
        <v>1004</v>
      </c>
    </row>
    <row r="496" spans="1:51" hidden="1" outlineLevel="1" collapsed="1">
      <c r="A496" s="227" t="s">
        <v>289</v>
      </c>
      <c r="B496" s="220" t="s">
        <v>1000</v>
      </c>
      <c r="C496" s="220" t="s">
        <v>1000</v>
      </c>
      <c r="D496" s="220" t="s">
        <v>999</v>
      </c>
      <c r="E496" s="220" t="s">
        <v>998</v>
      </c>
      <c r="F496" s="220" t="s">
        <v>997</v>
      </c>
      <c r="G496" s="220"/>
      <c r="H496" s="220" t="s">
        <v>996</v>
      </c>
      <c r="I496" s="220" t="s">
        <v>329</v>
      </c>
      <c r="J496" s="220" t="s">
        <v>297</v>
      </c>
      <c r="K496" s="220" t="s">
        <v>328</v>
      </c>
      <c r="L496" s="220" t="s">
        <v>850</v>
      </c>
      <c r="M496" s="220" t="s">
        <v>849</v>
      </c>
      <c r="N496" s="220" t="s">
        <v>329</v>
      </c>
      <c r="O496" s="220" t="s">
        <v>297</v>
      </c>
      <c r="P496" s="220" t="s">
        <v>848</v>
      </c>
      <c r="Q496" s="220" t="s">
        <v>847</v>
      </c>
      <c r="R496" s="220"/>
      <c r="S496" s="220" t="s">
        <v>791</v>
      </c>
      <c r="T496" s="220" t="s">
        <v>151</v>
      </c>
      <c r="U496" s="220"/>
      <c r="V496" s="220"/>
      <c r="W496" s="220"/>
      <c r="X496" s="220"/>
      <c r="Y496" s="283"/>
      <c r="Z496" s="220"/>
      <c r="AA496" s="220"/>
      <c r="AB496" s="220"/>
      <c r="AC496" s="220"/>
      <c r="AD496" s="220"/>
      <c r="AE496" s="283"/>
      <c r="AF496" s="220"/>
      <c r="AG496" s="220"/>
      <c r="AH496" s="220" t="s">
        <v>846</v>
      </c>
      <c r="AI496" s="220"/>
      <c r="AJ496" s="226">
        <v>4</v>
      </c>
      <c r="AK496" s="226">
        <v>0</v>
      </c>
      <c r="AL496" s="225">
        <v>1.4800000000000001E-2</v>
      </c>
      <c r="AM496" s="220"/>
      <c r="AN496" s="225">
        <v>125.036</v>
      </c>
      <c r="AO496" s="220"/>
      <c r="AP496" s="220"/>
      <c r="AQ496" s="283"/>
      <c r="AR496" s="283"/>
      <c r="AS496" s="283"/>
      <c r="AT496" s="223">
        <v>0</v>
      </c>
      <c r="AU496" s="284">
        <v>11.495200000000001</v>
      </c>
      <c r="AV496" s="221">
        <v>42968</v>
      </c>
      <c r="AW496" s="221">
        <v>42968.688930289398</v>
      </c>
      <c r="AX496" s="220" t="s">
        <v>293</v>
      </c>
      <c r="AY496" s="219" t="s">
        <v>1001</v>
      </c>
    </row>
    <row r="497" spans="1:51" hidden="1" outlineLevel="1" collapsed="1">
      <c r="A497" s="227" t="s">
        <v>289</v>
      </c>
      <c r="B497" s="220" t="s">
        <v>1000</v>
      </c>
      <c r="C497" s="220" t="s">
        <v>1000</v>
      </c>
      <c r="D497" s="220" t="s">
        <v>999</v>
      </c>
      <c r="E497" s="220" t="s">
        <v>998</v>
      </c>
      <c r="F497" s="220" t="s">
        <v>997</v>
      </c>
      <c r="G497" s="220"/>
      <c r="H497" s="220" t="s">
        <v>996</v>
      </c>
      <c r="I497" s="220" t="s">
        <v>329</v>
      </c>
      <c r="J497" s="220" t="s">
        <v>297</v>
      </c>
      <c r="K497" s="220" t="s">
        <v>328</v>
      </c>
      <c r="L497" s="220" t="s">
        <v>850</v>
      </c>
      <c r="M497" s="220" t="s">
        <v>849</v>
      </c>
      <c r="N497" s="220" t="s">
        <v>329</v>
      </c>
      <c r="O497" s="220" t="s">
        <v>297</v>
      </c>
      <c r="P497" s="220" t="s">
        <v>848</v>
      </c>
      <c r="Q497" s="220" t="s">
        <v>847</v>
      </c>
      <c r="R497" s="220"/>
      <c r="S497" s="220" t="s">
        <v>791</v>
      </c>
      <c r="T497" s="220" t="s">
        <v>151</v>
      </c>
      <c r="U497" s="220"/>
      <c r="V497" s="220"/>
      <c r="W497" s="220"/>
      <c r="X497" s="220"/>
      <c r="Y497" s="283"/>
      <c r="Z497" s="220"/>
      <c r="AA497" s="220"/>
      <c r="AB497" s="220"/>
      <c r="AC497" s="220"/>
      <c r="AD497" s="220"/>
      <c r="AE497" s="283"/>
      <c r="AF497" s="220"/>
      <c r="AG497" s="220"/>
      <c r="AH497" s="220" t="s">
        <v>857</v>
      </c>
      <c r="AI497" s="220"/>
      <c r="AJ497" s="226">
        <v>4</v>
      </c>
      <c r="AK497" s="226">
        <v>0</v>
      </c>
      <c r="AL497" s="225">
        <v>1.6E-2</v>
      </c>
      <c r="AM497" s="220"/>
      <c r="AN497" s="225">
        <v>137.136</v>
      </c>
      <c r="AO497" s="220"/>
      <c r="AP497" s="220"/>
      <c r="AQ497" s="283"/>
      <c r="AR497" s="283"/>
      <c r="AS497" s="283"/>
      <c r="AT497" s="223">
        <v>0</v>
      </c>
      <c r="AU497" s="284">
        <v>4.99</v>
      </c>
      <c r="AV497" s="221">
        <v>42968</v>
      </c>
      <c r="AW497" s="221">
        <v>42968.688930289398</v>
      </c>
      <c r="AX497" s="220" t="s">
        <v>293</v>
      </c>
      <c r="AY497" s="219" t="s">
        <v>995</v>
      </c>
    </row>
    <row r="498" spans="1:51" hidden="1" outlineLevel="1" collapsed="1">
      <c r="A498" s="227" t="s">
        <v>289</v>
      </c>
      <c r="B498" s="220" t="s">
        <v>990</v>
      </c>
      <c r="C498" s="220" t="s">
        <v>990</v>
      </c>
      <c r="D498" s="220" t="s">
        <v>989</v>
      </c>
      <c r="E498" s="220" t="s">
        <v>988</v>
      </c>
      <c r="F498" s="220" t="s">
        <v>987</v>
      </c>
      <c r="G498" s="220"/>
      <c r="H498" s="220" t="s">
        <v>986</v>
      </c>
      <c r="I498" s="220" t="s">
        <v>531</v>
      </c>
      <c r="J498" s="220" t="s">
        <v>297</v>
      </c>
      <c r="K498" s="220" t="s">
        <v>530</v>
      </c>
      <c r="L498" s="220" t="s">
        <v>850</v>
      </c>
      <c r="M498" s="220" t="s">
        <v>849</v>
      </c>
      <c r="N498" s="220" t="s">
        <v>329</v>
      </c>
      <c r="O498" s="220" t="s">
        <v>297</v>
      </c>
      <c r="P498" s="220" t="s">
        <v>848</v>
      </c>
      <c r="Q498" s="220" t="s">
        <v>847</v>
      </c>
      <c r="R498" s="220"/>
      <c r="S498" s="220" t="s">
        <v>895</v>
      </c>
      <c r="T498" s="220" t="s">
        <v>150</v>
      </c>
      <c r="U498" s="220"/>
      <c r="V498" s="220"/>
      <c r="W498" s="220"/>
      <c r="X498" s="220"/>
      <c r="Y498" s="283"/>
      <c r="Z498" s="220"/>
      <c r="AA498" s="220"/>
      <c r="AB498" s="220"/>
      <c r="AC498" s="220"/>
      <c r="AD498" s="220"/>
      <c r="AE498" s="283"/>
      <c r="AF498" s="220"/>
      <c r="AG498" s="220"/>
      <c r="AH498" s="220" t="s">
        <v>994</v>
      </c>
      <c r="AI498" s="220"/>
      <c r="AJ498" s="226">
        <v>2</v>
      </c>
      <c r="AK498" s="226">
        <v>0</v>
      </c>
      <c r="AL498" s="225">
        <v>2.86E-2</v>
      </c>
      <c r="AM498" s="220"/>
      <c r="AN498" s="225">
        <v>244.02</v>
      </c>
      <c r="AO498" s="220"/>
      <c r="AP498" s="220"/>
      <c r="AQ498" s="283"/>
      <c r="AR498" s="283"/>
      <c r="AS498" s="283"/>
      <c r="AT498" s="223">
        <v>0</v>
      </c>
      <c r="AU498" s="284">
        <v>20</v>
      </c>
      <c r="AV498" s="221">
        <v>42968</v>
      </c>
      <c r="AW498" s="221">
        <v>42968.694654085702</v>
      </c>
      <c r="AX498" s="220" t="s">
        <v>293</v>
      </c>
      <c r="AY498" s="219" t="s">
        <v>993</v>
      </c>
    </row>
    <row r="499" spans="1:51" hidden="1" outlineLevel="1" collapsed="1">
      <c r="A499" s="227" t="s">
        <v>289</v>
      </c>
      <c r="B499" s="220" t="s">
        <v>990</v>
      </c>
      <c r="C499" s="220" t="s">
        <v>990</v>
      </c>
      <c r="D499" s="220" t="s">
        <v>989</v>
      </c>
      <c r="E499" s="220" t="s">
        <v>988</v>
      </c>
      <c r="F499" s="220" t="s">
        <v>987</v>
      </c>
      <c r="G499" s="220"/>
      <c r="H499" s="220" t="s">
        <v>986</v>
      </c>
      <c r="I499" s="220" t="s">
        <v>531</v>
      </c>
      <c r="J499" s="220" t="s">
        <v>297</v>
      </c>
      <c r="K499" s="220" t="s">
        <v>530</v>
      </c>
      <c r="L499" s="220" t="s">
        <v>850</v>
      </c>
      <c r="M499" s="220" t="s">
        <v>849</v>
      </c>
      <c r="N499" s="220" t="s">
        <v>329</v>
      </c>
      <c r="O499" s="220" t="s">
        <v>297</v>
      </c>
      <c r="P499" s="220" t="s">
        <v>848</v>
      </c>
      <c r="Q499" s="220" t="s">
        <v>847</v>
      </c>
      <c r="R499" s="220"/>
      <c r="S499" s="220" t="s">
        <v>895</v>
      </c>
      <c r="T499" s="220" t="s">
        <v>150</v>
      </c>
      <c r="U499" s="220"/>
      <c r="V499" s="220"/>
      <c r="W499" s="220"/>
      <c r="X499" s="220"/>
      <c r="Y499" s="283"/>
      <c r="Z499" s="220"/>
      <c r="AA499" s="220"/>
      <c r="AB499" s="220"/>
      <c r="AC499" s="220"/>
      <c r="AD499" s="220"/>
      <c r="AE499" s="283"/>
      <c r="AF499" s="220"/>
      <c r="AG499" s="220"/>
      <c r="AH499" s="220" t="s">
        <v>992</v>
      </c>
      <c r="AI499" s="220"/>
      <c r="AJ499" s="226">
        <v>3</v>
      </c>
      <c r="AK499" s="226">
        <v>0</v>
      </c>
      <c r="AL499" s="225">
        <v>1.8599999999999998E-2</v>
      </c>
      <c r="AM499" s="220"/>
      <c r="AN499" s="225">
        <v>157.30199999999999</v>
      </c>
      <c r="AO499" s="220"/>
      <c r="AP499" s="220"/>
      <c r="AQ499" s="283"/>
      <c r="AR499" s="283"/>
      <c r="AS499" s="283"/>
      <c r="AT499" s="223">
        <v>0</v>
      </c>
      <c r="AU499" s="284">
        <v>30</v>
      </c>
      <c r="AV499" s="221">
        <v>42968</v>
      </c>
      <c r="AW499" s="221">
        <v>42968.694654085702</v>
      </c>
      <c r="AX499" s="220" t="s">
        <v>293</v>
      </c>
      <c r="AY499" s="219" t="s">
        <v>991</v>
      </c>
    </row>
    <row r="500" spans="1:51" hidden="1" outlineLevel="1" collapsed="1">
      <c r="A500" s="227" t="s">
        <v>289</v>
      </c>
      <c r="B500" s="220" t="s">
        <v>990</v>
      </c>
      <c r="C500" s="220" t="s">
        <v>990</v>
      </c>
      <c r="D500" s="220" t="s">
        <v>989</v>
      </c>
      <c r="E500" s="220" t="s">
        <v>988</v>
      </c>
      <c r="F500" s="220" t="s">
        <v>987</v>
      </c>
      <c r="G500" s="220"/>
      <c r="H500" s="220" t="s">
        <v>986</v>
      </c>
      <c r="I500" s="220" t="s">
        <v>531</v>
      </c>
      <c r="J500" s="220" t="s">
        <v>297</v>
      </c>
      <c r="K500" s="220" t="s">
        <v>530</v>
      </c>
      <c r="L500" s="220" t="s">
        <v>850</v>
      </c>
      <c r="M500" s="220" t="s">
        <v>849</v>
      </c>
      <c r="N500" s="220" t="s">
        <v>329</v>
      </c>
      <c r="O500" s="220" t="s">
        <v>297</v>
      </c>
      <c r="P500" s="220" t="s">
        <v>848</v>
      </c>
      <c r="Q500" s="220" t="s">
        <v>847</v>
      </c>
      <c r="R500" s="220"/>
      <c r="S500" s="220" t="s">
        <v>791</v>
      </c>
      <c r="T500" s="220" t="s">
        <v>151</v>
      </c>
      <c r="U500" s="220"/>
      <c r="V500" s="220"/>
      <c r="W500" s="220"/>
      <c r="X500" s="220"/>
      <c r="Y500" s="283"/>
      <c r="Z500" s="220"/>
      <c r="AA500" s="220"/>
      <c r="AB500" s="220"/>
      <c r="AC500" s="220"/>
      <c r="AD500" s="220"/>
      <c r="AE500" s="283"/>
      <c r="AF500" s="220"/>
      <c r="AG500" s="220"/>
      <c r="AH500" s="220" t="s">
        <v>985</v>
      </c>
      <c r="AI500" s="220"/>
      <c r="AJ500" s="226">
        <v>32</v>
      </c>
      <c r="AK500" s="226">
        <v>0</v>
      </c>
      <c r="AL500" s="225">
        <v>0.128</v>
      </c>
      <c r="AM500" s="220"/>
      <c r="AN500" s="225">
        <v>1097.088</v>
      </c>
      <c r="AO500" s="220"/>
      <c r="AP500" s="220"/>
      <c r="AQ500" s="283"/>
      <c r="AR500" s="283"/>
      <c r="AS500" s="283"/>
      <c r="AT500" s="223">
        <v>0</v>
      </c>
      <c r="AU500" s="284">
        <v>43.92</v>
      </c>
      <c r="AV500" s="221">
        <v>42968</v>
      </c>
      <c r="AW500" s="221">
        <v>42968.694654085702</v>
      </c>
      <c r="AX500" s="220" t="s">
        <v>293</v>
      </c>
      <c r="AY500" s="219" t="s">
        <v>984</v>
      </c>
    </row>
    <row r="501" spans="1:51" hidden="1" outlineLevel="1" collapsed="1">
      <c r="A501" s="227" t="s">
        <v>289</v>
      </c>
      <c r="B501" s="220" t="s">
        <v>983</v>
      </c>
      <c r="C501" s="220" t="s">
        <v>983</v>
      </c>
      <c r="D501" s="220" t="s">
        <v>982</v>
      </c>
      <c r="E501" s="220" t="s">
        <v>981</v>
      </c>
      <c r="F501" s="220" t="s">
        <v>980</v>
      </c>
      <c r="G501" s="220"/>
      <c r="H501" s="220" t="s">
        <v>979</v>
      </c>
      <c r="I501" s="220" t="s">
        <v>329</v>
      </c>
      <c r="J501" s="220" t="s">
        <v>297</v>
      </c>
      <c r="K501" s="220" t="s">
        <v>397</v>
      </c>
      <c r="L501" s="220" t="s">
        <v>978</v>
      </c>
      <c r="M501" s="220" t="s">
        <v>977</v>
      </c>
      <c r="N501" s="220" t="s">
        <v>752</v>
      </c>
      <c r="O501" s="220" t="s">
        <v>297</v>
      </c>
      <c r="P501" s="220" t="s">
        <v>328</v>
      </c>
      <c r="Q501" s="220"/>
      <c r="R501" s="220" t="s">
        <v>976</v>
      </c>
      <c r="S501" s="220" t="s">
        <v>791</v>
      </c>
      <c r="T501" s="220" t="s">
        <v>151</v>
      </c>
      <c r="U501" s="220"/>
      <c r="V501" s="220"/>
      <c r="W501" s="220"/>
      <c r="X501" s="220"/>
      <c r="Y501" s="283"/>
      <c r="Z501" s="220"/>
      <c r="AA501" s="220"/>
      <c r="AB501" s="220"/>
      <c r="AC501" s="220"/>
      <c r="AD501" s="220"/>
      <c r="AE501" s="283"/>
      <c r="AF501" s="220"/>
      <c r="AG501" s="220"/>
      <c r="AH501" s="220" t="s">
        <v>975</v>
      </c>
      <c r="AI501" s="220"/>
      <c r="AJ501" s="226">
        <v>6</v>
      </c>
      <c r="AK501" s="226">
        <v>0</v>
      </c>
      <c r="AL501" s="225">
        <v>1.6799999999999999E-2</v>
      </c>
      <c r="AM501" s="220"/>
      <c r="AN501" s="225">
        <v>142.17599999999999</v>
      </c>
      <c r="AO501" s="220"/>
      <c r="AP501" s="220"/>
      <c r="AQ501" s="283"/>
      <c r="AR501" s="283"/>
      <c r="AS501" s="283"/>
      <c r="AT501" s="223">
        <v>0</v>
      </c>
      <c r="AU501" s="284">
        <v>13.5</v>
      </c>
      <c r="AV501" s="221">
        <v>42968</v>
      </c>
      <c r="AW501" s="221">
        <v>42968.714913425902</v>
      </c>
      <c r="AX501" s="220" t="s">
        <v>293</v>
      </c>
      <c r="AY501" s="219" t="s">
        <v>974</v>
      </c>
    </row>
    <row r="502" spans="1:51" ht="20.399999999999999" hidden="1" outlineLevel="1" collapsed="1">
      <c r="A502" s="227" t="s">
        <v>289</v>
      </c>
      <c r="B502" s="220" t="s">
        <v>973</v>
      </c>
      <c r="C502" s="220" t="s">
        <v>973</v>
      </c>
      <c r="D502" s="220" t="s">
        <v>972</v>
      </c>
      <c r="E502" s="220" t="s">
        <v>971</v>
      </c>
      <c r="F502" s="220" t="s">
        <v>970</v>
      </c>
      <c r="G502" s="220"/>
      <c r="H502" s="220" t="s">
        <v>969</v>
      </c>
      <c r="I502" s="220" t="s">
        <v>329</v>
      </c>
      <c r="J502" s="220" t="s">
        <v>297</v>
      </c>
      <c r="K502" s="220" t="s">
        <v>397</v>
      </c>
      <c r="L502" s="220" t="s">
        <v>959</v>
      </c>
      <c r="M502" s="220" t="s">
        <v>958</v>
      </c>
      <c r="N502" s="220" t="s">
        <v>329</v>
      </c>
      <c r="O502" s="220" t="s">
        <v>297</v>
      </c>
      <c r="P502" s="220" t="s">
        <v>397</v>
      </c>
      <c r="Q502" s="220" t="s">
        <v>957</v>
      </c>
      <c r="R502" s="220"/>
      <c r="S502" s="220" t="s">
        <v>895</v>
      </c>
      <c r="T502" s="220" t="s">
        <v>150</v>
      </c>
      <c r="U502" s="220"/>
      <c r="V502" s="220"/>
      <c r="W502" s="220"/>
      <c r="X502" s="220"/>
      <c r="Y502" s="283"/>
      <c r="Z502" s="220"/>
      <c r="AA502" s="220"/>
      <c r="AB502" s="220"/>
      <c r="AC502" s="220"/>
      <c r="AD502" s="220"/>
      <c r="AE502" s="283"/>
      <c r="AF502" s="220"/>
      <c r="AG502" s="220"/>
      <c r="AH502" s="220" t="s">
        <v>968</v>
      </c>
      <c r="AI502" s="220"/>
      <c r="AJ502" s="226">
        <v>30</v>
      </c>
      <c r="AK502" s="226">
        <v>0</v>
      </c>
      <c r="AL502" s="225">
        <v>0.11700000000000001</v>
      </c>
      <c r="AM502" s="220"/>
      <c r="AN502" s="225">
        <v>983.13</v>
      </c>
      <c r="AO502" s="220"/>
      <c r="AP502" s="220"/>
      <c r="AQ502" s="283"/>
      <c r="AR502" s="283"/>
      <c r="AS502" s="283"/>
      <c r="AT502" s="223">
        <v>0</v>
      </c>
      <c r="AU502" s="284">
        <v>164.94</v>
      </c>
      <c r="AV502" s="221">
        <v>42968</v>
      </c>
      <c r="AW502" s="221">
        <v>42968.7197914352</v>
      </c>
      <c r="AX502" s="220" t="s">
        <v>293</v>
      </c>
      <c r="AY502" s="219" t="s">
        <v>967</v>
      </c>
    </row>
    <row r="503" spans="1:51" ht="20.399999999999999" hidden="1" outlineLevel="1" collapsed="1">
      <c r="A503" s="227" t="s">
        <v>289</v>
      </c>
      <c r="B503" s="220" t="s">
        <v>964</v>
      </c>
      <c r="C503" s="220" t="s">
        <v>964</v>
      </c>
      <c r="D503" s="220" t="s">
        <v>963</v>
      </c>
      <c r="E503" s="220" t="s">
        <v>962</v>
      </c>
      <c r="F503" s="220" t="s">
        <v>961</v>
      </c>
      <c r="G503" s="220"/>
      <c r="H503" s="220" t="s">
        <v>960</v>
      </c>
      <c r="I503" s="220" t="s">
        <v>329</v>
      </c>
      <c r="J503" s="220" t="s">
        <v>297</v>
      </c>
      <c r="K503" s="220" t="s">
        <v>397</v>
      </c>
      <c r="L503" s="220" t="s">
        <v>959</v>
      </c>
      <c r="M503" s="220" t="s">
        <v>958</v>
      </c>
      <c r="N503" s="220" t="s">
        <v>329</v>
      </c>
      <c r="O503" s="220" t="s">
        <v>297</v>
      </c>
      <c r="P503" s="220" t="s">
        <v>397</v>
      </c>
      <c r="Q503" s="220" t="s">
        <v>957</v>
      </c>
      <c r="R503" s="220"/>
      <c r="S503" s="220" t="s">
        <v>791</v>
      </c>
      <c r="T503" s="220" t="s">
        <v>151</v>
      </c>
      <c r="U503" s="220"/>
      <c r="V503" s="220"/>
      <c r="W503" s="220"/>
      <c r="X503" s="220"/>
      <c r="Y503" s="283"/>
      <c r="Z503" s="220"/>
      <c r="AA503" s="220"/>
      <c r="AB503" s="220"/>
      <c r="AC503" s="220"/>
      <c r="AD503" s="220"/>
      <c r="AE503" s="283"/>
      <c r="AF503" s="220"/>
      <c r="AG503" s="220"/>
      <c r="AH503" s="220" t="s">
        <v>966</v>
      </c>
      <c r="AI503" s="220"/>
      <c r="AJ503" s="226">
        <v>2</v>
      </c>
      <c r="AK503" s="226">
        <v>0</v>
      </c>
      <c r="AL503" s="225">
        <v>8.0000000000000002E-3</v>
      </c>
      <c r="AM503" s="220"/>
      <c r="AN503" s="225">
        <v>68.567999999999998</v>
      </c>
      <c r="AO503" s="220"/>
      <c r="AP503" s="220"/>
      <c r="AQ503" s="283"/>
      <c r="AR503" s="283"/>
      <c r="AS503" s="283"/>
      <c r="AT503" s="223">
        <v>0</v>
      </c>
      <c r="AU503" s="284">
        <v>8.98</v>
      </c>
      <c r="AV503" s="221">
        <v>42968</v>
      </c>
      <c r="AW503" s="221">
        <v>42968.738223611101</v>
      </c>
      <c r="AX503" s="220" t="s">
        <v>293</v>
      </c>
      <c r="AY503" s="219" t="s">
        <v>965</v>
      </c>
    </row>
    <row r="504" spans="1:51" ht="20.399999999999999" hidden="1" outlineLevel="1" collapsed="1">
      <c r="A504" s="227" t="s">
        <v>289</v>
      </c>
      <c r="B504" s="220" t="s">
        <v>964</v>
      </c>
      <c r="C504" s="220" t="s">
        <v>964</v>
      </c>
      <c r="D504" s="220" t="s">
        <v>963</v>
      </c>
      <c r="E504" s="220" t="s">
        <v>962</v>
      </c>
      <c r="F504" s="220" t="s">
        <v>961</v>
      </c>
      <c r="G504" s="220"/>
      <c r="H504" s="220" t="s">
        <v>960</v>
      </c>
      <c r="I504" s="220" t="s">
        <v>329</v>
      </c>
      <c r="J504" s="220" t="s">
        <v>297</v>
      </c>
      <c r="K504" s="220" t="s">
        <v>397</v>
      </c>
      <c r="L504" s="220" t="s">
        <v>959</v>
      </c>
      <c r="M504" s="220" t="s">
        <v>958</v>
      </c>
      <c r="N504" s="220" t="s">
        <v>329</v>
      </c>
      <c r="O504" s="220" t="s">
        <v>297</v>
      </c>
      <c r="P504" s="220" t="s">
        <v>397</v>
      </c>
      <c r="Q504" s="220" t="s">
        <v>957</v>
      </c>
      <c r="R504" s="220"/>
      <c r="S504" s="220" t="s">
        <v>791</v>
      </c>
      <c r="T504" s="220" t="s">
        <v>151</v>
      </c>
      <c r="U504" s="220"/>
      <c r="V504" s="220"/>
      <c r="W504" s="220"/>
      <c r="X504" s="220"/>
      <c r="Y504" s="283"/>
      <c r="Z504" s="220"/>
      <c r="AA504" s="220"/>
      <c r="AB504" s="220"/>
      <c r="AC504" s="220"/>
      <c r="AD504" s="220"/>
      <c r="AE504" s="283"/>
      <c r="AF504" s="220"/>
      <c r="AG504" s="220"/>
      <c r="AH504" s="220" t="s">
        <v>956</v>
      </c>
      <c r="AI504" s="220"/>
      <c r="AJ504" s="226">
        <v>3</v>
      </c>
      <c r="AK504" s="226">
        <v>0</v>
      </c>
      <c r="AL504" s="225">
        <v>1.11E-2</v>
      </c>
      <c r="AM504" s="220"/>
      <c r="AN504" s="225">
        <v>93.777000000000001</v>
      </c>
      <c r="AO504" s="220"/>
      <c r="AP504" s="220"/>
      <c r="AQ504" s="283"/>
      <c r="AR504" s="283"/>
      <c r="AS504" s="283"/>
      <c r="AT504" s="223">
        <v>0</v>
      </c>
      <c r="AU504" s="284">
        <v>14.97</v>
      </c>
      <c r="AV504" s="221">
        <v>42968</v>
      </c>
      <c r="AW504" s="221">
        <v>42968.738223611101</v>
      </c>
      <c r="AX504" s="220" t="s">
        <v>293</v>
      </c>
      <c r="AY504" s="219" t="s">
        <v>955</v>
      </c>
    </row>
    <row r="505" spans="1:51" hidden="1" outlineLevel="1" collapsed="1">
      <c r="A505" s="227" t="s">
        <v>289</v>
      </c>
      <c r="B505" s="220" t="s">
        <v>954</v>
      </c>
      <c r="C505" s="220" t="s">
        <v>954</v>
      </c>
      <c r="D505" s="220" t="s">
        <v>953</v>
      </c>
      <c r="E505" s="220" t="s">
        <v>952</v>
      </c>
      <c r="F505" s="220" t="s">
        <v>951</v>
      </c>
      <c r="G505" s="220"/>
      <c r="H505" s="220" t="s">
        <v>950</v>
      </c>
      <c r="I505" s="220" t="s">
        <v>345</v>
      </c>
      <c r="J505" s="220" t="s">
        <v>297</v>
      </c>
      <c r="K505" s="220" t="s">
        <v>344</v>
      </c>
      <c r="L505" s="220" t="s">
        <v>850</v>
      </c>
      <c r="M505" s="220" t="s">
        <v>849</v>
      </c>
      <c r="N505" s="220" t="s">
        <v>329</v>
      </c>
      <c r="O505" s="220" t="s">
        <v>297</v>
      </c>
      <c r="P505" s="220" t="s">
        <v>848</v>
      </c>
      <c r="Q505" s="220" t="s">
        <v>847</v>
      </c>
      <c r="R505" s="220"/>
      <c r="S505" s="220" t="s">
        <v>791</v>
      </c>
      <c r="T505" s="220" t="s">
        <v>151</v>
      </c>
      <c r="U505" s="220"/>
      <c r="V505" s="220"/>
      <c r="W505" s="220"/>
      <c r="X505" s="220"/>
      <c r="Y505" s="283"/>
      <c r="Z505" s="220"/>
      <c r="AA505" s="220"/>
      <c r="AB505" s="220"/>
      <c r="AC505" s="220"/>
      <c r="AD505" s="220"/>
      <c r="AE505" s="283"/>
      <c r="AF505" s="220"/>
      <c r="AG505" s="220"/>
      <c r="AH505" s="220" t="s">
        <v>949</v>
      </c>
      <c r="AI505" s="220"/>
      <c r="AJ505" s="226">
        <v>4</v>
      </c>
      <c r="AK505" s="226">
        <v>0</v>
      </c>
      <c r="AL505" s="225">
        <v>1.0800000000000001E-2</v>
      </c>
      <c r="AM505" s="220"/>
      <c r="AN505" s="225">
        <v>90.751999999999995</v>
      </c>
      <c r="AO505" s="220"/>
      <c r="AP505" s="220"/>
      <c r="AQ505" s="283"/>
      <c r="AR505" s="283"/>
      <c r="AS505" s="283"/>
      <c r="AT505" s="223">
        <v>0</v>
      </c>
      <c r="AU505" s="284">
        <v>12.96</v>
      </c>
      <c r="AV505" s="221">
        <v>42968</v>
      </c>
      <c r="AW505" s="221">
        <v>42968.789404166702</v>
      </c>
      <c r="AX505" s="220" t="s">
        <v>293</v>
      </c>
      <c r="AY505" s="219" t="s">
        <v>948</v>
      </c>
    </row>
    <row r="506" spans="1:51" ht="20.399999999999999" hidden="1" outlineLevel="1" collapsed="1">
      <c r="A506" s="227" t="s">
        <v>289</v>
      </c>
      <c r="B506" s="220" t="s">
        <v>943</v>
      </c>
      <c r="C506" s="220" t="s">
        <v>943</v>
      </c>
      <c r="D506" s="220" t="s">
        <v>942</v>
      </c>
      <c r="E506" s="220" t="s">
        <v>941</v>
      </c>
      <c r="F506" s="220" t="s">
        <v>940</v>
      </c>
      <c r="G506" s="220"/>
      <c r="H506" s="220" t="s">
        <v>939</v>
      </c>
      <c r="I506" s="220" t="s">
        <v>329</v>
      </c>
      <c r="J506" s="220" t="s">
        <v>297</v>
      </c>
      <c r="K506" s="220" t="s">
        <v>397</v>
      </c>
      <c r="L506" s="220" t="s">
        <v>938</v>
      </c>
      <c r="M506" s="220" t="s">
        <v>937</v>
      </c>
      <c r="N506" s="220" t="s">
        <v>329</v>
      </c>
      <c r="O506" s="220" t="s">
        <v>297</v>
      </c>
      <c r="P506" s="220" t="s">
        <v>328</v>
      </c>
      <c r="Q506" s="220" t="s">
        <v>936</v>
      </c>
      <c r="R506" s="220"/>
      <c r="S506" s="220" t="s">
        <v>791</v>
      </c>
      <c r="T506" s="220" t="s">
        <v>151</v>
      </c>
      <c r="U506" s="220"/>
      <c r="V506" s="220"/>
      <c r="W506" s="220"/>
      <c r="X506" s="220"/>
      <c r="Y506" s="283"/>
      <c r="Z506" s="220"/>
      <c r="AA506" s="220"/>
      <c r="AB506" s="220"/>
      <c r="AC506" s="220"/>
      <c r="AD506" s="220"/>
      <c r="AE506" s="283"/>
      <c r="AF506" s="220"/>
      <c r="AG506" s="220"/>
      <c r="AH506" s="220" t="s">
        <v>935</v>
      </c>
      <c r="AI506" s="220"/>
      <c r="AJ506" s="226">
        <v>1</v>
      </c>
      <c r="AK506" s="226">
        <v>0</v>
      </c>
      <c r="AL506" s="225">
        <v>4.5999999999999999E-3</v>
      </c>
      <c r="AM506" s="220"/>
      <c r="AN506" s="225">
        <v>38.820999999999998</v>
      </c>
      <c r="AO506" s="220"/>
      <c r="AP506" s="220"/>
      <c r="AQ506" s="283"/>
      <c r="AR506" s="283"/>
      <c r="AS506" s="283"/>
      <c r="AT506" s="223">
        <v>0</v>
      </c>
      <c r="AU506" s="284">
        <v>4.51</v>
      </c>
      <c r="AV506" s="221">
        <v>42968</v>
      </c>
      <c r="AW506" s="221">
        <v>42968.799432488398</v>
      </c>
      <c r="AX506" s="220" t="s">
        <v>293</v>
      </c>
      <c r="AY506" s="219" t="s">
        <v>934</v>
      </c>
    </row>
    <row r="507" spans="1:51" hidden="1" outlineLevel="1" collapsed="1">
      <c r="A507" s="227" t="s">
        <v>289</v>
      </c>
      <c r="B507" s="220" t="s">
        <v>943</v>
      </c>
      <c r="C507" s="220" t="s">
        <v>943</v>
      </c>
      <c r="D507" s="220" t="s">
        <v>942</v>
      </c>
      <c r="E507" s="220" t="s">
        <v>941</v>
      </c>
      <c r="F507" s="220" t="s">
        <v>940</v>
      </c>
      <c r="G507" s="220"/>
      <c r="H507" s="220" t="s">
        <v>939</v>
      </c>
      <c r="I507" s="220" t="s">
        <v>329</v>
      </c>
      <c r="J507" s="220" t="s">
        <v>297</v>
      </c>
      <c r="K507" s="220" t="s">
        <v>397</v>
      </c>
      <c r="L507" s="220" t="s">
        <v>938</v>
      </c>
      <c r="M507" s="220" t="s">
        <v>937</v>
      </c>
      <c r="N507" s="220" t="s">
        <v>329</v>
      </c>
      <c r="O507" s="220" t="s">
        <v>297</v>
      </c>
      <c r="P507" s="220" t="s">
        <v>328</v>
      </c>
      <c r="Q507" s="220" t="s">
        <v>936</v>
      </c>
      <c r="R507" s="220"/>
      <c r="S507" s="220" t="s">
        <v>791</v>
      </c>
      <c r="T507" s="220" t="s">
        <v>151</v>
      </c>
      <c r="U507" s="220"/>
      <c r="V507" s="220"/>
      <c r="W507" s="220"/>
      <c r="X507" s="220"/>
      <c r="Y507" s="283"/>
      <c r="Z507" s="220"/>
      <c r="AA507" s="220"/>
      <c r="AB507" s="220"/>
      <c r="AC507" s="220"/>
      <c r="AD507" s="220"/>
      <c r="AE507" s="283"/>
      <c r="AF507" s="220"/>
      <c r="AG507" s="220"/>
      <c r="AH507" s="220" t="s">
        <v>945</v>
      </c>
      <c r="AI507" s="220"/>
      <c r="AJ507" s="226">
        <v>4</v>
      </c>
      <c r="AK507" s="226">
        <v>0</v>
      </c>
      <c r="AL507" s="225">
        <v>1.6E-2</v>
      </c>
      <c r="AM507" s="220"/>
      <c r="AN507" s="225">
        <v>135.12</v>
      </c>
      <c r="AO507" s="220"/>
      <c r="AP507" s="220"/>
      <c r="AQ507" s="283"/>
      <c r="AR507" s="283"/>
      <c r="AS507" s="283"/>
      <c r="AT507" s="223">
        <v>0</v>
      </c>
      <c r="AU507" s="284">
        <v>7.28</v>
      </c>
      <c r="AV507" s="221">
        <v>42968</v>
      </c>
      <c r="AW507" s="221">
        <v>42968.799432488398</v>
      </c>
      <c r="AX507" s="220" t="s">
        <v>293</v>
      </c>
      <c r="AY507" s="219" t="s">
        <v>944</v>
      </c>
    </row>
    <row r="508" spans="1:51" hidden="1" outlineLevel="1" collapsed="1">
      <c r="A508" s="227" t="s">
        <v>289</v>
      </c>
      <c r="B508" s="220" t="s">
        <v>943</v>
      </c>
      <c r="C508" s="220" t="s">
        <v>943</v>
      </c>
      <c r="D508" s="220" t="s">
        <v>942</v>
      </c>
      <c r="E508" s="220" t="s">
        <v>941</v>
      </c>
      <c r="F508" s="220" t="s">
        <v>940</v>
      </c>
      <c r="G508" s="220"/>
      <c r="H508" s="220" t="s">
        <v>939</v>
      </c>
      <c r="I508" s="220" t="s">
        <v>329</v>
      </c>
      <c r="J508" s="220" t="s">
        <v>297</v>
      </c>
      <c r="K508" s="220" t="s">
        <v>397</v>
      </c>
      <c r="L508" s="220" t="s">
        <v>938</v>
      </c>
      <c r="M508" s="220" t="s">
        <v>937</v>
      </c>
      <c r="N508" s="220" t="s">
        <v>329</v>
      </c>
      <c r="O508" s="220" t="s">
        <v>297</v>
      </c>
      <c r="P508" s="220" t="s">
        <v>328</v>
      </c>
      <c r="Q508" s="220" t="s">
        <v>936</v>
      </c>
      <c r="R508" s="220"/>
      <c r="S508" s="220" t="s">
        <v>791</v>
      </c>
      <c r="T508" s="220" t="s">
        <v>151</v>
      </c>
      <c r="U508" s="220"/>
      <c r="V508" s="220"/>
      <c r="W508" s="220"/>
      <c r="X508" s="220"/>
      <c r="Y508" s="283"/>
      <c r="Z508" s="220"/>
      <c r="AA508" s="220"/>
      <c r="AB508" s="220"/>
      <c r="AC508" s="220"/>
      <c r="AD508" s="220"/>
      <c r="AE508" s="283"/>
      <c r="AF508" s="220"/>
      <c r="AG508" s="220"/>
      <c r="AH508" s="220" t="s">
        <v>947</v>
      </c>
      <c r="AI508" s="220"/>
      <c r="AJ508" s="226">
        <v>16</v>
      </c>
      <c r="AK508" s="226">
        <v>0</v>
      </c>
      <c r="AL508" s="225">
        <v>6.4000000000000001E-2</v>
      </c>
      <c r="AM508" s="220"/>
      <c r="AN508" s="225">
        <v>540.48</v>
      </c>
      <c r="AO508" s="220"/>
      <c r="AP508" s="220"/>
      <c r="AQ508" s="283"/>
      <c r="AR508" s="283"/>
      <c r="AS508" s="283"/>
      <c r="AT508" s="223">
        <v>0</v>
      </c>
      <c r="AU508" s="284">
        <v>29.12</v>
      </c>
      <c r="AV508" s="221">
        <v>42968</v>
      </c>
      <c r="AW508" s="221">
        <v>42968.799432488398</v>
      </c>
      <c r="AX508" s="220" t="s">
        <v>293</v>
      </c>
      <c r="AY508" s="219" t="s">
        <v>946</v>
      </c>
    </row>
    <row r="509" spans="1:51" hidden="1" outlineLevel="1" collapsed="1">
      <c r="A509" s="227" t="s">
        <v>289</v>
      </c>
      <c r="B509" s="220" t="s">
        <v>933</v>
      </c>
      <c r="C509" s="220" t="s">
        <v>933</v>
      </c>
      <c r="D509" s="220" t="s">
        <v>932</v>
      </c>
      <c r="E509" s="220" t="s">
        <v>931</v>
      </c>
      <c r="F509" s="220" t="s">
        <v>930</v>
      </c>
      <c r="G509" s="220"/>
      <c r="H509" s="220" t="s">
        <v>929</v>
      </c>
      <c r="I509" s="220" t="s">
        <v>928</v>
      </c>
      <c r="J509" s="220" t="s">
        <v>297</v>
      </c>
      <c r="K509" s="220" t="s">
        <v>412</v>
      </c>
      <c r="L509" s="220" t="s">
        <v>601</v>
      </c>
      <c r="M509" s="220" t="s">
        <v>600</v>
      </c>
      <c r="N509" s="220" t="s">
        <v>329</v>
      </c>
      <c r="O509" s="220" t="s">
        <v>297</v>
      </c>
      <c r="P509" s="220" t="s">
        <v>599</v>
      </c>
      <c r="Q509" s="220" t="s">
        <v>598</v>
      </c>
      <c r="R509" s="220"/>
      <c r="S509" s="220" t="s">
        <v>791</v>
      </c>
      <c r="T509" s="220" t="s">
        <v>151</v>
      </c>
      <c r="U509" s="220"/>
      <c r="V509" s="220"/>
      <c r="W509" s="220"/>
      <c r="X509" s="220"/>
      <c r="Y509" s="283"/>
      <c r="Z509" s="220"/>
      <c r="AA509" s="220"/>
      <c r="AB509" s="220"/>
      <c r="AC509" s="220"/>
      <c r="AD509" s="220"/>
      <c r="AE509" s="283"/>
      <c r="AF509" s="220"/>
      <c r="AG509" s="220"/>
      <c r="AH509" s="220"/>
      <c r="AI509" s="220"/>
      <c r="AJ509" s="226">
        <v>5</v>
      </c>
      <c r="AK509" s="226">
        <v>0</v>
      </c>
      <c r="AL509" s="225">
        <v>0.02</v>
      </c>
      <c r="AM509" s="220"/>
      <c r="AN509" s="225">
        <v>168.9</v>
      </c>
      <c r="AO509" s="220"/>
      <c r="AP509" s="220"/>
      <c r="AQ509" s="283"/>
      <c r="AR509" s="283"/>
      <c r="AS509" s="283"/>
      <c r="AT509" s="223">
        <v>0</v>
      </c>
      <c r="AU509" s="284">
        <v>14.75</v>
      </c>
      <c r="AV509" s="221">
        <v>42968</v>
      </c>
      <c r="AW509" s="221">
        <v>42968.812648923602</v>
      </c>
      <c r="AX509" s="220" t="s">
        <v>293</v>
      </c>
      <c r="AY509" s="219" t="s">
        <v>927</v>
      </c>
    </row>
    <row r="510" spans="1:51" hidden="1" outlineLevel="1" collapsed="1">
      <c r="A510" s="227" t="s">
        <v>289</v>
      </c>
      <c r="B510" s="220" t="s">
        <v>925</v>
      </c>
      <c r="C510" s="220" t="s">
        <v>925</v>
      </c>
      <c r="D510" s="220" t="s">
        <v>924</v>
      </c>
      <c r="E510" s="220" t="s">
        <v>923</v>
      </c>
      <c r="F510" s="220" t="s">
        <v>922</v>
      </c>
      <c r="G510" s="220"/>
      <c r="H510" s="220" t="s">
        <v>921</v>
      </c>
      <c r="I510" s="220" t="s">
        <v>413</v>
      </c>
      <c r="J510" s="220" t="s">
        <v>297</v>
      </c>
      <c r="K510" s="220" t="s">
        <v>412</v>
      </c>
      <c r="L510" s="220" t="s">
        <v>601</v>
      </c>
      <c r="M510" s="220" t="s">
        <v>600</v>
      </c>
      <c r="N510" s="220" t="s">
        <v>329</v>
      </c>
      <c r="O510" s="220" t="s">
        <v>297</v>
      </c>
      <c r="P510" s="220" t="s">
        <v>599</v>
      </c>
      <c r="Q510" s="220" t="s">
        <v>598</v>
      </c>
      <c r="R510" s="220"/>
      <c r="S510" s="220" t="s">
        <v>791</v>
      </c>
      <c r="T510" s="220" t="s">
        <v>151</v>
      </c>
      <c r="U510" s="220"/>
      <c r="V510" s="220"/>
      <c r="W510" s="220"/>
      <c r="X510" s="220"/>
      <c r="Y510" s="283"/>
      <c r="Z510" s="220"/>
      <c r="AA510" s="220"/>
      <c r="AB510" s="220"/>
      <c r="AC510" s="220"/>
      <c r="AD510" s="220"/>
      <c r="AE510" s="283"/>
      <c r="AF510" s="220"/>
      <c r="AG510" s="220"/>
      <c r="AH510" s="220"/>
      <c r="AI510" s="220"/>
      <c r="AJ510" s="226">
        <v>2</v>
      </c>
      <c r="AK510" s="226">
        <v>0</v>
      </c>
      <c r="AL510" s="225">
        <v>8.0000000000000002E-3</v>
      </c>
      <c r="AM510" s="220"/>
      <c r="AN510" s="225">
        <v>67.56</v>
      </c>
      <c r="AO510" s="220"/>
      <c r="AP510" s="220"/>
      <c r="AQ510" s="283"/>
      <c r="AR510" s="283"/>
      <c r="AS510" s="283"/>
      <c r="AT510" s="223">
        <v>0</v>
      </c>
      <c r="AU510" s="284">
        <v>5.9</v>
      </c>
      <c r="AV510" s="221">
        <v>42968</v>
      </c>
      <c r="AW510" s="221">
        <v>42968.8143569444</v>
      </c>
      <c r="AX510" s="220" t="s">
        <v>293</v>
      </c>
      <c r="AY510" s="219" t="s">
        <v>920</v>
      </c>
    </row>
    <row r="511" spans="1:51" hidden="1" outlineLevel="1" collapsed="1">
      <c r="A511" s="227" t="s">
        <v>289</v>
      </c>
      <c r="B511" s="220" t="s">
        <v>925</v>
      </c>
      <c r="C511" s="220" t="s">
        <v>925</v>
      </c>
      <c r="D511" s="220" t="s">
        <v>924</v>
      </c>
      <c r="E511" s="220" t="s">
        <v>923</v>
      </c>
      <c r="F511" s="220" t="s">
        <v>922</v>
      </c>
      <c r="G511" s="220"/>
      <c r="H511" s="220" t="s">
        <v>921</v>
      </c>
      <c r="I511" s="220" t="s">
        <v>413</v>
      </c>
      <c r="J511" s="220" t="s">
        <v>297</v>
      </c>
      <c r="K511" s="220" t="s">
        <v>412</v>
      </c>
      <c r="L511" s="220" t="s">
        <v>601</v>
      </c>
      <c r="M511" s="220" t="s">
        <v>600</v>
      </c>
      <c r="N511" s="220" t="s">
        <v>329</v>
      </c>
      <c r="O511" s="220" t="s">
        <v>297</v>
      </c>
      <c r="P511" s="220" t="s">
        <v>599</v>
      </c>
      <c r="Q511" s="220" t="s">
        <v>598</v>
      </c>
      <c r="R511" s="220"/>
      <c r="S511" s="220" t="s">
        <v>791</v>
      </c>
      <c r="T511" s="220" t="s">
        <v>151</v>
      </c>
      <c r="U511" s="220"/>
      <c r="V511" s="220"/>
      <c r="W511" s="220"/>
      <c r="X511" s="220"/>
      <c r="Y511" s="283"/>
      <c r="Z511" s="220"/>
      <c r="AA511" s="220"/>
      <c r="AB511" s="220"/>
      <c r="AC511" s="220"/>
      <c r="AD511" s="220"/>
      <c r="AE511" s="283"/>
      <c r="AF511" s="220"/>
      <c r="AG511" s="220"/>
      <c r="AH511" s="220"/>
      <c r="AI511" s="220"/>
      <c r="AJ511" s="226">
        <v>6</v>
      </c>
      <c r="AK511" s="226">
        <v>0</v>
      </c>
      <c r="AL511" s="225">
        <v>1.6799999999999999E-2</v>
      </c>
      <c r="AM511" s="220"/>
      <c r="AN511" s="225">
        <v>142.17599999999999</v>
      </c>
      <c r="AO511" s="220"/>
      <c r="AP511" s="220"/>
      <c r="AQ511" s="283"/>
      <c r="AR511" s="283"/>
      <c r="AS511" s="283"/>
      <c r="AT511" s="223">
        <v>0</v>
      </c>
      <c r="AU511" s="284">
        <v>15.3</v>
      </c>
      <c r="AV511" s="221">
        <v>42968</v>
      </c>
      <c r="AW511" s="221">
        <v>42968.8143569444</v>
      </c>
      <c r="AX511" s="220" t="s">
        <v>293</v>
      </c>
      <c r="AY511" s="219" t="s">
        <v>926</v>
      </c>
    </row>
    <row r="512" spans="1:51" ht="20.399999999999999" hidden="1" outlineLevel="1" collapsed="1">
      <c r="A512" s="227" t="s">
        <v>289</v>
      </c>
      <c r="B512" s="220" t="s">
        <v>919</v>
      </c>
      <c r="C512" s="220" t="s">
        <v>919</v>
      </c>
      <c r="D512" s="220" t="s">
        <v>918</v>
      </c>
      <c r="E512" s="220" t="s">
        <v>917</v>
      </c>
      <c r="F512" s="220" t="s">
        <v>916</v>
      </c>
      <c r="G512" s="220"/>
      <c r="H512" s="220" t="s">
        <v>915</v>
      </c>
      <c r="I512" s="220" t="s">
        <v>329</v>
      </c>
      <c r="J512" s="220" t="s">
        <v>297</v>
      </c>
      <c r="K512" s="220" t="s">
        <v>397</v>
      </c>
      <c r="L512" s="220" t="s">
        <v>914</v>
      </c>
      <c r="M512" s="220" t="s">
        <v>913</v>
      </c>
      <c r="N512" s="220" t="s">
        <v>329</v>
      </c>
      <c r="O512" s="220" t="s">
        <v>297</v>
      </c>
      <c r="P512" s="220" t="s">
        <v>397</v>
      </c>
      <c r="Q512" s="220" t="s">
        <v>912</v>
      </c>
      <c r="R512" s="220"/>
      <c r="S512" s="220" t="s">
        <v>791</v>
      </c>
      <c r="T512" s="220" t="s">
        <v>151</v>
      </c>
      <c r="U512" s="220"/>
      <c r="V512" s="220"/>
      <c r="W512" s="220"/>
      <c r="X512" s="220"/>
      <c r="Y512" s="283"/>
      <c r="Z512" s="220"/>
      <c r="AA512" s="220"/>
      <c r="AB512" s="220"/>
      <c r="AC512" s="220"/>
      <c r="AD512" s="220"/>
      <c r="AE512" s="283"/>
      <c r="AF512" s="220"/>
      <c r="AG512" s="220"/>
      <c r="AH512" s="220" t="s">
        <v>911</v>
      </c>
      <c r="AI512" s="220"/>
      <c r="AJ512" s="226">
        <v>5</v>
      </c>
      <c r="AK512" s="226">
        <v>0</v>
      </c>
      <c r="AL512" s="225">
        <v>2.2499999999999999E-2</v>
      </c>
      <c r="AM512" s="220"/>
      <c r="AN512" s="225">
        <v>191.58500000000001</v>
      </c>
      <c r="AO512" s="220"/>
      <c r="AP512" s="220"/>
      <c r="AQ512" s="283"/>
      <c r="AR512" s="283"/>
      <c r="AS512" s="283"/>
      <c r="AT512" s="223">
        <v>0</v>
      </c>
      <c r="AU512" s="284">
        <v>25</v>
      </c>
      <c r="AV512" s="221">
        <v>42968</v>
      </c>
      <c r="AW512" s="221">
        <v>42968.821885451398</v>
      </c>
      <c r="AX512" s="220" t="s">
        <v>293</v>
      </c>
      <c r="AY512" s="219" t="s">
        <v>910</v>
      </c>
    </row>
    <row r="513" spans="1:51" hidden="1" outlineLevel="1" collapsed="1">
      <c r="A513" s="227" t="s">
        <v>289</v>
      </c>
      <c r="B513" s="220" t="s">
        <v>909</v>
      </c>
      <c r="C513" s="220" t="s">
        <v>909</v>
      </c>
      <c r="D513" s="220" t="s">
        <v>908</v>
      </c>
      <c r="E513" s="220" t="s">
        <v>907</v>
      </c>
      <c r="F513" s="220" t="s">
        <v>906</v>
      </c>
      <c r="G513" s="220"/>
      <c r="H513" s="220" t="s">
        <v>905</v>
      </c>
      <c r="I513" s="220" t="s">
        <v>337</v>
      </c>
      <c r="J513" s="220" t="s">
        <v>297</v>
      </c>
      <c r="K513" s="220" t="s">
        <v>336</v>
      </c>
      <c r="L513" s="220"/>
      <c r="M513" s="220" t="s">
        <v>904</v>
      </c>
      <c r="N513" s="220" t="s">
        <v>337</v>
      </c>
      <c r="O513" s="220" t="s">
        <v>297</v>
      </c>
      <c r="P513" s="220" t="s">
        <v>336</v>
      </c>
      <c r="Q513" s="220"/>
      <c r="R513" s="220"/>
      <c r="S513" s="220" t="s">
        <v>791</v>
      </c>
      <c r="T513" s="220" t="s">
        <v>151</v>
      </c>
      <c r="U513" s="220"/>
      <c r="V513" s="220"/>
      <c r="W513" s="220"/>
      <c r="X513" s="220"/>
      <c r="Y513" s="283"/>
      <c r="Z513" s="220"/>
      <c r="AA513" s="220"/>
      <c r="AB513" s="220"/>
      <c r="AC513" s="220"/>
      <c r="AD513" s="220"/>
      <c r="AE513" s="283"/>
      <c r="AF513" s="220"/>
      <c r="AG513" s="220"/>
      <c r="AH513" s="220" t="s">
        <v>903</v>
      </c>
      <c r="AI513" s="220"/>
      <c r="AJ513" s="226">
        <v>6</v>
      </c>
      <c r="AK513" s="226">
        <v>0</v>
      </c>
      <c r="AL513" s="225">
        <v>1.6799999999999999E-2</v>
      </c>
      <c r="AM513" s="220"/>
      <c r="AN513" s="225">
        <v>145.19999999999999</v>
      </c>
      <c r="AO513" s="220"/>
      <c r="AP513" s="220"/>
      <c r="AQ513" s="283"/>
      <c r="AR513" s="283"/>
      <c r="AS513" s="283"/>
      <c r="AT513" s="223">
        <v>0</v>
      </c>
      <c r="AU513" s="284">
        <v>10.62</v>
      </c>
      <c r="AV513" s="221">
        <v>42969</v>
      </c>
      <c r="AW513" s="221">
        <v>42969.619902048602</v>
      </c>
      <c r="AX513" s="220" t="s">
        <v>293</v>
      </c>
      <c r="AY513" s="219" t="s">
        <v>902</v>
      </c>
    </row>
    <row r="514" spans="1:51" hidden="1" outlineLevel="1" collapsed="1">
      <c r="A514" s="227" t="s">
        <v>289</v>
      </c>
      <c r="B514" s="220" t="s">
        <v>901</v>
      </c>
      <c r="C514" s="220" t="s">
        <v>901</v>
      </c>
      <c r="D514" s="220" t="s">
        <v>900</v>
      </c>
      <c r="E514" s="220" t="s">
        <v>899</v>
      </c>
      <c r="F514" s="220" t="s">
        <v>898</v>
      </c>
      <c r="G514" s="220" t="s">
        <v>897</v>
      </c>
      <c r="H514" s="220" t="s">
        <v>896</v>
      </c>
      <c r="I514" s="220" t="s">
        <v>329</v>
      </c>
      <c r="J514" s="220" t="s">
        <v>297</v>
      </c>
      <c r="K514" s="220" t="s">
        <v>397</v>
      </c>
      <c r="L514" s="220" t="s">
        <v>601</v>
      </c>
      <c r="M514" s="220" t="s">
        <v>600</v>
      </c>
      <c r="N514" s="220" t="s">
        <v>329</v>
      </c>
      <c r="O514" s="220" t="s">
        <v>297</v>
      </c>
      <c r="P514" s="220" t="s">
        <v>599</v>
      </c>
      <c r="Q514" s="220" t="s">
        <v>598</v>
      </c>
      <c r="R514" s="220"/>
      <c r="S514" s="220" t="s">
        <v>895</v>
      </c>
      <c r="T514" s="220" t="s">
        <v>150</v>
      </c>
      <c r="U514" s="220"/>
      <c r="V514" s="220"/>
      <c r="W514" s="220"/>
      <c r="X514" s="220"/>
      <c r="Y514" s="283"/>
      <c r="Z514" s="220"/>
      <c r="AA514" s="220"/>
      <c r="AB514" s="220"/>
      <c r="AC514" s="220"/>
      <c r="AD514" s="220"/>
      <c r="AE514" s="283"/>
      <c r="AF514" s="220"/>
      <c r="AG514" s="220"/>
      <c r="AH514" s="220" t="s">
        <v>894</v>
      </c>
      <c r="AI514" s="220"/>
      <c r="AJ514" s="226">
        <v>5</v>
      </c>
      <c r="AK514" s="226">
        <v>0</v>
      </c>
      <c r="AL514" s="225">
        <v>2.1999999999999999E-2</v>
      </c>
      <c r="AM514" s="220"/>
      <c r="AN514" s="225">
        <v>189.065</v>
      </c>
      <c r="AO514" s="220"/>
      <c r="AP514" s="220"/>
      <c r="AQ514" s="283"/>
      <c r="AR514" s="283"/>
      <c r="AS514" s="283"/>
      <c r="AT514" s="223">
        <v>0</v>
      </c>
      <c r="AU514" s="284">
        <v>50</v>
      </c>
      <c r="AV514" s="221">
        <v>42970</v>
      </c>
      <c r="AW514" s="221">
        <v>42970.719258680598</v>
      </c>
      <c r="AX514" s="220" t="s">
        <v>293</v>
      </c>
      <c r="AY514" s="219" t="s">
        <v>893</v>
      </c>
    </row>
    <row r="515" spans="1:51" hidden="1" outlineLevel="1" collapsed="1">
      <c r="A515" s="227" t="s">
        <v>289</v>
      </c>
      <c r="B515" s="220" t="s">
        <v>890</v>
      </c>
      <c r="C515" s="220" t="s">
        <v>890</v>
      </c>
      <c r="D515" s="220" t="s">
        <v>889</v>
      </c>
      <c r="E515" s="220" t="s">
        <v>888</v>
      </c>
      <c r="F515" s="220" t="s">
        <v>887</v>
      </c>
      <c r="G515" s="220"/>
      <c r="H515" s="220" t="s">
        <v>886</v>
      </c>
      <c r="I515" s="220" t="s">
        <v>329</v>
      </c>
      <c r="J515" s="220" t="s">
        <v>297</v>
      </c>
      <c r="K515" s="220" t="s">
        <v>328</v>
      </c>
      <c r="L515" s="220" t="s">
        <v>601</v>
      </c>
      <c r="M515" s="220" t="s">
        <v>600</v>
      </c>
      <c r="N515" s="220" t="s">
        <v>329</v>
      </c>
      <c r="O515" s="220" t="s">
        <v>297</v>
      </c>
      <c r="P515" s="220" t="s">
        <v>599</v>
      </c>
      <c r="Q515" s="220" t="s">
        <v>598</v>
      </c>
      <c r="R515" s="220"/>
      <c r="S515" s="220" t="s">
        <v>791</v>
      </c>
      <c r="T515" s="220" t="s">
        <v>151</v>
      </c>
      <c r="U515" s="220"/>
      <c r="V515" s="220"/>
      <c r="W515" s="220"/>
      <c r="X515" s="220"/>
      <c r="Y515" s="283"/>
      <c r="Z515" s="220"/>
      <c r="AA515" s="220"/>
      <c r="AB515" s="220"/>
      <c r="AC515" s="220"/>
      <c r="AD515" s="220"/>
      <c r="AE515" s="283"/>
      <c r="AF515" s="220"/>
      <c r="AG515" s="220"/>
      <c r="AH515" s="220"/>
      <c r="AI515" s="220"/>
      <c r="AJ515" s="226">
        <v>4</v>
      </c>
      <c r="AK515" s="226">
        <v>0</v>
      </c>
      <c r="AL515" s="225">
        <v>1.6E-2</v>
      </c>
      <c r="AM515" s="220"/>
      <c r="AN515" s="225">
        <v>135.12</v>
      </c>
      <c r="AO515" s="220"/>
      <c r="AP515" s="220"/>
      <c r="AQ515" s="283"/>
      <c r="AR515" s="283"/>
      <c r="AS515" s="283"/>
      <c r="AT515" s="223">
        <v>0</v>
      </c>
      <c r="AU515" s="284">
        <v>11.8</v>
      </c>
      <c r="AV515" s="221">
        <v>42971</v>
      </c>
      <c r="AW515" s="221">
        <v>42971.450761608801</v>
      </c>
      <c r="AX515" s="220" t="s">
        <v>293</v>
      </c>
      <c r="AY515" s="219" t="s">
        <v>891</v>
      </c>
    </row>
    <row r="516" spans="1:51" hidden="1" outlineLevel="1" collapsed="1">
      <c r="A516" s="227" t="s">
        <v>289</v>
      </c>
      <c r="B516" s="220" t="s">
        <v>890</v>
      </c>
      <c r="C516" s="220" t="s">
        <v>890</v>
      </c>
      <c r="D516" s="220" t="s">
        <v>889</v>
      </c>
      <c r="E516" s="220" t="s">
        <v>888</v>
      </c>
      <c r="F516" s="220" t="s">
        <v>887</v>
      </c>
      <c r="G516" s="220"/>
      <c r="H516" s="220" t="s">
        <v>886</v>
      </c>
      <c r="I516" s="220" t="s">
        <v>329</v>
      </c>
      <c r="J516" s="220" t="s">
        <v>297</v>
      </c>
      <c r="K516" s="220" t="s">
        <v>328</v>
      </c>
      <c r="L516" s="220" t="s">
        <v>601</v>
      </c>
      <c r="M516" s="220" t="s">
        <v>600</v>
      </c>
      <c r="N516" s="220" t="s">
        <v>329</v>
      </c>
      <c r="O516" s="220" t="s">
        <v>297</v>
      </c>
      <c r="P516" s="220" t="s">
        <v>599</v>
      </c>
      <c r="Q516" s="220" t="s">
        <v>598</v>
      </c>
      <c r="R516" s="220"/>
      <c r="S516" s="220" t="s">
        <v>791</v>
      </c>
      <c r="T516" s="220" t="s">
        <v>151</v>
      </c>
      <c r="U516" s="220"/>
      <c r="V516" s="220"/>
      <c r="W516" s="220"/>
      <c r="X516" s="220"/>
      <c r="Y516" s="283"/>
      <c r="Z516" s="220"/>
      <c r="AA516" s="220"/>
      <c r="AB516" s="220"/>
      <c r="AC516" s="220"/>
      <c r="AD516" s="220"/>
      <c r="AE516" s="283"/>
      <c r="AF516" s="220"/>
      <c r="AG516" s="220"/>
      <c r="AH516" s="220"/>
      <c r="AI516" s="220"/>
      <c r="AJ516" s="226">
        <v>2</v>
      </c>
      <c r="AK516" s="226">
        <v>0</v>
      </c>
      <c r="AL516" s="225">
        <v>5.5999999999999999E-3</v>
      </c>
      <c r="AM516" s="220"/>
      <c r="AN516" s="225">
        <v>47.392000000000003</v>
      </c>
      <c r="AO516" s="220"/>
      <c r="AP516" s="220"/>
      <c r="AQ516" s="283"/>
      <c r="AR516" s="283"/>
      <c r="AS516" s="283"/>
      <c r="AT516" s="223">
        <v>0</v>
      </c>
      <c r="AU516" s="284">
        <v>5.0999999999999996</v>
      </c>
      <c r="AV516" s="221">
        <v>42971</v>
      </c>
      <c r="AW516" s="221">
        <v>42971.450761608801</v>
      </c>
      <c r="AX516" s="220" t="s">
        <v>293</v>
      </c>
      <c r="AY516" s="219" t="s">
        <v>892</v>
      </c>
    </row>
    <row r="517" spans="1:51" hidden="1" outlineLevel="1" collapsed="1">
      <c r="A517" s="227" t="s">
        <v>289</v>
      </c>
      <c r="B517" s="220" t="s">
        <v>890</v>
      </c>
      <c r="C517" s="220" t="s">
        <v>890</v>
      </c>
      <c r="D517" s="220" t="s">
        <v>889</v>
      </c>
      <c r="E517" s="220" t="s">
        <v>888</v>
      </c>
      <c r="F517" s="220" t="s">
        <v>887</v>
      </c>
      <c r="G517" s="220"/>
      <c r="H517" s="220" t="s">
        <v>886</v>
      </c>
      <c r="I517" s="220" t="s">
        <v>329</v>
      </c>
      <c r="J517" s="220" t="s">
        <v>297</v>
      </c>
      <c r="K517" s="220" t="s">
        <v>328</v>
      </c>
      <c r="L517" s="220" t="s">
        <v>601</v>
      </c>
      <c r="M517" s="220" t="s">
        <v>600</v>
      </c>
      <c r="N517" s="220" t="s">
        <v>329</v>
      </c>
      <c r="O517" s="220" t="s">
        <v>297</v>
      </c>
      <c r="P517" s="220" t="s">
        <v>599</v>
      </c>
      <c r="Q517" s="220" t="s">
        <v>598</v>
      </c>
      <c r="R517" s="220"/>
      <c r="S517" s="220" t="s">
        <v>791</v>
      </c>
      <c r="T517" s="220" t="s">
        <v>151</v>
      </c>
      <c r="U517" s="220"/>
      <c r="V517" s="220"/>
      <c r="W517" s="220"/>
      <c r="X517" s="220"/>
      <c r="Y517" s="283"/>
      <c r="Z517" s="220"/>
      <c r="AA517" s="220"/>
      <c r="AB517" s="220"/>
      <c r="AC517" s="220"/>
      <c r="AD517" s="220"/>
      <c r="AE517" s="283"/>
      <c r="AF517" s="220"/>
      <c r="AG517" s="220"/>
      <c r="AH517" s="220"/>
      <c r="AI517" s="220"/>
      <c r="AJ517" s="226">
        <v>12</v>
      </c>
      <c r="AK517" s="226">
        <v>0</v>
      </c>
      <c r="AL517" s="225">
        <v>4.9200000000000001E-2</v>
      </c>
      <c r="AM517" s="220"/>
      <c r="AN517" s="225">
        <v>417.45600000000002</v>
      </c>
      <c r="AO517" s="220"/>
      <c r="AP517" s="220"/>
      <c r="AQ517" s="283"/>
      <c r="AR517" s="283"/>
      <c r="AS517" s="283"/>
      <c r="AT517" s="223">
        <v>0</v>
      </c>
      <c r="AU517" s="284">
        <v>48</v>
      </c>
      <c r="AV517" s="221">
        <v>42971</v>
      </c>
      <c r="AW517" s="221">
        <v>42971.450761608801</v>
      </c>
      <c r="AX517" s="220" t="s">
        <v>293</v>
      </c>
      <c r="AY517" s="219" t="s">
        <v>885</v>
      </c>
    </row>
    <row r="518" spans="1:51" hidden="1" outlineLevel="1" collapsed="1">
      <c r="A518" s="227" t="s">
        <v>289</v>
      </c>
      <c r="B518" s="220" t="s">
        <v>882</v>
      </c>
      <c r="C518" s="220" t="s">
        <v>882</v>
      </c>
      <c r="D518" s="220" t="s">
        <v>881</v>
      </c>
      <c r="E518" s="220" t="s">
        <v>880</v>
      </c>
      <c r="F518" s="220" t="s">
        <v>879</v>
      </c>
      <c r="G518" s="220"/>
      <c r="H518" s="220" t="s">
        <v>878</v>
      </c>
      <c r="I518" s="220" t="s">
        <v>329</v>
      </c>
      <c r="J518" s="220" t="s">
        <v>297</v>
      </c>
      <c r="K518" s="220" t="s">
        <v>328</v>
      </c>
      <c r="L518" s="220" t="s">
        <v>850</v>
      </c>
      <c r="M518" s="220" t="s">
        <v>849</v>
      </c>
      <c r="N518" s="220" t="s">
        <v>329</v>
      </c>
      <c r="O518" s="220" t="s">
        <v>297</v>
      </c>
      <c r="P518" s="220" t="s">
        <v>848</v>
      </c>
      <c r="Q518" s="220" t="s">
        <v>847</v>
      </c>
      <c r="R518" s="220"/>
      <c r="S518" s="220" t="s">
        <v>791</v>
      </c>
      <c r="T518" s="220" t="s">
        <v>151</v>
      </c>
      <c r="U518" s="220"/>
      <c r="V518" s="220"/>
      <c r="W518" s="220"/>
      <c r="X518" s="220"/>
      <c r="Y518" s="283"/>
      <c r="Z518" s="220"/>
      <c r="AA518" s="220"/>
      <c r="AB518" s="220"/>
      <c r="AC518" s="220"/>
      <c r="AD518" s="220"/>
      <c r="AE518" s="283"/>
      <c r="AF518" s="220"/>
      <c r="AG518" s="220"/>
      <c r="AH518" s="220" t="s">
        <v>884</v>
      </c>
      <c r="AI518" s="220"/>
      <c r="AJ518" s="226">
        <v>6</v>
      </c>
      <c r="AK518" s="226">
        <v>0</v>
      </c>
      <c r="AL518" s="225">
        <v>2.4E-2</v>
      </c>
      <c r="AM518" s="220"/>
      <c r="AN518" s="225">
        <v>205.70400000000001</v>
      </c>
      <c r="AO518" s="220"/>
      <c r="AP518" s="220"/>
      <c r="AQ518" s="283"/>
      <c r="AR518" s="283"/>
      <c r="AS518" s="283"/>
      <c r="AT518" s="223">
        <v>0</v>
      </c>
      <c r="AU518" s="284">
        <v>8.94</v>
      </c>
      <c r="AV518" s="221">
        <v>42971</v>
      </c>
      <c r="AW518" s="221">
        <v>42971.557341747699</v>
      </c>
      <c r="AX518" s="220" t="s">
        <v>293</v>
      </c>
      <c r="AY518" s="219" t="s">
        <v>883</v>
      </c>
    </row>
    <row r="519" spans="1:51" hidden="1" outlineLevel="1" collapsed="1">
      <c r="A519" s="227" t="s">
        <v>289</v>
      </c>
      <c r="B519" s="220" t="s">
        <v>882</v>
      </c>
      <c r="C519" s="220" t="s">
        <v>882</v>
      </c>
      <c r="D519" s="220" t="s">
        <v>881</v>
      </c>
      <c r="E519" s="220" t="s">
        <v>880</v>
      </c>
      <c r="F519" s="220" t="s">
        <v>879</v>
      </c>
      <c r="G519" s="220"/>
      <c r="H519" s="220" t="s">
        <v>878</v>
      </c>
      <c r="I519" s="220" t="s">
        <v>329</v>
      </c>
      <c r="J519" s="220" t="s">
        <v>297</v>
      </c>
      <c r="K519" s="220" t="s">
        <v>328</v>
      </c>
      <c r="L519" s="220" t="s">
        <v>850</v>
      </c>
      <c r="M519" s="220" t="s">
        <v>849</v>
      </c>
      <c r="N519" s="220" t="s">
        <v>329</v>
      </c>
      <c r="O519" s="220" t="s">
        <v>297</v>
      </c>
      <c r="P519" s="220" t="s">
        <v>848</v>
      </c>
      <c r="Q519" s="220" t="s">
        <v>847</v>
      </c>
      <c r="R519" s="220"/>
      <c r="S519" s="220" t="s">
        <v>791</v>
      </c>
      <c r="T519" s="220" t="s">
        <v>151</v>
      </c>
      <c r="U519" s="220"/>
      <c r="V519" s="220"/>
      <c r="W519" s="220"/>
      <c r="X519" s="220"/>
      <c r="Y519" s="283"/>
      <c r="Z519" s="220"/>
      <c r="AA519" s="220"/>
      <c r="AB519" s="220"/>
      <c r="AC519" s="220"/>
      <c r="AD519" s="220"/>
      <c r="AE519" s="283"/>
      <c r="AF519" s="220"/>
      <c r="AG519" s="220"/>
      <c r="AH519" s="220" t="s">
        <v>877</v>
      </c>
      <c r="AI519" s="220"/>
      <c r="AJ519" s="226">
        <v>2</v>
      </c>
      <c r="AK519" s="226">
        <v>0</v>
      </c>
      <c r="AL519" s="225">
        <v>5.5999999999999999E-3</v>
      </c>
      <c r="AM519" s="220"/>
      <c r="AN519" s="225">
        <v>47.392000000000003</v>
      </c>
      <c r="AO519" s="220"/>
      <c r="AP519" s="220"/>
      <c r="AQ519" s="283"/>
      <c r="AR519" s="283"/>
      <c r="AS519" s="283"/>
      <c r="AT519" s="223">
        <v>0</v>
      </c>
      <c r="AU519" s="284">
        <v>3.98</v>
      </c>
      <c r="AV519" s="221">
        <v>42971</v>
      </c>
      <c r="AW519" s="221">
        <v>42971.557341747699</v>
      </c>
      <c r="AX519" s="220" t="s">
        <v>293</v>
      </c>
      <c r="AY519" s="219" t="s">
        <v>876</v>
      </c>
    </row>
    <row r="520" spans="1:51" hidden="1" outlineLevel="1" collapsed="1">
      <c r="A520" s="227" t="s">
        <v>289</v>
      </c>
      <c r="B520" s="220" t="s">
        <v>871</v>
      </c>
      <c r="C520" s="220" t="s">
        <v>871</v>
      </c>
      <c r="D520" s="220" t="s">
        <v>870</v>
      </c>
      <c r="E520" s="220" t="s">
        <v>869</v>
      </c>
      <c r="F520" s="220" t="s">
        <v>868</v>
      </c>
      <c r="G520" s="220"/>
      <c r="H520" s="220" t="s">
        <v>867</v>
      </c>
      <c r="I520" s="220" t="s">
        <v>382</v>
      </c>
      <c r="J520" s="220" t="s">
        <v>297</v>
      </c>
      <c r="K520" s="220" t="s">
        <v>381</v>
      </c>
      <c r="L520" s="220" t="s">
        <v>289</v>
      </c>
      <c r="M520" s="220" t="s">
        <v>866</v>
      </c>
      <c r="N520" s="220" t="s">
        <v>337</v>
      </c>
      <c r="O520" s="220" t="s">
        <v>297</v>
      </c>
      <c r="P520" s="220" t="s">
        <v>336</v>
      </c>
      <c r="Q520" s="220"/>
      <c r="R520" s="220"/>
      <c r="S520" s="220" t="s">
        <v>791</v>
      </c>
      <c r="T520" s="220" t="s">
        <v>151</v>
      </c>
      <c r="U520" s="220"/>
      <c r="V520" s="220"/>
      <c r="W520" s="220"/>
      <c r="X520" s="220"/>
      <c r="Y520" s="283"/>
      <c r="Z520" s="220"/>
      <c r="AA520" s="220"/>
      <c r="AB520" s="220"/>
      <c r="AC520" s="220"/>
      <c r="AD520" s="220"/>
      <c r="AE520" s="283"/>
      <c r="AF520" s="220"/>
      <c r="AG520" s="220"/>
      <c r="AH520" s="220" t="s">
        <v>875</v>
      </c>
      <c r="AI520" s="220"/>
      <c r="AJ520" s="226">
        <v>16</v>
      </c>
      <c r="AK520" s="226">
        <v>0</v>
      </c>
      <c r="AL520" s="225">
        <v>6.4000000000000001E-2</v>
      </c>
      <c r="AM520" s="220"/>
      <c r="AN520" s="225">
        <v>540.48</v>
      </c>
      <c r="AO520" s="220"/>
      <c r="AP520" s="220"/>
      <c r="AQ520" s="283"/>
      <c r="AR520" s="283"/>
      <c r="AS520" s="283"/>
      <c r="AT520" s="223">
        <v>0</v>
      </c>
      <c r="AU520" s="284">
        <v>33.92</v>
      </c>
      <c r="AV520" s="221">
        <v>42972</v>
      </c>
      <c r="AW520" s="221">
        <v>42972.534156713002</v>
      </c>
      <c r="AX520" s="220" t="s">
        <v>293</v>
      </c>
      <c r="AY520" s="219" t="s">
        <v>874</v>
      </c>
    </row>
    <row r="521" spans="1:51" hidden="1" outlineLevel="1" collapsed="1">
      <c r="A521" s="227" t="s">
        <v>289</v>
      </c>
      <c r="B521" s="220" t="s">
        <v>871</v>
      </c>
      <c r="C521" s="220" t="s">
        <v>871</v>
      </c>
      <c r="D521" s="220" t="s">
        <v>870</v>
      </c>
      <c r="E521" s="220" t="s">
        <v>869</v>
      </c>
      <c r="F521" s="220" t="s">
        <v>868</v>
      </c>
      <c r="G521" s="220"/>
      <c r="H521" s="220" t="s">
        <v>867</v>
      </c>
      <c r="I521" s="220" t="s">
        <v>382</v>
      </c>
      <c r="J521" s="220" t="s">
        <v>297</v>
      </c>
      <c r="K521" s="220" t="s">
        <v>381</v>
      </c>
      <c r="L521" s="220" t="s">
        <v>289</v>
      </c>
      <c r="M521" s="220" t="s">
        <v>866</v>
      </c>
      <c r="N521" s="220" t="s">
        <v>337</v>
      </c>
      <c r="O521" s="220" t="s">
        <v>297</v>
      </c>
      <c r="P521" s="220" t="s">
        <v>336</v>
      </c>
      <c r="Q521" s="220"/>
      <c r="R521" s="220"/>
      <c r="S521" s="220" t="s">
        <v>791</v>
      </c>
      <c r="T521" s="220" t="s">
        <v>151</v>
      </c>
      <c r="U521" s="220"/>
      <c r="V521" s="220"/>
      <c r="W521" s="220"/>
      <c r="X521" s="220"/>
      <c r="Y521" s="283"/>
      <c r="Z521" s="220"/>
      <c r="AA521" s="220"/>
      <c r="AB521" s="220"/>
      <c r="AC521" s="220"/>
      <c r="AD521" s="220"/>
      <c r="AE521" s="283"/>
      <c r="AF521" s="220"/>
      <c r="AG521" s="220"/>
      <c r="AH521" s="220" t="s">
        <v>873</v>
      </c>
      <c r="AI521" s="220"/>
      <c r="AJ521" s="226">
        <v>4</v>
      </c>
      <c r="AK521" s="226">
        <v>0</v>
      </c>
      <c r="AL521" s="225">
        <v>1.6E-2</v>
      </c>
      <c r="AM521" s="220"/>
      <c r="AN521" s="225">
        <v>135.12</v>
      </c>
      <c r="AO521" s="220"/>
      <c r="AP521" s="220"/>
      <c r="AQ521" s="283"/>
      <c r="AR521" s="283"/>
      <c r="AS521" s="283"/>
      <c r="AT521" s="223">
        <v>0</v>
      </c>
      <c r="AU521" s="284">
        <v>8.48</v>
      </c>
      <c r="AV521" s="221">
        <v>42972</v>
      </c>
      <c r="AW521" s="221">
        <v>42972.534156713002</v>
      </c>
      <c r="AX521" s="220" t="s">
        <v>293</v>
      </c>
      <c r="AY521" s="219" t="s">
        <v>872</v>
      </c>
    </row>
    <row r="522" spans="1:51" hidden="1" outlineLevel="1" collapsed="1">
      <c r="A522" s="227" t="s">
        <v>289</v>
      </c>
      <c r="B522" s="220" t="s">
        <v>871</v>
      </c>
      <c r="C522" s="220" t="s">
        <v>871</v>
      </c>
      <c r="D522" s="220" t="s">
        <v>870</v>
      </c>
      <c r="E522" s="220" t="s">
        <v>869</v>
      </c>
      <c r="F522" s="220" t="s">
        <v>868</v>
      </c>
      <c r="G522" s="220"/>
      <c r="H522" s="220" t="s">
        <v>867</v>
      </c>
      <c r="I522" s="220" t="s">
        <v>382</v>
      </c>
      <c r="J522" s="220" t="s">
        <v>297</v>
      </c>
      <c r="K522" s="220" t="s">
        <v>381</v>
      </c>
      <c r="L522" s="220" t="s">
        <v>289</v>
      </c>
      <c r="M522" s="220" t="s">
        <v>866</v>
      </c>
      <c r="N522" s="220" t="s">
        <v>337</v>
      </c>
      <c r="O522" s="220" t="s">
        <v>297</v>
      </c>
      <c r="P522" s="220" t="s">
        <v>336</v>
      </c>
      <c r="Q522" s="220"/>
      <c r="R522" s="220"/>
      <c r="S522" s="220" t="s">
        <v>791</v>
      </c>
      <c r="T522" s="220" t="s">
        <v>151</v>
      </c>
      <c r="U522" s="220"/>
      <c r="V522" s="220"/>
      <c r="W522" s="220"/>
      <c r="X522" s="220"/>
      <c r="Y522" s="283"/>
      <c r="Z522" s="220"/>
      <c r="AA522" s="220"/>
      <c r="AB522" s="220"/>
      <c r="AC522" s="220"/>
      <c r="AD522" s="220"/>
      <c r="AE522" s="283"/>
      <c r="AF522" s="220"/>
      <c r="AG522" s="220"/>
      <c r="AH522" s="220" t="s">
        <v>865</v>
      </c>
      <c r="AI522" s="220"/>
      <c r="AJ522" s="226">
        <v>6</v>
      </c>
      <c r="AK522" s="226">
        <v>0</v>
      </c>
      <c r="AL522" s="225">
        <v>2.3400000000000001E-2</v>
      </c>
      <c r="AM522" s="220"/>
      <c r="AN522" s="225">
        <v>196.626</v>
      </c>
      <c r="AO522" s="220"/>
      <c r="AP522" s="220"/>
      <c r="AQ522" s="283"/>
      <c r="AR522" s="283"/>
      <c r="AS522" s="283"/>
      <c r="AT522" s="223">
        <v>0</v>
      </c>
      <c r="AU522" s="284">
        <v>20.94</v>
      </c>
      <c r="AV522" s="221">
        <v>42972</v>
      </c>
      <c r="AW522" s="221">
        <v>42972.534156713002</v>
      </c>
      <c r="AX522" s="220" t="s">
        <v>293</v>
      </c>
      <c r="AY522" s="219" t="s">
        <v>864</v>
      </c>
    </row>
    <row r="523" spans="1:51" hidden="1" outlineLevel="1" collapsed="1">
      <c r="A523" s="227" t="s">
        <v>289</v>
      </c>
      <c r="B523" s="220" t="s">
        <v>855</v>
      </c>
      <c r="C523" s="220" t="s">
        <v>855</v>
      </c>
      <c r="D523" s="220" t="s">
        <v>854</v>
      </c>
      <c r="E523" s="220" t="s">
        <v>853</v>
      </c>
      <c r="F523" s="220" t="s">
        <v>852</v>
      </c>
      <c r="G523" s="220"/>
      <c r="H523" s="220" t="s">
        <v>851</v>
      </c>
      <c r="I523" s="220" t="s">
        <v>337</v>
      </c>
      <c r="J523" s="220" t="s">
        <v>297</v>
      </c>
      <c r="K523" s="220" t="s">
        <v>336</v>
      </c>
      <c r="L523" s="220" t="s">
        <v>850</v>
      </c>
      <c r="M523" s="220" t="s">
        <v>849</v>
      </c>
      <c r="N523" s="220" t="s">
        <v>329</v>
      </c>
      <c r="O523" s="220" t="s">
        <v>297</v>
      </c>
      <c r="P523" s="220" t="s">
        <v>848</v>
      </c>
      <c r="Q523" s="220" t="s">
        <v>847</v>
      </c>
      <c r="R523" s="220"/>
      <c r="S523" s="220" t="s">
        <v>791</v>
      </c>
      <c r="T523" s="220" t="s">
        <v>151</v>
      </c>
      <c r="U523" s="220"/>
      <c r="V523" s="220"/>
      <c r="W523" s="220"/>
      <c r="X523" s="220"/>
      <c r="Y523" s="283"/>
      <c r="Z523" s="220"/>
      <c r="AA523" s="220"/>
      <c r="AB523" s="220"/>
      <c r="AC523" s="220"/>
      <c r="AD523" s="220"/>
      <c r="AE523" s="283"/>
      <c r="AF523" s="220"/>
      <c r="AG523" s="220"/>
      <c r="AH523" s="220" t="s">
        <v>859</v>
      </c>
      <c r="AI523" s="220"/>
      <c r="AJ523" s="226">
        <v>6</v>
      </c>
      <c r="AK523" s="226">
        <v>0</v>
      </c>
      <c r="AL523" s="225">
        <v>2.2800000000000001E-2</v>
      </c>
      <c r="AM523" s="220"/>
      <c r="AN523" s="225">
        <v>193.602</v>
      </c>
      <c r="AO523" s="220"/>
      <c r="AP523" s="220"/>
      <c r="AQ523" s="283"/>
      <c r="AR523" s="283"/>
      <c r="AS523" s="283"/>
      <c r="AT523" s="223">
        <v>0</v>
      </c>
      <c r="AU523" s="284">
        <v>13.5</v>
      </c>
      <c r="AV523" s="221">
        <v>42972</v>
      </c>
      <c r="AW523" s="221">
        <v>42972.541581481499</v>
      </c>
      <c r="AX523" s="220" t="s">
        <v>293</v>
      </c>
      <c r="AY523" s="219" t="s">
        <v>858</v>
      </c>
    </row>
    <row r="524" spans="1:51" hidden="1" outlineLevel="1" collapsed="1">
      <c r="A524" s="227" t="s">
        <v>289</v>
      </c>
      <c r="B524" s="220" t="s">
        <v>855</v>
      </c>
      <c r="C524" s="220" t="s">
        <v>855</v>
      </c>
      <c r="D524" s="220" t="s">
        <v>854</v>
      </c>
      <c r="E524" s="220" t="s">
        <v>853</v>
      </c>
      <c r="F524" s="220" t="s">
        <v>852</v>
      </c>
      <c r="G524" s="220"/>
      <c r="H524" s="220" t="s">
        <v>851</v>
      </c>
      <c r="I524" s="220" t="s">
        <v>337</v>
      </c>
      <c r="J524" s="220" t="s">
        <v>297</v>
      </c>
      <c r="K524" s="220" t="s">
        <v>336</v>
      </c>
      <c r="L524" s="220" t="s">
        <v>850</v>
      </c>
      <c r="M524" s="220" t="s">
        <v>849</v>
      </c>
      <c r="N524" s="220" t="s">
        <v>329</v>
      </c>
      <c r="O524" s="220" t="s">
        <v>297</v>
      </c>
      <c r="P524" s="220" t="s">
        <v>848</v>
      </c>
      <c r="Q524" s="220" t="s">
        <v>847</v>
      </c>
      <c r="R524" s="220"/>
      <c r="S524" s="220" t="s">
        <v>791</v>
      </c>
      <c r="T524" s="220" t="s">
        <v>151</v>
      </c>
      <c r="U524" s="220"/>
      <c r="V524" s="220"/>
      <c r="W524" s="220"/>
      <c r="X524" s="220"/>
      <c r="Y524" s="283"/>
      <c r="Z524" s="220"/>
      <c r="AA524" s="220"/>
      <c r="AB524" s="220"/>
      <c r="AC524" s="220"/>
      <c r="AD524" s="220"/>
      <c r="AE524" s="283"/>
      <c r="AF524" s="220"/>
      <c r="AG524" s="220"/>
      <c r="AH524" s="220" t="s">
        <v>861</v>
      </c>
      <c r="AI524" s="220"/>
      <c r="AJ524" s="226">
        <v>10</v>
      </c>
      <c r="AK524" s="226">
        <v>0</v>
      </c>
      <c r="AL524" s="225">
        <v>0.04</v>
      </c>
      <c r="AM524" s="220"/>
      <c r="AN524" s="225">
        <v>342.84</v>
      </c>
      <c r="AO524" s="220"/>
      <c r="AP524" s="220"/>
      <c r="AQ524" s="283"/>
      <c r="AR524" s="283"/>
      <c r="AS524" s="283"/>
      <c r="AT524" s="223">
        <v>0</v>
      </c>
      <c r="AU524" s="284">
        <v>22.4</v>
      </c>
      <c r="AV524" s="221">
        <v>42972</v>
      </c>
      <c r="AW524" s="221">
        <v>42972.541581481499</v>
      </c>
      <c r="AX524" s="220" t="s">
        <v>293</v>
      </c>
      <c r="AY524" s="219" t="s">
        <v>860</v>
      </c>
    </row>
    <row r="525" spans="1:51" hidden="1" outlineLevel="1" collapsed="1">
      <c r="A525" s="227" t="s">
        <v>289</v>
      </c>
      <c r="B525" s="220" t="s">
        <v>855</v>
      </c>
      <c r="C525" s="220" t="s">
        <v>855</v>
      </c>
      <c r="D525" s="220" t="s">
        <v>854</v>
      </c>
      <c r="E525" s="220" t="s">
        <v>853</v>
      </c>
      <c r="F525" s="220" t="s">
        <v>852</v>
      </c>
      <c r="G525" s="220"/>
      <c r="H525" s="220" t="s">
        <v>851</v>
      </c>
      <c r="I525" s="220" t="s">
        <v>337</v>
      </c>
      <c r="J525" s="220" t="s">
        <v>297</v>
      </c>
      <c r="K525" s="220" t="s">
        <v>336</v>
      </c>
      <c r="L525" s="220" t="s">
        <v>850</v>
      </c>
      <c r="M525" s="220" t="s">
        <v>849</v>
      </c>
      <c r="N525" s="220" t="s">
        <v>329</v>
      </c>
      <c r="O525" s="220" t="s">
        <v>297</v>
      </c>
      <c r="P525" s="220" t="s">
        <v>848</v>
      </c>
      <c r="Q525" s="220" t="s">
        <v>847</v>
      </c>
      <c r="R525" s="220"/>
      <c r="S525" s="220" t="s">
        <v>791</v>
      </c>
      <c r="T525" s="220" t="s">
        <v>151</v>
      </c>
      <c r="U525" s="220"/>
      <c r="V525" s="220"/>
      <c r="W525" s="220"/>
      <c r="X525" s="220"/>
      <c r="Y525" s="283"/>
      <c r="Z525" s="220"/>
      <c r="AA525" s="220"/>
      <c r="AB525" s="220"/>
      <c r="AC525" s="220"/>
      <c r="AD525" s="220"/>
      <c r="AE525" s="283"/>
      <c r="AF525" s="220"/>
      <c r="AG525" s="220"/>
      <c r="AH525" s="220" t="s">
        <v>846</v>
      </c>
      <c r="AI525" s="220"/>
      <c r="AJ525" s="226">
        <v>4</v>
      </c>
      <c r="AK525" s="226">
        <v>0</v>
      </c>
      <c r="AL525" s="225">
        <v>1.4800000000000001E-2</v>
      </c>
      <c r="AM525" s="220"/>
      <c r="AN525" s="225">
        <v>125.036</v>
      </c>
      <c r="AO525" s="220"/>
      <c r="AP525" s="220"/>
      <c r="AQ525" s="283"/>
      <c r="AR525" s="283"/>
      <c r="AS525" s="283"/>
      <c r="AT525" s="223">
        <v>0</v>
      </c>
      <c r="AU525" s="284">
        <v>10.52</v>
      </c>
      <c r="AV525" s="221">
        <v>42972</v>
      </c>
      <c r="AW525" s="221">
        <v>42972.541581481499</v>
      </c>
      <c r="AX525" s="220" t="s">
        <v>293</v>
      </c>
      <c r="AY525" s="219" t="s">
        <v>845</v>
      </c>
    </row>
    <row r="526" spans="1:51" hidden="1" outlineLevel="1" collapsed="1">
      <c r="A526" s="227" t="s">
        <v>289</v>
      </c>
      <c r="B526" s="220" t="s">
        <v>855</v>
      </c>
      <c r="C526" s="220" t="s">
        <v>855</v>
      </c>
      <c r="D526" s="220" t="s">
        <v>854</v>
      </c>
      <c r="E526" s="220" t="s">
        <v>853</v>
      </c>
      <c r="F526" s="220" t="s">
        <v>852</v>
      </c>
      <c r="G526" s="220"/>
      <c r="H526" s="220" t="s">
        <v>851</v>
      </c>
      <c r="I526" s="220" t="s">
        <v>337</v>
      </c>
      <c r="J526" s="220" t="s">
        <v>297</v>
      </c>
      <c r="K526" s="220" t="s">
        <v>336</v>
      </c>
      <c r="L526" s="220" t="s">
        <v>850</v>
      </c>
      <c r="M526" s="220" t="s">
        <v>849</v>
      </c>
      <c r="N526" s="220" t="s">
        <v>329</v>
      </c>
      <c r="O526" s="220" t="s">
        <v>297</v>
      </c>
      <c r="P526" s="220" t="s">
        <v>848</v>
      </c>
      <c r="Q526" s="220" t="s">
        <v>847</v>
      </c>
      <c r="R526" s="220"/>
      <c r="S526" s="220" t="s">
        <v>791</v>
      </c>
      <c r="T526" s="220" t="s">
        <v>151</v>
      </c>
      <c r="U526" s="220"/>
      <c r="V526" s="220"/>
      <c r="W526" s="220"/>
      <c r="X526" s="220"/>
      <c r="Y526" s="283"/>
      <c r="Z526" s="220"/>
      <c r="AA526" s="220"/>
      <c r="AB526" s="220"/>
      <c r="AC526" s="220"/>
      <c r="AD526" s="220"/>
      <c r="AE526" s="283"/>
      <c r="AF526" s="220"/>
      <c r="AG526" s="220"/>
      <c r="AH526" s="220" t="s">
        <v>857</v>
      </c>
      <c r="AI526" s="220"/>
      <c r="AJ526" s="226">
        <v>16</v>
      </c>
      <c r="AK526" s="226">
        <v>0</v>
      </c>
      <c r="AL526" s="225">
        <v>6.4000000000000001E-2</v>
      </c>
      <c r="AM526" s="220"/>
      <c r="AN526" s="225">
        <v>548.54399999999998</v>
      </c>
      <c r="AO526" s="220"/>
      <c r="AP526" s="220"/>
      <c r="AQ526" s="283"/>
      <c r="AR526" s="283"/>
      <c r="AS526" s="283"/>
      <c r="AT526" s="223">
        <v>0</v>
      </c>
      <c r="AU526" s="284">
        <v>15.992000000000001</v>
      </c>
      <c r="AV526" s="221">
        <v>42972</v>
      </c>
      <c r="AW526" s="221">
        <v>42972.541581481499</v>
      </c>
      <c r="AX526" s="220" t="s">
        <v>293</v>
      </c>
      <c r="AY526" s="219" t="s">
        <v>856</v>
      </c>
    </row>
    <row r="527" spans="1:51" hidden="1" outlineLevel="1" collapsed="1">
      <c r="A527" s="227" t="s">
        <v>289</v>
      </c>
      <c r="B527" s="220" t="s">
        <v>855</v>
      </c>
      <c r="C527" s="220" t="s">
        <v>855</v>
      </c>
      <c r="D527" s="220" t="s">
        <v>854</v>
      </c>
      <c r="E527" s="220" t="s">
        <v>853</v>
      </c>
      <c r="F527" s="220" t="s">
        <v>852</v>
      </c>
      <c r="G527" s="220"/>
      <c r="H527" s="220" t="s">
        <v>851</v>
      </c>
      <c r="I527" s="220" t="s">
        <v>337</v>
      </c>
      <c r="J527" s="220" t="s">
        <v>297</v>
      </c>
      <c r="K527" s="220" t="s">
        <v>336</v>
      </c>
      <c r="L527" s="220" t="s">
        <v>850</v>
      </c>
      <c r="M527" s="220" t="s">
        <v>849</v>
      </c>
      <c r="N527" s="220" t="s">
        <v>329</v>
      </c>
      <c r="O527" s="220" t="s">
        <v>297</v>
      </c>
      <c r="P527" s="220" t="s">
        <v>848</v>
      </c>
      <c r="Q527" s="220" t="s">
        <v>847</v>
      </c>
      <c r="R527" s="220"/>
      <c r="S527" s="220" t="s">
        <v>791</v>
      </c>
      <c r="T527" s="220" t="s">
        <v>151</v>
      </c>
      <c r="U527" s="220"/>
      <c r="V527" s="220"/>
      <c r="W527" s="220"/>
      <c r="X527" s="220"/>
      <c r="Y527" s="283"/>
      <c r="Z527" s="220"/>
      <c r="AA527" s="220"/>
      <c r="AB527" s="220"/>
      <c r="AC527" s="220"/>
      <c r="AD527" s="220"/>
      <c r="AE527" s="283"/>
      <c r="AF527" s="220"/>
      <c r="AG527" s="220"/>
      <c r="AH527" s="220" t="s">
        <v>863</v>
      </c>
      <c r="AI527" s="220"/>
      <c r="AJ527" s="226">
        <v>4</v>
      </c>
      <c r="AK527" s="226">
        <v>0</v>
      </c>
      <c r="AL527" s="225">
        <v>1.7600000000000001E-2</v>
      </c>
      <c r="AM527" s="220"/>
      <c r="AN527" s="225">
        <v>149.23599999999999</v>
      </c>
      <c r="AO527" s="220"/>
      <c r="AP527" s="220"/>
      <c r="AQ527" s="283"/>
      <c r="AR527" s="283"/>
      <c r="AS527" s="283"/>
      <c r="AT527" s="223">
        <v>0</v>
      </c>
      <c r="AU527" s="284">
        <v>12</v>
      </c>
      <c r="AV527" s="221">
        <v>42972</v>
      </c>
      <c r="AW527" s="221">
        <v>42972.541581481499</v>
      </c>
      <c r="AX527" s="220" t="s">
        <v>293</v>
      </c>
      <c r="AY527" s="219" t="s">
        <v>862</v>
      </c>
    </row>
    <row r="528" spans="1:51" hidden="1" outlineLevel="1" collapsed="1">
      <c r="A528" s="227" t="s">
        <v>289</v>
      </c>
      <c r="B528" s="220" t="s">
        <v>842</v>
      </c>
      <c r="C528" s="220" t="s">
        <v>842</v>
      </c>
      <c r="D528" s="220" t="s">
        <v>841</v>
      </c>
      <c r="E528" s="220" t="s">
        <v>840</v>
      </c>
      <c r="F528" s="220" t="s">
        <v>839</v>
      </c>
      <c r="G528" s="220"/>
      <c r="H528" s="220" t="s">
        <v>838</v>
      </c>
      <c r="I528" s="220" t="s">
        <v>329</v>
      </c>
      <c r="J528" s="220" t="s">
        <v>297</v>
      </c>
      <c r="K528" s="220" t="s">
        <v>328</v>
      </c>
      <c r="L528" s="220" t="s">
        <v>837</v>
      </c>
      <c r="M528" s="220" t="s">
        <v>836</v>
      </c>
      <c r="N528" s="220" t="s">
        <v>329</v>
      </c>
      <c r="O528" s="220" t="s">
        <v>297</v>
      </c>
      <c r="P528" s="220" t="s">
        <v>397</v>
      </c>
      <c r="Q528" s="220" t="s">
        <v>835</v>
      </c>
      <c r="R528" s="220" t="s">
        <v>834</v>
      </c>
      <c r="S528" s="220" t="s">
        <v>791</v>
      </c>
      <c r="T528" s="220" t="s">
        <v>151</v>
      </c>
      <c r="U528" s="220"/>
      <c r="V528" s="220"/>
      <c r="W528" s="220"/>
      <c r="X528" s="220"/>
      <c r="Y528" s="283"/>
      <c r="Z528" s="220"/>
      <c r="AA528" s="220"/>
      <c r="AB528" s="220"/>
      <c r="AC528" s="220"/>
      <c r="AD528" s="220"/>
      <c r="AE528" s="283"/>
      <c r="AF528" s="220"/>
      <c r="AG528" s="220"/>
      <c r="AH528" s="220" t="s">
        <v>844</v>
      </c>
      <c r="AI528" s="220"/>
      <c r="AJ528" s="226">
        <v>4</v>
      </c>
      <c r="AK528" s="226">
        <v>0</v>
      </c>
      <c r="AL528" s="225">
        <v>1.4800000000000001E-2</v>
      </c>
      <c r="AM528" s="220"/>
      <c r="AN528" s="225">
        <v>127.05200000000001</v>
      </c>
      <c r="AO528" s="220"/>
      <c r="AP528" s="220"/>
      <c r="AQ528" s="283"/>
      <c r="AR528" s="283"/>
      <c r="AS528" s="283"/>
      <c r="AT528" s="223">
        <v>0</v>
      </c>
      <c r="AU528" s="284">
        <v>19.96</v>
      </c>
      <c r="AV528" s="221">
        <v>42972</v>
      </c>
      <c r="AW528" s="221">
        <v>42972.787207673602</v>
      </c>
      <c r="AX528" s="220" t="s">
        <v>293</v>
      </c>
      <c r="AY528" s="219" t="s">
        <v>843</v>
      </c>
    </row>
    <row r="529" spans="1:51" hidden="1" outlineLevel="1" collapsed="1">
      <c r="A529" s="227" t="s">
        <v>289</v>
      </c>
      <c r="B529" s="220" t="s">
        <v>842</v>
      </c>
      <c r="C529" s="220" t="s">
        <v>842</v>
      </c>
      <c r="D529" s="220" t="s">
        <v>841</v>
      </c>
      <c r="E529" s="220" t="s">
        <v>840</v>
      </c>
      <c r="F529" s="220" t="s">
        <v>839</v>
      </c>
      <c r="G529" s="220"/>
      <c r="H529" s="220" t="s">
        <v>838</v>
      </c>
      <c r="I529" s="220" t="s">
        <v>329</v>
      </c>
      <c r="J529" s="220" t="s">
        <v>297</v>
      </c>
      <c r="K529" s="220" t="s">
        <v>328</v>
      </c>
      <c r="L529" s="220" t="s">
        <v>837</v>
      </c>
      <c r="M529" s="220" t="s">
        <v>836</v>
      </c>
      <c r="N529" s="220" t="s">
        <v>329</v>
      </c>
      <c r="O529" s="220" t="s">
        <v>297</v>
      </c>
      <c r="P529" s="220" t="s">
        <v>397</v>
      </c>
      <c r="Q529" s="220" t="s">
        <v>835</v>
      </c>
      <c r="R529" s="220" t="s">
        <v>834</v>
      </c>
      <c r="S529" s="220" t="s">
        <v>791</v>
      </c>
      <c r="T529" s="220" t="s">
        <v>151</v>
      </c>
      <c r="U529" s="220"/>
      <c r="V529" s="220"/>
      <c r="W529" s="220"/>
      <c r="X529" s="220"/>
      <c r="Y529" s="283"/>
      <c r="Z529" s="220"/>
      <c r="AA529" s="220"/>
      <c r="AB529" s="220"/>
      <c r="AC529" s="220"/>
      <c r="AD529" s="220"/>
      <c r="AE529" s="283"/>
      <c r="AF529" s="220"/>
      <c r="AG529" s="220"/>
      <c r="AH529" s="220" t="s">
        <v>833</v>
      </c>
      <c r="AI529" s="220"/>
      <c r="AJ529" s="226">
        <v>4</v>
      </c>
      <c r="AK529" s="226">
        <v>0</v>
      </c>
      <c r="AL529" s="225">
        <v>1.6E-2</v>
      </c>
      <c r="AM529" s="220"/>
      <c r="AN529" s="225">
        <v>135.12</v>
      </c>
      <c r="AO529" s="220"/>
      <c r="AP529" s="220"/>
      <c r="AQ529" s="283"/>
      <c r="AR529" s="283"/>
      <c r="AS529" s="283"/>
      <c r="AT529" s="223">
        <v>0</v>
      </c>
      <c r="AU529" s="284">
        <v>13.56</v>
      </c>
      <c r="AV529" s="221">
        <v>42972</v>
      </c>
      <c r="AW529" s="221">
        <v>42972.787207673602</v>
      </c>
      <c r="AX529" s="220" t="s">
        <v>293</v>
      </c>
      <c r="AY529" s="219" t="s">
        <v>832</v>
      </c>
    </row>
    <row r="530" spans="1:51" hidden="1" outlineLevel="1" collapsed="1">
      <c r="A530" s="227" t="s">
        <v>289</v>
      </c>
      <c r="B530" s="220" t="s">
        <v>831</v>
      </c>
      <c r="C530" s="220" t="s">
        <v>831</v>
      </c>
      <c r="D530" s="220" t="s">
        <v>830</v>
      </c>
      <c r="E530" s="220" t="s">
        <v>829</v>
      </c>
      <c r="F530" s="220" t="s">
        <v>828</v>
      </c>
      <c r="G530" s="220"/>
      <c r="H530" s="220" t="s">
        <v>827</v>
      </c>
      <c r="I530" s="220" t="s">
        <v>337</v>
      </c>
      <c r="J530" s="220" t="s">
        <v>297</v>
      </c>
      <c r="K530" s="220" t="s">
        <v>336</v>
      </c>
      <c r="L530" s="220" t="s">
        <v>601</v>
      </c>
      <c r="M530" s="220" t="s">
        <v>600</v>
      </c>
      <c r="N530" s="220" t="s">
        <v>329</v>
      </c>
      <c r="O530" s="220" t="s">
        <v>297</v>
      </c>
      <c r="P530" s="220" t="s">
        <v>599</v>
      </c>
      <c r="Q530" s="220" t="s">
        <v>598</v>
      </c>
      <c r="R530" s="220"/>
      <c r="S530" s="220" t="s">
        <v>791</v>
      </c>
      <c r="T530" s="220" t="s">
        <v>151</v>
      </c>
      <c r="U530" s="220"/>
      <c r="V530" s="220"/>
      <c r="W530" s="220"/>
      <c r="X530" s="220"/>
      <c r="Y530" s="283"/>
      <c r="Z530" s="220"/>
      <c r="AA530" s="220"/>
      <c r="AB530" s="220"/>
      <c r="AC530" s="220"/>
      <c r="AD530" s="220"/>
      <c r="AE530" s="283"/>
      <c r="AF530" s="220"/>
      <c r="AG530" s="220"/>
      <c r="AH530" s="220"/>
      <c r="AI530" s="220"/>
      <c r="AJ530" s="226">
        <v>10</v>
      </c>
      <c r="AK530" s="226">
        <v>0</v>
      </c>
      <c r="AL530" s="225">
        <v>0.04</v>
      </c>
      <c r="AM530" s="220"/>
      <c r="AN530" s="225">
        <v>337.8</v>
      </c>
      <c r="AO530" s="220"/>
      <c r="AP530" s="220"/>
      <c r="AQ530" s="283"/>
      <c r="AR530" s="283"/>
      <c r="AS530" s="283"/>
      <c r="AT530" s="223">
        <v>0</v>
      </c>
      <c r="AU530" s="284">
        <v>29.5</v>
      </c>
      <c r="AV530" s="221">
        <v>42975</v>
      </c>
      <c r="AW530" s="221">
        <v>42975.577299305602</v>
      </c>
      <c r="AX530" s="220" t="s">
        <v>293</v>
      </c>
      <c r="AY530" s="219" t="s">
        <v>826</v>
      </c>
    </row>
    <row r="531" spans="1:51" hidden="1" outlineLevel="1" collapsed="1">
      <c r="A531" s="227" t="s">
        <v>289</v>
      </c>
      <c r="B531" s="220" t="s">
        <v>823</v>
      </c>
      <c r="C531" s="220" t="s">
        <v>823</v>
      </c>
      <c r="D531" s="220" t="s">
        <v>822</v>
      </c>
      <c r="E531" s="220" t="s">
        <v>821</v>
      </c>
      <c r="F531" s="220" t="s">
        <v>820</v>
      </c>
      <c r="G531" s="220"/>
      <c r="H531" s="220" t="s">
        <v>819</v>
      </c>
      <c r="I531" s="220" t="s">
        <v>329</v>
      </c>
      <c r="J531" s="220" t="s">
        <v>297</v>
      </c>
      <c r="K531" s="220" t="s">
        <v>328</v>
      </c>
      <c r="L531" s="220" t="s">
        <v>601</v>
      </c>
      <c r="M531" s="220" t="s">
        <v>600</v>
      </c>
      <c r="N531" s="220" t="s">
        <v>329</v>
      </c>
      <c r="O531" s="220" t="s">
        <v>297</v>
      </c>
      <c r="P531" s="220" t="s">
        <v>599</v>
      </c>
      <c r="Q531" s="220" t="s">
        <v>598</v>
      </c>
      <c r="R531" s="220"/>
      <c r="S531" s="220" t="s">
        <v>791</v>
      </c>
      <c r="T531" s="220" t="s">
        <v>151</v>
      </c>
      <c r="U531" s="220"/>
      <c r="V531" s="220"/>
      <c r="W531" s="220"/>
      <c r="X531" s="220"/>
      <c r="Y531" s="283"/>
      <c r="Z531" s="220"/>
      <c r="AA531" s="220"/>
      <c r="AB531" s="220"/>
      <c r="AC531" s="220"/>
      <c r="AD531" s="220"/>
      <c r="AE531" s="283"/>
      <c r="AF531" s="220"/>
      <c r="AG531" s="220"/>
      <c r="AH531" s="220"/>
      <c r="AI531" s="220"/>
      <c r="AJ531" s="226">
        <v>4</v>
      </c>
      <c r="AK531" s="226">
        <v>0</v>
      </c>
      <c r="AL531" s="225">
        <v>1.6E-2</v>
      </c>
      <c r="AM531" s="220"/>
      <c r="AN531" s="225">
        <v>135.12</v>
      </c>
      <c r="AO531" s="220"/>
      <c r="AP531" s="220"/>
      <c r="AQ531" s="283"/>
      <c r="AR531" s="283"/>
      <c r="AS531" s="283"/>
      <c r="AT531" s="223">
        <v>0</v>
      </c>
      <c r="AU531" s="284">
        <v>16</v>
      </c>
      <c r="AV531" s="221">
        <v>42975</v>
      </c>
      <c r="AW531" s="221">
        <v>42975.578472569403</v>
      </c>
      <c r="AX531" s="220" t="s">
        <v>293</v>
      </c>
      <c r="AY531" s="219" t="s">
        <v>824</v>
      </c>
    </row>
    <row r="532" spans="1:51" hidden="1" outlineLevel="1" collapsed="1">
      <c r="A532" s="227" t="s">
        <v>289</v>
      </c>
      <c r="B532" s="220" t="s">
        <v>823</v>
      </c>
      <c r="C532" s="220" t="s">
        <v>823</v>
      </c>
      <c r="D532" s="220" t="s">
        <v>822</v>
      </c>
      <c r="E532" s="220" t="s">
        <v>821</v>
      </c>
      <c r="F532" s="220" t="s">
        <v>820</v>
      </c>
      <c r="G532" s="220"/>
      <c r="H532" s="220" t="s">
        <v>819</v>
      </c>
      <c r="I532" s="220" t="s">
        <v>329</v>
      </c>
      <c r="J532" s="220" t="s">
        <v>297</v>
      </c>
      <c r="K532" s="220" t="s">
        <v>328</v>
      </c>
      <c r="L532" s="220" t="s">
        <v>601</v>
      </c>
      <c r="M532" s="220" t="s">
        <v>600</v>
      </c>
      <c r="N532" s="220" t="s">
        <v>329</v>
      </c>
      <c r="O532" s="220" t="s">
        <v>297</v>
      </c>
      <c r="P532" s="220" t="s">
        <v>599</v>
      </c>
      <c r="Q532" s="220" t="s">
        <v>598</v>
      </c>
      <c r="R532" s="220"/>
      <c r="S532" s="220" t="s">
        <v>791</v>
      </c>
      <c r="T532" s="220" t="s">
        <v>151</v>
      </c>
      <c r="U532" s="220"/>
      <c r="V532" s="220"/>
      <c r="W532" s="220"/>
      <c r="X532" s="220"/>
      <c r="Y532" s="283"/>
      <c r="Z532" s="220"/>
      <c r="AA532" s="220"/>
      <c r="AB532" s="220"/>
      <c r="AC532" s="220"/>
      <c r="AD532" s="220"/>
      <c r="AE532" s="283"/>
      <c r="AF532" s="220"/>
      <c r="AG532" s="220"/>
      <c r="AH532" s="220"/>
      <c r="AI532" s="220"/>
      <c r="AJ532" s="226">
        <v>1</v>
      </c>
      <c r="AK532" s="226">
        <v>0</v>
      </c>
      <c r="AL532" s="225">
        <v>2.8E-3</v>
      </c>
      <c r="AM532" s="220"/>
      <c r="AN532" s="225">
        <v>23.696000000000002</v>
      </c>
      <c r="AO532" s="220"/>
      <c r="AP532" s="220"/>
      <c r="AQ532" s="283"/>
      <c r="AR532" s="283"/>
      <c r="AS532" s="283"/>
      <c r="AT532" s="223">
        <v>0</v>
      </c>
      <c r="AU532" s="284">
        <v>2.5499999999999998</v>
      </c>
      <c r="AV532" s="221">
        <v>42975</v>
      </c>
      <c r="AW532" s="221">
        <v>42975.578472569403</v>
      </c>
      <c r="AX532" s="220" t="s">
        <v>293</v>
      </c>
      <c r="AY532" s="219" t="s">
        <v>818</v>
      </c>
    </row>
    <row r="533" spans="1:51" hidden="1" outlineLevel="1" collapsed="1">
      <c r="A533" s="227" t="s">
        <v>289</v>
      </c>
      <c r="B533" s="220" t="s">
        <v>823</v>
      </c>
      <c r="C533" s="220" t="s">
        <v>823</v>
      </c>
      <c r="D533" s="220" t="s">
        <v>822</v>
      </c>
      <c r="E533" s="220" t="s">
        <v>821</v>
      </c>
      <c r="F533" s="220" t="s">
        <v>820</v>
      </c>
      <c r="G533" s="220"/>
      <c r="H533" s="220" t="s">
        <v>819</v>
      </c>
      <c r="I533" s="220" t="s">
        <v>329</v>
      </c>
      <c r="J533" s="220" t="s">
        <v>297</v>
      </c>
      <c r="K533" s="220" t="s">
        <v>328</v>
      </c>
      <c r="L533" s="220" t="s">
        <v>601</v>
      </c>
      <c r="M533" s="220" t="s">
        <v>600</v>
      </c>
      <c r="N533" s="220" t="s">
        <v>329</v>
      </c>
      <c r="O533" s="220" t="s">
        <v>297</v>
      </c>
      <c r="P533" s="220" t="s">
        <v>599</v>
      </c>
      <c r="Q533" s="220" t="s">
        <v>598</v>
      </c>
      <c r="R533" s="220"/>
      <c r="S533" s="220" t="s">
        <v>791</v>
      </c>
      <c r="T533" s="220" t="s">
        <v>151</v>
      </c>
      <c r="U533" s="220"/>
      <c r="V533" s="220"/>
      <c r="W533" s="220"/>
      <c r="X533" s="220"/>
      <c r="Y533" s="283"/>
      <c r="Z533" s="220"/>
      <c r="AA533" s="220"/>
      <c r="AB533" s="220"/>
      <c r="AC533" s="220"/>
      <c r="AD533" s="220"/>
      <c r="AE533" s="283"/>
      <c r="AF533" s="220"/>
      <c r="AG533" s="220"/>
      <c r="AH533" s="220"/>
      <c r="AI533" s="220"/>
      <c r="AJ533" s="226">
        <v>1</v>
      </c>
      <c r="AK533" s="226">
        <v>0</v>
      </c>
      <c r="AL533" s="225">
        <v>4.0000000000000001E-3</v>
      </c>
      <c r="AM533" s="220"/>
      <c r="AN533" s="225">
        <v>33.78</v>
      </c>
      <c r="AO533" s="220"/>
      <c r="AP533" s="220"/>
      <c r="AQ533" s="283"/>
      <c r="AR533" s="283"/>
      <c r="AS533" s="283"/>
      <c r="AT533" s="223">
        <v>0</v>
      </c>
      <c r="AU533" s="284">
        <v>2.95</v>
      </c>
      <c r="AV533" s="221">
        <v>42975</v>
      </c>
      <c r="AW533" s="221">
        <v>42975.578472569403</v>
      </c>
      <c r="AX533" s="220" t="s">
        <v>293</v>
      </c>
      <c r="AY533" s="219" t="s">
        <v>825</v>
      </c>
    </row>
    <row r="534" spans="1:51" ht="20.399999999999999" hidden="1" outlineLevel="1" collapsed="1">
      <c r="A534" s="227" t="s">
        <v>289</v>
      </c>
      <c r="B534" s="220" t="s">
        <v>816</v>
      </c>
      <c r="C534" s="220" t="s">
        <v>816</v>
      </c>
      <c r="D534" s="220" t="s">
        <v>815</v>
      </c>
      <c r="E534" s="220" t="s">
        <v>814</v>
      </c>
      <c r="F534" s="220" t="s">
        <v>813</v>
      </c>
      <c r="G534" s="220"/>
      <c r="H534" s="220" t="s">
        <v>812</v>
      </c>
      <c r="I534" s="220" t="s">
        <v>413</v>
      </c>
      <c r="J534" s="220" t="s">
        <v>297</v>
      </c>
      <c r="K534" s="220" t="s">
        <v>412</v>
      </c>
      <c r="L534" s="220" t="s">
        <v>601</v>
      </c>
      <c r="M534" s="220" t="s">
        <v>600</v>
      </c>
      <c r="N534" s="220" t="s">
        <v>329</v>
      </c>
      <c r="O534" s="220" t="s">
        <v>297</v>
      </c>
      <c r="P534" s="220" t="s">
        <v>599</v>
      </c>
      <c r="Q534" s="220" t="s">
        <v>598</v>
      </c>
      <c r="R534" s="220"/>
      <c r="S534" s="220" t="s">
        <v>791</v>
      </c>
      <c r="T534" s="220" t="s">
        <v>151</v>
      </c>
      <c r="U534" s="220"/>
      <c r="V534" s="220"/>
      <c r="W534" s="220"/>
      <c r="X534" s="220"/>
      <c r="Y534" s="283"/>
      <c r="Z534" s="220"/>
      <c r="AA534" s="220"/>
      <c r="AB534" s="220"/>
      <c r="AC534" s="220"/>
      <c r="AD534" s="220"/>
      <c r="AE534" s="283"/>
      <c r="AF534" s="220"/>
      <c r="AG534" s="220"/>
      <c r="AH534" s="220"/>
      <c r="AI534" s="220"/>
      <c r="AJ534" s="226">
        <v>3</v>
      </c>
      <c r="AK534" s="226">
        <v>0</v>
      </c>
      <c r="AL534" s="225">
        <v>1.2E-2</v>
      </c>
      <c r="AM534" s="220"/>
      <c r="AN534" s="225">
        <v>101.34</v>
      </c>
      <c r="AO534" s="220"/>
      <c r="AP534" s="220"/>
      <c r="AQ534" s="283"/>
      <c r="AR534" s="283"/>
      <c r="AS534" s="283"/>
      <c r="AT534" s="223">
        <v>0</v>
      </c>
      <c r="AU534" s="284">
        <v>8.85</v>
      </c>
      <c r="AV534" s="221">
        <v>42976</v>
      </c>
      <c r="AW534" s="221">
        <v>42976.530683252298</v>
      </c>
      <c r="AX534" s="220" t="s">
        <v>293</v>
      </c>
      <c r="AY534" s="219" t="s">
        <v>811</v>
      </c>
    </row>
    <row r="535" spans="1:51" ht="20.399999999999999" hidden="1" outlineLevel="1" collapsed="1">
      <c r="A535" s="227" t="s">
        <v>289</v>
      </c>
      <c r="B535" s="220" t="s">
        <v>816</v>
      </c>
      <c r="C535" s="220" t="s">
        <v>816</v>
      </c>
      <c r="D535" s="220" t="s">
        <v>815</v>
      </c>
      <c r="E535" s="220" t="s">
        <v>814</v>
      </c>
      <c r="F535" s="220" t="s">
        <v>813</v>
      </c>
      <c r="G535" s="220"/>
      <c r="H535" s="220" t="s">
        <v>812</v>
      </c>
      <c r="I535" s="220" t="s">
        <v>413</v>
      </c>
      <c r="J535" s="220" t="s">
        <v>297</v>
      </c>
      <c r="K535" s="220" t="s">
        <v>412</v>
      </c>
      <c r="L535" s="220" t="s">
        <v>601</v>
      </c>
      <c r="M535" s="220" t="s">
        <v>600</v>
      </c>
      <c r="N535" s="220" t="s">
        <v>329</v>
      </c>
      <c r="O535" s="220" t="s">
        <v>297</v>
      </c>
      <c r="P535" s="220" t="s">
        <v>599</v>
      </c>
      <c r="Q535" s="220" t="s">
        <v>598</v>
      </c>
      <c r="R535" s="220"/>
      <c r="S535" s="220" t="s">
        <v>791</v>
      </c>
      <c r="T535" s="220" t="s">
        <v>151</v>
      </c>
      <c r="U535" s="220"/>
      <c r="V535" s="220"/>
      <c r="W535" s="220"/>
      <c r="X535" s="220"/>
      <c r="Y535" s="283"/>
      <c r="Z535" s="220"/>
      <c r="AA535" s="220"/>
      <c r="AB535" s="220"/>
      <c r="AC535" s="220"/>
      <c r="AD535" s="220"/>
      <c r="AE535" s="283"/>
      <c r="AF535" s="220"/>
      <c r="AG535" s="220"/>
      <c r="AH535" s="220"/>
      <c r="AI535" s="220"/>
      <c r="AJ535" s="226">
        <v>3</v>
      </c>
      <c r="AK535" s="226">
        <v>0</v>
      </c>
      <c r="AL535" s="225">
        <v>8.3999999999999995E-3</v>
      </c>
      <c r="AM535" s="220"/>
      <c r="AN535" s="225">
        <v>71.087999999999994</v>
      </c>
      <c r="AO535" s="220"/>
      <c r="AP535" s="220"/>
      <c r="AQ535" s="283"/>
      <c r="AR535" s="283"/>
      <c r="AS535" s="283"/>
      <c r="AT535" s="223">
        <v>0</v>
      </c>
      <c r="AU535" s="284">
        <v>7.65</v>
      </c>
      <c r="AV535" s="221">
        <v>42976</v>
      </c>
      <c r="AW535" s="221">
        <v>42976.530683252298</v>
      </c>
      <c r="AX535" s="220" t="s">
        <v>293</v>
      </c>
      <c r="AY535" s="219" t="s">
        <v>817</v>
      </c>
    </row>
    <row r="536" spans="1:51" hidden="1" outlineLevel="1" collapsed="1">
      <c r="A536" s="227" t="s">
        <v>289</v>
      </c>
      <c r="B536" s="220" t="s">
        <v>809</v>
      </c>
      <c r="C536" s="220" t="s">
        <v>809</v>
      </c>
      <c r="D536" s="220" t="s">
        <v>808</v>
      </c>
      <c r="E536" s="220" t="s">
        <v>807</v>
      </c>
      <c r="F536" s="220" t="s">
        <v>806</v>
      </c>
      <c r="G536" s="220"/>
      <c r="H536" s="220" t="s">
        <v>805</v>
      </c>
      <c r="I536" s="220" t="s">
        <v>329</v>
      </c>
      <c r="J536" s="220" t="s">
        <v>297</v>
      </c>
      <c r="K536" s="220" t="s">
        <v>397</v>
      </c>
      <c r="L536" s="220" t="s">
        <v>601</v>
      </c>
      <c r="M536" s="220" t="s">
        <v>600</v>
      </c>
      <c r="N536" s="220" t="s">
        <v>329</v>
      </c>
      <c r="O536" s="220" t="s">
        <v>297</v>
      </c>
      <c r="P536" s="220" t="s">
        <v>599</v>
      </c>
      <c r="Q536" s="220" t="s">
        <v>598</v>
      </c>
      <c r="R536" s="220"/>
      <c r="S536" s="220" t="s">
        <v>791</v>
      </c>
      <c r="T536" s="220" t="s">
        <v>151</v>
      </c>
      <c r="U536" s="220"/>
      <c r="V536" s="220"/>
      <c r="W536" s="220"/>
      <c r="X536" s="220"/>
      <c r="Y536" s="283"/>
      <c r="Z536" s="220"/>
      <c r="AA536" s="220"/>
      <c r="AB536" s="220"/>
      <c r="AC536" s="220"/>
      <c r="AD536" s="220"/>
      <c r="AE536" s="283"/>
      <c r="AF536" s="220"/>
      <c r="AG536" s="220"/>
      <c r="AH536" s="220"/>
      <c r="AI536" s="220"/>
      <c r="AJ536" s="226">
        <v>4</v>
      </c>
      <c r="AK536" s="226">
        <v>0</v>
      </c>
      <c r="AL536" s="225">
        <v>1.6E-2</v>
      </c>
      <c r="AM536" s="220"/>
      <c r="AN536" s="225">
        <v>135.12</v>
      </c>
      <c r="AO536" s="220"/>
      <c r="AP536" s="220"/>
      <c r="AQ536" s="283"/>
      <c r="AR536" s="283"/>
      <c r="AS536" s="283"/>
      <c r="AT536" s="223">
        <v>0</v>
      </c>
      <c r="AU536" s="284">
        <v>11.8</v>
      </c>
      <c r="AV536" s="221">
        <v>42976</v>
      </c>
      <c r="AW536" s="221">
        <v>42976.532596643498</v>
      </c>
      <c r="AX536" s="220" t="s">
        <v>293</v>
      </c>
      <c r="AY536" s="219" t="s">
        <v>810</v>
      </c>
    </row>
    <row r="537" spans="1:51" hidden="1" outlineLevel="1" collapsed="1">
      <c r="A537" s="227" t="s">
        <v>289</v>
      </c>
      <c r="B537" s="220" t="s">
        <v>809</v>
      </c>
      <c r="C537" s="220" t="s">
        <v>809</v>
      </c>
      <c r="D537" s="220" t="s">
        <v>808</v>
      </c>
      <c r="E537" s="220" t="s">
        <v>807</v>
      </c>
      <c r="F537" s="220" t="s">
        <v>806</v>
      </c>
      <c r="G537" s="220"/>
      <c r="H537" s="220" t="s">
        <v>805</v>
      </c>
      <c r="I537" s="220" t="s">
        <v>329</v>
      </c>
      <c r="J537" s="220" t="s">
        <v>297</v>
      </c>
      <c r="K537" s="220" t="s">
        <v>397</v>
      </c>
      <c r="L537" s="220" t="s">
        <v>601</v>
      </c>
      <c r="M537" s="220" t="s">
        <v>600</v>
      </c>
      <c r="N537" s="220" t="s">
        <v>329</v>
      </c>
      <c r="O537" s="220" t="s">
        <v>297</v>
      </c>
      <c r="P537" s="220" t="s">
        <v>599</v>
      </c>
      <c r="Q537" s="220" t="s">
        <v>598</v>
      </c>
      <c r="R537" s="220"/>
      <c r="S537" s="220" t="s">
        <v>791</v>
      </c>
      <c r="T537" s="220" t="s">
        <v>151</v>
      </c>
      <c r="U537" s="220"/>
      <c r="V537" s="220"/>
      <c r="W537" s="220"/>
      <c r="X537" s="220"/>
      <c r="Y537" s="283"/>
      <c r="Z537" s="220"/>
      <c r="AA537" s="220"/>
      <c r="AB537" s="220"/>
      <c r="AC537" s="220"/>
      <c r="AD537" s="220"/>
      <c r="AE537" s="283"/>
      <c r="AF537" s="220"/>
      <c r="AG537" s="220"/>
      <c r="AH537" s="220"/>
      <c r="AI537" s="220"/>
      <c r="AJ537" s="226">
        <v>2</v>
      </c>
      <c r="AK537" s="226">
        <v>0</v>
      </c>
      <c r="AL537" s="225">
        <v>5.5999999999999999E-3</v>
      </c>
      <c r="AM537" s="220"/>
      <c r="AN537" s="225">
        <v>47.392000000000003</v>
      </c>
      <c r="AO537" s="220"/>
      <c r="AP537" s="220"/>
      <c r="AQ537" s="283"/>
      <c r="AR537" s="283"/>
      <c r="AS537" s="283"/>
      <c r="AT537" s="223">
        <v>0</v>
      </c>
      <c r="AU537" s="284">
        <v>5.0999999999999996</v>
      </c>
      <c r="AV537" s="221">
        <v>42976</v>
      </c>
      <c r="AW537" s="221">
        <v>42976.532596643498</v>
      </c>
      <c r="AX537" s="220" t="s">
        <v>293</v>
      </c>
      <c r="AY537" s="219" t="s">
        <v>804</v>
      </c>
    </row>
    <row r="538" spans="1:51" hidden="1" outlineLevel="1" collapsed="1">
      <c r="A538" s="227" t="s">
        <v>289</v>
      </c>
      <c r="B538" s="220" t="s">
        <v>802</v>
      </c>
      <c r="C538" s="220" t="s">
        <v>802</v>
      </c>
      <c r="D538" s="220" t="s">
        <v>801</v>
      </c>
      <c r="E538" s="220" t="s">
        <v>800</v>
      </c>
      <c r="F538" s="220" t="s">
        <v>799</v>
      </c>
      <c r="G538" s="220"/>
      <c r="H538" s="220" t="s">
        <v>798</v>
      </c>
      <c r="I538" s="220" t="s">
        <v>329</v>
      </c>
      <c r="J538" s="220" t="s">
        <v>297</v>
      </c>
      <c r="K538" s="220" t="s">
        <v>397</v>
      </c>
      <c r="L538" s="220" t="s">
        <v>601</v>
      </c>
      <c r="M538" s="220" t="s">
        <v>600</v>
      </c>
      <c r="N538" s="220" t="s">
        <v>329</v>
      </c>
      <c r="O538" s="220" t="s">
        <v>297</v>
      </c>
      <c r="P538" s="220" t="s">
        <v>599</v>
      </c>
      <c r="Q538" s="220" t="s">
        <v>598</v>
      </c>
      <c r="R538" s="220"/>
      <c r="S538" s="220" t="s">
        <v>791</v>
      </c>
      <c r="T538" s="220" t="s">
        <v>151</v>
      </c>
      <c r="U538" s="220"/>
      <c r="V538" s="220"/>
      <c r="W538" s="220"/>
      <c r="X538" s="220"/>
      <c r="Y538" s="283"/>
      <c r="Z538" s="220"/>
      <c r="AA538" s="220"/>
      <c r="AB538" s="220"/>
      <c r="AC538" s="220"/>
      <c r="AD538" s="220"/>
      <c r="AE538" s="283"/>
      <c r="AF538" s="220"/>
      <c r="AG538" s="220"/>
      <c r="AH538" s="220"/>
      <c r="AI538" s="220"/>
      <c r="AJ538" s="226">
        <v>4</v>
      </c>
      <c r="AK538" s="226">
        <v>0</v>
      </c>
      <c r="AL538" s="225">
        <v>1.12E-2</v>
      </c>
      <c r="AM538" s="220"/>
      <c r="AN538" s="225">
        <v>94.784000000000006</v>
      </c>
      <c r="AO538" s="220"/>
      <c r="AP538" s="220"/>
      <c r="AQ538" s="283"/>
      <c r="AR538" s="283"/>
      <c r="AS538" s="283"/>
      <c r="AT538" s="223">
        <v>0</v>
      </c>
      <c r="AU538" s="284">
        <v>10.199999999999999</v>
      </c>
      <c r="AV538" s="221">
        <v>42977</v>
      </c>
      <c r="AW538" s="221">
        <v>42983.453410104201</v>
      </c>
      <c r="AX538" s="220" t="s">
        <v>293</v>
      </c>
      <c r="AY538" s="219" t="s">
        <v>803</v>
      </c>
    </row>
    <row r="539" spans="1:51" hidden="1" outlineLevel="1" collapsed="1">
      <c r="A539" s="227" t="s">
        <v>289</v>
      </c>
      <c r="B539" s="220" t="s">
        <v>802</v>
      </c>
      <c r="C539" s="220" t="s">
        <v>802</v>
      </c>
      <c r="D539" s="220" t="s">
        <v>801</v>
      </c>
      <c r="E539" s="220" t="s">
        <v>800</v>
      </c>
      <c r="F539" s="220" t="s">
        <v>799</v>
      </c>
      <c r="G539" s="220"/>
      <c r="H539" s="220" t="s">
        <v>798</v>
      </c>
      <c r="I539" s="220" t="s">
        <v>329</v>
      </c>
      <c r="J539" s="220" t="s">
        <v>297</v>
      </c>
      <c r="K539" s="220" t="s">
        <v>397</v>
      </c>
      <c r="L539" s="220" t="s">
        <v>601</v>
      </c>
      <c r="M539" s="220" t="s">
        <v>600</v>
      </c>
      <c r="N539" s="220" t="s">
        <v>329</v>
      </c>
      <c r="O539" s="220" t="s">
        <v>297</v>
      </c>
      <c r="P539" s="220" t="s">
        <v>599</v>
      </c>
      <c r="Q539" s="220" t="s">
        <v>598</v>
      </c>
      <c r="R539" s="220"/>
      <c r="S539" s="220" t="s">
        <v>791</v>
      </c>
      <c r="T539" s="220" t="s">
        <v>151</v>
      </c>
      <c r="U539" s="220"/>
      <c r="V539" s="220"/>
      <c r="W539" s="220"/>
      <c r="X539" s="220"/>
      <c r="Y539" s="283"/>
      <c r="Z539" s="220"/>
      <c r="AA539" s="220"/>
      <c r="AB539" s="220"/>
      <c r="AC539" s="220"/>
      <c r="AD539" s="220"/>
      <c r="AE539" s="283"/>
      <c r="AF539" s="220"/>
      <c r="AG539" s="220"/>
      <c r="AH539" s="220"/>
      <c r="AI539" s="220"/>
      <c r="AJ539" s="226">
        <v>4</v>
      </c>
      <c r="AK539" s="226">
        <v>0</v>
      </c>
      <c r="AL539" s="225">
        <v>1.6E-2</v>
      </c>
      <c r="AM539" s="220"/>
      <c r="AN539" s="225">
        <v>135.12</v>
      </c>
      <c r="AO539" s="220"/>
      <c r="AP539" s="220"/>
      <c r="AQ539" s="283"/>
      <c r="AR539" s="283"/>
      <c r="AS539" s="283"/>
      <c r="AT539" s="223">
        <v>0</v>
      </c>
      <c r="AU539" s="284">
        <v>11.8</v>
      </c>
      <c r="AV539" s="221">
        <v>42977</v>
      </c>
      <c r="AW539" s="221">
        <v>42983.453410104201</v>
      </c>
      <c r="AX539" s="220" t="s">
        <v>293</v>
      </c>
      <c r="AY539" s="219" t="s">
        <v>797</v>
      </c>
    </row>
    <row r="540" spans="1:51" hidden="1" outlineLevel="1" collapsed="1">
      <c r="A540" s="227" t="s">
        <v>289</v>
      </c>
      <c r="B540" s="220" t="s">
        <v>796</v>
      </c>
      <c r="C540" s="220" t="s">
        <v>796</v>
      </c>
      <c r="D540" s="220" t="s">
        <v>795</v>
      </c>
      <c r="E540" s="220" t="s">
        <v>794</v>
      </c>
      <c r="F540" s="220" t="s">
        <v>793</v>
      </c>
      <c r="G540" s="220"/>
      <c r="H540" s="220" t="s">
        <v>792</v>
      </c>
      <c r="I540" s="220" t="s">
        <v>329</v>
      </c>
      <c r="J540" s="220" t="s">
        <v>297</v>
      </c>
      <c r="K540" s="220" t="s">
        <v>328</v>
      </c>
      <c r="L540" s="220" t="s">
        <v>601</v>
      </c>
      <c r="M540" s="220" t="s">
        <v>600</v>
      </c>
      <c r="N540" s="220" t="s">
        <v>329</v>
      </c>
      <c r="O540" s="220" t="s">
        <v>297</v>
      </c>
      <c r="P540" s="220" t="s">
        <v>599</v>
      </c>
      <c r="Q540" s="220" t="s">
        <v>598</v>
      </c>
      <c r="R540" s="220"/>
      <c r="S540" s="220" t="s">
        <v>791</v>
      </c>
      <c r="T540" s="220" t="s">
        <v>151</v>
      </c>
      <c r="U540" s="220"/>
      <c r="V540" s="220"/>
      <c r="W540" s="220"/>
      <c r="X540" s="220"/>
      <c r="Y540" s="283"/>
      <c r="Z540" s="220"/>
      <c r="AA540" s="220"/>
      <c r="AB540" s="220"/>
      <c r="AC540" s="220"/>
      <c r="AD540" s="220"/>
      <c r="AE540" s="283"/>
      <c r="AF540" s="220"/>
      <c r="AG540" s="220"/>
      <c r="AH540" s="220"/>
      <c r="AI540" s="220"/>
      <c r="AJ540" s="226">
        <v>5</v>
      </c>
      <c r="AK540" s="226">
        <v>0</v>
      </c>
      <c r="AL540" s="225">
        <v>0.02</v>
      </c>
      <c r="AM540" s="220"/>
      <c r="AN540" s="225">
        <v>168.9</v>
      </c>
      <c r="AO540" s="220"/>
      <c r="AP540" s="220"/>
      <c r="AQ540" s="283"/>
      <c r="AR540" s="283"/>
      <c r="AS540" s="283"/>
      <c r="AT540" s="223">
        <v>0</v>
      </c>
      <c r="AU540" s="284">
        <v>14.75</v>
      </c>
      <c r="AV540" s="221">
        <v>42976</v>
      </c>
      <c r="AW540" s="221">
        <v>42983.457309919002</v>
      </c>
      <c r="AX540" s="220" t="s">
        <v>293</v>
      </c>
      <c r="AY540" s="219" t="s">
        <v>790</v>
      </c>
    </row>
    <row r="541" spans="1:51" hidden="1" collapsed="1">
      <c r="A541" s="235" t="s">
        <v>789</v>
      </c>
      <c r="B541" s="234">
        <v>12</v>
      </c>
      <c r="C541" s="279" t="s">
        <v>289</v>
      </c>
      <c r="D541" s="279" t="s">
        <v>289</v>
      </c>
      <c r="E541" s="279" t="s">
        <v>289</v>
      </c>
      <c r="F541" s="279" t="s">
        <v>289</v>
      </c>
      <c r="G541" s="279" t="s">
        <v>289</v>
      </c>
      <c r="H541" s="279" t="s">
        <v>289</v>
      </c>
      <c r="I541" s="279" t="s">
        <v>289</v>
      </c>
      <c r="J541" s="279" t="s">
        <v>289</v>
      </c>
      <c r="K541" s="279" t="s">
        <v>289</v>
      </c>
      <c r="L541" s="279" t="s">
        <v>289</v>
      </c>
      <c r="M541" s="279" t="s">
        <v>289</v>
      </c>
      <c r="N541" s="279" t="s">
        <v>289</v>
      </c>
      <c r="O541" s="279" t="s">
        <v>289</v>
      </c>
      <c r="P541" s="279" t="s">
        <v>289</v>
      </c>
      <c r="Q541" s="279" t="s">
        <v>289</v>
      </c>
      <c r="R541" s="279" t="s">
        <v>289</v>
      </c>
      <c r="S541" s="279" t="s">
        <v>289</v>
      </c>
      <c r="T541" s="279" t="s">
        <v>289</v>
      </c>
      <c r="U541" s="279" t="s">
        <v>289</v>
      </c>
      <c r="V541" s="279" t="s">
        <v>289</v>
      </c>
      <c r="W541" s="279" t="s">
        <v>289</v>
      </c>
      <c r="X541" s="279" t="s">
        <v>289</v>
      </c>
      <c r="Y541" s="231" t="s">
        <v>289</v>
      </c>
      <c r="Z541" s="231" t="s">
        <v>289</v>
      </c>
      <c r="AA541" s="231" t="s">
        <v>289</v>
      </c>
      <c r="AB541" s="231" t="s">
        <v>289</v>
      </c>
      <c r="AC541" s="231" t="s">
        <v>289</v>
      </c>
      <c r="AD541" s="231" t="s">
        <v>289</v>
      </c>
      <c r="AE541" s="231" t="s">
        <v>289</v>
      </c>
      <c r="AF541" s="231" t="s">
        <v>289</v>
      </c>
      <c r="AG541" s="231" t="s">
        <v>289</v>
      </c>
      <c r="AH541" s="231" t="s">
        <v>289</v>
      </c>
      <c r="AI541" s="231" t="s">
        <v>289</v>
      </c>
      <c r="AJ541" s="233">
        <v>491</v>
      </c>
      <c r="AK541" s="233">
        <v>0</v>
      </c>
      <c r="AL541" s="232">
        <v>10.802</v>
      </c>
      <c r="AM541" s="279"/>
      <c r="AN541" s="232">
        <v>102619</v>
      </c>
      <c r="AO541" s="279"/>
      <c r="AP541" s="279"/>
      <c r="AQ541" s="231"/>
      <c r="AR541" s="231"/>
      <c r="AS541" s="231"/>
      <c r="AT541" s="230">
        <v>0</v>
      </c>
      <c r="AU541" s="229">
        <v>0</v>
      </c>
      <c r="AV541" s="663" t="s">
        <v>289</v>
      </c>
      <c r="AW541" s="658"/>
      <c r="AX541" s="664"/>
      <c r="AY541" s="228" t="s">
        <v>289</v>
      </c>
    </row>
    <row r="542" spans="1:51" hidden="1" outlineLevel="1" collapsed="1">
      <c r="A542" s="227" t="s">
        <v>289</v>
      </c>
      <c r="B542" s="220" t="s">
        <v>788</v>
      </c>
      <c r="C542" s="220" t="s">
        <v>788</v>
      </c>
      <c r="D542" s="220"/>
      <c r="E542" s="220" t="s">
        <v>787</v>
      </c>
      <c r="F542" s="220" t="s">
        <v>786</v>
      </c>
      <c r="G542" s="220" t="s">
        <v>149</v>
      </c>
      <c r="H542" s="220" t="s">
        <v>763</v>
      </c>
      <c r="I542" s="220" t="s">
        <v>752</v>
      </c>
      <c r="J542" s="220" t="s">
        <v>297</v>
      </c>
      <c r="K542" s="220" t="s">
        <v>328</v>
      </c>
      <c r="L542" s="220"/>
      <c r="M542" s="220"/>
      <c r="N542" s="220"/>
      <c r="O542" s="220"/>
      <c r="P542" s="220"/>
      <c r="Q542" s="220"/>
      <c r="R542" s="220"/>
      <c r="S542" s="220" t="s">
        <v>750</v>
      </c>
      <c r="T542" s="220" t="s">
        <v>749</v>
      </c>
      <c r="U542" s="220"/>
      <c r="V542" s="220"/>
      <c r="W542" s="220"/>
      <c r="X542" s="220"/>
      <c r="Y542" s="283"/>
      <c r="Z542" s="220"/>
      <c r="AA542" s="220"/>
      <c r="AB542" s="220"/>
      <c r="AC542" s="220"/>
      <c r="AD542" s="220"/>
      <c r="AE542" s="283"/>
      <c r="AF542" s="220"/>
      <c r="AG542" s="220"/>
      <c r="AH542" s="220"/>
      <c r="AI542" s="220"/>
      <c r="AJ542" s="226">
        <v>211</v>
      </c>
      <c r="AK542" s="226">
        <v>0</v>
      </c>
      <c r="AL542" s="225">
        <v>4.6420000000000003</v>
      </c>
      <c r="AM542" s="220"/>
      <c r="AN542" s="225">
        <v>44099</v>
      </c>
      <c r="AO542" s="220"/>
      <c r="AP542" s="220"/>
      <c r="AQ542" s="283"/>
      <c r="AR542" s="283"/>
      <c r="AS542" s="283"/>
      <c r="AT542" s="223">
        <v>0</v>
      </c>
      <c r="AU542" s="284">
        <v>0</v>
      </c>
      <c r="AV542" s="221">
        <v>42641</v>
      </c>
      <c r="AW542" s="221">
        <v>42643.6538484954</v>
      </c>
      <c r="AX542" s="220" t="s">
        <v>293</v>
      </c>
      <c r="AY542" s="219" t="s">
        <v>785</v>
      </c>
    </row>
    <row r="543" spans="1:51" hidden="1" outlineLevel="1" collapsed="1">
      <c r="A543" s="227" t="s">
        <v>289</v>
      </c>
      <c r="B543" s="220" t="s">
        <v>784</v>
      </c>
      <c r="C543" s="220" t="s">
        <v>784</v>
      </c>
      <c r="D543" s="220" t="s">
        <v>756</v>
      </c>
      <c r="E543" s="220" t="s">
        <v>755</v>
      </c>
      <c r="F543" s="220" t="s">
        <v>754</v>
      </c>
      <c r="G543" s="220"/>
      <c r="H543" s="220" t="s">
        <v>770</v>
      </c>
      <c r="I543" s="220" t="s">
        <v>783</v>
      </c>
      <c r="J543" s="220" t="s">
        <v>297</v>
      </c>
      <c r="K543" s="220" t="s">
        <v>328</v>
      </c>
      <c r="L543" s="220"/>
      <c r="M543" s="220"/>
      <c r="N543" s="220"/>
      <c r="O543" s="220"/>
      <c r="P543" s="220"/>
      <c r="Q543" s="220"/>
      <c r="R543" s="220"/>
      <c r="S543" s="220" t="s">
        <v>750</v>
      </c>
      <c r="T543" s="220" t="s">
        <v>749</v>
      </c>
      <c r="U543" s="220"/>
      <c r="V543" s="220"/>
      <c r="W543" s="220"/>
      <c r="X543" s="220"/>
      <c r="Y543" s="283"/>
      <c r="Z543" s="220"/>
      <c r="AA543" s="220"/>
      <c r="AB543" s="220"/>
      <c r="AC543" s="220"/>
      <c r="AD543" s="220"/>
      <c r="AE543" s="283"/>
      <c r="AF543" s="220"/>
      <c r="AG543" s="220"/>
      <c r="AH543" s="220"/>
      <c r="AI543" s="220"/>
      <c r="AJ543" s="226">
        <v>33</v>
      </c>
      <c r="AK543" s="226">
        <v>0</v>
      </c>
      <c r="AL543" s="225">
        <v>0.72599999999999998</v>
      </c>
      <c r="AM543" s="220"/>
      <c r="AN543" s="225">
        <v>6897</v>
      </c>
      <c r="AO543" s="220"/>
      <c r="AP543" s="220"/>
      <c r="AQ543" s="283"/>
      <c r="AR543" s="283"/>
      <c r="AS543" s="283"/>
      <c r="AT543" s="223">
        <v>0</v>
      </c>
      <c r="AU543" s="284">
        <v>0</v>
      </c>
      <c r="AV543" s="221">
        <v>42669</v>
      </c>
      <c r="AW543" s="221">
        <v>42643.665785648103</v>
      </c>
      <c r="AX543" s="220" t="s">
        <v>293</v>
      </c>
      <c r="AY543" s="219" t="s">
        <v>782</v>
      </c>
    </row>
    <row r="544" spans="1:51" hidden="1" outlineLevel="1" collapsed="1">
      <c r="A544" s="227" t="s">
        <v>289</v>
      </c>
      <c r="B544" s="220" t="s">
        <v>781</v>
      </c>
      <c r="C544" s="220" t="s">
        <v>781</v>
      </c>
      <c r="D544" s="220" t="s">
        <v>756</v>
      </c>
      <c r="E544" s="220" t="s">
        <v>755</v>
      </c>
      <c r="F544" s="220" t="s">
        <v>754</v>
      </c>
      <c r="G544" s="220"/>
      <c r="H544" s="220" t="s">
        <v>780</v>
      </c>
      <c r="I544" s="220" t="s">
        <v>752</v>
      </c>
      <c r="J544" s="220" t="s">
        <v>297</v>
      </c>
      <c r="K544" s="220" t="s">
        <v>328</v>
      </c>
      <c r="L544" s="220"/>
      <c r="M544" s="220"/>
      <c r="N544" s="220"/>
      <c r="O544" s="220"/>
      <c r="P544" s="220"/>
      <c r="Q544" s="220"/>
      <c r="R544" s="220"/>
      <c r="S544" s="220" t="s">
        <v>750</v>
      </c>
      <c r="T544" s="220" t="s">
        <v>749</v>
      </c>
      <c r="U544" s="220"/>
      <c r="V544" s="220"/>
      <c r="W544" s="220"/>
      <c r="X544" s="220"/>
      <c r="Y544" s="283"/>
      <c r="Z544" s="220"/>
      <c r="AA544" s="220"/>
      <c r="AB544" s="220"/>
      <c r="AC544" s="220"/>
      <c r="AD544" s="220"/>
      <c r="AE544" s="283"/>
      <c r="AF544" s="220"/>
      <c r="AG544" s="220"/>
      <c r="AH544" s="220"/>
      <c r="AI544" s="220"/>
      <c r="AJ544" s="226">
        <v>41</v>
      </c>
      <c r="AK544" s="226">
        <v>0</v>
      </c>
      <c r="AL544" s="225">
        <v>0.90200000000000002</v>
      </c>
      <c r="AM544" s="220"/>
      <c r="AN544" s="225">
        <v>8569</v>
      </c>
      <c r="AO544" s="220"/>
      <c r="AP544" s="220"/>
      <c r="AQ544" s="283"/>
      <c r="AR544" s="283"/>
      <c r="AS544" s="283"/>
      <c r="AT544" s="223">
        <v>0</v>
      </c>
      <c r="AU544" s="284">
        <v>0</v>
      </c>
      <c r="AV544" s="221">
        <v>42702</v>
      </c>
      <c r="AW544" s="221">
        <v>42643.667205937498</v>
      </c>
      <c r="AX544" s="220" t="s">
        <v>293</v>
      </c>
      <c r="AY544" s="219" t="s">
        <v>779</v>
      </c>
    </row>
    <row r="545" spans="1:51" hidden="1" outlineLevel="1" collapsed="1">
      <c r="A545" s="227" t="s">
        <v>289</v>
      </c>
      <c r="B545" s="220" t="s">
        <v>778</v>
      </c>
      <c r="C545" s="220" t="s">
        <v>778</v>
      </c>
      <c r="D545" s="220" t="s">
        <v>756</v>
      </c>
      <c r="E545" s="220" t="s">
        <v>755</v>
      </c>
      <c r="F545" s="220" t="s">
        <v>754</v>
      </c>
      <c r="G545" s="220"/>
      <c r="H545" s="220" t="s">
        <v>777</v>
      </c>
      <c r="I545" s="220" t="s">
        <v>329</v>
      </c>
      <c r="J545" s="220" t="s">
        <v>297</v>
      </c>
      <c r="K545" s="220" t="s">
        <v>328</v>
      </c>
      <c r="L545" s="220"/>
      <c r="M545" s="220"/>
      <c r="N545" s="220"/>
      <c r="O545" s="220"/>
      <c r="P545" s="220"/>
      <c r="Q545" s="220"/>
      <c r="R545" s="220"/>
      <c r="S545" s="220" t="s">
        <v>750</v>
      </c>
      <c r="T545" s="220" t="s">
        <v>749</v>
      </c>
      <c r="U545" s="220"/>
      <c r="V545" s="220"/>
      <c r="W545" s="220"/>
      <c r="X545" s="220"/>
      <c r="Y545" s="283"/>
      <c r="Z545" s="220"/>
      <c r="AA545" s="220"/>
      <c r="AB545" s="220"/>
      <c r="AC545" s="220"/>
      <c r="AD545" s="220"/>
      <c r="AE545" s="283"/>
      <c r="AF545" s="220"/>
      <c r="AG545" s="220"/>
      <c r="AH545" s="220"/>
      <c r="AI545" s="220"/>
      <c r="AJ545" s="226">
        <v>17</v>
      </c>
      <c r="AK545" s="226">
        <v>0</v>
      </c>
      <c r="AL545" s="225">
        <v>0.374</v>
      </c>
      <c r="AM545" s="220"/>
      <c r="AN545" s="225">
        <v>3553</v>
      </c>
      <c r="AO545" s="220"/>
      <c r="AP545" s="220"/>
      <c r="AQ545" s="283"/>
      <c r="AR545" s="283"/>
      <c r="AS545" s="283"/>
      <c r="AT545" s="223">
        <v>0</v>
      </c>
      <c r="AU545" s="284">
        <v>0</v>
      </c>
      <c r="AV545" s="221">
        <v>42731</v>
      </c>
      <c r="AW545" s="221">
        <v>42702.682953240699</v>
      </c>
      <c r="AX545" s="220" t="s">
        <v>293</v>
      </c>
      <c r="AY545" s="219" t="s">
        <v>776</v>
      </c>
    </row>
    <row r="546" spans="1:51" hidden="1" outlineLevel="1" collapsed="1">
      <c r="A546" s="227" t="s">
        <v>289</v>
      </c>
      <c r="B546" s="220" t="s">
        <v>775</v>
      </c>
      <c r="C546" s="220" t="s">
        <v>775</v>
      </c>
      <c r="D546" s="220" t="s">
        <v>756</v>
      </c>
      <c r="E546" s="220" t="s">
        <v>755</v>
      </c>
      <c r="F546" s="220" t="s">
        <v>754</v>
      </c>
      <c r="G546" s="220"/>
      <c r="H546" s="220" t="s">
        <v>763</v>
      </c>
      <c r="I546" s="220" t="s">
        <v>752</v>
      </c>
      <c r="J546" s="220" t="s">
        <v>297</v>
      </c>
      <c r="K546" s="220" t="s">
        <v>328</v>
      </c>
      <c r="L546" s="220"/>
      <c r="M546" s="220"/>
      <c r="N546" s="220"/>
      <c r="O546" s="220"/>
      <c r="P546" s="220"/>
      <c r="Q546" s="220"/>
      <c r="R546" s="220"/>
      <c r="S546" s="220" t="s">
        <v>750</v>
      </c>
      <c r="T546" s="220" t="s">
        <v>749</v>
      </c>
      <c r="U546" s="220"/>
      <c r="V546" s="220"/>
      <c r="W546" s="220"/>
      <c r="X546" s="220"/>
      <c r="Y546" s="283"/>
      <c r="Z546" s="220"/>
      <c r="AA546" s="220"/>
      <c r="AB546" s="220"/>
      <c r="AC546" s="220"/>
      <c r="AD546" s="220"/>
      <c r="AE546" s="283"/>
      <c r="AF546" s="220"/>
      <c r="AG546" s="220"/>
      <c r="AH546" s="220"/>
      <c r="AI546" s="220"/>
      <c r="AJ546" s="226">
        <v>35</v>
      </c>
      <c r="AK546" s="226">
        <v>0</v>
      </c>
      <c r="AL546" s="225">
        <v>0.77</v>
      </c>
      <c r="AM546" s="220"/>
      <c r="AN546" s="225">
        <v>7315</v>
      </c>
      <c r="AO546" s="220"/>
      <c r="AP546" s="220"/>
      <c r="AQ546" s="283"/>
      <c r="AR546" s="283"/>
      <c r="AS546" s="283"/>
      <c r="AT546" s="223">
        <v>0</v>
      </c>
      <c r="AU546" s="284">
        <v>0</v>
      </c>
      <c r="AV546" s="221">
        <v>42759</v>
      </c>
      <c r="AW546" s="221">
        <v>42702.7160105324</v>
      </c>
      <c r="AX546" s="220" t="s">
        <v>293</v>
      </c>
      <c r="AY546" s="219" t="s">
        <v>774</v>
      </c>
    </row>
    <row r="547" spans="1:51" hidden="1" outlineLevel="1" collapsed="1">
      <c r="A547" s="227" t="s">
        <v>289</v>
      </c>
      <c r="B547" s="220" t="s">
        <v>773</v>
      </c>
      <c r="C547" s="220" t="s">
        <v>773</v>
      </c>
      <c r="D547" s="220" t="s">
        <v>756</v>
      </c>
      <c r="E547" s="220" t="s">
        <v>755</v>
      </c>
      <c r="F547" s="220" t="s">
        <v>754</v>
      </c>
      <c r="G547" s="220"/>
      <c r="H547" s="220" t="s">
        <v>770</v>
      </c>
      <c r="I547" s="220" t="s">
        <v>752</v>
      </c>
      <c r="J547" s="220" t="s">
        <v>297</v>
      </c>
      <c r="K547" s="220" t="s">
        <v>328</v>
      </c>
      <c r="L547" s="220"/>
      <c r="M547" s="220"/>
      <c r="N547" s="220"/>
      <c r="O547" s="220"/>
      <c r="P547" s="220"/>
      <c r="Q547" s="220"/>
      <c r="R547" s="220"/>
      <c r="S547" s="220" t="s">
        <v>750</v>
      </c>
      <c r="T547" s="220" t="s">
        <v>749</v>
      </c>
      <c r="U547" s="220"/>
      <c r="V547" s="220"/>
      <c r="W547" s="220"/>
      <c r="X547" s="220"/>
      <c r="Y547" s="283"/>
      <c r="Z547" s="220"/>
      <c r="AA547" s="220"/>
      <c r="AB547" s="220"/>
      <c r="AC547" s="220"/>
      <c r="AD547" s="220"/>
      <c r="AE547" s="283"/>
      <c r="AF547" s="220"/>
      <c r="AG547" s="220"/>
      <c r="AH547" s="220"/>
      <c r="AI547" s="220"/>
      <c r="AJ547" s="226">
        <v>29</v>
      </c>
      <c r="AK547" s="226">
        <v>0</v>
      </c>
      <c r="AL547" s="225">
        <v>0.63800000000000001</v>
      </c>
      <c r="AM547" s="220"/>
      <c r="AN547" s="225">
        <v>6061</v>
      </c>
      <c r="AO547" s="220"/>
      <c r="AP547" s="220"/>
      <c r="AQ547" s="283"/>
      <c r="AR547" s="283"/>
      <c r="AS547" s="283"/>
      <c r="AT547" s="223">
        <v>0</v>
      </c>
      <c r="AU547" s="284">
        <v>0</v>
      </c>
      <c r="AV547" s="221">
        <v>42787</v>
      </c>
      <c r="AW547" s="221">
        <v>42702.716987419</v>
      </c>
      <c r="AX547" s="220" t="s">
        <v>293</v>
      </c>
      <c r="AY547" s="219" t="s">
        <v>772</v>
      </c>
    </row>
    <row r="548" spans="1:51" hidden="1" outlineLevel="1" collapsed="1">
      <c r="A548" s="227" t="s">
        <v>289</v>
      </c>
      <c r="B548" s="220" t="s">
        <v>771</v>
      </c>
      <c r="C548" s="220" t="s">
        <v>771</v>
      </c>
      <c r="D548" s="220" t="s">
        <v>756</v>
      </c>
      <c r="E548" s="220" t="s">
        <v>755</v>
      </c>
      <c r="F548" s="220" t="s">
        <v>754</v>
      </c>
      <c r="G548" s="220"/>
      <c r="H548" s="220" t="s">
        <v>770</v>
      </c>
      <c r="I548" s="220" t="s">
        <v>752</v>
      </c>
      <c r="J548" s="220" t="s">
        <v>297</v>
      </c>
      <c r="K548" s="220" t="s">
        <v>328</v>
      </c>
      <c r="L548" s="220"/>
      <c r="M548" s="220"/>
      <c r="N548" s="220"/>
      <c r="O548" s="220"/>
      <c r="P548" s="220"/>
      <c r="Q548" s="220"/>
      <c r="R548" s="220"/>
      <c r="S548" s="220" t="s">
        <v>750</v>
      </c>
      <c r="T548" s="220" t="s">
        <v>749</v>
      </c>
      <c r="U548" s="220"/>
      <c r="V548" s="220"/>
      <c r="W548" s="220"/>
      <c r="X548" s="220"/>
      <c r="Y548" s="283"/>
      <c r="Z548" s="220"/>
      <c r="AA548" s="220"/>
      <c r="AB548" s="220"/>
      <c r="AC548" s="220"/>
      <c r="AD548" s="220"/>
      <c r="AE548" s="283"/>
      <c r="AF548" s="220"/>
      <c r="AG548" s="220"/>
      <c r="AH548" s="220"/>
      <c r="AI548" s="220"/>
      <c r="AJ548" s="226">
        <v>27</v>
      </c>
      <c r="AK548" s="226">
        <v>0</v>
      </c>
      <c r="AL548" s="225">
        <v>0.59399999999999997</v>
      </c>
      <c r="AM548" s="220"/>
      <c r="AN548" s="225">
        <v>5643</v>
      </c>
      <c r="AO548" s="220"/>
      <c r="AP548" s="220"/>
      <c r="AQ548" s="283"/>
      <c r="AR548" s="283"/>
      <c r="AS548" s="283"/>
      <c r="AT548" s="223">
        <v>0</v>
      </c>
      <c r="AU548" s="284">
        <v>0</v>
      </c>
      <c r="AV548" s="221">
        <v>42800</v>
      </c>
      <c r="AW548" s="221">
        <v>42775.661667673601</v>
      </c>
      <c r="AX548" s="220" t="s">
        <v>293</v>
      </c>
      <c r="AY548" s="219" t="s">
        <v>769</v>
      </c>
    </row>
    <row r="549" spans="1:51" hidden="1" outlineLevel="1" collapsed="1">
      <c r="A549" s="227" t="s">
        <v>289</v>
      </c>
      <c r="B549" s="220" t="s">
        <v>768</v>
      </c>
      <c r="C549" s="220" t="s">
        <v>768</v>
      </c>
      <c r="D549" s="220" t="s">
        <v>756</v>
      </c>
      <c r="E549" s="220" t="s">
        <v>755</v>
      </c>
      <c r="F549" s="220" t="s">
        <v>754</v>
      </c>
      <c r="G549" s="220"/>
      <c r="H549" s="220" t="s">
        <v>763</v>
      </c>
      <c r="I549" s="220" t="s">
        <v>752</v>
      </c>
      <c r="J549" s="220" t="s">
        <v>297</v>
      </c>
      <c r="K549" s="220" t="s">
        <v>328</v>
      </c>
      <c r="L549" s="220"/>
      <c r="M549" s="220"/>
      <c r="N549" s="220"/>
      <c r="O549" s="220"/>
      <c r="P549" s="220"/>
      <c r="Q549" s="220"/>
      <c r="R549" s="220"/>
      <c r="S549" s="220" t="s">
        <v>750</v>
      </c>
      <c r="T549" s="220" t="s">
        <v>749</v>
      </c>
      <c r="U549" s="220"/>
      <c r="V549" s="220"/>
      <c r="W549" s="220"/>
      <c r="X549" s="220"/>
      <c r="Y549" s="283"/>
      <c r="Z549" s="220"/>
      <c r="AA549" s="220"/>
      <c r="AB549" s="220"/>
      <c r="AC549" s="220"/>
      <c r="AD549" s="220"/>
      <c r="AE549" s="283"/>
      <c r="AF549" s="220"/>
      <c r="AG549" s="220"/>
      <c r="AH549" s="220"/>
      <c r="AI549" s="220"/>
      <c r="AJ549" s="226">
        <v>13</v>
      </c>
      <c r="AK549" s="226">
        <v>0</v>
      </c>
      <c r="AL549" s="225">
        <v>0.28599999999999998</v>
      </c>
      <c r="AM549" s="220"/>
      <c r="AN549" s="225">
        <v>2717</v>
      </c>
      <c r="AO549" s="220"/>
      <c r="AP549" s="220"/>
      <c r="AQ549" s="283"/>
      <c r="AR549" s="283"/>
      <c r="AS549" s="283"/>
      <c r="AT549" s="223">
        <v>0</v>
      </c>
      <c r="AU549" s="284">
        <v>0</v>
      </c>
      <c r="AV549" s="221">
        <v>42844</v>
      </c>
      <c r="AW549" s="221">
        <v>42775.666023495403</v>
      </c>
      <c r="AX549" s="220" t="s">
        <v>293</v>
      </c>
      <c r="AY549" s="219" t="s">
        <v>767</v>
      </c>
    </row>
    <row r="550" spans="1:51" hidden="1" outlineLevel="1" collapsed="1">
      <c r="A550" s="227" t="s">
        <v>289</v>
      </c>
      <c r="B550" s="220" t="s">
        <v>766</v>
      </c>
      <c r="C550" s="220" t="s">
        <v>766</v>
      </c>
      <c r="D550" s="220" t="s">
        <v>756</v>
      </c>
      <c r="E550" s="220" t="s">
        <v>755</v>
      </c>
      <c r="F550" s="220" t="s">
        <v>754</v>
      </c>
      <c r="G550" s="220"/>
      <c r="H550" s="220" t="s">
        <v>763</v>
      </c>
      <c r="I550" s="220" t="s">
        <v>752</v>
      </c>
      <c r="J550" s="220" t="s">
        <v>297</v>
      </c>
      <c r="K550" s="220" t="s">
        <v>328</v>
      </c>
      <c r="L550" s="220"/>
      <c r="M550" s="220"/>
      <c r="N550" s="220"/>
      <c r="O550" s="220"/>
      <c r="P550" s="220"/>
      <c r="Q550" s="220"/>
      <c r="R550" s="220"/>
      <c r="S550" s="220" t="s">
        <v>750</v>
      </c>
      <c r="T550" s="220" t="s">
        <v>749</v>
      </c>
      <c r="U550" s="220"/>
      <c r="V550" s="220"/>
      <c r="W550" s="220"/>
      <c r="X550" s="220"/>
      <c r="Y550" s="283"/>
      <c r="Z550" s="220"/>
      <c r="AA550" s="220"/>
      <c r="AB550" s="220"/>
      <c r="AC550" s="220"/>
      <c r="AD550" s="220"/>
      <c r="AE550" s="283"/>
      <c r="AF550" s="220"/>
      <c r="AG550" s="220"/>
      <c r="AH550" s="220"/>
      <c r="AI550" s="220"/>
      <c r="AJ550" s="226">
        <v>23</v>
      </c>
      <c r="AK550" s="226">
        <v>0</v>
      </c>
      <c r="AL550" s="225">
        <v>0.50600000000000001</v>
      </c>
      <c r="AM550" s="220"/>
      <c r="AN550" s="225">
        <v>4807</v>
      </c>
      <c r="AO550" s="220"/>
      <c r="AP550" s="220"/>
      <c r="AQ550" s="283"/>
      <c r="AR550" s="283"/>
      <c r="AS550" s="283"/>
      <c r="AT550" s="223">
        <v>0</v>
      </c>
      <c r="AU550" s="284">
        <v>0</v>
      </c>
      <c r="AV550" s="221">
        <v>42880</v>
      </c>
      <c r="AW550" s="221">
        <v>42775.666610567103</v>
      </c>
      <c r="AX550" s="220" t="s">
        <v>293</v>
      </c>
      <c r="AY550" s="219" t="s">
        <v>765</v>
      </c>
    </row>
    <row r="551" spans="1:51" hidden="1" outlineLevel="1" collapsed="1">
      <c r="A551" s="227" t="s">
        <v>289</v>
      </c>
      <c r="B551" s="220" t="s">
        <v>764</v>
      </c>
      <c r="C551" s="220" t="s">
        <v>764</v>
      </c>
      <c r="D551" s="220" t="s">
        <v>756</v>
      </c>
      <c r="E551" s="220" t="s">
        <v>755</v>
      </c>
      <c r="F551" s="220" t="s">
        <v>754</v>
      </c>
      <c r="G551" s="220"/>
      <c r="H551" s="220" t="s">
        <v>763</v>
      </c>
      <c r="I551" s="220" t="s">
        <v>759</v>
      </c>
      <c r="J551" s="220" t="s">
        <v>297</v>
      </c>
      <c r="K551" s="220" t="s">
        <v>328</v>
      </c>
      <c r="L551" s="220"/>
      <c r="M551" s="220"/>
      <c r="N551" s="220"/>
      <c r="O551" s="220"/>
      <c r="P551" s="220"/>
      <c r="Q551" s="220"/>
      <c r="R551" s="220"/>
      <c r="S551" s="220" t="s">
        <v>750</v>
      </c>
      <c r="T551" s="220" t="s">
        <v>749</v>
      </c>
      <c r="U551" s="220"/>
      <c r="V551" s="220"/>
      <c r="W551" s="220"/>
      <c r="X551" s="220"/>
      <c r="Y551" s="283"/>
      <c r="Z551" s="220"/>
      <c r="AA551" s="220"/>
      <c r="AB551" s="220"/>
      <c r="AC551" s="220"/>
      <c r="AD551" s="220"/>
      <c r="AE551" s="283"/>
      <c r="AF551" s="220"/>
      <c r="AG551" s="220"/>
      <c r="AH551" s="220"/>
      <c r="AI551" s="220"/>
      <c r="AJ551" s="226">
        <v>16</v>
      </c>
      <c r="AK551" s="226">
        <v>0</v>
      </c>
      <c r="AL551" s="225">
        <v>0.35199999999999998</v>
      </c>
      <c r="AM551" s="220"/>
      <c r="AN551" s="225">
        <v>3344</v>
      </c>
      <c r="AO551" s="220"/>
      <c r="AP551" s="220"/>
      <c r="AQ551" s="283"/>
      <c r="AR551" s="283"/>
      <c r="AS551" s="283"/>
      <c r="AT551" s="223">
        <v>0</v>
      </c>
      <c r="AU551" s="284">
        <v>0</v>
      </c>
      <c r="AV551" s="221">
        <v>42901</v>
      </c>
      <c r="AW551" s="221">
        <v>42775.667385648201</v>
      </c>
      <c r="AX551" s="220" t="s">
        <v>293</v>
      </c>
      <c r="AY551" s="219" t="s">
        <v>762</v>
      </c>
    </row>
    <row r="552" spans="1:51" hidden="1" outlineLevel="1" collapsed="1">
      <c r="A552" s="227" t="s">
        <v>289</v>
      </c>
      <c r="B552" s="220" t="s">
        <v>761</v>
      </c>
      <c r="C552" s="220" t="s">
        <v>761</v>
      </c>
      <c r="D552" s="220" t="s">
        <v>756</v>
      </c>
      <c r="E552" s="220" t="s">
        <v>755</v>
      </c>
      <c r="F552" s="220" t="s">
        <v>754</v>
      </c>
      <c r="G552" s="220"/>
      <c r="H552" s="220" t="s">
        <v>760</v>
      </c>
      <c r="I552" s="220" t="s">
        <v>759</v>
      </c>
      <c r="J552" s="220" t="s">
        <v>297</v>
      </c>
      <c r="K552" s="220" t="s">
        <v>328</v>
      </c>
      <c r="L552" s="220"/>
      <c r="M552" s="220"/>
      <c r="N552" s="220"/>
      <c r="O552" s="220"/>
      <c r="P552" s="220"/>
      <c r="Q552" s="220"/>
      <c r="R552" s="220"/>
      <c r="S552" s="220" t="s">
        <v>750</v>
      </c>
      <c r="T552" s="220" t="s">
        <v>749</v>
      </c>
      <c r="U552" s="220"/>
      <c r="V552" s="220"/>
      <c r="W552" s="220"/>
      <c r="X552" s="220"/>
      <c r="Y552" s="283"/>
      <c r="Z552" s="220"/>
      <c r="AA552" s="220"/>
      <c r="AB552" s="220"/>
      <c r="AC552" s="220"/>
      <c r="AD552" s="220"/>
      <c r="AE552" s="283"/>
      <c r="AF552" s="220"/>
      <c r="AG552" s="220"/>
      <c r="AH552" s="220"/>
      <c r="AI552" s="220"/>
      <c r="AJ552" s="226">
        <v>26</v>
      </c>
      <c r="AK552" s="226">
        <v>0</v>
      </c>
      <c r="AL552" s="225">
        <v>0.57199999999999995</v>
      </c>
      <c r="AM552" s="220"/>
      <c r="AN552" s="225">
        <v>5434</v>
      </c>
      <c r="AO552" s="220"/>
      <c r="AP552" s="220"/>
      <c r="AQ552" s="283"/>
      <c r="AR552" s="283"/>
      <c r="AS552" s="283"/>
      <c r="AT552" s="223">
        <v>0</v>
      </c>
      <c r="AU552" s="284">
        <v>0</v>
      </c>
      <c r="AV552" s="221">
        <v>42936</v>
      </c>
      <c r="AW552" s="221">
        <v>42775.668760729197</v>
      </c>
      <c r="AX552" s="220" t="s">
        <v>293</v>
      </c>
      <c r="AY552" s="219" t="s">
        <v>758</v>
      </c>
    </row>
    <row r="553" spans="1:51" hidden="1" outlineLevel="1" collapsed="1">
      <c r="A553" s="227" t="s">
        <v>289</v>
      </c>
      <c r="B553" s="220" t="s">
        <v>757</v>
      </c>
      <c r="C553" s="220" t="s">
        <v>757</v>
      </c>
      <c r="D553" s="220" t="s">
        <v>756</v>
      </c>
      <c r="E553" s="220" t="s">
        <v>755</v>
      </c>
      <c r="F553" s="220" t="s">
        <v>754</v>
      </c>
      <c r="G553" s="220"/>
      <c r="H553" s="220" t="s">
        <v>753</v>
      </c>
      <c r="I553" s="220" t="s">
        <v>752</v>
      </c>
      <c r="J553" s="220" t="s">
        <v>297</v>
      </c>
      <c r="K553" s="220" t="s">
        <v>328</v>
      </c>
      <c r="L553" s="220"/>
      <c r="M553" s="220"/>
      <c r="N553" s="220"/>
      <c r="O553" s="220"/>
      <c r="P553" s="220"/>
      <c r="Q553" s="220"/>
      <c r="R553" s="220"/>
      <c r="S553" s="220" t="s">
        <v>750</v>
      </c>
      <c r="T553" s="220" t="s">
        <v>749</v>
      </c>
      <c r="U553" s="220"/>
      <c r="V553" s="220"/>
      <c r="W553" s="220"/>
      <c r="X553" s="220"/>
      <c r="Y553" s="283"/>
      <c r="Z553" s="220"/>
      <c r="AA553" s="220"/>
      <c r="AB553" s="220"/>
      <c r="AC553" s="220"/>
      <c r="AD553" s="220"/>
      <c r="AE553" s="283"/>
      <c r="AF553" s="220"/>
      <c r="AG553" s="220"/>
      <c r="AH553" s="220"/>
      <c r="AI553" s="220"/>
      <c r="AJ553" s="226">
        <v>20</v>
      </c>
      <c r="AK553" s="226">
        <v>0</v>
      </c>
      <c r="AL553" s="225">
        <v>0.44</v>
      </c>
      <c r="AM553" s="220"/>
      <c r="AN553" s="225">
        <v>4180</v>
      </c>
      <c r="AO553" s="220"/>
      <c r="AP553" s="220"/>
      <c r="AQ553" s="283"/>
      <c r="AR553" s="283"/>
      <c r="AS553" s="283"/>
      <c r="AT553" s="223">
        <v>0</v>
      </c>
      <c r="AU553" s="284">
        <v>0</v>
      </c>
      <c r="AV553" s="221">
        <v>42775</v>
      </c>
      <c r="AW553" s="221">
        <v>42775.6694263889</v>
      </c>
      <c r="AX553" s="220" t="s">
        <v>293</v>
      </c>
      <c r="AY553" s="219" t="s">
        <v>751</v>
      </c>
    </row>
    <row r="554" spans="1:51" hidden="1" collapsed="1">
      <c r="A554" s="235" t="s">
        <v>748</v>
      </c>
      <c r="B554" s="234">
        <v>20</v>
      </c>
      <c r="C554" s="279" t="s">
        <v>289</v>
      </c>
      <c r="D554" s="279" t="s">
        <v>289</v>
      </c>
      <c r="E554" s="279" t="s">
        <v>289</v>
      </c>
      <c r="F554" s="279" t="s">
        <v>289</v>
      </c>
      <c r="G554" s="279" t="s">
        <v>289</v>
      </c>
      <c r="H554" s="279" t="s">
        <v>289</v>
      </c>
      <c r="I554" s="279" t="s">
        <v>289</v>
      </c>
      <c r="J554" s="279" t="s">
        <v>289</v>
      </c>
      <c r="K554" s="279" t="s">
        <v>289</v>
      </c>
      <c r="L554" s="279" t="s">
        <v>289</v>
      </c>
      <c r="M554" s="279" t="s">
        <v>289</v>
      </c>
      <c r="N554" s="279" t="s">
        <v>289</v>
      </c>
      <c r="O554" s="279" t="s">
        <v>289</v>
      </c>
      <c r="P554" s="279" t="s">
        <v>289</v>
      </c>
      <c r="Q554" s="279" t="s">
        <v>289</v>
      </c>
      <c r="R554" s="279" t="s">
        <v>289</v>
      </c>
      <c r="S554" s="279" t="s">
        <v>289</v>
      </c>
      <c r="T554" s="279" t="s">
        <v>289</v>
      </c>
      <c r="U554" s="279" t="s">
        <v>289</v>
      </c>
      <c r="V554" s="279" t="s">
        <v>289</v>
      </c>
      <c r="W554" s="279" t="s">
        <v>289</v>
      </c>
      <c r="X554" s="279" t="s">
        <v>289</v>
      </c>
      <c r="Y554" s="231" t="s">
        <v>289</v>
      </c>
      <c r="Z554" s="231" t="s">
        <v>289</v>
      </c>
      <c r="AA554" s="231" t="s">
        <v>289</v>
      </c>
      <c r="AB554" s="231" t="s">
        <v>289</v>
      </c>
      <c r="AC554" s="231" t="s">
        <v>289</v>
      </c>
      <c r="AD554" s="231" t="s">
        <v>289</v>
      </c>
      <c r="AE554" s="231" t="s">
        <v>289</v>
      </c>
      <c r="AF554" s="231" t="s">
        <v>289</v>
      </c>
      <c r="AG554" s="231" t="s">
        <v>289</v>
      </c>
      <c r="AH554" s="231" t="s">
        <v>289</v>
      </c>
      <c r="AI554" s="231" t="s">
        <v>289</v>
      </c>
      <c r="AJ554" s="233">
        <v>1202</v>
      </c>
      <c r="AK554" s="233">
        <v>0</v>
      </c>
      <c r="AL554" s="232">
        <v>48.08</v>
      </c>
      <c r="AM554" s="279"/>
      <c r="AN554" s="232">
        <v>477194</v>
      </c>
      <c r="AO554" s="279"/>
      <c r="AP554" s="279"/>
      <c r="AQ554" s="231"/>
      <c r="AR554" s="231"/>
      <c r="AS554" s="231"/>
      <c r="AT554" s="230">
        <v>0</v>
      </c>
      <c r="AU554" s="229">
        <v>0</v>
      </c>
      <c r="AV554" s="663" t="s">
        <v>289</v>
      </c>
      <c r="AW554" s="658"/>
      <c r="AX554" s="664"/>
      <c r="AY554" s="228" t="s">
        <v>289</v>
      </c>
    </row>
    <row r="555" spans="1:51" hidden="1" outlineLevel="1" collapsed="1">
      <c r="A555" s="227" t="s">
        <v>289</v>
      </c>
      <c r="B555" s="220" t="s">
        <v>747</v>
      </c>
      <c r="C555" s="220" t="s">
        <v>747</v>
      </c>
      <c r="D555" s="220" t="s">
        <v>746</v>
      </c>
      <c r="E555" s="220" t="s">
        <v>648</v>
      </c>
      <c r="F555" s="220" t="s">
        <v>648</v>
      </c>
      <c r="G555" s="220" t="s">
        <v>648</v>
      </c>
      <c r="H555" s="220" t="s">
        <v>745</v>
      </c>
      <c r="I555" s="220" t="s">
        <v>329</v>
      </c>
      <c r="J555" s="220" t="s">
        <v>297</v>
      </c>
      <c r="K555" s="220" t="s">
        <v>397</v>
      </c>
      <c r="L555" s="220" t="s">
        <v>601</v>
      </c>
      <c r="M555" s="220" t="s">
        <v>600</v>
      </c>
      <c r="N555" s="220" t="s">
        <v>329</v>
      </c>
      <c r="O555" s="220" t="s">
        <v>297</v>
      </c>
      <c r="P555" s="220" t="s">
        <v>599</v>
      </c>
      <c r="Q555" s="220" t="s">
        <v>598</v>
      </c>
      <c r="R555" s="220"/>
      <c r="S555" s="220" t="s">
        <v>645</v>
      </c>
      <c r="T555" s="220" t="s">
        <v>146</v>
      </c>
      <c r="U555" s="220"/>
      <c r="V555" s="220"/>
      <c r="W555" s="220"/>
      <c r="X555" s="220"/>
      <c r="Y555" s="283"/>
      <c r="Z555" s="220"/>
      <c r="AA555" s="220"/>
      <c r="AB555" s="220"/>
      <c r="AC555" s="220"/>
      <c r="AD555" s="220"/>
      <c r="AE555" s="283"/>
      <c r="AF555" s="220"/>
      <c r="AG555" s="220"/>
      <c r="AH555" s="220"/>
      <c r="AI555" s="220"/>
      <c r="AJ555" s="226">
        <v>83</v>
      </c>
      <c r="AK555" s="226">
        <v>0</v>
      </c>
      <c r="AL555" s="225">
        <v>3.32</v>
      </c>
      <c r="AM555" s="220"/>
      <c r="AN555" s="225">
        <v>32951</v>
      </c>
      <c r="AO555" s="220"/>
      <c r="AP555" s="220"/>
      <c r="AQ555" s="283"/>
      <c r="AR555" s="283"/>
      <c r="AS555" s="283"/>
      <c r="AT555" s="223">
        <v>0</v>
      </c>
      <c r="AU555" s="284">
        <v>0</v>
      </c>
      <c r="AV555" s="221">
        <v>42804</v>
      </c>
      <c r="AW555" s="221">
        <v>42804.622698263898</v>
      </c>
      <c r="AX555" s="220" t="s">
        <v>293</v>
      </c>
      <c r="AY555" s="219" t="s">
        <v>744</v>
      </c>
    </row>
    <row r="556" spans="1:51" hidden="1" outlineLevel="1" collapsed="1">
      <c r="A556" s="227" t="s">
        <v>289</v>
      </c>
      <c r="B556" s="220" t="s">
        <v>743</v>
      </c>
      <c r="C556" s="220" t="s">
        <v>743</v>
      </c>
      <c r="D556" s="220" t="s">
        <v>742</v>
      </c>
      <c r="E556" s="220" t="s">
        <v>741</v>
      </c>
      <c r="F556" s="220" t="s">
        <v>741</v>
      </c>
      <c r="G556" s="220" t="s">
        <v>741</v>
      </c>
      <c r="H556" s="220" t="s">
        <v>740</v>
      </c>
      <c r="I556" s="220" t="s">
        <v>739</v>
      </c>
      <c r="J556" s="220" t="s">
        <v>297</v>
      </c>
      <c r="K556" s="220" t="s">
        <v>738</v>
      </c>
      <c r="L556" s="220" t="s">
        <v>601</v>
      </c>
      <c r="M556" s="220" t="s">
        <v>600</v>
      </c>
      <c r="N556" s="220" t="s">
        <v>329</v>
      </c>
      <c r="O556" s="220" t="s">
        <v>297</v>
      </c>
      <c r="P556" s="220" t="s">
        <v>599</v>
      </c>
      <c r="Q556" s="220" t="s">
        <v>598</v>
      </c>
      <c r="R556" s="220"/>
      <c r="S556" s="220" t="s">
        <v>645</v>
      </c>
      <c r="T556" s="220" t="s">
        <v>146</v>
      </c>
      <c r="U556" s="220"/>
      <c r="V556" s="220"/>
      <c r="W556" s="220"/>
      <c r="X556" s="220"/>
      <c r="Y556" s="283"/>
      <c r="Z556" s="220"/>
      <c r="AA556" s="220"/>
      <c r="AB556" s="220"/>
      <c r="AC556" s="220"/>
      <c r="AD556" s="220"/>
      <c r="AE556" s="283"/>
      <c r="AF556" s="220"/>
      <c r="AG556" s="220"/>
      <c r="AH556" s="220"/>
      <c r="AI556" s="220"/>
      <c r="AJ556" s="226">
        <v>25</v>
      </c>
      <c r="AK556" s="226">
        <v>0</v>
      </c>
      <c r="AL556" s="225">
        <v>1</v>
      </c>
      <c r="AM556" s="220"/>
      <c r="AN556" s="225">
        <v>9925</v>
      </c>
      <c r="AO556" s="220"/>
      <c r="AP556" s="220"/>
      <c r="AQ556" s="283"/>
      <c r="AR556" s="283"/>
      <c r="AS556" s="283"/>
      <c r="AT556" s="223">
        <v>0</v>
      </c>
      <c r="AU556" s="284">
        <v>0</v>
      </c>
      <c r="AV556" s="221">
        <v>42804</v>
      </c>
      <c r="AW556" s="221">
        <v>42804.6244997338</v>
      </c>
      <c r="AX556" s="220" t="s">
        <v>293</v>
      </c>
      <c r="AY556" s="219" t="s">
        <v>737</v>
      </c>
    </row>
    <row r="557" spans="1:51" hidden="1" outlineLevel="1" collapsed="1">
      <c r="A557" s="227" t="s">
        <v>289</v>
      </c>
      <c r="B557" s="220" t="s">
        <v>736</v>
      </c>
      <c r="C557" s="220" t="s">
        <v>736</v>
      </c>
      <c r="D557" s="220" t="s">
        <v>691</v>
      </c>
      <c r="E557" s="220" t="s">
        <v>689</v>
      </c>
      <c r="F557" s="220" t="s">
        <v>689</v>
      </c>
      <c r="G557" s="220" t="s">
        <v>689</v>
      </c>
      <c r="H557" s="220" t="s">
        <v>688</v>
      </c>
      <c r="I557" s="220" t="s">
        <v>329</v>
      </c>
      <c r="J557" s="220" t="s">
        <v>297</v>
      </c>
      <c r="K557" s="220" t="s">
        <v>328</v>
      </c>
      <c r="L557" s="220" t="s">
        <v>601</v>
      </c>
      <c r="M557" s="220" t="s">
        <v>600</v>
      </c>
      <c r="N557" s="220" t="s">
        <v>329</v>
      </c>
      <c r="O557" s="220" t="s">
        <v>297</v>
      </c>
      <c r="P557" s="220" t="s">
        <v>599</v>
      </c>
      <c r="Q557" s="220" t="s">
        <v>598</v>
      </c>
      <c r="R557" s="220"/>
      <c r="S557" s="220" t="s">
        <v>645</v>
      </c>
      <c r="T557" s="220" t="s">
        <v>146</v>
      </c>
      <c r="U557" s="220"/>
      <c r="V557" s="220"/>
      <c r="W557" s="220"/>
      <c r="X557" s="220"/>
      <c r="Y557" s="283"/>
      <c r="Z557" s="220"/>
      <c r="AA557" s="220"/>
      <c r="AB557" s="220"/>
      <c r="AC557" s="220"/>
      <c r="AD557" s="220"/>
      <c r="AE557" s="283"/>
      <c r="AF557" s="220"/>
      <c r="AG557" s="220"/>
      <c r="AH557" s="220"/>
      <c r="AI557" s="220"/>
      <c r="AJ557" s="226">
        <v>20</v>
      </c>
      <c r="AK557" s="226">
        <v>0</v>
      </c>
      <c r="AL557" s="225">
        <v>0.8</v>
      </c>
      <c r="AM557" s="220"/>
      <c r="AN557" s="225">
        <v>7940</v>
      </c>
      <c r="AO557" s="220"/>
      <c r="AP557" s="220"/>
      <c r="AQ557" s="283"/>
      <c r="AR557" s="283"/>
      <c r="AS557" s="283"/>
      <c r="AT557" s="223">
        <v>0</v>
      </c>
      <c r="AU557" s="284">
        <v>0</v>
      </c>
      <c r="AV557" s="221">
        <v>42804</v>
      </c>
      <c r="AW557" s="221">
        <v>42804.627474189801</v>
      </c>
      <c r="AX557" s="220" t="s">
        <v>293</v>
      </c>
      <c r="AY557" s="219" t="s">
        <v>735</v>
      </c>
    </row>
    <row r="558" spans="1:51" ht="20.399999999999999" hidden="1" outlineLevel="1" collapsed="1">
      <c r="A558" s="227" t="s">
        <v>289</v>
      </c>
      <c r="B558" s="220" t="s">
        <v>734</v>
      </c>
      <c r="C558" s="220" t="s">
        <v>734</v>
      </c>
      <c r="D558" s="220" t="s">
        <v>733</v>
      </c>
      <c r="E558" s="220" t="s">
        <v>732</v>
      </c>
      <c r="F558" s="220" t="s">
        <v>732</v>
      </c>
      <c r="G558" s="220" t="s">
        <v>732</v>
      </c>
      <c r="H558" s="220" t="s">
        <v>731</v>
      </c>
      <c r="I558" s="220" t="s">
        <v>730</v>
      </c>
      <c r="J558" s="220" t="s">
        <v>297</v>
      </c>
      <c r="K558" s="220" t="s">
        <v>729</v>
      </c>
      <c r="L558" s="220" t="s">
        <v>601</v>
      </c>
      <c r="M558" s="220" t="s">
        <v>600</v>
      </c>
      <c r="N558" s="220" t="s">
        <v>329</v>
      </c>
      <c r="O558" s="220" t="s">
        <v>297</v>
      </c>
      <c r="P558" s="220" t="s">
        <v>599</v>
      </c>
      <c r="Q558" s="220" t="s">
        <v>598</v>
      </c>
      <c r="R558" s="220"/>
      <c r="S558" s="220" t="s">
        <v>645</v>
      </c>
      <c r="T558" s="220" t="s">
        <v>146</v>
      </c>
      <c r="U558" s="220"/>
      <c r="V558" s="220"/>
      <c r="W558" s="220"/>
      <c r="X558" s="220"/>
      <c r="Y558" s="283"/>
      <c r="Z558" s="220"/>
      <c r="AA558" s="220"/>
      <c r="AB558" s="220"/>
      <c r="AC558" s="220"/>
      <c r="AD558" s="220"/>
      <c r="AE558" s="283"/>
      <c r="AF558" s="220"/>
      <c r="AG558" s="220"/>
      <c r="AH558" s="220"/>
      <c r="AI558" s="220"/>
      <c r="AJ558" s="226">
        <v>16</v>
      </c>
      <c r="AK558" s="226">
        <v>0</v>
      </c>
      <c r="AL558" s="225">
        <v>0.64</v>
      </c>
      <c r="AM558" s="220"/>
      <c r="AN558" s="225">
        <v>6352</v>
      </c>
      <c r="AO558" s="220"/>
      <c r="AP558" s="220"/>
      <c r="AQ558" s="283"/>
      <c r="AR558" s="283"/>
      <c r="AS558" s="283"/>
      <c r="AT558" s="223">
        <v>0</v>
      </c>
      <c r="AU558" s="284">
        <v>0</v>
      </c>
      <c r="AV558" s="221">
        <v>42804</v>
      </c>
      <c r="AW558" s="221">
        <v>42804.631206168997</v>
      </c>
      <c r="AX558" s="220" t="s">
        <v>293</v>
      </c>
      <c r="AY558" s="219" t="s">
        <v>728</v>
      </c>
    </row>
    <row r="559" spans="1:51" hidden="1" outlineLevel="1" collapsed="1">
      <c r="A559" s="227" t="s">
        <v>289</v>
      </c>
      <c r="B559" s="220" t="s">
        <v>727</v>
      </c>
      <c r="C559" s="220" t="s">
        <v>727</v>
      </c>
      <c r="D559" s="220" t="s">
        <v>726</v>
      </c>
      <c r="E559" s="220" t="s">
        <v>648</v>
      </c>
      <c r="F559" s="220" t="s">
        <v>648</v>
      </c>
      <c r="G559" s="220" t="s">
        <v>648</v>
      </c>
      <c r="H559" s="220" t="s">
        <v>725</v>
      </c>
      <c r="I559" s="220" t="s">
        <v>329</v>
      </c>
      <c r="J559" s="220" t="s">
        <v>297</v>
      </c>
      <c r="K559" s="220" t="s">
        <v>328</v>
      </c>
      <c r="L559" s="220" t="s">
        <v>601</v>
      </c>
      <c r="M559" s="220" t="s">
        <v>600</v>
      </c>
      <c r="N559" s="220" t="s">
        <v>329</v>
      </c>
      <c r="O559" s="220" t="s">
        <v>297</v>
      </c>
      <c r="P559" s="220" t="s">
        <v>599</v>
      </c>
      <c r="Q559" s="220" t="s">
        <v>598</v>
      </c>
      <c r="R559" s="220"/>
      <c r="S559" s="220" t="s">
        <v>645</v>
      </c>
      <c r="T559" s="220" t="s">
        <v>146</v>
      </c>
      <c r="U559" s="220"/>
      <c r="V559" s="220"/>
      <c r="W559" s="220"/>
      <c r="X559" s="220"/>
      <c r="Y559" s="283"/>
      <c r="Z559" s="220"/>
      <c r="AA559" s="220"/>
      <c r="AB559" s="220"/>
      <c r="AC559" s="220"/>
      <c r="AD559" s="220"/>
      <c r="AE559" s="283"/>
      <c r="AF559" s="220"/>
      <c r="AG559" s="220"/>
      <c r="AH559" s="220"/>
      <c r="AI559" s="220"/>
      <c r="AJ559" s="226">
        <v>78</v>
      </c>
      <c r="AK559" s="226">
        <v>0</v>
      </c>
      <c r="AL559" s="225">
        <v>3.12</v>
      </c>
      <c r="AM559" s="220"/>
      <c r="AN559" s="225">
        <v>30966</v>
      </c>
      <c r="AO559" s="220"/>
      <c r="AP559" s="220"/>
      <c r="AQ559" s="283"/>
      <c r="AR559" s="283"/>
      <c r="AS559" s="283"/>
      <c r="AT559" s="223">
        <v>0</v>
      </c>
      <c r="AU559" s="284">
        <v>0</v>
      </c>
      <c r="AV559" s="221">
        <v>42804</v>
      </c>
      <c r="AW559" s="221">
        <v>42804.633571874998</v>
      </c>
      <c r="AX559" s="220" t="s">
        <v>293</v>
      </c>
      <c r="AY559" s="219" t="s">
        <v>724</v>
      </c>
    </row>
    <row r="560" spans="1:51" hidden="1" outlineLevel="1" collapsed="1">
      <c r="A560" s="227" t="s">
        <v>289</v>
      </c>
      <c r="B560" s="220" t="s">
        <v>723</v>
      </c>
      <c r="C560" s="220" t="s">
        <v>723</v>
      </c>
      <c r="D560" s="220" t="s">
        <v>722</v>
      </c>
      <c r="E560" s="220" t="s">
        <v>721</v>
      </c>
      <c r="F560" s="220" t="s">
        <v>720</v>
      </c>
      <c r="G560" s="220" t="s">
        <v>658</v>
      </c>
      <c r="H560" s="220" t="s">
        <v>719</v>
      </c>
      <c r="I560" s="220" t="s">
        <v>298</v>
      </c>
      <c r="J560" s="220" t="s">
        <v>297</v>
      </c>
      <c r="K560" s="220" t="s">
        <v>296</v>
      </c>
      <c r="L560" s="220" t="s">
        <v>601</v>
      </c>
      <c r="M560" s="220" t="s">
        <v>600</v>
      </c>
      <c r="N560" s="220" t="s">
        <v>329</v>
      </c>
      <c r="O560" s="220" t="s">
        <v>297</v>
      </c>
      <c r="P560" s="220" t="s">
        <v>599</v>
      </c>
      <c r="Q560" s="220" t="s">
        <v>598</v>
      </c>
      <c r="R560" s="220"/>
      <c r="S560" s="220" t="s">
        <v>645</v>
      </c>
      <c r="T560" s="220" t="s">
        <v>146</v>
      </c>
      <c r="U560" s="220"/>
      <c r="V560" s="220"/>
      <c r="W560" s="220"/>
      <c r="X560" s="220"/>
      <c r="Y560" s="283"/>
      <c r="Z560" s="220"/>
      <c r="AA560" s="220"/>
      <c r="AB560" s="220"/>
      <c r="AC560" s="220"/>
      <c r="AD560" s="220"/>
      <c r="AE560" s="283"/>
      <c r="AF560" s="220"/>
      <c r="AG560" s="220"/>
      <c r="AH560" s="220"/>
      <c r="AI560" s="220"/>
      <c r="AJ560" s="226">
        <v>84</v>
      </c>
      <c r="AK560" s="226">
        <v>0</v>
      </c>
      <c r="AL560" s="225">
        <v>3.36</v>
      </c>
      <c r="AM560" s="220"/>
      <c r="AN560" s="225">
        <v>33348</v>
      </c>
      <c r="AO560" s="220"/>
      <c r="AP560" s="220"/>
      <c r="AQ560" s="283"/>
      <c r="AR560" s="283"/>
      <c r="AS560" s="283"/>
      <c r="AT560" s="223">
        <v>0</v>
      </c>
      <c r="AU560" s="284">
        <v>0</v>
      </c>
      <c r="AV560" s="221">
        <v>42804</v>
      </c>
      <c r="AW560" s="221">
        <v>42804.6360208681</v>
      </c>
      <c r="AX560" s="220" t="s">
        <v>293</v>
      </c>
      <c r="AY560" s="219" t="s">
        <v>718</v>
      </c>
    </row>
    <row r="561" spans="1:51" hidden="1" outlineLevel="1" collapsed="1">
      <c r="A561" s="227" t="s">
        <v>289</v>
      </c>
      <c r="B561" s="220" t="s">
        <v>717</v>
      </c>
      <c r="C561" s="220" t="s">
        <v>717</v>
      </c>
      <c r="D561" s="220" t="s">
        <v>716</v>
      </c>
      <c r="E561" s="220" t="s">
        <v>715</v>
      </c>
      <c r="F561" s="220" t="s">
        <v>714</v>
      </c>
      <c r="G561" s="220" t="s">
        <v>714</v>
      </c>
      <c r="H561" s="220" t="s">
        <v>713</v>
      </c>
      <c r="I561" s="220" t="s">
        <v>329</v>
      </c>
      <c r="J561" s="220" t="s">
        <v>297</v>
      </c>
      <c r="K561" s="220" t="s">
        <v>397</v>
      </c>
      <c r="L561" s="220" t="s">
        <v>601</v>
      </c>
      <c r="M561" s="220" t="s">
        <v>600</v>
      </c>
      <c r="N561" s="220" t="s">
        <v>329</v>
      </c>
      <c r="O561" s="220" t="s">
        <v>297</v>
      </c>
      <c r="P561" s="220" t="s">
        <v>599</v>
      </c>
      <c r="Q561" s="220" t="s">
        <v>598</v>
      </c>
      <c r="R561" s="220"/>
      <c r="S561" s="220" t="s">
        <v>645</v>
      </c>
      <c r="T561" s="220" t="s">
        <v>146</v>
      </c>
      <c r="U561" s="220"/>
      <c r="V561" s="220"/>
      <c r="W561" s="220"/>
      <c r="X561" s="220"/>
      <c r="Y561" s="283"/>
      <c r="Z561" s="220"/>
      <c r="AA561" s="220"/>
      <c r="AB561" s="220"/>
      <c r="AC561" s="220"/>
      <c r="AD561" s="220"/>
      <c r="AE561" s="283"/>
      <c r="AF561" s="220"/>
      <c r="AG561" s="220"/>
      <c r="AH561" s="220"/>
      <c r="AI561" s="220"/>
      <c r="AJ561" s="226">
        <v>20</v>
      </c>
      <c r="AK561" s="226">
        <v>0</v>
      </c>
      <c r="AL561" s="225">
        <v>0.8</v>
      </c>
      <c r="AM561" s="220"/>
      <c r="AN561" s="225">
        <v>7940</v>
      </c>
      <c r="AO561" s="220"/>
      <c r="AP561" s="220"/>
      <c r="AQ561" s="283"/>
      <c r="AR561" s="283"/>
      <c r="AS561" s="283"/>
      <c r="AT561" s="223">
        <v>0</v>
      </c>
      <c r="AU561" s="284">
        <v>0</v>
      </c>
      <c r="AV561" s="221">
        <v>42804</v>
      </c>
      <c r="AW561" s="221">
        <v>42804.639085185197</v>
      </c>
      <c r="AX561" s="220" t="s">
        <v>293</v>
      </c>
      <c r="AY561" s="219" t="s">
        <v>712</v>
      </c>
    </row>
    <row r="562" spans="1:51" hidden="1" outlineLevel="1" collapsed="1">
      <c r="A562" s="227" t="s">
        <v>289</v>
      </c>
      <c r="B562" s="220" t="s">
        <v>711</v>
      </c>
      <c r="C562" s="220" t="s">
        <v>711</v>
      </c>
      <c r="D562" s="220" t="s">
        <v>660</v>
      </c>
      <c r="E562" s="220" t="s">
        <v>710</v>
      </c>
      <c r="F562" s="220" t="s">
        <v>658</v>
      </c>
      <c r="G562" s="220" t="s">
        <v>658</v>
      </c>
      <c r="H562" s="220" t="s">
        <v>657</v>
      </c>
      <c r="I562" s="220" t="s">
        <v>531</v>
      </c>
      <c r="J562" s="220" t="s">
        <v>297</v>
      </c>
      <c r="K562" s="220" t="s">
        <v>530</v>
      </c>
      <c r="L562" s="220" t="s">
        <v>601</v>
      </c>
      <c r="M562" s="220" t="s">
        <v>600</v>
      </c>
      <c r="N562" s="220" t="s">
        <v>329</v>
      </c>
      <c r="O562" s="220" t="s">
        <v>297</v>
      </c>
      <c r="P562" s="220" t="s">
        <v>599</v>
      </c>
      <c r="Q562" s="220" t="s">
        <v>598</v>
      </c>
      <c r="R562" s="220"/>
      <c r="S562" s="220" t="s">
        <v>645</v>
      </c>
      <c r="T562" s="220" t="s">
        <v>146</v>
      </c>
      <c r="U562" s="220"/>
      <c r="V562" s="220"/>
      <c r="W562" s="220"/>
      <c r="X562" s="220"/>
      <c r="Y562" s="283"/>
      <c r="Z562" s="220"/>
      <c r="AA562" s="220"/>
      <c r="AB562" s="220"/>
      <c r="AC562" s="220"/>
      <c r="AD562" s="220"/>
      <c r="AE562" s="283"/>
      <c r="AF562" s="220"/>
      <c r="AG562" s="220"/>
      <c r="AH562" s="220"/>
      <c r="AI562" s="220"/>
      <c r="AJ562" s="226">
        <v>102</v>
      </c>
      <c r="AK562" s="226">
        <v>0</v>
      </c>
      <c r="AL562" s="225">
        <v>4.08</v>
      </c>
      <c r="AM562" s="220"/>
      <c r="AN562" s="225">
        <v>40494</v>
      </c>
      <c r="AO562" s="220"/>
      <c r="AP562" s="220"/>
      <c r="AQ562" s="283"/>
      <c r="AR562" s="283"/>
      <c r="AS562" s="283"/>
      <c r="AT562" s="223">
        <v>0</v>
      </c>
      <c r="AU562" s="284">
        <v>0</v>
      </c>
      <c r="AV562" s="221">
        <v>42804</v>
      </c>
      <c r="AW562" s="221">
        <v>42804.6410861111</v>
      </c>
      <c r="AX562" s="220" t="s">
        <v>293</v>
      </c>
      <c r="AY562" s="219" t="s">
        <v>709</v>
      </c>
    </row>
    <row r="563" spans="1:51" hidden="1" outlineLevel="1" collapsed="1">
      <c r="A563" s="227" t="s">
        <v>289</v>
      </c>
      <c r="B563" s="220" t="s">
        <v>708</v>
      </c>
      <c r="C563" s="220" t="s">
        <v>708</v>
      </c>
      <c r="D563" s="220" t="s">
        <v>707</v>
      </c>
      <c r="E563" s="220" t="s">
        <v>706</v>
      </c>
      <c r="F563" s="220" t="s">
        <v>706</v>
      </c>
      <c r="G563" s="220" t="s">
        <v>706</v>
      </c>
      <c r="H563" s="220" t="s">
        <v>705</v>
      </c>
      <c r="I563" s="220" t="s">
        <v>308</v>
      </c>
      <c r="J563" s="220" t="s">
        <v>297</v>
      </c>
      <c r="K563" s="220" t="s">
        <v>307</v>
      </c>
      <c r="L563" s="220" t="s">
        <v>601</v>
      </c>
      <c r="M563" s="220" t="s">
        <v>600</v>
      </c>
      <c r="N563" s="220" t="s">
        <v>329</v>
      </c>
      <c r="O563" s="220" t="s">
        <v>297</v>
      </c>
      <c r="P563" s="220" t="s">
        <v>599</v>
      </c>
      <c r="Q563" s="220" t="s">
        <v>598</v>
      </c>
      <c r="R563" s="220"/>
      <c r="S563" s="220" t="s">
        <v>645</v>
      </c>
      <c r="T563" s="220" t="s">
        <v>146</v>
      </c>
      <c r="U563" s="220"/>
      <c r="V563" s="220"/>
      <c r="W563" s="220"/>
      <c r="X563" s="220"/>
      <c r="Y563" s="283"/>
      <c r="Z563" s="220"/>
      <c r="AA563" s="220"/>
      <c r="AB563" s="220"/>
      <c r="AC563" s="220"/>
      <c r="AD563" s="220"/>
      <c r="AE563" s="283"/>
      <c r="AF563" s="220"/>
      <c r="AG563" s="220"/>
      <c r="AH563" s="220"/>
      <c r="AI563" s="220"/>
      <c r="AJ563" s="226">
        <v>43</v>
      </c>
      <c r="AK563" s="226">
        <v>0</v>
      </c>
      <c r="AL563" s="225">
        <v>1.72</v>
      </c>
      <c r="AM563" s="220"/>
      <c r="AN563" s="225">
        <v>17071</v>
      </c>
      <c r="AO563" s="220"/>
      <c r="AP563" s="220"/>
      <c r="AQ563" s="283"/>
      <c r="AR563" s="283"/>
      <c r="AS563" s="283"/>
      <c r="AT563" s="223">
        <v>0</v>
      </c>
      <c r="AU563" s="284">
        <v>0</v>
      </c>
      <c r="AV563" s="221">
        <v>42804</v>
      </c>
      <c r="AW563" s="221">
        <v>42804.645049537001</v>
      </c>
      <c r="AX563" s="220" t="s">
        <v>293</v>
      </c>
      <c r="AY563" s="219" t="s">
        <v>704</v>
      </c>
    </row>
    <row r="564" spans="1:51" ht="20.399999999999999" hidden="1" outlineLevel="1" collapsed="1">
      <c r="A564" s="227" t="s">
        <v>289</v>
      </c>
      <c r="B564" s="220" t="s">
        <v>703</v>
      </c>
      <c r="C564" s="220" t="s">
        <v>703</v>
      </c>
      <c r="D564" s="220" t="s">
        <v>702</v>
      </c>
      <c r="E564" s="220" t="s">
        <v>701</v>
      </c>
      <c r="F564" s="220" t="s">
        <v>701</v>
      </c>
      <c r="G564" s="220" t="s">
        <v>701</v>
      </c>
      <c r="H564" s="220" t="s">
        <v>700</v>
      </c>
      <c r="I564" s="220" t="s">
        <v>471</v>
      </c>
      <c r="J564" s="220" t="s">
        <v>297</v>
      </c>
      <c r="K564" s="220" t="s">
        <v>470</v>
      </c>
      <c r="L564" s="220" t="s">
        <v>601</v>
      </c>
      <c r="M564" s="220" t="s">
        <v>600</v>
      </c>
      <c r="N564" s="220" t="s">
        <v>329</v>
      </c>
      <c r="O564" s="220" t="s">
        <v>297</v>
      </c>
      <c r="P564" s="220" t="s">
        <v>599</v>
      </c>
      <c r="Q564" s="220" t="s">
        <v>598</v>
      </c>
      <c r="R564" s="220"/>
      <c r="S564" s="220" t="s">
        <v>645</v>
      </c>
      <c r="T564" s="220" t="s">
        <v>146</v>
      </c>
      <c r="U564" s="220"/>
      <c r="V564" s="220"/>
      <c r="W564" s="220"/>
      <c r="X564" s="220"/>
      <c r="Y564" s="283"/>
      <c r="Z564" s="220"/>
      <c r="AA564" s="220"/>
      <c r="AB564" s="220"/>
      <c r="AC564" s="220"/>
      <c r="AD564" s="220"/>
      <c r="AE564" s="283"/>
      <c r="AF564" s="220"/>
      <c r="AG564" s="220"/>
      <c r="AH564" s="220"/>
      <c r="AI564" s="220"/>
      <c r="AJ564" s="226">
        <v>237</v>
      </c>
      <c r="AK564" s="226">
        <v>0</v>
      </c>
      <c r="AL564" s="225">
        <v>9.48</v>
      </c>
      <c r="AM564" s="220"/>
      <c r="AN564" s="225">
        <v>94089</v>
      </c>
      <c r="AO564" s="220"/>
      <c r="AP564" s="220"/>
      <c r="AQ564" s="283"/>
      <c r="AR564" s="283"/>
      <c r="AS564" s="283"/>
      <c r="AT564" s="223">
        <v>0</v>
      </c>
      <c r="AU564" s="284">
        <v>0</v>
      </c>
      <c r="AV564" s="221">
        <v>42804</v>
      </c>
      <c r="AW564" s="221">
        <v>42804.649298067103</v>
      </c>
      <c r="AX564" s="220" t="s">
        <v>293</v>
      </c>
      <c r="AY564" s="219" t="s">
        <v>699</v>
      </c>
    </row>
    <row r="565" spans="1:51" hidden="1" outlineLevel="1" collapsed="1">
      <c r="A565" s="227" t="s">
        <v>289</v>
      </c>
      <c r="B565" s="220" t="s">
        <v>698</v>
      </c>
      <c r="C565" s="220" t="s">
        <v>698</v>
      </c>
      <c r="D565" s="220" t="s">
        <v>697</v>
      </c>
      <c r="E565" s="220" t="s">
        <v>320</v>
      </c>
      <c r="F565" s="220" t="s">
        <v>696</v>
      </c>
      <c r="G565" s="220" t="s">
        <v>695</v>
      </c>
      <c r="H565" s="220" t="s">
        <v>694</v>
      </c>
      <c r="I565" s="220" t="s">
        <v>320</v>
      </c>
      <c r="J565" s="220" t="s">
        <v>297</v>
      </c>
      <c r="K565" s="220" t="s">
        <v>319</v>
      </c>
      <c r="L565" s="220" t="s">
        <v>601</v>
      </c>
      <c r="M565" s="220" t="s">
        <v>600</v>
      </c>
      <c r="N565" s="220" t="s">
        <v>329</v>
      </c>
      <c r="O565" s="220" t="s">
        <v>297</v>
      </c>
      <c r="P565" s="220" t="s">
        <v>599</v>
      </c>
      <c r="Q565" s="220" t="s">
        <v>598</v>
      </c>
      <c r="R565" s="220"/>
      <c r="S565" s="220" t="s">
        <v>645</v>
      </c>
      <c r="T565" s="220" t="s">
        <v>146</v>
      </c>
      <c r="U565" s="220"/>
      <c r="V565" s="220"/>
      <c r="W565" s="220"/>
      <c r="X565" s="220"/>
      <c r="Y565" s="283"/>
      <c r="Z565" s="220"/>
      <c r="AA565" s="220"/>
      <c r="AB565" s="220"/>
      <c r="AC565" s="220"/>
      <c r="AD565" s="220"/>
      <c r="AE565" s="283"/>
      <c r="AF565" s="220"/>
      <c r="AG565" s="220"/>
      <c r="AH565" s="220"/>
      <c r="AI565" s="220"/>
      <c r="AJ565" s="226">
        <v>68</v>
      </c>
      <c r="AK565" s="226">
        <v>0</v>
      </c>
      <c r="AL565" s="225">
        <v>2.72</v>
      </c>
      <c r="AM565" s="220"/>
      <c r="AN565" s="225">
        <v>26996</v>
      </c>
      <c r="AO565" s="220"/>
      <c r="AP565" s="220"/>
      <c r="AQ565" s="283"/>
      <c r="AR565" s="283"/>
      <c r="AS565" s="283"/>
      <c r="AT565" s="223">
        <v>0</v>
      </c>
      <c r="AU565" s="284">
        <v>0</v>
      </c>
      <c r="AV565" s="221">
        <v>42804</v>
      </c>
      <c r="AW565" s="221">
        <v>42804.652416203702</v>
      </c>
      <c r="AX565" s="220" t="s">
        <v>293</v>
      </c>
      <c r="AY565" s="219" t="s">
        <v>693</v>
      </c>
    </row>
    <row r="566" spans="1:51" hidden="1" outlineLevel="1" collapsed="1">
      <c r="A566" s="227" t="s">
        <v>289</v>
      </c>
      <c r="B566" s="220" t="s">
        <v>692</v>
      </c>
      <c r="C566" s="220" t="s">
        <v>692</v>
      </c>
      <c r="D566" s="220" t="s">
        <v>691</v>
      </c>
      <c r="E566" s="220" t="s">
        <v>690</v>
      </c>
      <c r="F566" s="220" t="s">
        <v>689</v>
      </c>
      <c r="G566" s="220" t="s">
        <v>689</v>
      </c>
      <c r="H566" s="220" t="s">
        <v>688</v>
      </c>
      <c r="I566" s="220" t="s">
        <v>329</v>
      </c>
      <c r="J566" s="220" t="s">
        <v>297</v>
      </c>
      <c r="K566" s="220" t="s">
        <v>328</v>
      </c>
      <c r="L566" s="220" t="s">
        <v>601</v>
      </c>
      <c r="M566" s="220" t="s">
        <v>600</v>
      </c>
      <c r="N566" s="220" t="s">
        <v>329</v>
      </c>
      <c r="O566" s="220" t="s">
        <v>297</v>
      </c>
      <c r="P566" s="220" t="s">
        <v>599</v>
      </c>
      <c r="Q566" s="220" t="s">
        <v>598</v>
      </c>
      <c r="R566" s="220"/>
      <c r="S566" s="220" t="s">
        <v>645</v>
      </c>
      <c r="T566" s="220" t="s">
        <v>146</v>
      </c>
      <c r="U566" s="220"/>
      <c r="V566" s="220"/>
      <c r="W566" s="220"/>
      <c r="X566" s="220"/>
      <c r="Y566" s="283"/>
      <c r="Z566" s="220"/>
      <c r="AA566" s="220"/>
      <c r="AB566" s="220"/>
      <c r="AC566" s="220"/>
      <c r="AD566" s="220"/>
      <c r="AE566" s="283"/>
      <c r="AF566" s="220"/>
      <c r="AG566" s="220"/>
      <c r="AH566" s="220"/>
      <c r="AI566" s="220"/>
      <c r="AJ566" s="226">
        <v>21</v>
      </c>
      <c r="AK566" s="226">
        <v>0</v>
      </c>
      <c r="AL566" s="225">
        <v>0.84</v>
      </c>
      <c r="AM566" s="220"/>
      <c r="AN566" s="225">
        <v>8337</v>
      </c>
      <c r="AO566" s="220"/>
      <c r="AP566" s="220"/>
      <c r="AQ566" s="283"/>
      <c r="AR566" s="283"/>
      <c r="AS566" s="283"/>
      <c r="AT566" s="223">
        <v>0</v>
      </c>
      <c r="AU566" s="284">
        <v>0</v>
      </c>
      <c r="AV566" s="221">
        <v>42804</v>
      </c>
      <c r="AW566" s="221">
        <v>42804.6542392708</v>
      </c>
      <c r="AX566" s="220" t="s">
        <v>293</v>
      </c>
      <c r="AY566" s="219" t="s">
        <v>687</v>
      </c>
    </row>
    <row r="567" spans="1:51" hidden="1" outlineLevel="1" collapsed="1">
      <c r="A567" s="227" t="s">
        <v>289</v>
      </c>
      <c r="B567" s="220" t="s">
        <v>686</v>
      </c>
      <c r="C567" s="220" t="s">
        <v>686</v>
      </c>
      <c r="D567" s="220" t="s">
        <v>685</v>
      </c>
      <c r="E567" s="220" t="s">
        <v>684</v>
      </c>
      <c r="F567" s="220" t="s">
        <v>684</v>
      </c>
      <c r="G567" s="220" t="s">
        <v>684</v>
      </c>
      <c r="H567" s="220" t="s">
        <v>683</v>
      </c>
      <c r="I567" s="220" t="s">
        <v>329</v>
      </c>
      <c r="J567" s="220" t="s">
        <v>297</v>
      </c>
      <c r="K567" s="220" t="s">
        <v>397</v>
      </c>
      <c r="L567" s="220" t="s">
        <v>601</v>
      </c>
      <c r="M567" s="220" t="s">
        <v>600</v>
      </c>
      <c r="N567" s="220" t="s">
        <v>329</v>
      </c>
      <c r="O567" s="220" t="s">
        <v>297</v>
      </c>
      <c r="P567" s="220" t="s">
        <v>599</v>
      </c>
      <c r="Q567" s="220" t="s">
        <v>598</v>
      </c>
      <c r="R567" s="220"/>
      <c r="S567" s="220" t="s">
        <v>645</v>
      </c>
      <c r="T567" s="220" t="s">
        <v>146</v>
      </c>
      <c r="U567" s="220"/>
      <c r="V567" s="220"/>
      <c r="W567" s="220"/>
      <c r="X567" s="220"/>
      <c r="Y567" s="283"/>
      <c r="Z567" s="220"/>
      <c r="AA567" s="220"/>
      <c r="AB567" s="220"/>
      <c r="AC567" s="220"/>
      <c r="AD567" s="220"/>
      <c r="AE567" s="283"/>
      <c r="AF567" s="220"/>
      <c r="AG567" s="220"/>
      <c r="AH567" s="220"/>
      <c r="AI567" s="220"/>
      <c r="AJ567" s="226">
        <v>11</v>
      </c>
      <c r="AK567" s="226">
        <v>0</v>
      </c>
      <c r="AL567" s="225">
        <v>0.44</v>
      </c>
      <c r="AM567" s="220"/>
      <c r="AN567" s="225">
        <v>4367</v>
      </c>
      <c r="AO567" s="220"/>
      <c r="AP567" s="220"/>
      <c r="AQ567" s="283"/>
      <c r="AR567" s="283"/>
      <c r="AS567" s="283"/>
      <c r="AT567" s="223">
        <v>0</v>
      </c>
      <c r="AU567" s="284">
        <v>0</v>
      </c>
      <c r="AV567" s="221">
        <v>42804</v>
      </c>
      <c r="AW567" s="221">
        <v>42804.657562268498</v>
      </c>
      <c r="AX567" s="220" t="s">
        <v>293</v>
      </c>
      <c r="AY567" s="219" t="s">
        <v>682</v>
      </c>
    </row>
    <row r="568" spans="1:51" hidden="1" outlineLevel="1" collapsed="1">
      <c r="A568" s="227" t="s">
        <v>289</v>
      </c>
      <c r="B568" s="220" t="s">
        <v>681</v>
      </c>
      <c r="C568" s="220" t="s">
        <v>681</v>
      </c>
      <c r="D568" s="220" t="s">
        <v>680</v>
      </c>
      <c r="E568" s="220" t="s">
        <v>679</v>
      </c>
      <c r="F568" s="220" t="s">
        <v>679</v>
      </c>
      <c r="G568" s="220" t="s">
        <v>679</v>
      </c>
      <c r="H568" s="220" t="s">
        <v>678</v>
      </c>
      <c r="I568" s="220" t="s">
        <v>329</v>
      </c>
      <c r="J568" s="220" t="s">
        <v>297</v>
      </c>
      <c r="K568" s="220" t="s">
        <v>328</v>
      </c>
      <c r="L568" s="220" t="s">
        <v>601</v>
      </c>
      <c r="M568" s="220" t="s">
        <v>600</v>
      </c>
      <c r="N568" s="220" t="s">
        <v>329</v>
      </c>
      <c r="O568" s="220" t="s">
        <v>297</v>
      </c>
      <c r="P568" s="220" t="s">
        <v>599</v>
      </c>
      <c r="Q568" s="220" t="s">
        <v>598</v>
      </c>
      <c r="R568" s="220"/>
      <c r="S568" s="220" t="s">
        <v>645</v>
      </c>
      <c r="T568" s="220" t="s">
        <v>146</v>
      </c>
      <c r="U568" s="220"/>
      <c r="V568" s="220"/>
      <c r="W568" s="220"/>
      <c r="X568" s="220"/>
      <c r="Y568" s="283"/>
      <c r="Z568" s="220"/>
      <c r="AA568" s="220"/>
      <c r="AB568" s="220"/>
      <c r="AC568" s="220"/>
      <c r="AD568" s="220"/>
      <c r="AE568" s="283"/>
      <c r="AF568" s="220"/>
      <c r="AG568" s="220"/>
      <c r="AH568" s="220"/>
      <c r="AI568" s="220"/>
      <c r="AJ568" s="226">
        <v>2</v>
      </c>
      <c r="AK568" s="226">
        <v>0</v>
      </c>
      <c r="AL568" s="225">
        <v>0.08</v>
      </c>
      <c r="AM568" s="220"/>
      <c r="AN568" s="225">
        <v>794</v>
      </c>
      <c r="AO568" s="220"/>
      <c r="AP568" s="220"/>
      <c r="AQ568" s="283"/>
      <c r="AR568" s="283"/>
      <c r="AS568" s="283"/>
      <c r="AT568" s="223">
        <v>0</v>
      </c>
      <c r="AU568" s="284">
        <v>0</v>
      </c>
      <c r="AV568" s="221">
        <v>42804</v>
      </c>
      <c r="AW568" s="221">
        <v>42804.659286342598</v>
      </c>
      <c r="AX568" s="220" t="s">
        <v>293</v>
      </c>
      <c r="AY568" s="219" t="s">
        <v>677</v>
      </c>
    </row>
    <row r="569" spans="1:51" hidden="1" outlineLevel="1" collapsed="1">
      <c r="A569" s="227" t="s">
        <v>289</v>
      </c>
      <c r="B569" s="220" t="s">
        <v>676</v>
      </c>
      <c r="C569" s="220" t="s">
        <v>676</v>
      </c>
      <c r="D569" s="220" t="s">
        <v>675</v>
      </c>
      <c r="E569" s="220" t="s">
        <v>674</v>
      </c>
      <c r="F569" s="220" t="s">
        <v>648</v>
      </c>
      <c r="G569" s="220" t="s">
        <v>648</v>
      </c>
      <c r="H569" s="220" t="s">
        <v>673</v>
      </c>
      <c r="I569" s="220" t="s">
        <v>413</v>
      </c>
      <c r="J569" s="220" t="s">
        <v>297</v>
      </c>
      <c r="K569" s="220" t="s">
        <v>412</v>
      </c>
      <c r="L569" s="220" t="s">
        <v>601</v>
      </c>
      <c r="M569" s="220" t="s">
        <v>600</v>
      </c>
      <c r="N569" s="220" t="s">
        <v>329</v>
      </c>
      <c r="O569" s="220" t="s">
        <v>297</v>
      </c>
      <c r="P569" s="220" t="s">
        <v>599</v>
      </c>
      <c r="Q569" s="220" t="s">
        <v>598</v>
      </c>
      <c r="R569" s="220"/>
      <c r="S569" s="220" t="s">
        <v>645</v>
      </c>
      <c r="T569" s="220" t="s">
        <v>146</v>
      </c>
      <c r="U569" s="220"/>
      <c r="V569" s="220"/>
      <c r="W569" s="220"/>
      <c r="X569" s="220"/>
      <c r="Y569" s="283"/>
      <c r="Z569" s="220"/>
      <c r="AA569" s="220"/>
      <c r="AB569" s="220"/>
      <c r="AC569" s="220"/>
      <c r="AD569" s="220"/>
      <c r="AE569" s="283"/>
      <c r="AF569" s="220"/>
      <c r="AG569" s="220"/>
      <c r="AH569" s="220"/>
      <c r="AI569" s="220"/>
      <c r="AJ569" s="226">
        <v>70</v>
      </c>
      <c r="AK569" s="226">
        <v>0</v>
      </c>
      <c r="AL569" s="225">
        <v>2.8</v>
      </c>
      <c r="AM569" s="220"/>
      <c r="AN569" s="225">
        <v>27790</v>
      </c>
      <c r="AO569" s="220"/>
      <c r="AP569" s="220"/>
      <c r="AQ569" s="283"/>
      <c r="AR569" s="283"/>
      <c r="AS569" s="283"/>
      <c r="AT569" s="223">
        <v>0</v>
      </c>
      <c r="AU569" s="284">
        <v>0</v>
      </c>
      <c r="AV569" s="221">
        <v>42804</v>
      </c>
      <c r="AW569" s="221">
        <v>42804.660429629599</v>
      </c>
      <c r="AX569" s="220" t="s">
        <v>293</v>
      </c>
      <c r="AY569" s="219" t="s">
        <v>672</v>
      </c>
    </row>
    <row r="570" spans="1:51" hidden="1" outlineLevel="1" collapsed="1">
      <c r="A570" s="227" t="s">
        <v>289</v>
      </c>
      <c r="B570" s="220" t="s">
        <v>671</v>
      </c>
      <c r="C570" s="220" t="s">
        <v>671</v>
      </c>
      <c r="D570" s="220" t="s">
        <v>670</v>
      </c>
      <c r="E570" s="220" t="s">
        <v>669</v>
      </c>
      <c r="F570" s="220" t="s">
        <v>648</v>
      </c>
      <c r="G570" s="220" t="s">
        <v>648</v>
      </c>
      <c r="H570" s="220" t="s">
        <v>668</v>
      </c>
      <c r="I570" s="220" t="s">
        <v>329</v>
      </c>
      <c r="J570" s="220" t="s">
        <v>297</v>
      </c>
      <c r="K570" s="220" t="s">
        <v>397</v>
      </c>
      <c r="L570" s="220" t="s">
        <v>601</v>
      </c>
      <c r="M570" s="220" t="s">
        <v>600</v>
      </c>
      <c r="N570" s="220" t="s">
        <v>329</v>
      </c>
      <c r="O570" s="220" t="s">
        <v>297</v>
      </c>
      <c r="P570" s="220" t="s">
        <v>599</v>
      </c>
      <c r="Q570" s="220" t="s">
        <v>598</v>
      </c>
      <c r="R570" s="220"/>
      <c r="S570" s="220" t="s">
        <v>645</v>
      </c>
      <c r="T570" s="220" t="s">
        <v>146</v>
      </c>
      <c r="U570" s="220"/>
      <c r="V570" s="220"/>
      <c r="W570" s="220"/>
      <c r="X570" s="220"/>
      <c r="Y570" s="283"/>
      <c r="Z570" s="220"/>
      <c r="AA570" s="220"/>
      <c r="AB570" s="220"/>
      <c r="AC570" s="220"/>
      <c r="AD570" s="220"/>
      <c r="AE570" s="283"/>
      <c r="AF570" s="220"/>
      <c r="AG570" s="220"/>
      <c r="AH570" s="220"/>
      <c r="AI570" s="220"/>
      <c r="AJ570" s="226">
        <v>69</v>
      </c>
      <c r="AK570" s="226">
        <v>0</v>
      </c>
      <c r="AL570" s="225">
        <v>2.76</v>
      </c>
      <c r="AM570" s="220"/>
      <c r="AN570" s="225">
        <v>27393</v>
      </c>
      <c r="AO570" s="220"/>
      <c r="AP570" s="220"/>
      <c r="AQ570" s="283"/>
      <c r="AR570" s="283"/>
      <c r="AS570" s="283"/>
      <c r="AT570" s="223">
        <v>0</v>
      </c>
      <c r="AU570" s="284">
        <v>0</v>
      </c>
      <c r="AV570" s="221">
        <v>42804</v>
      </c>
      <c r="AW570" s="221">
        <v>42804.661982175901</v>
      </c>
      <c r="AX570" s="220" t="s">
        <v>293</v>
      </c>
      <c r="AY570" s="219" t="s">
        <v>667</v>
      </c>
    </row>
    <row r="571" spans="1:51" hidden="1" outlineLevel="1" collapsed="1">
      <c r="A571" s="227" t="s">
        <v>289</v>
      </c>
      <c r="B571" s="220" t="s">
        <v>666</v>
      </c>
      <c r="C571" s="220" t="s">
        <v>666</v>
      </c>
      <c r="D571" s="220" t="s">
        <v>665</v>
      </c>
      <c r="E571" s="220" t="s">
        <v>664</v>
      </c>
      <c r="F571" s="220" t="s">
        <v>648</v>
      </c>
      <c r="G571" s="220" t="s">
        <v>648</v>
      </c>
      <c r="H571" s="220" t="s">
        <v>663</v>
      </c>
      <c r="I571" s="220" t="s">
        <v>329</v>
      </c>
      <c r="J571" s="220" t="s">
        <v>297</v>
      </c>
      <c r="K571" s="220" t="s">
        <v>397</v>
      </c>
      <c r="L571" s="220" t="s">
        <v>601</v>
      </c>
      <c r="M571" s="220" t="s">
        <v>600</v>
      </c>
      <c r="N571" s="220" t="s">
        <v>329</v>
      </c>
      <c r="O571" s="220" t="s">
        <v>297</v>
      </c>
      <c r="P571" s="220" t="s">
        <v>599</v>
      </c>
      <c r="Q571" s="220" t="s">
        <v>598</v>
      </c>
      <c r="R571" s="220"/>
      <c r="S571" s="220" t="s">
        <v>645</v>
      </c>
      <c r="T571" s="220" t="s">
        <v>146</v>
      </c>
      <c r="U571" s="220"/>
      <c r="V571" s="220"/>
      <c r="W571" s="220"/>
      <c r="X571" s="220"/>
      <c r="Y571" s="283"/>
      <c r="Z571" s="220"/>
      <c r="AA571" s="220"/>
      <c r="AB571" s="220"/>
      <c r="AC571" s="220"/>
      <c r="AD571" s="220"/>
      <c r="AE571" s="283"/>
      <c r="AF571" s="220"/>
      <c r="AG571" s="220"/>
      <c r="AH571" s="220"/>
      <c r="AI571" s="220"/>
      <c r="AJ571" s="226">
        <v>57</v>
      </c>
      <c r="AK571" s="226">
        <v>0</v>
      </c>
      <c r="AL571" s="225">
        <v>2.2799999999999998</v>
      </c>
      <c r="AM571" s="220"/>
      <c r="AN571" s="225">
        <v>22629</v>
      </c>
      <c r="AO571" s="220"/>
      <c r="AP571" s="220"/>
      <c r="AQ571" s="283"/>
      <c r="AR571" s="283"/>
      <c r="AS571" s="283"/>
      <c r="AT571" s="223">
        <v>0</v>
      </c>
      <c r="AU571" s="284">
        <v>0</v>
      </c>
      <c r="AV571" s="221">
        <v>42804</v>
      </c>
      <c r="AW571" s="221">
        <v>42804.664031250002</v>
      </c>
      <c r="AX571" s="220" t="s">
        <v>293</v>
      </c>
      <c r="AY571" s="219" t="s">
        <v>662</v>
      </c>
    </row>
    <row r="572" spans="1:51" hidden="1" outlineLevel="1" collapsed="1">
      <c r="A572" s="227" t="s">
        <v>289</v>
      </c>
      <c r="B572" s="220" t="s">
        <v>661</v>
      </c>
      <c r="C572" s="220" t="s">
        <v>661</v>
      </c>
      <c r="D572" s="220" t="s">
        <v>660</v>
      </c>
      <c r="E572" s="220" t="s">
        <v>659</v>
      </c>
      <c r="F572" s="220" t="s">
        <v>658</v>
      </c>
      <c r="G572" s="220" t="s">
        <v>658</v>
      </c>
      <c r="H572" s="220" t="s">
        <v>657</v>
      </c>
      <c r="I572" s="220" t="s">
        <v>531</v>
      </c>
      <c r="J572" s="220" t="s">
        <v>297</v>
      </c>
      <c r="K572" s="220" t="s">
        <v>530</v>
      </c>
      <c r="L572" s="220" t="s">
        <v>601</v>
      </c>
      <c r="M572" s="220" t="s">
        <v>600</v>
      </c>
      <c r="N572" s="220" t="s">
        <v>329</v>
      </c>
      <c r="O572" s="220" t="s">
        <v>297</v>
      </c>
      <c r="P572" s="220" t="s">
        <v>599</v>
      </c>
      <c r="Q572" s="220" t="s">
        <v>598</v>
      </c>
      <c r="R572" s="220"/>
      <c r="S572" s="220" t="s">
        <v>645</v>
      </c>
      <c r="T572" s="220" t="s">
        <v>146</v>
      </c>
      <c r="U572" s="220"/>
      <c r="V572" s="220"/>
      <c r="W572" s="220"/>
      <c r="X572" s="220"/>
      <c r="Y572" s="283"/>
      <c r="Z572" s="220"/>
      <c r="AA572" s="220"/>
      <c r="AB572" s="220"/>
      <c r="AC572" s="220"/>
      <c r="AD572" s="220"/>
      <c r="AE572" s="283"/>
      <c r="AF572" s="220"/>
      <c r="AG572" s="220"/>
      <c r="AH572" s="220"/>
      <c r="AI572" s="220"/>
      <c r="AJ572" s="226">
        <v>59</v>
      </c>
      <c r="AK572" s="226">
        <v>0</v>
      </c>
      <c r="AL572" s="225">
        <v>2.36</v>
      </c>
      <c r="AM572" s="220"/>
      <c r="AN572" s="225">
        <v>23423</v>
      </c>
      <c r="AO572" s="220"/>
      <c r="AP572" s="220"/>
      <c r="AQ572" s="283"/>
      <c r="AR572" s="283"/>
      <c r="AS572" s="283"/>
      <c r="AT572" s="223">
        <v>0</v>
      </c>
      <c r="AU572" s="284">
        <v>0</v>
      </c>
      <c r="AV572" s="221">
        <v>42804</v>
      </c>
      <c r="AW572" s="221">
        <v>42804.665459606498</v>
      </c>
      <c r="AX572" s="220" t="s">
        <v>293</v>
      </c>
      <c r="AY572" s="219" t="s">
        <v>656</v>
      </c>
    </row>
    <row r="573" spans="1:51" ht="20.399999999999999" hidden="1" outlineLevel="1" collapsed="1">
      <c r="A573" s="227" t="s">
        <v>289</v>
      </c>
      <c r="B573" s="220" t="s">
        <v>655</v>
      </c>
      <c r="C573" s="220" t="s">
        <v>655</v>
      </c>
      <c r="D573" s="220" t="s">
        <v>654</v>
      </c>
      <c r="E573" s="220" t="s">
        <v>653</v>
      </c>
      <c r="F573" s="220" t="s">
        <v>653</v>
      </c>
      <c r="G573" s="220" t="s">
        <v>653</v>
      </c>
      <c r="H573" s="220" t="s">
        <v>652</v>
      </c>
      <c r="I573" s="220" t="s">
        <v>345</v>
      </c>
      <c r="J573" s="220" t="s">
        <v>297</v>
      </c>
      <c r="K573" s="220" t="s">
        <v>344</v>
      </c>
      <c r="L573" s="220" t="s">
        <v>601</v>
      </c>
      <c r="M573" s="220" t="s">
        <v>600</v>
      </c>
      <c r="N573" s="220" t="s">
        <v>329</v>
      </c>
      <c r="O573" s="220" t="s">
        <v>297</v>
      </c>
      <c r="P573" s="220" t="s">
        <v>599</v>
      </c>
      <c r="Q573" s="220" t="s">
        <v>598</v>
      </c>
      <c r="R573" s="220"/>
      <c r="S573" s="220" t="s">
        <v>645</v>
      </c>
      <c r="T573" s="220" t="s">
        <v>146</v>
      </c>
      <c r="U573" s="220"/>
      <c r="V573" s="220"/>
      <c r="W573" s="220"/>
      <c r="X573" s="220"/>
      <c r="Y573" s="283"/>
      <c r="Z573" s="220"/>
      <c r="AA573" s="220"/>
      <c r="AB573" s="220"/>
      <c r="AC573" s="220"/>
      <c r="AD573" s="220"/>
      <c r="AE573" s="283"/>
      <c r="AF573" s="220"/>
      <c r="AG573" s="220"/>
      <c r="AH573" s="220"/>
      <c r="AI573" s="220"/>
      <c r="AJ573" s="226">
        <v>58</v>
      </c>
      <c r="AK573" s="226">
        <v>0</v>
      </c>
      <c r="AL573" s="225">
        <v>2.3199999999999998</v>
      </c>
      <c r="AM573" s="220"/>
      <c r="AN573" s="225">
        <v>23026</v>
      </c>
      <c r="AO573" s="220"/>
      <c r="AP573" s="220"/>
      <c r="AQ573" s="283"/>
      <c r="AR573" s="283"/>
      <c r="AS573" s="283"/>
      <c r="AT573" s="223">
        <v>0</v>
      </c>
      <c r="AU573" s="284">
        <v>0</v>
      </c>
      <c r="AV573" s="221">
        <v>42837</v>
      </c>
      <c r="AW573" s="221">
        <v>42837.682094363401</v>
      </c>
      <c r="AX573" s="220" t="s">
        <v>293</v>
      </c>
      <c r="AY573" s="219" t="s">
        <v>651</v>
      </c>
    </row>
    <row r="574" spans="1:51" hidden="1" outlineLevel="1" collapsed="1">
      <c r="A574" s="227" t="s">
        <v>289</v>
      </c>
      <c r="B574" s="220" t="s">
        <v>650</v>
      </c>
      <c r="C574" s="220" t="s">
        <v>650</v>
      </c>
      <c r="D574" s="220" t="s">
        <v>649</v>
      </c>
      <c r="E574" s="220" t="s">
        <v>647</v>
      </c>
      <c r="F574" s="220" t="s">
        <v>648</v>
      </c>
      <c r="G574" s="220" t="s">
        <v>647</v>
      </c>
      <c r="H574" s="220" t="s">
        <v>646</v>
      </c>
      <c r="I574" s="220" t="s">
        <v>329</v>
      </c>
      <c r="J574" s="220" t="s">
        <v>297</v>
      </c>
      <c r="K574" s="220" t="s">
        <v>328</v>
      </c>
      <c r="L574" s="220" t="s">
        <v>601</v>
      </c>
      <c r="M574" s="220" t="s">
        <v>600</v>
      </c>
      <c r="N574" s="220" t="s">
        <v>329</v>
      </c>
      <c r="O574" s="220" t="s">
        <v>297</v>
      </c>
      <c r="P574" s="220" t="s">
        <v>599</v>
      </c>
      <c r="Q574" s="220" t="s">
        <v>598</v>
      </c>
      <c r="R574" s="220"/>
      <c r="S574" s="220" t="s">
        <v>645</v>
      </c>
      <c r="T574" s="220" t="s">
        <v>146</v>
      </c>
      <c r="U574" s="220"/>
      <c r="V574" s="220"/>
      <c r="W574" s="220"/>
      <c r="X574" s="220"/>
      <c r="Y574" s="283"/>
      <c r="Z574" s="220"/>
      <c r="AA574" s="220"/>
      <c r="AB574" s="220"/>
      <c r="AC574" s="220"/>
      <c r="AD574" s="220"/>
      <c r="AE574" s="283"/>
      <c r="AF574" s="220"/>
      <c r="AG574" s="220"/>
      <c r="AH574" s="220"/>
      <c r="AI574" s="220"/>
      <c r="AJ574" s="226">
        <v>79</v>
      </c>
      <c r="AK574" s="226">
        <v>0</v>
      </c>
      <c r="AL574" s="225">
        <v>3.16</v>
      </c>
      <c r="AM574" s="220"/>
      <c r="AN574" s="225">
        <v>31363</v>
      </c>
      <c r="AO574" s="220"/>
      <c r="AP574" s="220"/>
      <c r="AQ574" s="283"/>
      <c r="AR574" s="283"/>
      <c r="AS574" s="283"/>
      <c r="AT574" s="223">
        <v>0</v>
      </c>
      <c r="AU574" s="284">
        <v>0</v>
      </c>
      <c r="AV574" s="221">
        <v>42863</v>
      </c>
      <c r="AW574" s="221">
        <v>42863.725444479198</v>
      </c>
      <c r="AX574" s="220" t="s">
        <v>293</v>
      </c>
      <c r="AY574" s="219" t="s">
        <v>644</v>
      </c>
    </row>
    <row r="575" spans="1:51" hidden="1" collapsed="1">
      <c r="A575" s="235" t="s">
        <v>643</v>
      </c>
      <c r="B575" s="234">
        <v>6</v>
      </c>
      <c r="C575" s="279" t="s">
        <v>289</v>
      </c>
      <c r="D575" s="279" t="s">
        <v>289</v>
      </c>
      <c r="E575" s="279" t="s">
        <v>289</v>
      </c>
      <c r="F575" s="279" t="s">
        <v>289</v>
      </c>
      <c r="G575" s="279" t="s">
        <v>289</v>
      </c>
      <c r="H575" s="279" t="s">
        <v>289</v>
      </c>
      <c r="I575" s="279" t="s">
        <v>289</v>
      </c>
      <c r="J575" s="279" t="s">
        <v>289</v>
      </c>
      <c r="K575" s="279" t="s">
        <v>289</v>
      </c>
      <c r="L575" s="279" t="s">
        <v>289</v>
      </c>
      <c r="M575" s="279" t="s">
        <v>289</v>
      </c>
      <c r="N575" s="279" t="s">
        <v>289</v>
      </c>
      <c r="O575" s="279" t="s">
        <v>289</v>
      </c>
      <c r="P575" s="279" t="s">
        <v>289</v>
      </c>
      <c r="Q575" s="279" t="s">
        <v>289</v>
      </c>
      <c r="R575" s="279" t="s">
        <v>289</v>
      </c>
      <c r="S575" s="279" t="s">
        <v>289</v>
      </c>
      <c r="T575" s="279" t="s">
        <v>289</v>
      </c>
      <c r="U575" s="279" t="s">
        <v>289</v>
      </c>
      <c r="V575" s="279" t="s">
        <v>289</v>
      </c>
      <c r="W575" s="279" t="s">
        <v>289</v>
      </c>
      <c r="X575" s="279" t="s">
        <v>289</v>
      </c>
      <c r="Y575" s="231" t="s">
        <v>289</v>
      </c>
      <c r="Z575" s="231" t="s">
        <v>289</v>
      </c>
      <c r="AA575" s="231" t="s">
        <v>289</v>
      </c>
      <c r="AB575" s="231" t="s">
        <v>289</v>
      </c>
      <c r="AC575" s="231" t="s">
        <v>289</v>
      </c>
      <c r="AD575" s="231" t="s">
        <v>289</v>
      </c>
      <c r="AE575" s="231" t="s">
        <v>289</v>
      </c>
      <c r="AF575" s="231" t="s">
        <v>289</v>
      </c>
      <c r="AG575" s="231" t="s">
        <v>289</v>
      </c>
      <c r="AH575" s="231" t="s">
        <v>289</v>
      </c>
      <c r="AI575" s="231" t="s">
        <v>289</v>
      </c>
      <c r="AJ575" s="233">
        <v>12</v>
      </c>
      <c r="AK575" s="233">
        <v>0</v>
      </c>
      <c r="AL575" s="232">
        <v>1.194</v>
      </c>
      <c r="AM575" s="279"/>
      <c r="AN575" s="232">
        <v>7692</v>
      </c>
      <c r="AO575" s="279"/>
      <c r="AP575" s="279"/>
      <c r="AQ575" s="231"/>
      <c r="AR575" s="231"/>
      <c r="AS575" s="231"/>
      <c r="AT575" s="230">
        <v>0</v>
      </c>
      <c r="AU575" s="229">
        <v>0</v>
      </c>
      <c r="AV575" s="663" t="s">
        <v>289</v>
      </c>
      <c r="AW575" s="658"/>
      <c r="AX575" s="664"/>
      <c r="AY575" s="228" t="s">
        <v>289</v>
      </c>
    </row>
    <row r="576" spans="1:51" hidden="1" outlineLevel="1" collapsed="1">
      <c r="A576" s="227" t="s">
        <v>289</v>
      </c>
      <c r="B576" s="220" t="s">
        <v>641</v>
      </c>
      <c r="C576" s="220" t="s">
        <v>641</v>
      </c>
      <c r="D576" s="220" t="s">
        <v>640</v>
      </c>
      <c r="E576" s="220" t="s">
        <v>639</v>
      </c>
      <c r="F576" s="220" t="s">
        <v>638</v>
      </c>
      <c r="G576" s="220"/>
      <c r="H576" s="220" t="s">
        <v>637</v>
      </c>
      <c r="I576" s="220" t="s">
        <v>329</v>
      </c>
      <c r="J576" s="220" t="s">
        <v>297</v>
      </c>
      <c r="K576" s="220" t="s">
        <v>397</v>
      </c>
      <c r="L576" s="220" t="s">
        <v>601</v>
      </c>
      <c r="M576" s="220" t="s">
        <v>600</v>
      </c>
      <c r="N576" s="220" t="s">
        <v>329</v>
      </c>
      <c r="O576" s="220" t="s">
        <v>297</v>
      </c>
      <c r="P576" s="220" t="s">
        <v>599</v>
      </c>
      <c r="Q576" s="220" t="s">
        <v>598</v>
      </c>
      <c r="R576" s="220"/>
      <c r="S576" s="220" t="s">
        <v>83</v>
      </c>
      <c r="T576" s="220" t="s">
        <v>305</v>
      </c>
      <c r="U576" s="220"/>
      <c r="V576" s="220"/>
      <c r="W576" s="220"/>
      <c r="X576" s="220"/>
      <c r="Y576" s="283"/>
      <c r="Z576" s="220"/>
      <c r="AA576" s="220"/>
      <c r="AB576" s="220"/>
      <c r="AC576" s="220"/>
      <c r="AD576" s="220"/>
      <c r="AE576" s="283"/>
      <c r="AF576" s="220"/>
      <c r="AG576" s="220"/>
      <c r="AH576" s="220"/>
      <c r="AI576" s="220"/>
      <c r="AJ576" s="226">
        <v>1</v>
      </c>
      <c r="AK576" s="226">
        <v>0</v>
      </c>
      <c r="AL576" s="225">
        <v>4.3999999999999997E-2</v>
      </c>
      <c r="AM576" s="220"/>
      <c r="AN576" s="225">
        <v>417</v>
      </c>
      <c r="AO576" s="220"/>
      <c r="AP576" s="220"/>
      <c r="AQ576" s="283"/>
      <c r="AR576" s="283"/>
      <c r="AS576" s="283"/>
      <c r="AT576" s="223">
        <v>0</v>
      </c>
      <c r="AU576" s="284">
        <v>0</v>
      </c>
      <c r="AV576" s="221">
        <v>42702</v>
      </c>
      <c r="AW576" s="221">
        <v>42702.468356747697</v>
      </c>
      <c r="AX576" s="220" t="s">
        <v>293</v>
      </c>
      <c r="AY576" s="219" t="s">
        <v>642</v>
      </c>
    </row>
    <row r="577" spans="1:51" hidden="1" outlineLevel="1" collapsed="1">
      <c r="A577" s="227" t="s">
        <v>289</v>
      </c>
      <c r="B577" s="220" t="s">
        <v>641</v>
      </c>
      <c r="C577" s="220" t="s">
        <v>641</v>
      </c>
      <c r="D577" s="220" t="s">
        <v>640</v>
      </c>
      <c r="E577" s="220" t="s">
        <v>639</v>
      </c>
      <c r="F577" s="220" t="s">
        <v>638</v>
      </c>
      <c r="G577" s="220"/>
      <c r="H577" s="220" t="s">
        <v>637</v>
      </c>
      <c r="I577" s="220" t="s">
        <v>329</v>
      </c>
      <c r="J577" s="220" t="s">
        <v>297</v>
      </c>
      <c r="K577" s="220" t="s">
        <v>397</v>
      </c>
      <c r="L577" s="220" t="s">
        <v>601</v>
      </c>
      <c r="M577" s="220" t="s">
        <v>600</v>
      </c>
      <c r="N577" s="220" t="s">
        <v>329</v>
      </c>
      <c r="O577" s="220" t="s">
        <v>297</v>
      </c>
      <c r="P577" s="220" t="s">
        <v>599</v>
      </c>
      <c r="Q577" s="220" t="s">
        <v>598</v>
      </c>
      <c r="R577" s="220"/>
      <c r="S577" s="220" t="s">
        <v>83</v>
      </c>
      <c r="T577" s="220" t="s">
        <v>153</v>
      </c>
      <c r="U577" s="220"/>
      <c r="V577" s="220"/>
      <c r="W577" s="220"/>
      <c r="X577" s="220"/>
      <c r="Y577" s="283"/>
      <c r="Z577" s="220"/>
      <c r="AA577" s="220"/>
      <c r="AB577" s="220"/>
      <c r="AC577" s="220"/>
      <c r="AD577" s="220"/>
      <c r="AE577" s="283"/>
      <c r="AF577" s="220"/>
      <c r="AG577" s="220"/>
      <c r="AH577" s="220"/>
      <c r="AI577" s="220"/>
      <c r="AJ577" s="226">
        <v>1</v>
      </c>
      <c r="AK577" s="226">
        <v>0</v>
      </c>
      <c r="AL577" s="225">
        <v>0.155</v>
      </c>
      <c r="AM577" s="220"/>
      <c r="AN577" s="225">
        <v>865</v>
      </c>
      <c r="AO577" s="220"/>
      <c r="AP577" s="220"/>
      <c r="AQ577" s="283"/>
      <c r="AR577" s="283"/>
      <c r="AS577" s="283"/>
      <c r="AT577" s="223">
        <v>0</v>
      </c>
      <c r="AU577" s="284">
        <v>0</v>
      </c>
      <c r="AV577" s="221">
        <v>42702</v>
      </c>
      <c r="AW577" s="221">
        <v>42702.468356747697</v>
      </c>
      <c r="AX577" s="220" t="s">
        <v>293</v>
      </c>
      <c r="AY577" s="219" t="s">
        <v>636</v>
      </c>
    </row>
    <row r="578" spans="1:51" hidden="1" outlineLevel="1" collapsed="1">
      <c r="A578" s="227" t="s">
        <v>289</v>
      </c>
      <c r="B578" s="220" t="s">
        <v>634</v>
      </c>
      <c r="C578" s="220" t="s">
        <v>634</v>
      </c>
      <c r="D578" s="220" t="s">
        <v>633</v>
      </c>
      <c r="E578" s="220" t="s">
        <v>632</v>
      </c>
      <c r="F578" s="220" t="s">
        <v>631</v>
      </c>
      <c r="G578" s="220"/>
      <c r="H578" s="220" t="s">
        <v>630</v>
      </c>
      <c r="I578" s="220" t="s">
        <v>329</v>
      </c>
      <c r="J578" s="220" t="s">
        <v>297</v>
      </c>
      <c r="K578" s="220" t="s">
        <v>397</v>
      </c>
      <c r="L578" s="220" t="s">
        <v>601</v>
      </c>
      <c r="M578" s="220" t="s">
        <v>600</v>
      </c>
      <c r="N578" s="220" t="s">
        <v>329</v>
      </c>
      <c r="O578" s="220" t="s">
        <v>297</v>
      </c>
      <c r="P578" s="220" t="s">
        <v>599</v>
      </c>
      <c r="Q578" s="220" t="s">
        <v>598</v>
      </c>
      <c r="R578" s="220"/>
      <c r="S578" s="220" t="s">
        <v>83</v>
      </c>
      <c r="T578" s="220" t="s">
        <v>305</v>
      </c>
      <c r="U578" s="220"/>
      <c r="V578" s="220"/>
      <c r="W578" s="220"/>
      <c r="X578" s="220"/>
      <c r="Y578" s="283"/>
      <c r="Z578" s="220"/>
      <c r="AA578" s="220"/>
      <c r="AB578" s="220"/>
      <c r="AC578" s="220"/>
      <c r="AD578" s="220"/>
      <c r="AE578" s="283"/>
      <c r="AF578" s="220"/>
      <c r="AG578" s="220"/>
      <c r="AH578" s="220"/>
      <c r="AI578" s="220"/>
      <c r="AJ578" s="226">
        <v>1</v>
      </c>
      <c r="AK578" s="226">
        <v>0</v>
      </c>
      <c r="AL578" s="225">
        <v>4.3999999999999997E-2</v>
      </c>
      <c r="AM578" s="220"/>
      <c r="AN578" s="225">
        <v>417</v>
      </c>
      <c r="AO578" s="220"/>
      <c r="AP578" s="220"/>
      <c r="AQ578" s="283"/>
      <c r="AR578" s="283"/>
      <c r="AS578" s="283"/>
      <c r="AT578" s="223">
        <v>0</v>
      </c>
      <c r="AU578" s="284">
        <v>0</v>
      </c>
      <c r="AV578" s="221">
        <v>42702</v>
      </c>
      <c r="AW578" s="221">
        <v>42702.469788888899</v>
      </c>
      <c r="AX578" s="220" t="s">
        <v>293</v>
      </c>
      <c r="AY578" s="219" t="s">
        <v>629</v>
      </c>
    </row>
    <row r="579" spans="1:51" hidden="1" outlineLevel="1" collapsed="1">
      <c r="A579" s="227" t="s">
        <v>289</v>
      </c>
      <c r="B579" s="220" t="s">
        <v>634</v>
      </c>
      <c r="C579" s="220" t="s">
        <v>634</v>
      </c>
      <c r="D579" s="220" t="s">
        <v>633</v>
      </c>
      <c r="E579" s="220" t="s">
        <v>632</v>
      </c>
      <c r="F579" s="220" t="s">
        <v>631</v>
      </c>
      <c r="G579" s="220"/>
      <c r="H579" s="220" t="s">
        <v>630</v>
      </c>
      <c r="I579" s="220" t="s">
        <v>329</v>
      </c>
      <c r="J579" s="220" t="s">
        <v>297</v>
      </c>
      <c r="K579" s="220" t="s">
        <v>397</v>
      </c>
      <c r="L579" s="220" t="s">
        <v>601</v>
      </c>
      <c r="M579" s="220" t="s">
        <v>600</v>
      </c>
      <c r="N579" s="220" t="s">
        <v>329</v>
      </c>
      <c r="O579" s="220" t="s">
        <v>297</v>
      </c>
      <c r="P579" s="220" t="s">
        <v>599</v>
      </c>
      <c r="Q579" s="220" t="s">
        <v>598</v>
      </c>
      <c r="R579" s="220"/>
      <c r="S579" s="220" t="s">
        <v>83</v>
      </c>
      <c r="T579" s="220" t="s">
        <v>153</v>
      </c>
      <c r="U579" s="220"/>
      <c r="V579" s="220"/>
      <c r="W579" s="220"/>
      <c r="X579" s="220"/>
      <c r="Y579" s="283"/>
      <c r="Z579" s="220"/>
      <c r="AA579" s="220"/>
      <c r="AB579" s="220"/>
      <c r="AC579" s="220"/>
      <c r="AD579" s="220"/>
      <c r="AE579" s="283"/>
      <c r="AF579" s="220"/>
      <c r="AG579" s="220"/>
      <c r="AH579" s="220"/>
      <c r="AI579" s="220"/>
      <c r="AJ579" s="226">
        <v>1</v>
      </c>
      <c r="AK579" s="226">
        <v>0</v>
      </c>
      <c r="AL579" s="225">
        <v>0.155</v>
      </c>
      <c r="AM579" s="220"/>
      <c r="AN579" s="225">
        <v>865</v>
      </c>
      <c r="AO579" s="220"/>
      <c r="AP579" s="220"/>
      <c r="AQ579" s="283"/>
      <c r="AR579" s="283"/>
      <c r="AS579" s="283"/>
      <c r="AT579" s="223">
        <v>0</v>
      </c>
      <c r="AU579" s="284">
        <v>0</v>
      </c>
      <c r="AV579" s="221">
        <v>42702</v>
      </c>
      <c r="AW579" s="221">
        <v>42702.469788888899</v>
      </c>
      <c r="AX579" s="220" t="s">
        <v>293</v>
      </c>
      <c r="AY579" s="219" t="s">
        <v>635</v>
      </c>
    </row>
    <row r="580" spans="1:51" hidden="1" outlineLevel="1" collapsed="1">
      <c r="A580" s="227" t="s">
        <v>289</v>
      </c>
      <c r="B580" s="220" t="s">
        <v>627</v>
      </c>
      <c r="C580" s="220" t="s">
        <v>627</v>
      </c>
      <c r="D580" s="220" t="s">
        <v>626</v>
      </c>
      <c r="E580" s="220" t="s">
        <v>625</v>
      </c>
      <c r="F580" s="220" t="s">
        <v>624</v>
      </c>
      <c r="G580" s="220"/>
      <c r="H580" s="220" t="s">
        <v>623</v>
      </c>
      <c r="I580" s="220" t="s">
        <v>531</v>
      </c>
      <c r="J580" s="220" t="s">
        <v>297</v>
      </c>
      <c r="K580" s="220" t="s">
        <v>530</v>
      </c>
      <c r="L580" s="220" t="s">
        <v>601</v>
      </c>
      <c r="M580" s="220" t="s">
        <v>600</v>
      </c>
      <c r="N580" s="220" t="s">
        <v>329</v>
      </c>
      <c r="O580" s="220" t="s">
        <v>297</v>
      </c>
      <c r="P580" s="220" t="s">
        <v>599</v>
      </c>
      <c r="Q580" s="220" t="s">
        <v>598</v>
      </c>
      <c r="R580" s="220"/>
      <c r="S580" s="220" t="s">
        <v>83</v>
      </c>
      <c r="T580" s="220" t="s">
        <v>305</v>
      </c>
      <c r="U580" s="220"/>
      <c r="V580" s="220"/>
      <c r="W580" s="220"/>
      <c r="X580" s="220"/>
      <c r="Y580" s="283"/>
      <c r="Z580" s="220"/>
      <c r="AA580" s="220"/>
      <c r="AB580" s="220"/>
      <c r="AC580" s="220"/>
      <c r="AD580" s="220"/>
      <c r="AE580" s="283"/>
      <c r="AF580" s="220"/>
      <c r="AG580" s="220"/>
      <c r="AH580" s="220"/>
      <c r="AI580" s="220"/>
      <c r="AJ580" s="226">
        <v>1</v>
      </c>
      <c r="AK580" s="226">
        <v>0</v>
      </c>
      <c r="AL580" s="225">
        <v>4.3999999999999997E-2</v>
      </c>
      <c r="AM580" s="220"/>
      <c r="AN580" s="225">
        <v>417</v>
      </c>
      <c r="AO580" s="220"/>
      <c r="AP580" s="220"/>
      <c r="AQ580" s="283"/>
      <c r="AR580" s="283"/>
      <c r="AS580" s="283"/>
      <c r="AT580" s="223">
        <v>0</v>
      </c>
      <c r="AU580" s="284">
        <v>0</v>
      </c>
      <c r="AV580" s="221">
        <v>42702</v>
      </c>
      <c r="AW580" s="221">
        <v>42702.733003819398</v>
      </c>
      <c r="AX580" s="220" t="s">
        <v>293</v>
      </c>
      <c r="AY580" s="219" t="s">
        <v>628</v>
      </c>
    </row>
    <row r="581" spans="1:51" hidden="1" outlineLevel="1" collapsed="1">
      <c r="A581" s="227" t="s">
        <v>289</v>
      </c>
      <c r="B581" s="220" t="s">
        <v>627</v>
      </c>
      <c r="C581" s="220" t="s">
        <v>627</v>
      </c>
      <c r="D581" s="220" t="s">
        <v>626</v>
      </c>
      <c r="E581" s="220" t="s">
        <v>625</v>
      </c>
      <c r="F581" s="220" t="s">
        <v>624</v>
      </c>
      <c r="G581" s="220"/>
      <c r="H581" s="220" t="s">
        <v>623</v>
      </c>
      <c r="I581" s="220" t="s">
        <v>531</v>
      </c>
      <c r="J581" s="220" t="s">
        <v>297</v>
      </c>
      <c r="K581" s="220" t="s">
        <v>530</v>
      </c>
      <c r="L581" s="220" t="s">
        <v>601</v>
      </c>
      <c r="M581" s="220" t="s">
        <v>600</v>
      </c>
      <c r="N581" s="220" t="s">
        <v>329</v>
      </c>
      <c r="O581" s="220" t="s">
        <v>297</v>
      </c>
      <c r="P581" s="220" t="s">
        <v>599</v>
      </c>
      <c r="Q581" s="220" t="s">
        <v>598</v>
      </c>
      <c r="R581" s="220"/>
      <c r="S581" s="220" t="s">
        <v>83</v>
      </c>
      <c r="T581" s="220" t="s">
        <v>153</v>
      </c>
      <c r="U581" s="220"/>
      <c r="V581" s="220"/>
      <c r="W581" s="220"/>
      <c r="X581" s="220"/>
      <c r="Y581" s="283"/>
      <c r="Z581" s="220"/>
      <c r="AA581" s="220"/>
      <c r="AB581" s="220"/>
      <c r="AC581" s="220"/>
      <c r="AD581" s="220"/>
      <c r="AE581" s="283"/>
      <c r="AF581" s="220"/>
      <c r="AG581" s="220"/>
      <c r="AH581" s="220"/>
      <c r="AI581" s="220"/>
      <c r="AJ581" s="226">
        <v>1</v>
      </c>
      <c r="AK581" s="226">
        <v>0</v>
      </c>
      <c r="AL581" s="225">
        <v>0.155</v>
      </c>
      <c r="AM581" s="220"/>
      <c r="AN581" s="225">
        <v>865</v>
      </c>
      <c r="AO581" s="220"/>
      <c r="AP581" s="220"/>
      <c r="AQ581" s="283"/>
      <c r="AR581" s="283"/>
      <c r="AS581" s="283"/>
      <c r="AT581" s="223">
        <v>0</v>
      </c>
      <c r="AU581" s="284">
        <v>0</v>
      </c>
      <c r="AV581" s="221">
        <v>42702</v>
      </c>
      <c r="AW581" s="221">
        <v>42702.733003819398</v>
      </c>
      <c r="AX581" s="220" t="s">
        <v>293</v>
      </c>
      <c r="AY581" s="219" t="s">
        <v>622</v>
      </c>
    </row>
    <row r="582" spans="1:51" hidden="1" outlineLevel="1" collapsed="1">
      <c r="A582" s="227" t="s">
        <v>289</v>
      </c>
      <c r="B582" s="220" t="s">
        <v>620</v>
      </c>
      <c r="C582" s="220" t="s">
        <v>620</v>
      </c>
      <c r="D582" s="220" t="s">
        <v>619</v>
      </c>
      <c r="E582" s="220" t="s">
        <v>618</v>
      </c>
      <c r="F582" s="220" t="s">
        <v>617</v>
      </c>
      <c r="G582" s="220"/>
      <c r="H582" s="220" t="s">
        <v>616</v>
      </c>
      <c r="I582" s="220" t="s">
        <v>329</v>
      </c>
      <c r="J582" s="220" t="s">
        <v>297</v>
      </c>
      <c r="K582" s="220" t="s">
        <v>397</v>
      </c>
      <c r="L582" s="220" t="s">
        <v>601</v>
      </c>
      <c r="M582" s="220" t="s">
        <v>600</v>
      </c>
      <c r="N582" s="220" t="s">
        <v>329</v>
      </c>
      <c r="O582" s="220" t="s">
        <v>297</v>
      </c>
      <c r="P582" s="220" t="s">
        <v>599</v>
      </c>
      <c r="Q582" s="220" t="s">
        <v>598</v>
      </c>
      <c r="R582" s="220"/>
      <c r="S582" s="220" t="s">
        <v>83</v>
      </c>
      <c r="T582" s="220" t="s">
        <v>305</v>
      </c>
      <c r="U582" s="220"/>
      <c r="V582" s="220"/>
      <c r="W582" s="220"/>
      <c r="X582" s="220"/>
      <c r="Y582" s="283"/>
      <c r="Z582" s="220"/>
      <c r="AA582" s="220"/>
      <c r="AB582" s="220"/>
      <c r="AC582" s="220"/>
      <c r="AD582" s="220"/>
      <c r="AE582" s="283"/>
      <c r="AF582" s="220"/>
      <c r="AG582" s="220"/>
      <c r="AH582" s="220"/>
      <c r="AI582" s="220"/>
      <c r="AJ582" s="226">
        <v>1</v>
      </c>
      <c r="AK582" s="226">
        <v>0</v>
      </c>
      <c r="AL582" s="225">
        <v>4.3999999999999997E-2</v>
      </c>
      <c r="AM582" s="220"/>
      <c r="AN582" s="225">
        <v>417</v>
      </c>
      <c r="AO582" s="220"/>
      <c r="AP582" s="220"/>
      <c r="AQ582" s="283"/>
      <c r="AR582" s="283"/>
      <c r="AS582" s="283"/>
      <c r="AT582" s="223">
        <v>0</v>
      </c>
      <c r="AU582" s="284">
        <v>0</v>
      </c>
      <c r="AV582" s="221">
        <v>42702</v>
      </c>
      <c r="AW582" s="221">
        <v>42702.734074571803</v>
      </c>
      <c r="AX582" s="220" t="s">
        <v>293</v>
      </c>
      <c r="AY582" s="219" t="s">
        <v>615</v>
      </c>
    </row>
    <row r="583" spans="1:51" hidden="1" outlineLevel="1" collapsed="1">
      <c r="A583" s="227" t="s">
        <v>289</v>
      </c>
      <c r="B583" s="220" t="s">
        <v>620</v>
      </c>
      <c r="C583" s="220" t="s">
        <v>620</v>
      </c>
      <c r="D583" s="220" t="s">
        <v>619</v>
      </c>
      <c r="E583" s="220" t="s">
        <v>618</v>
      </c>
      <c r="F583" s="220" t="s">
        <v>617</v>
      </c>
      <c r="G583" s="220"/>
      <c r="H583" s="220" t="s">
        <v>616</v>
      </c>
      <c r="I583" s="220" t="s">
        <v>329</v>
      </c>
      <c r="J583" s="220" t="s">
        <v>297</v>
      </c>
      <c r="K583" s="220" t="s">
        <v>397</v>
      </c>
      <c r="L583" s="220" t="s">
        <v>601</v>
      </c>
      <c r="M583" s="220" t="s">
        <v>600</v>
      </c>
      <c r="N583" s="220" t="s">
        <v>329</v>
      </c>
      <c r="O583" s="220" t="s">
        <v>297</v>
      </c>
      <c r="P583" s="220" t="s">
        <v>599</v>
      </c>
      <c r="Q583" s="220" t="s">
        <v>598</v>
      </c>
      <c r="R583" s="220"/>
      <c r="S583" s="220" t="s">
        <v>83</v>
      </c>
      <c r="T583" s="220" t="s">
        <v>153</v>
      </c>
      <c r="U583" s="220"/>
      <c r="V583" s="220"/>
      <c r="W583" s="220"/>
      <c r="X583" s="220"/>
      <c r="Y583" s="283"/>
      <c r="Z583" s="220"/>
      <c r="AA583" s="220"/>
      <c r="AB583" s="220"/>
      <c r="AC583" s="220"/>
      <c r="AD583" s="220"/>
      <c r="AE583" s="283"/>
      <c r="AF583" s="220"/>
      <c r="AG583" s="220"/>
      <c r="AH583" s="220"/>
      <c r="AI583" s="220"/>
      <c r="AJ583" s="226">
        <v>1</v>
      </c>
      <c r="AK583" s="226">
        <v>0</v>
      </c>
      <c r="AL583" s="225">
        <v>0.155</v>
      </c>
      <c r="AM583" s="220"/>
      <c r="AN583" s="225">
        <v>865</v>
      </c>
      <c r="AO583" s="220"/>
      <c r="AP583" s="220"/>
      <c r="AQ583" s="283"/>
      <c r="AR583" s="283"/>
      <c r="AS583" s="283"/>
      <c r="AT583" s="223">
        <v>0</v>
      </c>
      <c r="AU583" s="284">
        <v>0</v>
      </c>
      <c r="AV583" s="221">
        <v>42702</v>
      </c>
      <c r="AW583" s="221">
        <v>42702.734074571803</v>
      </c>
      <c r="AX583" s="220" t="s">
        <v>293</v>
      </c>
      <c r="AY583" s="219" t="s">
        <v>621</v>
      </c>
    </row>
    <row r="584" spans="1:51" hidden="1" outlineLevel="1" collapsed="1">
      <c r="A584" s="227" t="s">
        <v>289</v>
      </c>
      <c r="B584" s="220" t="s">
        <v>613</v>
      </c>
      <c r="C584" s="220" t="s">
        <v>613</v>
      </c>
      <c r="D584" s="220" t="s">
        <v>612</v>
      </c>
      <c r="E584" s="220" t="s">
        <v>611</v>
      </c>
      <c r="F584" s="220" t="s">
        <v>610</v>
      </c>
      <c r="G584" s="220"/>
      <c r="H584" s="220" t="s">
        <v>609</v>
      </c>
      <c r="I584" s="220" t="s">
        <v>531</v>
      </c>
      <c r="J584" s="220" t="s">
        <v>297</v>
      </c>
      <c r="K584" s="220" t="s">
        <v>530</v>
      </c>
      <c r="L584" s="220" t="s">
        <v>601</v>
      </c>
      <c r="M584" s="220" t="s">
        <v>600</v>
      </c>
      <c r="N584" s="220" t="s">
        <v>329</v>
      </c>
      <c r="O584" s="220" t="s">
        <v>297</v>
      </c>
      <c r="P584" s="220" t="s">
        <v>599</v>
      </c>
      <c r="Q584" s="220" t="s">
        <v>598</v>
      </c>
      <c r="R584" s="220"/>
      <c r="S584" s="220" t="s">
        <v>83</v>
      </c>
      <c r="T584" s="220" t="s">
        <v>305</v>
      </c>
      <c r="U584" s="220"/>
      <c r="V584" s="220"/>
      <c r="W584" s="220"/>
      <c r="X584" s="220"/>
      <c r="Y584" s="283"/>
      <c r="Z584" s="220"/>
      <c r="AA584" s="220"/>
      <c r="AB584" s="220"/>
      <c r="AC584" s="220"/>
      <c r="AD584" s="220"/>
      <c r="AE584" s="283"/>
      <c r="AF584" s="220"/>
      <c r="AG584" s="220"/>
      <c r="AH584" s="220"/>
      <c r="AI584" s="220"/>
      <c r="AJ584" s="226">
        <v>1</v>
      </c>
      <c r="AK584" s="226">
        <v>0</v>
      </c>
      <c r="AL584" s="225">
        <v>4.3999999999999997E-2</v>
      </c>
      <c r="AM584" s="220"/>
      <c r="AN584" s="225">
        <v>417</v>
      </c>
      <c r="AO584" s="220"/>
      <c r="AP584" s="220"/>
      <c r="AQ584" s="283"/>
      <c r="AR584" s="283"/>
      <c r="AS584" s="283"/>
      <c r="AT584" s="223">
        <v>0</v>
      </c>
      <c r="AU584" s="284">
        <v>0</v>
      </c>
      <c r="AV584" s="221">
        <v>42702</v>
      </c>
      <c r="AW584" s="221">
        <v>42702.778251620402</v>
      </c>
      <c r="AX584" s="220" t="s">
        <v>293</v>
      </c>
      <c r="AY584" s="219" t="s">
        <v>614</v>
      </c>
    </row>
    <row r="585" spans="1:51" hidden="1" outlineLevel="1" collapsed="1">
      <c r="A585" s="227" t="s">
        <v>289</v>
      </c>
      <c r="B585" s="220" t="s">
        <v>613</v>
      </c>
      <c r="C585" s="220" t="s">
        <v>613</v>
      </c>
      <c r="D585" s="220" t="s">
        <v>612</v>
      </c>
      <c r="E585" s="220" t="s">
        <v>611</v>
      </c>
      <c r="F585" s="220" t="s">
        <v>610</v>
      </c>
      <c r="G585" s="220"/>
      <c r="H585" s="220" t="s">
        <v>609</v>
      </c>
      <c r="I585" s="220" t="s">
        <v>531</v>
      </c>
      <c r="J585" s="220" t="s">
        <v>297</v>
      </c>
      <c r="K585" s="220" t="s">
        <v>530</v>
      </c>
      <c r="L585" s="220" t="s">
        <v>601</v>
      </c>
      <c r="M585" s="220" t="s">
        <v>600</v>
      </c>
      <c r="N585" s="220" t="s">
        <v>329</v>
      </c>
      <c r="O585" s="220" t="s">
        <v>297</v>
      </c>
      <c r="P585" s="220" t="s">
        <v>599</v>
      </c>
      <c r="Q585" s="220" t="s">
        <v>598</v>
      </c>
      <c r="R585" s="220"/>
      <c r="S585" s="220" t="s">
        <v>83</v>
      </c>
      <c r="T585" s="220" t="s">
        <v>153</v>
      </c>
      <c r="U585" s="220"/>
      <c r="V585" s="220"/>
      <c r="W585" s="220"/>
      <c r="X585" s="220"/>
      <c r="Y585" s="283"/>
      <c r="Z585" s="220"/>
      <c r="AA585" s="220"/>
      <c r="AB585" s="220"/>
      <c r="AC585" s="220"/>
      <c r="AD585" s="220"/>
      <c r="AE585" s="283"/>
      <c r="AF585" s="220"/>
      <c r="AG585" s="220"/>
      <c r="AH585" s="220"/>
      <c r="AI585" s="220"/>
      <c r="AJ585" s="226">
        <v>1</v>
      </c>
      <c r="AK585" s="226">
        <v>0</v>
      </c>
      <c r="AL585" s="225">
        <v>0.155</v>
      </c>
      <c r="AM585" s="220"/>
      <c r="AN585" s="225">
        <v>865</v>
      </c>
      <c r="AO585" s="220"/>
      <c r="AP585" s="220"/>
      <c r="AQ585" s="283"/>
      <c r="AR585" s="283"/>
      <c r="AS585" s="283"/>
      <c r="AT585" s="223">
        <v>0</v>
      </c>
      <c r="AU585" s="284">
        <v>0</v>
      </c>
      <c r="AV585" s="221">
        <v>42702</v>
      </c>
      <c r="AW585" s="221">
        <v>42702.778251620402</v>
      </c>
      <c r="AX585" s="220" t="s">
        <v>293</v>
      </c>
      <c r="AY585" s="219" t="s">
        <v>608</v>
      </c>
    </row>
    <row r="586" spans="1:51" hidden="1" outlineLevel="1" collapsed="1">
      <c r="A586" s="227" t="s">
        <v>289</v>
      </c>
      <c r="B586" s="220" t="s">
        <v>606</v>
      </c>
      <c r="C586" s="220" t="s">
        <v>606</v>
      </c>
      <c r="D586" s="220" t="s">
        <v>605</v>
      </c>
      <c r="E586" s="220" t="s">
        <v>604</v>
      </c>
      <c r="F586" s="220" t="s">
        <v>603</v>
      </c>
      <c r="G586" s="220"/>
      <c r="H586" s="220" t="s">
        <v>602</v>
      </c>
      <c r="I586" s="220" t="s">
        <v>329</v>
      </c>
      <c r="J586" s="220" t="s">
        <v>297</v>
      </c>
      <c r="K586" s="220" t="s">
        <v>328</v>
      </c>
      <c r="L586" s="220" t="s">
        <v>601</v>
      </c>
      <c r="M586" s="220" t="s">
        <v>600</v>
      </c>
      <c r="N586" s="220" t="s">
        <v>329</v>
      </c>
      <c r="O586" s="220" t="s">
        <v>297</v>
      </c>
      <c r="P586" s="220" t="s">
        <v>599</v>
      </c>
      <c r="Q586" s="220" t="s">
        <v>598</v>
      </c>
      <c r="R586" s="220"/>
      <c r="S586" s="220" t="s">
        <v>83</v>
      </c>
      <c r="T586" s="220" t="s">
        <v>153</v>
      </c>
      <c r="U586" s="220"/>
      <c r="V586" s="220"/>
      <c r="W586" s="220"/>
      <c r="X586" s="220"/>
      <c r="Y586" s="283"/>
      <c r="Z586" s="220"/>
      <c r="AA586" s="220"/>
      <c r="AB586" s="220"/>
      <c r="AC586" s="220"/>
      <c r="AD586" s="220"/>
      <c r="AE586" s="283"/>
      <c r="AF586" s="220"/>
      <c r="AG586" s="220"/>
      <c r="AH586" s="220"/>
      <c r="AI586" s="220"/>
      <c r="AJ586" s="226">
        <v>1</v>
      </c>
      <c r="AK586" s="226">
        <v>0</v>
      </c>
      <c r="AL586" s="225">
        <v>0.155</v>
      </c>
      <c r="AM586" s="220"/>
      <c r="AN586" s="225">
        <v>865</v>
      </c>
      <c r="AO586" s="220"/>
      <c r="AP586" s="220"/>
      <c r="AQ586" s="283"/>
      <c r="AR586" s="283"/>
      <c r="AS586" s="283"/>
      <c r="AT586" s="223">
        <v>0</v>
      </c>
      <c r="AU586" s="284">
        <v>0</v>
      </c>
      <c r="AV586" s="221">
        <v>42702</v>
      </c>
      <c r="AW586" s="221">
        <v>42702.779735763899</v>
      </c>
      <c r="AX586" s="220" t="s">
        <v>293</v>
      </c>
      <c r="AY586" s="219" t="s">
        <v>607</v>
      </c>
    </row>
    <row r="587" spans="1:51" hidden="1" outlineLevel="1" collapsed="1">
      <c r="A587" s="227" t="s">
        <v>289</v>
      </c>
      <c r="B587" s="220" t="s">
        <v>606</v>
      </c>
      <c r="C587" s="220" t="s">
        <v>606</v>
      </c>
      <c r="D587" s="220" t="s">
        <v>605</v>
      </c>
      <c r="E587" s="220" t="s">
        <v>604</v>
      </c>
      <c r="F587" s="220" t="s">
        <v>603</v>
      </c>
      <c r="G587" s="220"/>
      <c r="H587" s="220" t="s">
        <v>602</v>
      </c>
      <c r="I587" s="220" t="s">
        <v>329</v>
      </c>
      <c r="J587" s="220" t="s">
        <v>297</v>
      </c>
      <c r="K587" s="220" t="s">
        <v>328</v>
      </c>
      <c r="L587" s="220" t="s">
        <v>601</v>
      </c>
      <c r="M587" s="220" t="s">
        <v>600</v>
      </c>
      <c r="N587" s="220" t="s">
        <v>329</v>
      </c>
      <c r="O587" s="220" t="s">
        <v>297</v>
      </c>
      <c r="P587" s="220" t="s">
        <v>599</v>
      </c>
      <c r="Q587" s="220" t="s">
        <v>598</v>
      </c>
      <c r="R587" s="220"/>
      <c r="S587" s="220" t="s">
        <v>83</v>
      </c>
      <c r="T587" s="220" t="s">
        <v>305</v>
      </c>
      <c r="U587" s="220"/>
      <c r="V587" s="220"/>
      <c r="W587" s="220"/>
      <c r="X587" s="220"/>
      <c r="Y587" s="283"/>
      <c r="Z587" s="220"/>
      <c r="AA587" s="220"/>
      <c r="AB587" s="220"/>
      <c r="AC587" s="220"/>
      <c r="AD587" s="220"/>
      <c r="AE587" s="283"/>
      <c r="AF587" s="220"/>
      <c r="AG587" s="220"/>
      <c r="AH587" s="220"/>
      <c r="AI587" s="220"/>
      <c r="AJ587" s="226">
        <v>1</v>
      </c>
      <c r="AK587" s="226">
        <v>0</v>
      </c>
      <c r="AL587" s="225">
        <v>4.3999999999999997E-2</v>
      </c>
      <c r="AM587" s="220"/>
      <c r="AN587" s="225">
        <v>417</v>
      </c>
      <c r="AO587" s="220"/>
      <c r="AP587" s="220"/>
      <c r="AQ587" s="283"/>
      <c r="AR587" s="283"/>
      <c r="AS587" s="283"/>
      <c r="AT587" s="223">
        <v>0</v>
      </c>
      <c r="AU587" s="284">
        <v>0</v>
      </c>
      <c r="AV587" s="221">
        <v>42702</v>
      </c>
      <c r="AW587" s="221">
        <v>42702.779735763899</v>
      </c>
      <c r="AX587" s="220" t="s">
        <v>293</v>
      </c>
      <c r="AY587" s="219" t="s">
        <v>597</v>
      </c>
    </row>
    <row r="588" spans="1:51" hidden="1" collapsed="1">
      <c r="A588" s="235" t="s">
        <v>596</v>
      </c>
      <c r="B588" s="234">
        <v>40</v>
      </c>
      <c r="C588" s="279" t="s">
        <v>289</v>
      </c>
      <c r="D588" s="279" t="s">
        <v>289</v>
      </c>
      <c r="E588" s="279" t="s">
        <v>289</v>
      </c>
      <c r="F588" s="279" t="s">
        <v>289</v>
      </c>
      <c r="G588" s="279" t="s">
        <v>289</v>
      </c>
      <c r="H588" s="279" t="s">
        <v>289</v>
      </c>
      <c r="I588" s="279" t="s">
        <v>289</v>
      </c>
      <c r="J588" s="279" t="s">
        <v>289</v>
      </c>
      <c r="K588" s="279" t="s">
        <v>289</v>
      </c>
      <c r="L588" s="279" t="s">
        <v>289</v>
      </c>
      <c r="M588" s="279" t="s">
        <v>289</v>
      </c>
      <c r="N588" s="279" t="s">
        <v>289</v>
      </c>
      <c r="O588" s="279" t="s">
        <v>289</v>
      </c>
      <c r="P588" s="279" t="s">
        <v>289</v>
      </c>
      <c r="Q588" s="279" t="s">
        <v>289</v>
      </c>
      <c r="R588" s="279" t="s">
        <v>289</v>
      </c>
      <c r="S588" s="279" t="s">
        <v>289</v>
      </c>
      <c r="T588" s="279" t="s">
        <v>289</v>
      </c>
      <c r="U588" s="279" t="s">
        <v>289</v>
      </c>
      <c r="V588" s="279" t="s">
        <v>289</v>
      </c>
      <c r="W588" s="279" t="s">
        <v>289</v>
      </c>
      <c r="X588" s="279" t="s">
        <v>289</v>
      </c>
      <c r="Y588" s="231" t="s">
        <v>289</v>
      </c>
      <c r="Z588" s="231" t="s">
        <v>289</v>
      </c>
      <c r="AA588" s="231" t="s">
        <v>289</v>
      </c>
      <c r="AB588" s="231" t="s">
        <v>289</v>
      </c>
      <c r="AC588" s="231" t="s">
        <v>289</v>
      </c>
      <c r="AD588" s="231" t="s">
        <v>289</v>
      </c>
      <c r="AE588" s="231" t="s">
        <v>289</v>
      </c>
      <c r="AF588" s="231" t="s">
        <v>289</v>
      </c>
      <c r="AG588" s="231" t="s">
        <v>289</v>
      </c>
      <c r="AH588" s="231" t="s">
        <v>289</v>
      </c>
      <c r="AI588" s="231" t="s">
        <v>289</v>
      </c>
      <c r="AJ588" s="233">
        <v>78</v>
      </c>
      <c r="AK588" s="233">
        <v>0</v>
      </c>
      <c r="AL588" s="232">
        <v>9.4179999999999993</v>
      </c>
      <c r="AM588" s="279"/>
      <c r="AN588" s="232">
        <v>36257</v>
      </c>
      <c r="AO588" s="279"/>
      <c r="AP588" s="279"/>
      <c r="AQ588" s="231"/>
      <c r="AR588" s="231"/>
      <c r="AS588" s="231"/>
      <c r="AT588" s="230">
        <v>0</v>
      </c>
      <c r="AU588" s="229">
        <v>0</v>
      </c>
      <c r="AV588" s="663" t="s">
        <v>289</v>
      </c>
      <c r="AW588" s="658"/>
      <c r="AX588" s="664"/>
      <c r="AY588" s="228" t="s">
        <v>289</v>
      </c>
    </row>
    <row r="589" spans="1:51" hidden="1" outlineLevel="1" collapsed="1">
      <c r="A589" s="227" t="s">
        <v>289</v>
      </c>
      <c r="B589" s="220" t="s">
        <v>594</v>
      </c>
      <c r="C589" s="220" t="s">
        <v>594</v>
      </c>
      <c r="D589" s="220" t="s">
        <v>593</v>
      </c>
      <c r="E589" s="220" t="s">
        <v>592</v>
      </c>
      <c r="F589" s="220" t="s">
        <v>591</v>
      </c>
      <c r="G589" s="220"/>
      <c r="H589" s="220" t="s">
        <v>590</v>
      </c>
      <c r="I589" s="220" t="s">
        <v>329</v>
      </c>
      <c r="J589" s="220" t="s">
        <v>297</v>
      </c>
      <c r="K589" s="220" t="s">
        <v>328</v>
      </c>
      <c r="L589" s="220"/>
      <c r="M589" s="220"/>
      <c r="N589" s="220"/>
      <c r="O589" s="220"/>
      <c r="P589" s="220"/>
      <c r="Q589" s="220"/>
      <c r="R589" s="220"/>
      <c r="S589" s="220" t="s">
        <v>295</v>
      </c>
      <c r="T589" s="220" t="s">
        <v>305</v>
      </c>
      <c r="U589" s="220"/>
      <c r="V589" s="220"/>
      <c r="W589" s="220"/>
      <c r="X589" s="220"/>
      <c r="Y589" s="283"/>
      <c r="Z589" s="220"/>
      <c r="AA589" s="220"/>
      <c r="AB589" s="220"/>
      <c r="AC589" s="220"/>
      <c r="AD589" s="220"/>
      <c r="AE589" s="283"/>
      <c r="AF589" s="220"/>
      <c r="AG589" s="220"/>
      <c r="AH589" s="220"/>
      <c r="AI589" s="220"/>
      <c r="AJ589" s="226">
        <v>1</v>
      </c>
      <c r="AK589" s="226">
        <v>0</v>
      </c>
      <c r="AL589" s="225">
        <v>4.3999999999999997E-2</v>
      </c>
      <c r="AM589" s="220"/>
      <c r="AN589" s="225">
        <v>417</v>
      </c>
      <c r="AO589" s="220"/>
      <c r="AP589" s="220"/>
      <c r="AQ589" s="283"/>
      <c r="AR589" s="283"/>
      <c r="AS589" s="283"/>
      <c r="AT589" s="223">
        <v>0</v>
      </c>
      <c r="AU589" s="284">
        <v>0</v>
      </c>
      <c r="AV589" s="221">
        <v>42641</v>
      </c>
      <c r="AW589" s="221">
        <v>42641.599619791697</v>
      </c>
      <c r="AX589" s="220" t="s">
        <v>293</v>
      </c>
      <c r="AY589" s="219" t="s">
        <v>589</v>
      </c>
    </row>
    <row r="590" spans="1:51" hidden="1" outlineLevel="1" collapsed="1">
      <c r="A590" s="227" t="s">
        <v>289</v>
      </c>
      <c r="B590" s="220" t="s">
        <v>594</v>
      </c>
      <c r="C590" s="220" t="s">
        <v>594</v>
      </c>
      <c r="D590" s="220" t="s">
        <v>593</v>
      </c>
      <c r="E590" s="220" t="s">
        <v>592</v>
      </c>
      <c r="F590" s="220" t="s">
        <v>591</v>
      </c>
      <c r="G590" s="220"/>
      <c r="H590" s="220" t="s">
        <v>590</v>
      </c>
      <c r="I590" s="220" t="s">
        <v>329</v>
      </c>
      <c r="J590" s="220" t="s">
        <v>297</v>
      </c>
      <c r="K590" s="220" t="s">
        <v>328</v>
      </c>
      <c r="L590" s="220"/>
      <c r="M590" s="220"/>
      <c r="N590" s="220"/>
      <c r="O590" s="220"/>
      <c r="P590" s="220"/>
      <c r="Q590" s="220"/>
      <c r="R590" s="220"/>
      <c r="S590" s="220" t="s">
        <v>295</v>
      </c>
      <c r="T590" s="220" t="s">
        <v>153</v>
      </c>
      <c r="U590" s="220"/>
      <c r="V590" s="220"/>
      <c r="W590" s="220"/>
      <c r="X590" s="220"/>
      <c r="Y590" s="283"/>
      <c r="Z590" s="220"/>
      <c r="AA590" s="220"/>
      <c r="AB590" s="220"/>
      <c r="AC590" s="220"/>
      <c r="AD590" s="220"/>
      <c r="AE590" s="283"/>
      <c r="AF590" s="220"/>
      <c r="AG590" s="220"/>
      <c r="AH590" s="220"/>
      <c r="AI590" s="220"/>
      <c r="AJ590" s="226">
        <v>1</v>
      </c>
      <c r="AK590" s="226">
        <v>0</v>
      </c>
      <c r="AL590" s="225">
        <v>0.19</v>
      </c>
      <c r="AM590" s="220"/>
      <c r="AN590" s="225">
        <v>508</v>
      </c>
      <c r="AO590" s="220"/>
      <c r="AP590" s="220"/>
      <c r="AQ590" s="283"/>
      <c r="AR590" s="283"/>
      <c r="AS590" s="283"/>
      <c r="AT590" s="223">
        <v>0</v>
      </c>
      <c r="AU590" s="284">
        <v>0</v>
      </c>
      <c r="AV590" s="221">
        <v>42641</v>
      </c>
      <c r="AW590" s="221">
        <v>42641.599619791697</v>
      </c>
      <c r="AX590" s="220" t="s">
        <v>293</v>
      </c>
      <c r="AY590" s="219" t="s">
        <v>595</v>
      </c>
    </row>
    <row r="591" spans="1:51" hidden="1" outlineLevel="1" collapsed="1">
      <c r="A591" s="227" t="s">
        <v>289</v>
      </c>
      <c r="B591" s="220" t="s">
        <v>587</v>
      </c>
      <c r="C591" s="220" t="s">
        <v>587</v>
      </c>
      <c r="D591" s="220" t="s">
        <v>586</v>
      </c>
      <c r="E591" s="220" t="s">
        <v>585</v>
      </c>
      <c r="F591" s="220" t="s">
        <v>584</v>
      </c>
      <c r="G591" s="220"/>
      <c r="H591" s="220" t="s">
        <v>583</v>
      </c>
      <c r="I591" s="220" t="s">
        <v>329</v>
      </c>
      <c r="J591" s="220" t="s">
        <v>297</v>
      </c>
      <c r="K591" s="220" t="s">
        <v>397</v>
      </c>
      <c r="L591" s="220"/>
      <c r="M591" s="220"/>
      <c r="N591" s="220"/>
      <c r="O591" s="220"/>
      <c r="P591" s="220"/>
      <c r="Q591" s="220"/>
      <c r="R591" s="220"/>
      <c r="S591" s="220" t="s">
        <v>295</v>
      </c>
      <c r="T591" s="220" t="s">
        <v>305</v>
      </c>
      <c r="U591" s="220"/>
      <c r="V591" s="220"/>
      <c r="W591" s="220"/>
      <c r="X591" s="220"/>
      <c r="Y591" s="283"/>
      <c r="Z591" s="220"/>
      <c r="AA591" s="220"/>
      <c r="AB591" s="220"/>
      <c r="AC591" s="220"/>
      <c r="AD591" s="220"/>
      <c r="AE591" s="283"/>
      <c r="AF591" s="220"/>
      <c r="AG591" s="220"/>
      <c r="AH591" s="220"/>
      <c r="AI591" s="220"/>
      <c r="AJ591" s="226">
        <v>1</v>
      </c>
      <c r="AK591" s="226">
        <v>0</v>
      </c>
      <c r="AL591" s="225">
        <v>4.3999999999999997E-2</v>
      </c>
      <c r="AM591" s="220"/>
      <c r="AN591" s="225">
        <v>417</v>
      </c>
      <c r="AO591" s="220"/>
      <c r="AP591" s="220"/>
      <c r="AQ591" s="283"/>
      <c r="AR591" s="283"/>
      <c r="AS591" s="283"/>
      <c r="AT591" s="223">
        <v>0</v>
      </c>
      <c r="AU591" s="284">
        <v>0</v>
      </c>
      <c r="AV591" s="221">
        <v>42641</v>
      </c>
      <c r="AW591" s="221">
        <v>42641.601229895801</v>
      </c>
      <c r="AX591" s="220" t="s">
        <v>293</v>
      </c>
      <c r="AY591" s="219" t="s">
        <v>582</v>
      </c>
    </row>
    <row r="592" spans="1:51" hidden="1" outlineLevel="1" collapsed="1">
      <c r="A592" s="227" t="s">
        <v>289</v>
      </c>
      <c r="B592" s="220" t="s">
        <v>587</v>
      </c>
      <c r="C592" s="220" t="s">
        <v>587</v>
      </c>
      <c r="D592" s="220" t="s">
        <v>586</v>
      </c>
      <c r="E592" s="220" t="s">
        <v>585</v>
      </c>
      <c r="F592" s="220" t="s">
        <v>584</v>
      </c>
      <c r="G592" s="220"/>
      <c r="H592" s="220" t="s">
        <v>583</v>
      </c>
      <c r="I592" s="220" t="s">
        <v>329</v>
      </c>
      <c r="J592" s="220" t="s">
        <v>297</v>
      </c>
      <c r="K592" s="220" t="s">
        <v>397</v>
      </c>
      <c r="L592" s="220"/>
      <c r="M592" s="220"/>
      <c r="N592" s="220"/>
      <c r="O592" s="220"/>
      <c r="P592" s="220"/>
      <c r="Q592" s="220"/>
      <c r="R592" s="220"/>
      <c r="S592" s="220" t="s">
        <v>295</v>
      </c>
      <c r="T592" s="220" t="s">
        <v>153</v>
      </c>
      <c r="U592" s="220"/>
      <c r="V592" s="220"/>
      <c r="W592" s="220"/>
      <c r="X592" s="220"/>
      <c r="Y592" s="283"/>
      <c r="Z592" s="220"/>
      <c r="AA592" s="220"/>
      <c r="AB592" s="220"/>
      <c r="AC592" s="220"/>
      <c r="AD592" s="220"/>
      <c r="AE592" s="283"/>
      <c r="AF592" s="220"/>
      <c r="AG592" s="220"/>
      <c r="AH592" s="220"/>
      <c r="AI592" s="220"/>
      <c r="AJ592" s="226">
        <v>1</v>
      </c>
      <c r="AK592" s="226">
        <v>0</v>
      </c>
      <c r="AL592" s="225">
        <v>0.19</v>
      </c>
      <c r="AM592" s="220"/>
      <c r="AN592" s="225">
        <v>508</v>
      </c>
      <c r="AO592" s="220"/>
      <c r="AP592" s="220"/>
      <c r="AQ592" s="283"/>
      <c r="AR592" s="283"/>
      <c r="AS592" s="283"/>
      <c r="AT592" s="223">
        <v>0</v>
      </c>
      <c r="AU592" s="284">
        <v>0</v>
      </c>
      <c r="AV592" s="221">
        <v>42641</v>
      </c>
      <c r="AW592" s="221">
        <v>42641.601229895801</v>
      </c>
      <c r="AX592" s="220" t="s">
        <v>293</v>
      </c>
      <c r="AY592" s="219" t="s">
        <v>588</v>
      </c>
    </row>
    <row r="593" spans="1:51" hidden="1" outlineLevel="1" collapsed="1">
      <c r="A593" s="227" t="s">
        <v>289</v>
      </c>
      <c r="B593" s="220" t="s">
        <v>580</v>
      </c>
      <c r="C593" s="220" t="s">
        <v>580</v>
      </c>
      <c r="D593" s="220" t="s">
        <v>579</v>
      </c>
      <c r="E593" s="220" t="s">
        <v>578</v>
      </c>
      <c r="F593" s="220" t="s">
        <v>577</v>
      </c>
      <c r="G593" s="220"/>
      <c r="H593" s="220" t="s">
        <v>576</v>
      </c>
      <c r="I593" s="220" t="s">
        <v>337</v>
      </c>
      <c r="J593" s="220" t="s">
        <v>297</v>
      </c>
      <c r="K593" s="220" t="s">
        <v>336</v>
      </c>
      <c r="L593" s="220"/>
      <c r="M593" s="220"/>
      <c r="N593" s="220"/>
      <c r="O593" s="220"/>
      <c r="P593" s="220"/>
      <c r="Q593" s="220"/>
      <c r="R593" s="220"/>
      <c r="S593" s="220" t="s">
        <v>295</v>
      </c>
      <c r="T593" s="220" t="s">
        <v>305</v>
      </c>
      <c r="U593" s="220"/>
      <c r="V593" s="220"/>
      <c r="W593" s="220"/>
      <c r="X593" s="220"/>
      <c r="Y593" s="283"/>
      <c r="Z593" s="220"/>
      <c r="AA593" s="220"/>
      <c r="AB593" s="220"/>
      <c r="AC593" s="220"/>
      <c r="AD593" s="220"/>
      <c r="AE593" s="283"/>
      <c r="AF593" s="220"/>
      <c r="AG593" s="220"/>
      <c r="AH593" s="220"/>
      <c r="AI593" s="220"/>
      <c r="AJ593" s="226">
        <v>1</v>
      </c>
      <c r="AK593" s="226">
        <v>0</v>
      </c>
      <c r="AL593" s="225">
        <v>4.3999999999999997E-2</v>
      </c>
      <c r="AM593" s="220"/>
      <c r="AN593" s="225">
        <v>417</v>
      </c>
      <c r="AO593" s="220"/>
      <c r="AP593" s="220"/>
      <c r="AQ593" s="283"/>
      <c r="AR593" s="283"/>
      <c r="AS593" s="283"/>
      <c r="AT593" s="223">
        <v>0</v>
      </c>
      <c r="AU593" s="284">
        <v>0</v>
      </c>
      <c r="AV593" s="221">
        <v>42641</v>
      </c>
      <c r="AW593" s="221">
        <v>42641.602389583299</v>
      </c>
      <c r="AX593" s="220" t="s">
        <v>293</v>
      </c>
      <c r="AY593" s="219" t="s">
        <v>575</v>
      </c>
    </row>
    <row r="594" spans="1:51" hidden="1" outlineLevel="1" collapsed="1">
      <c r="A594" s="227" t="s">
        <v>289</v>
      </c>
      <c r="B594" s="220" t="s">
        <v>580</v>
      </c>
      <c r="C594" s="220" t="s">
        <v>580</v>
      </c>
      <c r="D594" s="220" t="s">
        <v>579</v>
      </c>
      <c r="E594" s="220" t="s">
        <v>578</v>
      </c>
      <c r="F594" s="220" t="s">
        <v>577</v>
      </c>
      <c r="G594" s="220"/>
      <c r="H594" s="220" t="s">
        <v>576</v>
      </c>
      <c r="I594" s="220" t="s">
        <v>337</v>
      </c>
      <c r="J594" s="220" t="s">
        <v>297</v>
      </c>
      <c r="K594" s="220" t="s">
        <v>336</v>
      </c>
      <c r="L594" s="220"/>
      <c r="M594" s="220"/>
      <c r="N594" s="220"/>
      <c r="O594" s="220"/>
      <c r="P594" s="220"/>
      <c r="Q594" s="220"/>
      <c r="R594" s="220"/>
      <c r="S594" s="220" t="s">
        <v>295</v>
      </c>
      <c r="T594" s="220" t="s">
        <v>153</v>
      </c>
      <c r="U594" s="220"/>
      <c r="V594" s="220"/>
      <c r="W594" s="220"/>
      <c r="X594" s="220"/>
      <c r="Y594" s="283"/>
      <c r="Z594" s="220"/>
      <c r="AA594" s="220"/>
      <c r="AB594" s="220"/>
      <c r="AC594" s="220"/>
      <c r="AD594" s="220"/>
      <c r="AE594" s="283"/>
      <c r="AF594" s="220"/>
      <c r="AG594" s="220"/>
      <c r="AH594" s="220"/>
      <c r="AI594" s="220"/>
      <c r="AJ594" s="226">
        <v>1</v>
      </c>
      <c r="AK594" s="226">
        <v>0</v>
      </c>
      <c r="AL594" s="225">
        <v>0.19</v>
      </c>
      <c r="AM594" s="220"/>
      <c r="AN594" s="225">
        <v>508</v>
      </c>
      <c r="AO594" s="220"/>
      <c r="AP594" s="220"/>
      <c r="AQ594" s="283"/>
      <c r="AR594" s="283"/>
      <c r="AS594" s="283"/>
      <c r="AT594" s="223">
        <v>0</v>
      </c>
      <c r="AU594" s="284">
        <v>0</v>
      </c>
      <c r="AV594" s="221">
        <v>42641</v>
      </c>
      <c r="AW594" s="221">
        <v>42641.602389583299</v>
      </c>
      <c r="AX594" s="220" t="s">
        <v>293</v>
      </c>
      <c r="AY594" s="219" t="s">
        <v>581</v>
      </c>
    </row>
    <row r="595" spans="1:51" hidden="1" outlineLevel="1" collapsed="1">
      <c r="A595" s="227" t="s">
        <v>289</v>
      </c>
      <c r="B595" s="220" t="s">
        <v>573</v>
      </c>
      <c r="C595" s="220" t="s">
        <v>573</v>
      </c>
      <c r="D595" s="220" t="s">
        <v>572</v>
      </c>
      <c r="E595" s="220" t="s">
        <v>571</v>
      </c>
      <c r="F595" s="220" t="s">
        <v>570</v>
      </c>
      <c r="G595" s="220"/>
      <c r="H595" s="220" t="s">
        <v>569</v>
      </c>
      <c r="I595" s="220" t="s">
        <v>568</v>
      </c>
      <c r="J595" s="220" t="s">
        <v>297</v>
      </c>
      <c r="K595" s="220" t="s">
        <v>567</v>
      </c>
      <c r="L595" s="220"/>
      <c r="M595" s="220"/>
      <c r="N595" s="220"/>
      <c r="O595" s="220"/>
      <c r="P595" s="220"/>
      <c r="Q595" s="220"/>
      <c r="R595" s="220"/>
      <c r="S595" s="220" t="s">
        <v>295</v>
      </c>
      <c r="T595" s="220" t="s">
        <v>153</v>
      </c>
      <c r="U595" s="220"/>
      <c r="V595" s="220"/>
      <c r="W595" s="220"/>
      <c r="X595" s="220"/>
      <c r="Y595" s="283"/>
      <c r="Z595" s="220"/>
      <c r="AA595" s="220"/>
      <c r="AB595" s="220"/>
      <c r="AC595" s="220"/>
      <c r="AD595" s="220"/>
      <c r="AE595" s="283"/>
      <c r="AF595" s="220"/>
      <c r="AG595" s="220"/>
      <c r="AH595" s="220"/>
      <c r="AI595" s="220"/>
      <c r="AJ595" s="226">
        <v>1</v>
      </c>
      <c r="AK595" s="226">
        <v>0</v>
      </c>
      <c r="AL595" s="225">
        <v>0.19</v>
      </c>
      <c r="AM595" s="220"/>
      <c r="AN595" s="225">
        <v>508</v>
      </c>
      <c r="AO595" s="220"/>
      <c r="AP595" s="220"/>
      <c r="AQ595" s="283"/>
      <c r="AR595" s="283"/>
      <c r="AS595" s="283"/>
      <c r="AT595" s="223">
        <v>0</v>
      </c>
      <c r="AU595" s="284">
        <v>0</v>
      </c>
      <c r="AV595" s="221">
        <v>42641</v>
      </c>
      <c r="AW595" s="221">
        <v>42641.603726238398</v>
      </c>
      <c r="AX595" s="220" t="s">
        <v>293</v>
      </c>
      <c r="AY595" s="219" t="s">
        <v>574</v>
      </c>
    </row>
    <row r="596" spans="1:51" hidden="1" outlineLevel="1" collapsed="1">
      <c r="A596" s="227" t="s">
        <v>289</v>
      </c>
      <c r="B596" s="220" t="s">
        <v>573</v>
      </c>
      <c r="C596" s="220" t="s">
        <v>573</v>
      </c>
      <c r="D596" s="220" t="s">
        <v>572</v>
      </c>
      <c r="E596" s="220" t="s">
        <v>571</v>
      </c>
      <c r="F596" s="220" t="s">
        <v>570</v>
      </c>
      <c r="G596" s="220"/>
      <c r="H596" s="220" t="s">
        <v>569</v>
      </c>
      <c r="I596" s="220" t="s">
        <v>568</v>
      </c>
      <c r="J596" s="220" t="s">
        <v>297</v>
      </c>
      <c r="K596" s="220" t="s">
        <v>567</v>
      </c>
      <c r="L596" s="220"/>
      <c r="M596" s="220"/>
      <c r="N596" s="220"/>
      <c r="O596" s="220"/>
      <c r="P596" s="220"/>
      <c r="Q596" s="220"/>
      <c r="R596" s="220"/>
      <c r="S596" s="220" t="s">
        <v>295</v>
      </c>
      <c r="T596" s="220" t="s">
        <v>305</v>
      </c>
      <c r="U596" s="220"/>
      <c r="V596" s="220"/>
      <c r="W596" s="220"/>
      <c r="X596" s="220"/>
      <c r="Y596" s="283"/>
      <c r="Z596" s="220"/>
      <c r="AA596" s="220"/>
      <c r="AB596" s="220"/>
      <c r="AC596" s="220"/>
      <c r="AD596" s="220"/>
      <c r="AE596" s="283"/>
      <c r="AF596" s="220"/>
      <c r="AG596" s="220"/>
      <c r="AH596" s="220"/>
      <c r="AI596" s="220"/>
      <c r="AJ596" s="226">
        <v>1</v>
      </c>
      <c r="AK596" s="226">
        <v>0</v>
      </c>
      <c r="AL596" s="225">
        <v>4.3999999999999997E-2</v>
      </c>
      <c r="AM596" s="220"/>
      <c r="AN596" s="225">
        <v>417</v>
      </c>
      <c r="AO596" s="220"/>
      <c r="AP596" s="220"/>
      <c r="AQ596" s="283"/>
      <c r="AR596" s="283"/>
      <c r="AS596" s="283"/>
      <c r="AT596" s="223">
        <v>0</v>
      </c>
      <c r="AU596" s="284">
        <v>0</v>
      </c>
      <c r="AV596" s="221">
        <v>42641</v>
      </c>
      <c r="AW596" s="221">
        <v>42641.603726238398</v>
      </c>
      <c r="AX596" s="220" t="s">
        <v>293</v>
      </c>
      <c r="AY596" s="219" t="s">
        <v>566</v>
      </c>
    </row>
    <row r="597" spans="1:51" hidden="1" outlineLevel="1" collapsed="1">
      <c r="A597" s="227" t="s">
        <v>289</v>
      </c>
      <c r="B597" s="220" t="s">
        <v>564</v>
      </c>
      <c r="C597" s="220" t="s">
        <v>564</v>
      </c>
      <c r="D597" s="220" t="s">
        <v>563</v>
      </c>
      <c r="E597" s="220" t="s">
        <v>562</v>
      </c>
      <c r="F597" s="220" t="s">
        <v>561</v>
      </c>
      <c r="G597" s="220"/>
      <c r="H597" s="220" t="s">
        <v>560</v>
      </c>
      <c r="I597" s="220" t="s">
        <v>337</v>
      </c>
      <c r="J597" s="220" t="s">
        <v>297</v>
      </c>
      <c r="K597" s="220" t="s">
        <v>336</v>
      </c>
      <c r="L597" s="220"/>
      <c r="M597" s="220"/>
      <c r="N597" s="220"/>
      <c r="O597" s="220"/>
      <c r="P597" s="220"/>
      <c r="Q597" s="220"/>
      <c r="R597" s="220"/>
      <c r="S597" s="220" t="s">
        <v>295</v>
      </c>
      <c r="T597" s="220" t="s">
        <v>153</v>
      </c>
      <c r="U597" s="220"/>
      <c r="V597" s="220"/>
      <c r="W597" s="220"/>
      <c r="X597" s="220"/>
      <c r="Y597" s="283"/>
      <c r="Z597" s="220"/>
      <c r="AA597" s="220"/>
      <c r="AB597" s="220"/>
      <c r="AC597" s="220"/>
      <c r="AD597" s="220"/>
      <c r="AE597" s="283"/>
      <c r="AF597" s="220"/>
      <c r="AG597" s="220"/>
      <c r="AH597" s="220"/>
      <c r="AI597" s="220"/>
      <c r="AJ597" s="226">
        <v>1</v>
      </c>
      <c r="AK597" s="226">
        <v>0</v>
      </c>
      <c r="AL597" s="225">
        <v>0.19</v>
      </c>
      <c r="AM597" s="220"/>
      <c r="AN597" s="225">
        <v>508</v>
      </c>
      <c r="AO597" s="220"/>
      <c r="AP597" s="220"/>
      <c r="AQ597" s="283"/>
      <c r="AR597" s="283"/>
      <c r="AS597" s="283"/>
      <c r="AT597" s="223">
        <v>0</v>
      </c>
      <c r="AU597" s="284">
        <v>0</v>
      </c>
      <c r="AV597" s="221">
        <v>42641</v>
      </c>
      <c r="AW597" s="221">
        <v>42641.604733368098</v>
      </c>
      <c r="AX597" s="220" t="s">
        <v>293</v>
      </c>
      <c r="AY597" s="219" t="s">
        <v>565</v>
      </c>
    </row>
    <row r="598" spans="1:51" hidden="1" outlineLevel="1" collapsed="1">
      <c r="A598" s="227" t="s">
        <v>289</v>
      </c>
      <c r="B598" s="220" t="s">
        <v>564</v>
      </c>
      <c r="C598" s="220" t="s">
        <v>564</v>
      </c>
      <c r="D598" s="220" t="s">
        <v>563</v>
      </c>
      <c r="E598" s="220" t="s">
        <v>562</v>
      </c>
      <c r="F598" s="220" t="s">
        <v>561</v>
      </c>
      <c r="G598" s="220"/>
      <c r="H598" s="220" t="s">
        <v>560</v>
      </c>
      <c r="I598" s="220" t="s">
        <v>337</v>
      </c>
      <c r="J598" s="220" t="s">
        <v>297</v>
      </c>
      <c r="K598" s="220" t="s">
        <v>336</v>
      </c>
      <c r="L598" s="220"/>
      <c r="M598" s="220"/>
      <c r="N598" s="220"/>
      <c r="O598" s="220"/>
      <c r="P598" s="220"/>
      <c r="Q598" s="220"/>
      <c r="R598" s="220"/>
      <c r="S598" s="220" t="s">
        <v>295</v>
      </c>
      <c r="T598" s="220" t="s">
        <v>305</v>
      </c>
      <c r="U598" s="220"/>
      <c r="V598" s="220"/>
      <c r="W598" s="220"/>
      <c r="X598" s="220"/>
      <c r="Y598" s="283"/>
      <c r="Z598" s="220"/>
      <c r="AA598" s="220"/>
      <c r="AB598" s="220"/>
      <c r="AC598" s="220"/>
      <c r="AD598" s="220"/>
      <c r="AE598" s="283"/>
      <c r="AF598" s="220"/>
      <c r="AG598" s="220"/>
      <c r="AH598" s="220"/>
      <c r="AI598" s="220"/>
      <c r="AJ598" s="226">
        <v>1</v>
      </c>
      <c r="AK598" s="226">
        <v>0</v>
      </c>
      <c r="AL598" s="225">
        <v>4.3999999999999997E-2</v>
      </c>
      <c r="AM598" s="220"/>
      <c r="AN598" s="225">
        <v>417</v>
      </c>
      <c r="AO598" s="220"/>
      <c r="AP598" s="220"/>
      <c r="AQ598" s="283"/>
      <c r="AR598" s="283"/>
      <c r="AS598" s="283"/>
      <c r="AT598" s="223">
        <v>0</v>
      </c>
      <c r="AU598" s="284">
        <v>0</v>
      </c>
      <c r="AV598" s="221">
        <v>42641</v>
      </c>
      <c r="AW598" s="221">
        <v>42641.604733368098</v>
      </c>
      <c r="AX598" s="220" t="s">
        <v>293</v>
      </c>
      <c r="AY598" s="219" t="s">
        <v>559</v>
      </c>
    </row>
    <row r="599" spans="1:51" hidden="1" outlineLevel="1" collapsed="1">
      <c r="A599" s="227" t="s">
        <v>289</v>
      </c>
      <c r="B599" s="220" t="s">
        <v>557</v>
      </c>
      <c r="C599" s="220" t="s">
        <v>557</v>
      </c>
      <c r="D599" s="220" t="s">
        <v>556</v>
      </c>
      <c r="E599" s="220" t="s">
        <v>555</v>
      </c>
      <c r="F599" s="220" t="s">
        <v>554</v>
      </c>
      <c r="G599" s="220"/>
      <c r="H599" s="220" t="s">
        <v>553</v>
      </c>
      <c r="I599" s="220" t="s">
        <v>329</v>
      </c>
      <c r="J599" s="220" t="s">
        <v>297</v>
      </c>
      <c r="K599" s="220" t="s">
        <v>328</v>
      </c>
      <c r="L599" s="220"/>
      <c r="M599" s="220"/>
      <c r="N599" s="220"/>
      <c r="O599" s="220"/>
      <c r="P599" s="220"/>
      <c r="Q599" s="220"/>
      <c r="R599" s="220"/>
      <c r="S599" s="220" t="s">
        <v>295</v>
      </c>
      <c r="T599" s="220" t="s">
        <v>153</v>
      </c>
      <c r="U599" s="220"/>
      <c r="V599" s="220"/>
      <c r="W599" s="220"/>
      <c r="X599" s="220"/>
      <c r="Y599" s="283"/>
      <c r="Z599" s="220"/>
      <c r="AA599" s="220"/>
      <c r="AB599" s="220"/>
      <c r="AC599" s="220"/>
      <c r="AD599" s="220"/>
      <c r="AE599" s="283"/>
      <c r="AF599" s="220"/>
      <c r="AG599" s="220"/>
      <c r="AH599" s="220"/>
      <c r="AI599" s="220"/>
      <c r="AJ599" s="226">
        <v>1</v>
      </c>
      <c r="AK599" s="226">
        <v>0</v>
      </c>
      <c r="AL599" s="225">
        <v>0.19</v>
      </c>
      <c r="AM599" s="220"/>
      <c r="AN599" s="225">
        <v>508</v>
      </c>
      <c r="AO599" s="220"/>
      <c r="AP599" s="220"/>
      <c r="AQ599" s="283"/>
      <c r="AR599" s="283"/>
      <c r="AS599" s="283"/>
      <c r="AT599" s="223">
        <v>0</v>
      </c>
      <c r="AU599" s="284">
        <v>0</v>
      </c>
      <c r="AV599" s="221">
        <v>42641</v>
      </c>
      <c r="AW599" s="221">
        <v>42641.606220451402</v>
      </c>
      <c r="AX599" s="220" t="s">
        <v>293</v>
      </c>
      <c r="AY599" s="219" t="s">
        <v>558</v>
      </c>
    </row>
    <row r="600" spans="1:51" hidden="1" outlineLevel="1" collapsed="1">
      <c r="A600" s="227" t="s">
        <v>289</v>
      </c>
      <c r="B600" s="220" t="s">
        <v>557</v>
      </c>
      <c r="C600" s="220" t="s">
        <v>557</v>
      </c>
      <c r="D600" s="220" t="s">
        <v>556</v>
      </c>
      <c r="E600" s="220" t="s">
        <v>555</v>
      </c>
      <c r="F600" s="220" t="s">
        <v>554</v>
      </c>
      <c r="G600" s="220"/>
      <c r="H600" s="220" t="s">
        <v>553</v>
      </c>
      <c r="I600" s="220" t="s">
        <v>329</v>
      </c>
      <c r="J600" s="220" t="s">
        <v>297</v>
      </c>
      <c r="K600" s="220" t="s">
        <v>328</v>
      </c>
      <c r="L600" s="220"/>
      <c r="M600" s="220"/>
      <c r="N600" s="220"/>
      <c r="O600" s="220"/>
      <c r="P600" s="220"/>
      <c r="Q600" s="220"/>
      <c r="R600" s="220"/>
      <c r="S600" s="220" t="s">
        <v>295</v>
      </c>
      <c r="T600" s="220" t="s">
        <v>305</v>
      </c>
      <c r="U600" s="220"/>
      <c r="V600" s="220"/>
      <c r="W600" s="220"/>
      <c r="X600" s="220"/>
      <c r="Y600" s="283"/>
      <c r="Z600" s="220"/>
      <c r="AA600" s="220"/>
      <c r="AB600" s="220"/>
      <c r="AC600" s="220"/>
      <c r="AD600" s="220"/>
      <c r="AE600" s="283"/>
      <c r="AF600" s="220"/>
      <c r="AG600" s="220"/>
      <c r="AH600" s="220"/>
      <c r="AI600" s="220"/>
      <c r="AJ600" s="226">
        <v>1</v>
      </c>
      <c r="AK600" s="226">
        <v>0</v>
      </c>
      <c r="AL600" s="225">
        <v>4.3999999999999997E-2</v>
      </c>
      <c r="AM600" s="220"/>
      <c r="AN600" s="225">
        <v>417</v>
      </c>
      <c r="AO600" s="220"/>
      <c r="AP600" s="220"/>
      <c r="AQ600" s="283"/>
      <c r="AR600" s="283"/>
      <c r="AS600" s="283"/>
      <c r="AT600" s="223">
        <v>0</v>
      </c>
      <c r="AU600" s="284">
        <v>0</v>
      </c>
      <c r="AV600" s="221">
        <v>42641</v>
      </c>
      <c r="AW600" s="221">
        <v>42641.606220451402</v>
      </c>
      <c r="AX600" s="220" t="s">
        <v>293</v>
      </c>
      <c r="AY600" s="219" t="s">
        <v>552</v>
      </c>
    </row>
    <row r="601" spans="1:51" hidden="1" outlineLevel="1" collapsed="1">
      <c r="A601" s="227" t="s">
        <v>289</v>
      </c>
      <c r="B601" s="220" t="s">
        <v>550</v>
      </c>
      <c r="C601" s="220" t="s">
        <v>550</v>
      </c>
      <c r="D601" s="220" t="s">
        <v>549</v>
      </c>
      <c r="E601" s="220" t="s">
        <v>548</v>
      </c>
      <c r="F601" s="220" t="s">
        <v>547</v>
      </c>
      <c r="G601" s="220"/>
      <c r="H601" s="220" t="s">
        <v>546</v>
      </c>
      <c r="I601" s="220" t="s">
        <v>329</v>
      </c>
      <c r="J601" s="220" t="s">
        <v>297</v>
      </c>
      <c r="K601" s="220" t="s">
        <v>397</v>
      </c>
      <c r="L601" s="220"/>
      <c r="M601" s="220"/>
      <c r="N601" s="220"/>
      <c r="O601" s="220"/>
      <c r="P601" s="220"/>
      <c r="Q601" s="220"/>
      <c r="R601" s="220"/>
      <c r="S601" s="220" t="s">
        <v>295</v>
      </c>
      <c r="T601" s="220" t="s">
        <v>305</v>
      </c>
      <c r="U601" s="220"/>
      <c r="V601" s="220"/>
      <c r="W601" s="220"/>
      <c r="X601" s="220"/>
      <c r="Y601" s="283"/>
      <c r="Z601" s="220"/>
      <c r="AA601" s="220"/>
      <c r="AB601" s="220"/>
      <c r="AC601" s="220"/>
      <c r="AD601" s="220"/>
      <c r="AE601" s="283"/>
      <c r="AF601" s="220"/>
      <c r="AG601" s="220"/>
      <c r="AH601" s="220"/>
      <c r="AI601" s="220"/>
      <c r="AJ601" s="226">
        <v>1</v>
      </c>
      <c r="AK601" s="226">
        <v>0</v>
      </c>
      <c r="AL601" s="225">
        <v>4.3999999999999997E-2</v>
      </c>
      <c r="AM601" s="220"/>
      <c r="AN601" s="225">
        <v>417</v>
      </c>
      <c r="AO601" s="220"/>
      <c r="AP601" s="220"/>
      <c r="AQ601" s="283"/>
      <c r="AR601" s="283"/>
      <c r="AS601" s="283"/>
      <c r="AT601" s="223">
        <v>0</v>
      </c>
      <c r="AU601" s="284">
        <v>0</v>
      </c>
      <c r="AV601" s="221">
        <v>42641</v>
      </c>
      <c r="AW601" s="221">
        <v>42641.607361574097</v>
      </c>
      <c r="AX601" s="220" t="s">
        <v>293</v>
      </c>
      <c r="AY601" s="219" t="s">
        <v>545</v>
      </c>
    </row>
    <row r="602" spans="1:51" hidden="1" outlineLevel="1" collapsed="1">
      <c r="A602" s="227" t="s">
        <v>289</v>
      </c>
      <c r="B602" s="220" t="s">
        <v>550</v>
      </c>
      <c r="C602" s="220" t="s">
        <v>550</v>
      </c>
      <c r="D602" s="220" t="s">
        <v>549</v>
      </c>
      <c r="E602" s="220" t="s">
        <v>548</v>
      </c>
      <c r="F602" s="220" t="s">
        <v>547</v>
      </c>
      <c r="G602" s="220"/>
      <c r="H602" s="220" t="s">
        <v>546</v>
      </c>
      <c r="I602" s="220" t="s">
        <v>329</v>
      </c>
      <c r="J602" s="220" t="s">
        <v>297</v>
      </c>
      <c r="K602" s="220" t="s">
        <v>397</v>
      </c>
      <c r="L602" s="220"/>
      <c r="M602" s="220"/>
      <c r="N602" s="220"/>
      <c r="O602" s="220"/>
      <c r="P602" s="220"/>
      <c r="Q602" s="220"/>
      <c r="R602" s="220"/>
      <c r="S602" s="220" t="s">
        <v>295</v>
      </c>
      <c r="T602" s="220" t="s">
        <v>153</v>
      </c>
      <c r="U602" s="220"/>
      <c r="V602" s="220"/>
      <c r="W602" s="220"/>
      <c r="X602" s="220"/>
      <c r="Y602" s="283"/>
      <c r="Z602" s="220"/>
      <c r="AA602" s="220"/>
      <c r="AB602" s="220"/>
      <c r="AC602" s="220"/>
      <c r="AD602" s="220"/>
      <c r="AE602" s="283"/>
      <c r="AF602" s="220"/>
      <c r="AG602" s="220"/>
      <c r="AH602" s="220"/>
      <c r="AI602" s="220"/>
      <c r="AJ602" s="226">
        <v>1</v>
      </c>
      <c r="AK602" s="226">
        <v>0</v>
      </c>
      <c r="AL602" s="225">
        <v>0.19</v>
      </c>
      <c r="AM602" s="220"/>
      <c r="AN602" s="225">
        <v>508</v>
      </c>
      <c r="AO602" s="220"/>
      <c r="AP602" s="220"/>
      <c r="AQ602" s="283"/>
      <c r="AR602" s="283"/>
      <c r="AS602" s="283"/>
      <c r="AT602" s="223">
        <v>0</v>
      </c>
      <c r="AU602" s="284">
        <v>0</v>
      </c>
      <c r="AV602" s="221">
        <v>42641</v>
      </c>
      <c r="AW602" s="221">
        <v>42641.607361574097</v>
      </c>
      <c r="AX602" s="220" t="s">
        <v>293</v>
      </c>
      <c r="AY602" s="219" t="s">
        <v>551</v>
      </c>
    </row>
    <row r="603" spans="1:51" hidden="1" outlineLevel="1" collapsed="1">
      <c r="A603" s="227" t="s">
        <v>289</v>
      </c>
      <c r="B603" s="220" t="s">
        <v>543</v>
      </c>
      <c r="C603" s="220" t="s">
        <v>543</v>
      </c>
      <c r="D603" s="220" t="s">
        <v>542</v>
      </c>
      <c r="E603" s="220" t="s">
        <v>541</v>
      </c>
      <c r="F603" s="220" t="s">
        <v>540</v>
      </c>
      <c r="G603" s="220"/>
      <c r="H603" s="220" t="s">
        <v>539</v>
      </c>
      <c r="I603" s="220" t="s">
        <v>329</v>
      </c>
      <c r="J603" s="220" t="s">
        <v>297</v>
      </c>
      <c r="K603" s="220" t="s">
        <v>328</v>
      </c>
      <c r="L603" s="220"/>
      <c r="M603" s="220"/>
      <c r="N603" s="220"/>
      <c r="O603" s="220"/>
      <c r="P603" s="220"/>
      <c r="Q603" s="220"/>
      <c r="R603" s="220"/>
      <c r="S603" s="220" t="s">
        <v>295</v>
      </c>
      <c r="T603" s="220" t="s">
        <v>153</v>
      </c>
      <c r="U603" s="220"/>
      <c r="V603" s="220"/>
      <c r="W603" s="220"/>
      <c r="X603" s="220"/>
      <c r="Y603" s="283"/>
      <c r="Z603" s="220"/>
      <c r="AA603" s="220"/>
      <c r="AB603" s="220"/>
      <c r="AC603" s="220"/>
      <c r="AD603" s="220"/>
      <c r="AE603" s="283"/>
      <c r="AF603" s="220"/>
      <c r="AG603" s="220"/>
      <c r="AH603" s="220"/>
      <c r="AI603" s="220"/>
      <c r="AJ603" s="226">
        <v>1</v>
      </c>
      <c r="AK603" s="226">
        <v>0</v>
      </c>
      <c r="AL603" s="225">
        <v>0.19</v>
      </c>
      <c r="AM603" s="220"/>
      <c r="AN603" s="225">
        <v>508</v>
      </c>
      <c r="AO603" s="220"/>
      <c r="AP603" s="220"/>
      <c r="AQ603" s="283"/>
      <c r="AR603" s="283"/>
      <c r="AS603" s="283"/>
      <c r="AT603" s="223">
        <v>0</v>
      </c>
      <c r="AU603" s="284">
        <v>0</v>
      </c>
      <c r="AV603" s="221">
        <v>42642</v>
      </c>
      <c r="AW603" s="221">
        <v>42646.699253275503</v>
      </c>
      <c r="AX603" s="220" t="s">
        <v>293</v>
      </c>
      <c r="AY603" s="219" t="s">
        <v>538</v>
      </c>
    </row>
    <row r="604" spans="1:51" hidden="1" outlineLevel="1" collapsed="1">
      <c r="A604" s="227" t="s">
        <v>289</v>
      </c>
      <c r="B604" s="220" t="s">
        <v>543</v>
      </c>
      <c r="C604" s="220" t="s">
        <v>543</v>
      </c>
      <c r="D604" s="220" t="s">
        <v>542</v>
      </c>
      <c r="E604" s="220" t="s">
        <v>541</v>
      </c>
      <c r="F604" s="220" t="s">
        <v>540</v>
      </c>
      <c r="G604" s="220"/>
      <c r="H604" s="220" t="s">
        <v>539</v>
      </c>
      <c r="I604" s="220" t="s">
        <v>329</v>
      </c>
      <c r="J604" s="220" t="s">
        <v>297</v>
      </c>
      <c r="K604" s="220" t="s">
        <v>328</v>
      </c>
      <c r="L604" s="220"/>
      <c r="M604" s="220"/>
      <c r="N604" s="220"/>
      <c r="O604" s="220"/>
      <c r="P604" s="220"/>
      <c r="Q604" s="220"/>
      <c r="R604" s="220"/>
      <c r="S604" s="220" t="s">
        <v>295</v>
      </c>
      <c r="T604" s="220" t="s">
        <v>305</v>
      </c>
      <c r="U604" s="220"/>
      <c r="V604" s="220"/>
      <c r="W604" s="220"/>
      <c r="X604" s="220"/>
      <c r="Y604" s="283"/>
      <c r="Z604" s="220"/>
      <c r="AA604" s="220"/>
      <c r="AB604" s="220"/>
      <c r="AC604" s="220"/>
      <c r="AD604" s="220"/>
      <c r="AE604" s="283"/>
      <c r="AF604" s="220"/>
      <c r="AG604" s="220"/>
      <c r="AH604" s="220"/>
      <c r="AI604" s="220"/>
      <c r="AJ604" s="226">
        <v>1</v>
      </c>
      <c r="AK604" s="226">
        <v>0</v>
      </c>
      <c r="AL604" s="225">
        <v>4.3999999999999997E-2</v>
      </c>
      <c r="AM604" s="220"/>
      <c r="AN604" s="225">
        <v>417</v>
      </c>
      <c r="AO604" s="220"/>
      <c r="AP604" s="220"/>
      <c r="AQ604" s="283"/>
      <c r="AR604" s="283"/>
      <c r="AS604" s="283"/>
      <c r="AT604" s="223">
        <v>0</v>
      </c>
      <c r="AU604" s="284">
        <v>0</v>
      </c>
      <c r="AV604" s="221">
        <v>42642</v>
      </c>
      <c r="AW604" s="221">
        <v>42646.699253275503</v>
      </c>
      <c r="AX604" s="220" t="s">
        <v>293</v>
      </c>
      <c r="AY604" s="219" t="s">
        <v>544</v>
      </c>
    </row>
    <row r="605" spans="1:51" hidden="1" outlineLevel="1" collapsed="1">
      <c r="A605" s="227" t="s">
        <v>289</v>
      </c>
      <c r="B605" s="220" t="s">
        <v>536</v>
      </c>
      <c r="C605" s="220" t="s">
        <v>536</v>
      </c>
      <c r="D605" s="220" t="s">
        <v>535</v>
      </c>
      <c r="E605" s="220" t="s">
        <v>534</v>
      </c>
      <c r="F605" s="220" t="s">
        <v>533</v>
      </c>
      <c r="G605" s="220"/>
      <c r="H605" s="220" t="s">
        <v>532</v>
      </c>
      <c r="I605" s="220" t="s">
        <v>531</v>
      </c>
      <c r="J605" s="220" t="s">
        <v>297</v>
      </c>
      <c r="K605" s="220" t="s">
        <v>530</v>
      </c>
      <c r="L605" s="220"/>
      <c r="M605" s="220"/>
      <c r="N605" s="220"/>
      <c r="O605" s="220"/>
      <c r="P605" s="220"/>
      <c r="Q605" s="220"/>
      <c r="R605" s="220"/>
      <c r="S605" s="220" t="s">
        <v>295</v>
      </c>
      <c r="T605" s="220" t="s">
        <v>153</v>
      </c>
      <c r="U605" s="220"/>
      <c r="V605" s="220"/>
      <c r="W605" s="220"/>
      <c r="X605" s="220"/>
      <c r="Y605" s="283"/>
      <c r="Z605" s="220"/>
      <c r="AA605" s="220"/>
      <c r="AB605" s="220"/>
      <c r="AC605" s="220"/>
      <c r="AD605" s="220"/>
      <c r="AE605" s="283"/>
      <c r="AF605" s="220"/>
      <c r="AG605" s="220"/>
      <c r="AH605" s="220"/>
      <c r="AI605" s="220"/>
      <c r="AJ605" s="226">
        <v>1</v>
      </c>
      <c r="AK605" s="226">
        <v>0</v>
      </c>
      <c r="AL605" s="225">
        <v>0.19</v>
      </c>
      <c r="AM605" s="220"/>
      <c r="AN605" s="225">
        <v>508</v>
      </c>
      <c r="AO605" s="220"/>
      <c r="AP605" s="220"/>
      <c r="AQ605" s="283"/>
      <c r="AR605" s="283"/>
      <c r="AS605" s="283"/>
      <c r="AT605" s="223">
        <v>0</v>
      </c>
      <c r="AU605" s="284">
        <v>0</v>
      </c>
      <c r="AV605" s="221">
        <v>42646</v>
      </c>
      <c r="AW605" s="221">
        <v>42646.766559259297</v>
      </c>
      <c r="AX605" s="220" t="s">
        <v>293</v>
      </c>
      <c r="AY605" s="219" t="s">
        <v>537</v>
      </c>
    </row>
    <row r="606" spans="1:51" hidden="1" outlineLevel="1" collapsed="1">
      <c r="A606" s="227" t="s">
        <v>289</v>
      </c>
      <c r="B606" s="220" t="s">
        <v>536</v>
      </c>
      <c r="C606" s="220" t="s">
        <v>536</v>
      </c>
      <c r="D606" s="220" t="s">
        <v>535</v>
      </c>
      <c r="E606" s="220" t="s">
        <v>534</v>
      </c>
      <c r="F606" s="220" t="s">
        <v>533</v>
      </c>
      <c r="G606" s="220"/>
      <c r="H606" s="220" t="s">
        <v>532</v>
      </c>
      <c r="I606" s="220" t="s">
        <v>531</v>
      </c>
      <c r="J606" s="220" t="s">
        <v>297</v>
      </c>
      <c r="K606" s="220" t="s">
        <v>530</v>
      </c>
      <c r="L606" s="220"/>
      <c r="M606" s="220"/>
      <c r="N606" s="220"/>
      <c r="O606" s="220"/>
      <c r="P606" s="220"/>
      <c r="Q606" s="220"/>
      <c r="R606" s="220"/>
      <c r="S606" s="220" t="s">
        <v>295</v>
      </c>
      <c r="T606" s="220" t="s">
        <v>305</v>
      </c>
      <c r="U606" s="220"/>
      <c r="V606" s="220"/>
      <c r="W606" s="220"/>
      <c r="X606" s="220"/>
      <c r="Y606" s="283"/>
      <c r="Z606" s="220"/>
      <c r="AA606" s="220"/>
      <c r="AB606" s="220"/>
      <c r="AC606" s="220"/>
      <c r="AD606" s="220"/>
      <c r="AE606" s="283"/>
      <c r="AF606" s="220"/>
      <c r="AG606" s="220"/>
      <c r="AH606" s="220"/>
      <c r="AI606" s="220"/>
      <c r="AJ606" s="226">
        <v>1</v>
      </c>
      <c r="AK606" s="226">
        <v>0</v>
      </c>
      <c r="AL606" s="225">
        <v>4.3999999999999997E-2</v>
      </c>
      <c r="AM606" s="220"/>
      <c r="AN606" s="225">
        <v>417</v>
      </c>
      <c r="AO606" s="220"/>
      <c r="AP606" s="220"/>
      <c r="AQ606" s="283"/>
      <c r="AR606" s="283"/>
      <c r="AS606" s="283"/>
      <c r="AT606" s="223">
        <v>0</v>
      </c>
      <c r="AU606" s="284">
        <v>0</v>
      </c>
      <c r="AV606" s="221">
        <v>42646</v>
      </c>
      <c r="AW606" s="221">
        <v>42646.766559259297</v>
      </c>
      <c r="AX606" s="220" t="s">
        <v>293</v>
      </c>
      <c r="AY606" s="219" t="s">
        <v>529</v>
      </c>
    </row>
    <row r="607" spans="1:51" hidden="1" outlineLevel="1" collapsed="1">
      <c r="A607" s="227" t="s">
        <v>289</v>
      </c>
      <c r="B607" s="220" t="s">
        <v>527</v>
      </c>
      <c r="C607" s="220" t="s">
        <v>527</v>
      </c>
      <c r="D607" s="220" t="s">
        <v>526</v>
      </c>
      <c r="E607" s="220" t="s">
        <v>525</v>
      </c>
      <c r="F607" s="220" t="s">
        <v>524</v>
      </c>
      <c r="G607" s="220"/>
      <c r="H607" s="220" t="s">
        <v>523</v>
      </c>
      <c r="I607" s="220" t="s">
        <v>337</v>
      </c>
      <c r="J607" s="220" t="s">
        <v>297</v>
      </c>
      <c r="K607" s="220" t="s">
        <v>336</v>
      </c>
      <c r="L607" s="220"/>
      <c r="M607" s="220"/>
      <c r="N607" s="220"/>
      <c r="O607" s="220"/>
      <c r="P607" s="220"/>
      <c r="Q607" s="220"/>
      <c r="R607" s="220"/>
      <c r="S607" s="220" t="s">
        <v>295</v>
      </c>
      <c r="T607" s="220" t="s">
        <v>305</v>
      </c>
      <c r="U607" s="220"/>
      <c r="V607" s="220"/>
      <c r="W607" s="220"/>
      <c r="X607" s="220"/>
      <c r="Y607" s="283"/>
      <c r="Z607" s="220"/>
      <c r="AA607" s="220"/>
      <c r="AB607" s="220"/>
      <c r="AC607" s="220"/>
      <c r="AD607" s="220"/>
      <c r="AE607" s="283"/>
      <c r="AF607" s="220"/>
      <c r="AG607" s="220"/>
      <c r="AH607" s="220"/>
      <c r="AI607" s="220"/>
      <c r="AJ607" s="226">
        <v>1</v>
      </c>
      <c r="AK607" s="226">
        <v>0</v>
      </c>
      <c r="AL607" s="225">
        <v>4.3999999999999997E-2</v>
      </c>
      <c r="AM607" s="220"/>
      <c r="AN607" s="225">
        <v>417</v>
      </c>
      <c r="AO607" s="220"/>
      <c r="AP607" s="220"/>
      <c r="AQ607" s="283"/>
      <c r="AR607" s="283"/>
      <c r="AS607" s="283"/>
      <c r="AT607" s="223">
        <v>0</v>
      </c>
      <c r="AU607" s="284">
        <v>0</v>
      </c>
      <c r="AV607" s="221">
        <v>42656</v>
      </c>
      <c r="AW607" s="221">
        <v>42656.622656979198</v>
      </c>
      <c r="AX607" s="220" t="s">
        <v>293</v>
      </c>
      <c r="AY607" s="219" t="s">
        <v>528</v>
      </c>
    </row>
    <row r="608" spans="1:51" hidden="1" outlineLevel="1" collapsed="1">
      <c r="A608" s="227" t="s">
        <v>289</v>
      </c>
      <c r="B608" s="220" t="s">
        <v>527</v>
      </c>
      <c r="C608" s="220" t="s">
        <v>527</v>
      </c>
      <c r="D608" s="220" t="s">
        <v>526</v>
      </c>
      <c r="E608" s="220" t="s">
        <v>525</v>
      </c>
      <c r="F608" s="220" t="s">
        <v>524</v>
      </c>
      <c r="G608" s="220"/>
      <c r="H608" s="220" t="s">
        <v>523</v>
      </c>
      <c r="I608" s="220" t="s">
        <v>337</v>
      </c>
      <c r="J608" s="220" t="s">
        <v>297</v>
      </c>
      <c r="K608" s="220" t="s">
        <v>336</v>
      </c>
      <c r="L608" s="220"/>
      <c r="M608" s="220"/>
      <c r="N608" s="220"/>
      <c r="O608" s="220"/>
      <c r="P608" s="220"/>
      <c r="Q608" s="220"/>
      <c r="R608" s="220"/>
      <c r="S608" s="220" t="s">
        <v>295</v>
      </c>
      <c r="T608" s="220" t="s">
        <v>153</v>
      </c>
      <c r="U608" s="220"/>
      <c r="V608" s="220"/>
      <c r="W608" s="220"/>
      <c r="X608" s="220"/>
      <c r="Y608" s="283"/>
      <c r="Z608" s="220"/>
      <c r="AA608" s="220"/>
      <c r="AB608" s="220"/>
      <c r="AC608" s="220"/>
      <c r="AD608" s="220"/>
      <c r="AE608" s="283"/>
      <c r="AF608" s="220"/>
      <c r="AG608" s="220"/>
      <c r="AH608" s="220"/>
      <c r="AI608" s="220"/>
      <c r="AJ608" s="226">
        <v>1</v>
      </c>
      <c r="AK608" s="226">
        <v>0</v>
      </c>
      <c r="AL608" s="225">
        <v>0.19</v>
      </c>
      <c r="AM608" s="220"/>
      <c r="AN608" s="225">
        <v>508</v>
      </c>
      <c r="AO608" s="220"/>
      <c r="AP608" s="220"/>
      <c r="AQ608" s="283"/>
      <c r="AR608" s="283"/>
      <c r="AS608" s="283"/>
      <c r="AT608" s="223">
        <v>0</v>
      </c>
      <c r="AU608" s="284">
        <v>0</v>
      </c>
      <c r="AV608" s="221">
        <v>42656</v>
      </c>
      <c r="AW608" s="221">
        <v>42656.622656979198</v>
      </c>
      <c r="AX608" s="220" t="s">
        <v>293</v>
      </c>
      <c r="AY608" s="219" t="s">
        <v>522</v>
      </c>
    </row>
    <row r="609" spans="1:51" hidden="1" outlineLevel="1" collapsed="1">
      <c r="A609" s="227" t="s">
        <v>289</v>
      </c>
      <c r="B609" s="220" t="s">
        <v>520</v>
      </c>
      <c r="C609" s="220" t="s">
        <v>520</v>
      </c>
      <c r="D609" s="220" t="s">
        <v>519</v>
      </c>
      <c r="E609" s="220" t="s">
        <v>518</v>
      </c>
      <c r="F609" s="220" t="s">
        <v>517</v>
      </c>
      <c r="G609" s="220"/>
      <c r="H609" s="220" t="s">
        <v>516</v>
      </c>
      <c r="I609" s="220" t="s">
        <v>329</v>
      </c>
      <c r="J609" s="220" t="s">
        <v>297</v>
      </c>
      <c r="K609" s="220" t="s">
        <v>397</v>
      </c>
      <c r="L609" s="220"/>
      <c r="M609" s="220"/>
      <c r="N609" s="220"/>
      <c r="O609" s="220"/>
      <c r="P609" s="220"/>
      <c r="Q609" s="220"/>
      <c r="R609" s="220"/>
      <c r="S609" s="220" t="s">
        <v>295</v>
      </c>
      <c r="T609" s="220" t="s">
        <v>305</v>
      </c>
      <c r="U609" s="220"/>
      <c r="V609" s="220"/>
      <c r="W609" s="220"/>
      <c r="X609" s="220"/>
      <c r="Y609" s="283"/>
      <c r="Z609" s="220"/>
      <c r="AA609" s="220"/>
      <c r="AB609" s="220"/>
      <c r="AC609" s="220"/>
      <c r="AD609" s="220"/>
      <c r="AE609" s="283"/>
      <c r="AF609" s="220"/>
      <c r="AG609" s="220"/>
      <c r="AH609" s="220"/>
      <c r="AI609" s="220"/>
      <c r="AJ609" s="226">
        <v>1</v>
      </c>
      <c r="AK609" s="226">
        <v>0</v>
      </c>
      <c r="AL609" s="225">
        <v>4.3999999999999997E-2</v>
      </c>
      <c r="AM609" s="220"/>
      <c r="AN609" s="225">
        <v>417</v>
      </c>
      <c r="AO609" s="220"/>
      <c r="AP609" s="220"/>
      <c r="AQ609" s="283"/>
      <c r="AR609" s="283"/>
      <c r="AS609" s="283"/>
      <c r="AT609" s="223">
        <v>0</v>
      </c>
      <c r="AU609" s="284">
        <v>0</v>
      </c>
      <c r="AV609" s="221">
        <v>42674</v>
      </c>
      <c r="AW609" s="221">
        <v>42674.783725775502</v>
      </c>
      <c r="AX609" s="220" t="s">
        <v>293</v>
      </c>
      <c r="AY609" s="219" t="s">
        <v>521</v>
      </c>
    </row>
    <row r="610" spans="1:51" hidden="1" outlineLevel="1" collapsed="1">
      <c r="A610" s="227" t="s">
        <v>289</v>
      </c>
      <c r="B610" s="220" t="s">
        <v>520</v>
      </c>
      <c r="C610" s="220" t="s">
        <v>520</v>
      </c>
      <c r="D610" s="220" t="s">
        <v>519</v>
      </c>
      <c r="E610" s="220" t="s">
        <v>518</v>
      </c>
      <c r="F610" s="220" t="s">
        <v>517</v>
      </c>
      <c r="G610" s="220"/>
      <c r="H610" s="220" t="s">
        <v>516</v>
      </c>
      <c r="I610" s="220" t="s">
        <v>329</v>
      </c>
      <c r="J610" s="220" t="s">
        <v>297</v>
      </c>
      <c r="K610" s="220" t="s">
        <v>397</v>
      </c>
      <c r="L610" s="220"/>
      <c r="M610" s="220"/>
      <c r="N610" s="220"/>
      <c r="O610" s="220"/>
      <c r="P610" s="220"/>
      <c r="Q610" s="220"/>
      <c r="R610" s="220"/>
      <c r="S610" s="220" t="s">
        <v>295</v>
      </c>
      <c r="T610" s="220" t="s">
        <v>153</v>
      </c>
      <c r="U610" s="220"/>
      <c r="V610" s="220"/>
      <c r="W610" s="220"/>
      <c r="X610" s="220"/>
      <c r="Y610" s="283"/>
      <c r="Z610" s="220"/>
      <c r="AA610" s="220"/>
      <c r="AB610" s="220"/>
      <c r="AC610" s="220"/>
      <c r="AD610" s="220"/>
      <c r="AE610" s="283"/>
      <c r="AF610" s="220"/>
      <c r="AG610" s="220"/>
      <c r="AH610" s="220"/>
      <c r="AI610" s="220"/>
      <c r="AJ610" s="226">
        <v>1</v>
      </c>
      <c r="AK610" s="226">
        <v>0</v>
      </c>
      <c r="AL610" s="225">
        <v>0.19</v>
      </c>
      <c r="AM610" s="220"/>
      <c r="AN610" s="225">
        <v>508</v>
      </c>
      <c r="AO610" s="220"/>
      <c r="AP610" s="220"/>
      <c r="AQ610" s="283"/>
      <c r="AR610" s="283"/>
      <c r="AS610" s="283"/>
      <c r="AT610" s="223">
        <v>0</v>
      </c>
      <c r="AU610" s="284">
        <v>0</v>
      </c>
      <c r="AV610" s="221">
        <v>42674</v>
      </c>
      <c r="AW610" s="221">
        <v>42674.783725775502</v>
      </c>
      <c r="AX610" s="220" t="s">
        <v>293</v>
      </c>
      <c r="AY610" s="219" t="s">
        <v>515</v>
      </c>
    </row>
    <row r="611" spans="1:51" hidden="1" outlineLevel="1" collapsed="1">
      <c r="A611" s="227" t="s">
        <v>289</v>
      </c>
      <c r="B611" s="220" t="s">
        <v>513</v>
      </c>
      <c r="C611" s="220" t="s">
        <v>513</v>
      </c>
      <c r="D611" s="220" t="s">
        <v>512</v>
      </c>
      <c r="E611" s="220" t="s">
        <v>511</v>
      </c>
      <c r="F611" s="220" t="s">
        <v>510</v>
      </c>
      <c r="G611" s="220"/>
      <c r="H611" s="220" t="s">
        <v>509</v>
      </c>
      <c r="I611" s="220" t="s">
        <v>329</v>
      </c>
      <c r="J611" s="220" t="s">
        <v>297</v>
      </c>
      <c r="K611" s="220" t="s">
        <v>397</v>
      </c>
      <c r="L611" s="220"/>
      <c r="M611" s="220"/>
      <c r="N611" s="220"/>
      <c r="O611" s="220"/>
      <c r="P611" s="220"/>
      <c r="Q611" s="220"/>
      <c r="R611" s="220"/>
      <c r="S611" s="220" t="s">
        <v>295</v>
      </c>
      <c r="T611" s="220" t="s">
        <v>153</v>
      </c>
      <c r="U611" s="220"/>
      <c r="V611" s="220"/>
      <c r="W611" s="220"/>
      <c r="X611" s="220"/>
      <c r="Y611" s="283"/>
      <c r="Z611" s="220"/>
      <c r="AA611" s="220"/>
      <c r="AB611" s="220"/>
      <c r="AC611" s="220"/>
      <c r="AD611" s="220"/>
      <c r="AE611" s="283"/>
      <c r="AF611" s="220"/>
      <c r="AG611" s="220"/>
      <c r="AH611" s="220"/>
      <c r="AI611" s="220"/>
      <c r="AJ611" s="226">
        <v>1</v>
      </c>
      <c r="AK611" s="226">
        <v>0</v>
      </c>
      <c r="AL611" s="225">
        <v>0.19</v>
      </c>
      <c r="AM611" s="220"/>
      <c r="AN611" s="225">
        <v>508</v>
      </c>
      <c r="AO611" s="220"/>
      <c r="AP611" s="220"/>
      <c r="AQ611" s="283"/>
      <c r="AR611" s="283"/>
      <c r="AS611" s="283"/>
      <c r="AT611" s="223">
        <v>0</v>
      </c>
      <c r="AU611" s="284">
        <v>0</v>
      </c>
      <c r="AV611" s="221">
        <v>42674</v>
      </c>
      <c r="AW611" s="221">
        <v>42674.784882256899</v>
      </c>
      <c r="AX611" s="220" t="s">
        <v>293</v>
      </c>
      <c r="AY611" s="219" t="s">
        <v>514</v>
      </c>
    </row>
    <row r="612" spans="1:51" hidden="1" outlineLevel="1" collapsed="1">
      <c r="A612" s="227" t="s">
        <v>289</v>
      </c>
      <c r="B612" s="220" t="s">
        <v>513</v>
      </c>
      <c r="C612" s="220" t="s">
        <v>513</v>
      </c>
      <c r="D612" s="220" t="s">
        <v>512</v>
      </c>
      <c r="E612" s="220" t="s">
        <v>511</v>
      </c>
      <c r="F612" s="220" t="s">
        <v>510</v>
      </c>
      <c r="G612" s="220"/>
      <c r="H612" s="220" t="s">
        <v>509</v>
      </c>
      <c r="I612" s="220" t="s">
        <v>329</v>
      </c>
      <c r="J612" s="220" t="s">
        <v>297</v>
      </c>
      <c r="K612" s="220" t="s">
        <v>397</v>
      </c>
      <c r="L612" s="220"/>
      <c r="M612" s="220"/>
      <c r="N612" s="220"/>
      <c r="O612" s="220"/>
      <c r="P612" s="220"/>
      <c r="Q612" s="220"/>
      <c r="R612" s="220"/>
      <c r="S612" s="220" t="s">
        <v>295</v>
      </c>
      <c r="T612" s="220" t="s">
        <v>305</v>
      </c>
      <c r="U612" s="220"/>
      <c r="V612" s="220"/>
      <c r="W612" s="220"/>
      <c r="X612" s="220"/>
      <c r="Y612" s="283"/>
      <c r="Z612" s="220"/>
      <c r="AA612" s="220"/>
      <c r="AB612" s="220"/>
      <c r="AC612" s="220"/>
      <c r="AD612" s="220"/>
      <c r="AE612" s="283"/>
      <c r="AF612" s="220"/>
      <c r="AG612" s="220"/>
      <c r="AH612" s="220"/>
      <c r="AI612" s="220"/>
      <c r="AJ612" s="226">
        <v>1</v>
      </c>
      <c r="AK612" s="226">
        <v>0</v>
      </c>
      <c r="AL612" s="225">
        <v>4.3999999999999997E-2</v>
      </c>
      <c r="AM612" s="220"/>
      <c r="AN612" s="225">
        <v>417</v>
      </c>
      <c r="AO612" s="220"/>
      <c r="AP612" s="220"/>
      <c r="AQ612" s="283"/>
      <c r="AR612" s="283"/>
      <c r="AS612" s="283"/>
      <c r="AT612" s="223">
        <v>0</v>
      </c>
      <c r="AU612" s="284">
        <v>0</v>
      </c>
      <c r="AV612" s="221">
        <v>42674</v>
      </c>
      <c r="AW612" s="221">
        <v>42674.784882256899</v>
      </c>
      <c r="AX612" s="220" t="s">
        <v>293</v>
      </c>
      <c r="AY612" s="219" t="s">
        <v>508</v>
      </c>
    </row>
    <row r="613" spans="1:51" hidden="1" outlineLevel="1" collapsed="1">
      <c r="A613" s="227" t="s">
        <v>289</v>
      </c>
      <c r="B613" s="220" t="s">
        <v>506</v>
      </c>
      <c r="C613" s="220" t="s">
        <v>506</v>
      </c>
      <c r="D613" s="220" t="s">
        <v>505</v>
      </c>
      <c r="E613" s="220" t="s">
        <v>504</v>
      </c>
      <c r="F613" s="220" t="s">
        <v>503</v>
      </c>
      <c r="G613" s="220"/>
      <c r="H613" s="220" t="s">
        <v>502</v>
      </c>
      <c r="I613" s="220" t="s">
        <v>413</v>
      </c>
      <c r="J613" s="220" t="s">
        <v>297</v>
      </c>
      <c r="K613" s="220" t="s">
        <v>412</v>
      </c>
      <c r="L613" s="220"/>
      <c r="M613" s="220"/>
      <c r="N613" s="220"/>
      <c r="O613" s="220"/>
      <c r="P613" s="220"/>
      <c r="Q613" s="220"/>
      <c r="R613" s="220"/>
      <c r="S613" s="220" t="s">
        <v>295</v>
      </c>
      <c r="T613" s="220" t="s">
        <v>305</v>
      </c>
      <c r="U613" s="220"/>
      <c r="V613" s="220"/>
      <c r="W613" s="220"/>
      <c r="X613" s="220"/>
      <c r="Y613" s="283"/>
      <c r="Z613" s="220"/>
      <c r="AA613" s="220"/>
      <c r="AB613" s="220"/>
      <c r="AC613" s="220"/>
      <c r="AD613" s="220"/>
      <c r="AE613" s="283"/>
      <c r="AF613" s="220"/>
      <c r="AG613" s="220"/>
      <c r="AH613" s="220"/>
      <c r="AI613" s="220"/>
      <c r="AJ613" s="226">
        <v>1</v>
      </c>
      <c r="AK613" s="226">
        <v>0</v>
      </c>
      <c r="AL613" s="225">
        <v>4.3999999999999997E-2</v>
      </c>
      <c r="AM613" s="220"/>
      <c r="AN613" s="225">
        <v>417</v>
      </c>
      <c r="AO613" s="220"/>
      <c r="AP613" s="220"/>
      <c r="AQ613" s="283"/>
      <c r="AR613" s="283"/>
      <c r="AS613" s="283"/>
      <c r="AT613" s="223">
        <v>0</v>
      </c>
      <c r="AU613" s="284">
        <v>0</v>
      </c>
      <c r="AV613" s="221">
        <v>42674</v>
      </c>
      <c r="AW613" s="221">
        <v>42674.787687615702</v>
      </c>
      <c r="AX613" s="220" t="s">
        <v>293</v>
      </c>
      <c r="AY613" s="219" t="s">
        <v>507</v>
      </c>
    </row>
    <row r="614" spans="1:51" hidden="1" outlineLevel="1" collapsed="1">
      <c r="A614" s="227" t="s">
        <v>289</v>
      </c>
      <c r="B614" s="220" t="s">
        <v>506</v>
      </c>
      <c r="C614" s="220" t="s">
        <v>506</v>
      </c>
      <c r="D614" s="220" t="s">
        <v>505</v>
      </c>
      <c r="E614" s="220" t="s">
        <v>504</v>
      </c>
      <c r="F614" s="220" t="s">
        <v>503</v>
      </c>
      <c r="G614" s="220"/>
      <c r="H614" s="220" t="s">
        <v>502</v>
      </c>
      <c r="I614" s="220" t="s">
        <v>413</v>
      </c>
      <c r="J614" s="220" t="s">
        <v>297</v>
      </c>
      <c r="K614" s="220" t="s">
        <v>412</v>
      </c>
      <c r="L614" s="220"/>
      <c r="M614" s="220"/>
      <c r="N614" s="220"/>
      <c r="O614" s="220"/>
      <c r="P614" s="220"/>
      <c r="Q614" s="220"/>
      <c r="R614" s="220"/>
      <c r="S614" s="220" t="s">
        <v>295</v>
      </c>
      <c r="T614" s="220" t="s">
        <v>153</v>
      </c>
      <c r="U614" s="220"/>
      <c r="V614" s="220"/>
      <c r="W614" s="220"/>
      <c r="X614" s="220"/>
      <c r="Y614" s="283"/>
      <c r="Z614" s="220"/>
      <c r="AA614" s="220"/>
      <c r="AB614" s="220"/>
      <c r="AC614" s="220"/>
      <c r="AD614" s="220"/>
      <c r="AE614" s="283"/>
      <c r="AF614" s="220"/>
      <c r="AG614" s="220"/>
      <c r="AH614" s="220"/>
      <c r="AI614" s="220"/>
      <c r="AJ614" s="226">
        <v>1</v>
      </c>
      <c r="AK614" s="226">
        <v>0</v>
      </c>
      <c r="AL614" s="225">
        <v>0.19</v>
      </c>
      <c r="AM614" s="220"/>
      <c r="AN614" s="225">
        <v>508</v>
      </c>
      <c r="AO614" s="220"/>
      <c r="AP614" s="220"/>
      <c r="AQ614" s="283"/>
      <c r="AR614" s="283"/>
      <c r="AS614" s="283"/>
      <c r="AT614" s="223">
        <v>0</v>
      </c>
      <c r="AU614" s="284">
        <v>0</v>
      </c>
      <c r="AV614" s="221">
        <v>42674</v>
      </c>
      <c r="AW614" s="221">
        <v>42674.787687615702</v>
      </c>
      <c r="AX614" s="220" t="s">
        <v>293</v>
      </c>
      <c r="AY614" s="219" t="s">
        <v>501</v>
      </c>
    </row>
    <row r="615" spans="1:51" hidden="1" outlineLevel="1" collapsed="1">
      <c r="A615" s="227" t="s">
        <v>289</v>
      </c>
      <c r="B615" s="220" t="s">
        <v>499</v>
      </c>
      <c r="C615" s="220" t="s">
        <v>499</v>
      </c>
      <c r="D615" s="220" t="s">
        <v>498</v>
      </c>
      <c r="E615" s="220" t="s">
        <v>497</v>
      </c>
      <c r="F615" s="220" t="s">
        <v>496</v>
      </c>
      <c r="G615" s="220"/>
      <c r="H615" s="220" t="s">
        <v>495</v>
      </c>
      <c r="I615" s="220" t="s">
        <v>337</v>
      </c>
      <c r="J615" s="220" t="s">
        <v>297</v>
      </c>
      <c r="K615" s="220" t="s">
        <v>336</v>
      </c>
      <c r="L615" s="220"/>
      <c r="M615" s="220"/>
      <c r="N615" s="220"/>
      <c r="O615" s="220"/>
      <c r="P615" s="220"/>
      <c r="Q615" s="220"/>
      <c r="R615" s="220"/>
      <c r="S615" s="220" t="s">
        <v>295</v>
      </c>
      <c r="T615" s="220" t="s">
        <v>153</v>
      </c>
      <c r="U615" s="220"/>
      <c r="V615" s="220"/>
      <c r="W615" s="220"/>
      <c r="X615" s="220"/>
      <c r="Y615" s="283"/>
      <c r="Z615" s="220"/>
      <c r="AA615" s="220"/>
      <c r="AB615" s="220"/>
      <c r="AC615" s="220"/>
      <c r="AD615" s="220"/>
      <c r="AE615" s="283"/>
      <c r="AF615" s="220"/>
      <c r="AG615" s="220"/>
      <c r="AH615" s="220"/>
      <c r="AI615" s="220"/>
      <c r="AJ615" s="226">
        <v>1</v>
      </c>
      <c r="AK615" s="226">
        <v>0</v>
      </c>
      <c r="AL615" s="225">
        <v>0.19</v>
      </c>
      <c r="AM615" s="220"/>
      <c r="AN615" s="225">
        <v>508</v>
      </c>
      <c r="AO615" s="220"/>
      <c r="AP615" s="220"/>
      <c r="AQ615" s="283"/>
      <c r="AR615" s="283"/>
      <c r="AS615" s="283"/>
      <c r="AT615" s="223">
        <v>0</v>
      </c>
      <c r="AU615" s="284">
        <v>0</v>
      </c>
      <c r="AV615" s="221">
        <v>42719</v>
      </c>
      <c r="AW615" s="221">
        <v>42719.764051967599</v>
      </c>
      <c r="AX615" s="220" t="s">
        <v>293</v>
      </c>
      <c r="AY615" s="219" t="s">
        <v>494</v>
      </c>
    </row>
    <row r="616" spans="1:51" hidden="1" outlineLevel="1" collapsed="1">
      <c r="A616" s="227" t="s">
        <v>289</v>
      </c>
      <c r="B616" s="220" t="s">
        <v>499</v>
      </c>
      <c r="C616" s="220" t="s">
        <v>499</v>
      </c>
      <c r="D616" s="220" t="s">
        <v>498</v>
      </c>
      <c r="E616" s="220" t="s">
        <v>497</v>
      </c>
      <c r="F616" s="220" t="s">
        <v>496</v>
      </c>
      <c r="G616" s="220"/>
      <c r="H616" s="220" t="s">
        <v>495</v>
      </c>
      <c r="I616" s="220" t="s">
        <v>337</v>
      </c>
      <c r="J616" s="220" t="s">
        <v>297</v>
      </c>
      <c r="K616" s="220" t="s">
        <v>336</v>
      </c>
      <c r="L616" s="220"/>
      <c r="M616" s="220"/>
      <c r="N616" s="220"/>
      <c r="O616" s="220"/>
      <c r="P616" s="220"/>
      <c r="Q616" s="220"/>
      <c r="R616" s="220"/>
      <c r="S616" s="220" t="s">
        <v>295</v>
      </c>
      <c r="T616" s="220" t="s">
        <v>305</v>
      </c>
      <c r="U616" s="220"/>
      <c r="V616" s="220"/>
      <c r="W616" s="220"/>
      <c r="X616" s="220"/>
      <c r="Y616" s="283"/>
      <c r="Z616" s="220"/>
      <c r="AA616" s="220"/>
      <c r="AB616" s="220"/>
      <c r="AC616" s="220"/>
      <c r="AD616" s="220"/>
      <c r="AE616" s="283"/>
      <c r="AF616" s="220"/>
      <c r="AG616" s="220"/>
      <c r="AH616" s="220"/>
      <c r="AI616" s="220"/>
      <c r="AJ616" s="226">
        <v>1</v>
      </c>
      <c r="AK616" s="226">
        <v>0</v>
      </c>
      <c r="AL616" s="225">
        <v>4.3999999999999997E-2</v>
      </c>
      <c r="AM616" s="220"/>
      <c r="AN616" s="225">
        <v>417</v>
      </c>
      <c r="AO616" s="220"/>
      <c r="AP616" s="220"/>
      <c r="AQ616" s="283"/>
      <c r="AR616" s="283"/>
      <c r="AS616" s="283"/>
      <c r="AT616" s="223">
        <v>0</v>
      </c>
      <c r="AU616" s="284">
        <v>0</v>
      </c>
      <c r="AV616" s="221">
        <v>42719</v>
      </c>
      <c r="AW616" s="221">
        <v>42719.764051967599</v>
      </c>
      <c r="AX616" s="220" t="s">
        <v>293</v>
      </c>
      <c r="AY616" s="219" t="s">
        <v>500</v>
      </c>
    </row>
    <row r="617" spans="1:51" hidden="1" outlineLevel="1" collapsed="1">
      <c r="A617" s="227" t="s">
        <v>289</v>
      </c>
      <c r="B617" s="220" t="s">
        <v>492</v>
      </c>
      <c r="C617" s="220" t="s">
        <v>492</v>
      </c>
      <c r="D617" s="220" t="s">
        <v>491</v>
      </c>
      <c r="E617" s="220" t="s">
        <v>490</v>
      </c>
      <c r="F617" s="220" t="s">
        <v>489</v>
      </c>
      <c r="G617" s="220"/>
      <c r="H617" s="220" t="s">
        <v>488</v>
      </c>
      <c r="I617" s="220" t="s">
        <v>413</v>
      </c>
      <c r="J617" s="220" t="s">
        <v>297</v>
      </c>
      <c r="K617" s="220" t="s">
        <v>412</v>
      </c>
      <c r="L617" s="220"/>
      <c r="M617" s="220"/>
      <c r="N617" s="220"/>
      <c r="O617" s="220"/>
      <c r="P617" s="220"/>
      <c r="Q617" s="220"/>
      <c r="R617" s="220"/>
      <c r="S617" s="220" t="s">
        <v>295</v>
      </c>
      <c r="T617" s="220" t="s">
        <v>305</v>
      </c>
      <c r="U617" s="220" t="s">
        <v>294</v>
      </c>
      <c r="V617" s="220"/>
      <c r="W617" s="220"/>
      <c r="X617" s="220"/>
      <c r="Y617" s="283"/>
      <c r="Z617" s="220"/>
      <c r="AA617" s="220"/>
      <c r="AB617" s="220"/>
      <c r="AC617" s="220"/>
      <c r="AD617" s="220"/>
      <c r="AE617" s="283"/>
      <c r="AF617" s="220"/>
      <c r="AG617" s="220"/>
      <c r="AH617" s="220"/>
      <c r="AI617" s="220"/>
      <c r="AJ617" s="226">
        <v>1</v>
      </c>
      <c r="AK617" s="226">
        <v>0</v>
      </c>
      <c r="AL617" s="225">
        <v>4.3999999999999997E-2</v>
      </c>
      <c r="AM617" s="220"/>
      <c r="AN617" s="225">
        <v>417</v>
      </c>
      <c r="AO617" s="220"/>
      <c r="AP617" s="220"/>
      <c r="AQ617" s="283"/>
      <c r="AR617" s="283"/>
      <c r="AS617" s="283"/>
      <c r="AT617" s="223">
        <v>0</v>
      </c>
      <c r="AU617" s="284">
        <v>0</v>
      </c>
      <c r="AV617" s="221">
        <v>42779</v>
      </c>
      <c r="AW617" s="221">
        <v>42779.607879826399</v>
      </c>
      <c r="AX617" s="220" t="s">
        <v>293</v>
      </c>
      <c r="AY617" s="219" t="s">
        <v>487</v>
      </c>
    </row>
    <row r="618" spans="1:51" hidden="1" outlineLevel="1" collapsed="1">
      <c r="A618" s="227" t="s">
        <v>289</v>
      </c>
      <c r="B618" s="220" t="s">
        <v>492</v>
      </c>
      <c r="C618" s="220" t="s">
        <v>492</v>
      </c>
      <c r="D618" s="220" t="s">
        <v>491</v>
      </c>
      <c r="E618" s="220" t="s">
        <v>490</v>
      </c>
      <c r="F618" s="220" t="s">
        <v>489</v>
      </c>
      <c r="G618" s="220"/>
      <c r="H618" s="220" t="s">
        <v>488</v>
      </c>
      <c r="I618" s="220" t="s">
        <v>413</v>
      </c>
      <c r="J618" s="220" t="s">
        <v>297</v>
      </c>
      <c r="K618" s="220" t="s">
        <v>412</v>
      </c>
      <c r="L618" s="220"/>
      <c r="M618" s="220"/>
      <c r="N618" s="220"/>
      <c r="O618" s="220"/>
      <c r="P618" s="220"/>
      <c r="Q618" s="220"/>
      <c r="R618" s="220"/>
      <c r="S618" s="220" t="s">
        <v>295</v>
      </c>
      <c r="T618" s="220" t="s">
        <v>153</v>
      </c>
      <c r="U618" s="220" t="s">
        <v>294</v>
      </c>
      <c r="V618" s="220"/>
      <c r="W618" s="220"/>
      <c r="X618" s="220"/>
      <c r="Y618" s="283"/>
      <c r="Z618" s="220"/>
      <c r="AA618" s="220"/>
      <c r="AB618" s="220"/>
      <c r="AC618" s="220"/>
      <c r="AD618" s="220"/>
      <c r="AE618" s="283"/>
      <c r="AF618" s="220"/>
      <c r="AG618" s="220"/>
      <c r="AH618" s="220"/>
      <c r="AI618" s="220"/>
      <c r="AJ618" s="226">
        <v>1</v>
      </c>
      <c r="AK618" s="226">
        <v>0</v>
      </c>
      <c r="AL618" s="225">
        <v>0.19</v>
      </c>
      <c r="AM618" s="220"/>
      <c r="AN618" s="225">
        <v>508</v>
      </c>
      <c r="AO618" s="220"/>
      <c r="AP618" s="220"/>
      <c r="AQ618" s="283"/>
      <c r="AR618" s="283"/>
      <c r="AS618" s="283"/>
      <c r="AT618" s="223">
        <v>0</v>
      </c>
      <c r="AU618" s="284">
        <v>0</v>
      </c>
      <c r="AV618" s="221">
        <v>42779</v>
      </c>
      <c r="AW618" s="221">
        <v>42779.607879826399</v>
      </c>
      <c r="AX618" s="220" t="s">
        <v>293</v>
      </c>
      <c r="AY618" s="219" t="s">
        <v>493</v>
      </c>
    </row>
    <row r="619" spans="1:51" hidden="1" outlineLevel="1" collapsed="1">
      <c r="A619" s="227" t="s">
        <v>289</v>
      </c>
      <c r="B619" s="220" t="s">
        <v>485</v>
      </c>
      <c r="C619" s="220" t="s">
        <v>485</v>
      </c>
      <c r="D619" s="220" t="s">
        <v>484</v>
      </c>
      <c r="E619" s="220" t="s">
        <v>483</v>
      </c>
      <c r="F619" s="220" t="s">
        <v>482</v>
      </c>
      <c r="G619" s="220"/>
      <c r="H619" s="220" t="s">
        <v>481</v>
      </c>
      <c r="I619" s="220" t="s">
        <v>480</v>
      </c>
      <c r="J619" s="220" t="s">
        <v>297</v>
      </c>
      <c r="K619" s="220" t="s">
        <v>479</v>
      </c>
      <c r="L619" s="220"/>
      <c r="M619" s="220"/>
      <c r="N619" s="220"/>
      <c r="O619" s="220"/>
      <c r="P619" s="220"/>
      <c r="Q619" s="220"/>
      <c r="R619" s="220"/>
      <c r="S619" s="220" t="s">
        <v>295</v>
      </c>
      <c r="T619" s="220" t="s">
        <v>153</v>
      </c>
      <c r="U619" s="220"/>
      <c r="V619" s="220"/>
      <c r="W619" s="220"/>
      <c r="X619" s="220"/>
      <c r="Y619" s="283"/>
      <c r="Z619" s="220"/>
      <c r="AA619" s="220"/>
      <c r="AB619" s="220"/>
      <c r="AC619" s="220"/>
      <c r="AD619" s="220"/>
      <c r="AE619" s="283"/>
      <c r="AF619" s="220"/>
      <c r="AG619" s="220"/>
      <c r="AH619" s="220"/>
      <c r="AI619" s="220"/>
      <c r="AJ619" s="226">
        <v>1</v>
      </c>
      <c r="AK619" s="226">
        <v>0</v>
      </c>
      <c r="AL619" s="225">
        <v>0.19</v>
      </c>
      <c r="AM619" s="220"/>
      <c r="AN619" s="225">
        <v>508</v>
      </c>
      <c r="AO619" s="220"/>
      <c r="AP619" s="220"/>
      <c r="AQ619" s="283"/>
      <c r="AR619" s="283"/>
      <c r="AS619" s="283"/>
      <c r="AT619" s="223">
        <v>0</v>
      </c>
      <c r="AU619" s="284">
        <v>0</v>
      </c>
      <c r="AV619" s="221">
        <v>42779</v>
      </c>
      <c r="AW619" s="221">
        <v>42779.6297190162</v>
      </c>
      <c r="AX619" s="220" t="s">
        <v>293</v>
      </c>
      <c r="AY619" s="219" t="s">
        <v>486</v>
      </c>
    </row>
    <row r="620" spans="1:51" hidden="1" outlineLevel="1" collapsed="1">
      <c r="A620" s="227" t="s">
        <v>289</v>
      </c>
      <c r="B620" s="220" t="s">
        <v>485</v>
      </c>
      <c r="C620" s="220" t="s">
        <v>485</v>
      </c>
      <c r="D620" s="220" t="s">
        <v>484</v>
      </c>
      <c r="E620" s="220" t="s">
        <v>483</v>
      </c>
      <c r="F620" s="220" t="s">
        <v>482</v>
      </c>
      <c r="G620" s="220"/>
      <c r="H620" s="220" t="s">
        <v>481</v>
      </c>
      <c r="I620" s="220" t="s">
        <v>480</v>
      </c>
      <c r="J620" s="220" t="s">
        <v>297</v>
      </c>
      <c r="K620" s="220" t="s">
        <v>479</v>
      </c>
      <c r="L620" s="220"/>
      <c r="M620" s="220"/>
      <c r="N620" s="220"/>
      <c r="O620" s="220"/>
      <c r="P620" s="220"/>
      <c r="Q620" s="220"/>
      <c r="R620" s="220"/>
      <c r="S620" s="220" t="s">
        <v>295</v>
      </c>
      <c r="T620" s="220" t="s">
        <v>305</v>
      </c>
      <c r="U620" s="220"/>
      <c r="V620" s="220"/>
      <c r="W620" s="220"/>
      <c r="X620" s="220"/>
      <c r="Y620" s="283"/>
      <c r="Z620" s="220"/>
      <c r="AA620" s="220"/>
      <c r="AB620" s="220"/>
      <c r="AC620" s="220"/>
      <c r="AD620" s="220"/>
      <c r="AE620" s="283"/>
      <c r="AF620" s="220"/>
      <c r="AG620" s="220"/>
      <c r="AH620" s="220"/>
      <c r="AI620" s="220"/>
      <c r="AJ620" s="226">
        <v>1</v>
      </c>
      <c r="AK620" s="226">
        <v>0</v>
      </c>
      <c r="AL620" s="225">
        <v>4.3999999999999997E-2</v>
      </c>
      <c r="AM620" s="220"/>
      <c r="AN620" s="225">
        <v>417</v>
      </c>
      <c r="AO620" s="220"/>
      <c r="AP620" s="220"/>
      <c r="AQ620" s="283"/>
      <c r="AR620" s="283"/>
      <c r="AS620" s="283"/>
      <c r="AT620" s="223">
        <v>0</v>
      </c>
      <c r="AU620" s="284">
        <v>0</v>
      </c>
      <c r="AV620" s="221">
        <v>42779</v>
      </c>
      <c r="AW620" s="221">
        <v>42779.6297190162</v>
      </c>
      <c r="AX620" s="220" t="s">
        <v>293</v>
      </c>
      <c r="AY620" s="219" t="s">
        <v>478</v>
      </c>
    </row>
    <row r="621" spans="1:51" hidden="1" outlineLevel="1" collapsed="1">
      <c r="A621" s="227" t="s">
        <v>289</v>
      </c>
      <c r="B621" s="220" t="s">
        <v>476</v>
      </c>
      <c r="C621" s="220" t="s">
        <v>476</v>
      </c>
      <c r="D621" s="220" t="s">
        <v>475</v>
      </c>
      <c r="E621" s="220" t="s">
        <v>474</v>
      </c>
      <c r="F621" s="220" t="s">
        <v>473</v>
      </c>
      <c r="G621" s="220"/>
      <c r="H621" s="220" t="s">
        <v>472</v>
      </c>
      <c r="I621" s="220" t="s">
        <v>471</v>
      </c>
      <c r="J621" s="220" t="s">
        <v>297</v>
      </c>
      <c r="K621" s="220" t="s">
        <v>470</v>
      </c>
      <c r="L621" s="220"/>
      <c r="M621" s="220"/>
      <c r="N621" s="220"/>
      <c r="O621" s="220"/>
      <c r="P621" s="220"/>
      <c r="Q621" s="220"/>
      <c r="R621" s="220"/>
      <c r="S621" s="220" t="s">
        <v>295</v>
      </c>
      <c r="T621" s="220" t="s">
        <v>305</v>
      </c>
      <c r="U621" s="220"/>
      <c r="V621" s="220"/>
      <c r="W621" s="220"/>
      <c r="X621" s="220"/>
      <c r="Y621" s="283"/>
      <c r="Z621" s="220"/>
      <c r="AA621" s="220"/>
      <c r="AB621" s="220"/>
      <c r="AC621" s="220"/>
      <c r="AD621" s="220"/>
      <c r="AE621" s="283"/>
      <c r="AF621" s="220"/>
      <c r="AG621" s="220"/>
      <c r="AH621" s="220"/>
      <c r="AI621" s="220"/>
      <c r="AJ621" s="226">
        <v>1</v>
      </c>
      <c r="AK621" s="226">
        <v>0</v>
      </c>
      <c r="AL621" s="225">
        <v>4.3999999999999997E-2</v>
      </c>
      <c r="AM621" s="220"/>
      <c r="AN621" s="225">
        <v>417</v>
      </c>
      <c r="AO621" s="220"/>
      <c r="AP621" s="220"/>
      <c r="AQ621" s="283"/>
      <c r="AR621" s="283"/>
      <c r="AS621" s="283"/>
      <c r="AT621" s="223">
        <v>0</v>
      </c>
      <c r="AU621" s="284">
        <v>0</v>
      </c>
      <c r="AV621" s="221">
        <v>42779</v>
      </c>
      <c r="AW621" s="221">
        <v>42779.6326913542</v>
      </c>
      <c r="AX621" s="220" t="s">
        <v>293</v>
      </c>
      <c r="AY621" s="219" t="s">
        <v>469</v>
      </c>
    </row>
    <row r="622" spans="1:51" hidden="1" outlineLevel="1" collapsed="1">
      <c r="A622" s="227" t="s">
        <v>289</v>
      </c>
      <c r="B622" s="220" t="s">
        <v>476</v>
      </c>
      <c r="C622" s="220" t="s">
        <v>476</v>
      </c>
      <c r="D622" s="220" t="s">
        <v>475</v>
      </c>
      <c r="E622" s="220" t="s">
        <v>474</v>
      </c>
      <c r="F622" s="220" t="s">
        <v>473</v>
      </c>
      <c r="G622" s="220"/>
      <c r="H622" s="220" t="s">
        <v>472</v>
      </c>
      <c r="I622" s="220" t="s">
        <v>471</v>
      </c>
      <c r="J622" s="220" t="s">
        <v>297</v>
      </c>
      <c r="K622" s="220" t="s">
        <v>470</v>
      </c>
      <c r="L622" s="220"/>
      <c r="M622" s="220"/>
      <c r="N622" s="220"/>
      <c r="O622" s="220"/>
      <c r="P622" s="220"/>
      <c r="Q622" s="220"/>
      <c r="R622" s="220"/>
      <c r="S622" s="220" t="s">
        <v>295</v>
      </c>
      <c r="T622" s="220" t="s">
        <v>153</v>
      </c>
      <c r="U622" s="220"/>
      <c r="V622" s="220"/>
      <c r="W622" s="220"/>
      <c r="X622" s="220"/>
      <c r="Y622" s="283"/>
      <c r="Z622" s="220"/>
      <c r="AA622" s="220"/>
      <c r="AB622" s="220"/>
      <c r="AC622" s="220"/>
      <c r="AD622" s="220"/>
      <c r="AE622" s="283"/>
      <c r="AF622" s="220"/>
      <c r="AG622" s="220"/>
      <c r="AH622" s="220"/>
      <c r="AI622" s="220"/>
      <c r="AJ622" s="226">
        <v>1</v>
      </c>
      <c r="AK622" s="226">
        <v>0</v>
      </c>
      <c r="AL622" s="225">
        <v>0.19</v>
      </c>
      <c r="AM622" s="220"/>
      <c r="AN622" s="225">
        <v>508</v>
      </c>
      <c r="AO622" s="220"/>
      <c r="AP622" s="220"/>
      <c r="AQ622" s="283"/>
      <c r="AR622" s="283"/>
      <c r="AS622" s="283"/>
      <c r="AT622" s="223">
        <v>0</v>
      </c>
      <c r="AU622" s="284">
        <v>0</v>
      </c>
      <c r="AV622" s="221">
        <v>42779</v>
      </c>
      <c r="AW622" s="221">
        <v>42779.6326913542</v>
      </c>
      <c r="AX622" s="220" t="s">
        <v>293</v>
      </c>
      <c r="AY622" s="219" t="s">
        <v>477</v>
      </c>
    </row>
    <row r="623" spans="1:51" hidden="1" outlineLevel="1" collapsed="1">
      <c r="A623" s="227" t="s">
        <v>289</v>
      </c>
      <c r="B623" s="220" t="s">
        <v>467</v>
      </c>
      <c r="C623" s="220" t="s">
        <v>467</v>
      </c>
      <c r="D623" s="220" t="s">
        <v>466</v>
      </c>
      <c r="E623" s="220" t="s">
        <v>465</v>
      </c>
      <c r="F623" s="220" t="s">
        <v>464</v>
      </c>
      <c r="G623" s="220"/>
      <c r="H623" s="220" t="s">
        <v>463</v>
      </c>
      <c r="I623" s="220" t="s">
        <v>337</v>
      </c>
      <c r="J623" s="220" t="s">
        <v>297</v>
      </c>
      <c r="K623" s="220" t="s">
        <v>336</v>
      </c>
      <c r="L623" s="220"/>
      <c r="M623" s="220"/>
      <c r="N623" s="220"/>
      <c r="O623" s="220"/>
      <c r="P623" s="220"/>
      <c r="Q623" s="220"/>
      <c r="R623" s="220"/>
      <c r="S623" s="220" t="s">
        <v>295</v>
      </c>
      <c r="T623" s="220" t="s">
        <v>153</v>
      </c>
      <c r="U623" s="220"/>
      <c r="V623" s="220"/>
      <c r="W623" s="220"/>
      <c r="X623" s="220"/>
      <c r="Y623" s="283"/>
      <c r="Z623" s="220"/>
      <c r="AA623" s="220"/>
      <c r="AB623" s="220"/>
      <c r="AC623" s="220"/>
      <c r="AD623" s="220"/>
      <c r="AE623" s="283"/>
      <c r="AF623" s="220"/>
      <c r="AG623" s="220"/>
      <c r="AH623" s="220"/>
      <c r="AI623" s="220"/>
      <c r="AJ623" s="226">
        <v>1</v>
      </c>
      <c r="AK623" s="226">
        <v>0</v>
      </c>
      <c r="AL623" s="225">
        <v>0.19</v>
      </c>
      <c r="AM623" s="220"/>
      <c r="AN623" s="225">
        <v>508</v>
      </c>
      <c r="AO623" s="220"/>
      <c r="AP623" s="220"/>
      <c r="AQ623" s="283"/>
      <c r="AR623" s="283"/>
      <c r="AS623" s="283"/>
      <c r="AT623" s="223">
        <v>0</v>
      </c>
      <c r="AU623" s="284">
        <v>0</v>
      </c>
      <c r="AV623" s="221">
        <v>42779</v>
      </c>
      <c r="AW623" s="221">
        <v>42779.634779664397</v>
      </c>
      <c r="AX623" s="220" t="s">
        <v>293</v>
      </c>
      <c r="AY623" s="219" t="s">
        <v>468</v>
      </c>
    </row>
    <row r="624" spans="1:51" hidden="1" outlineLevel="1" collapsed="1">
      <c r="A624" s="227" t="s">
        <v>289</v>
      </c>
      <c r="B624" s="220" t="s">
        <v>467</v>
      </c>
      <c r="C624" s="220" t="s">
        <v>467</v>
      </c>
      <c r="D624" s="220" t="s">
        <v>466</v>
      </c>
      <c r="E624" s="220" t="s">
        <v>465</v>
      </c>
      <c r="F624" s="220" t="s">
        <v>464</v>
      </c>
      <c r="G624" s="220"/>
      <c r="H624" s="220" t="s">
        <v>463</v>
      </c>
      <c r="I624" s="220" t="s">
        <v>337</v>
      </c>
      <c r="J624" s="220" t="s">
        <v>297</v>
      </c>
      <c r="K624" s="220" t="s">
        <v>336</v>
      </c>
      <c r="L624" s="220"/>
      <c r="M624" s="220"/>
      <c r="N624" s="220"/>
      <c r="O624" s="220"/>
      <c r="P624" s="220"/>
      <c r="Q624" s="220"/>
      <c r="R624" s="220"/>
      <c r="S624" s="220" t="s">
        <v>295</v>
      </c>
      <c r="T624" s="220" t="s">
        <v>305</v>
      </c>
      <c r="U624" s="220"/>
      <c r="V624" s="220"/>
      <c r="W624" s="220"/>
      <c r="X624" s="220"/>
      <c r="Y624" s="283"/>
      <c r="Z624" s="220"/>
      <c r="AA624" s="220"/>
      <c r="AB624" s="220"/>
      <c r="AC624" s="220"/>
      <c r="AD624" s="220"/>
      <c r="AE624" s="283"/>
      <c r="AF624" s="220"/>
      <c r="AG624" s="220"/>
      <c r="AH624" s="220"/>
      <c r="AI624" s="220"/>
      <c r="AJ624" s="226">
        <v>1</v>
      </c>
      <c r="AK624" s="226">
        <v>0</v>
      </c>
      <c r="AL624" s="225">
        <v>4.3999999999999997E-2</v>
      </c>
      <c r="AM624" s="220"/>
      <c r="AN624" s="225">
        <v>417</v>
      </c>
      <c r="AO624" s="220"/>
      <c r="AP624" s="220"/>
      <c r="AQ624" s="283"/>
      <c r="AR624" s="283"/>
      <c r="AS624" s="283"/>
      <c r="AT624" s="223">
        <v>0</v>
      </c>
      <c r="AU624" s="284">
        <v>0</v>
      </c>
      <c r="AV624" s="221">
        <v>42779</v>
      </c>
      <c r="AW624" s="221">
        <v>42779.634779664397</v>
      </c>
      <c r="AX624" s="220" t="s">
        <v>293</v>
      </c>
      <c r="AY624" s="219" t="s">
        <v>462</v>
      </c>
    </row>
    <row r="625" spans="1:51" hidden="1" outlineLevel="1" collapsed="1">
      <c r="A625" s="227" t="s">
        <v>289</v>
      </c>
      <c r="B625" s="220" t="s">
        <v>460</v>
      </c>
      <c r="C625" s="220" t="s">
        <v>460</v>
      </c>
      <c r="D625" s="220" t="s">
        <v>459</v>
      </c>
      <c r="E625" s="220" t="s">
        <v>458</v>
      </c>
      <c r="F625" s="220" t="s">
        <v>457</v>
      </c>
      <c r="G625" s="220"/>
      <c r="H625" s="220" t="s">
        <v>456</v>
      </c>
      <c r="I625" s="220" t="s">
        <v>329</v>
      </c>
      <c r="J625" s="220" t="s">
        <v>297</v>
      </c>
      <c r="K625" s="220" t="s">
        <v>328</v>
      </c>
      <c r="L625" s="220"/>
      <c r="M625" s="220"/>
      <c r="N625" s="220"/>
      <c r="O625" s="220"/>
      <c r="P625" s="220"/>
      <c r="Q625" s="220"/>
      <c r="R625" s="220"/>
      <c r="S625" s="220" t="s">
        <v>295</v>
      </c>
      <c r="T625" s="220" t="s">
        <v>305</v>
      </c>
      <c r="U625" s="220" t="s">
        <v>294</v>
      </c>
      <c r="V625" s="220"/>
      <c r="W625" s="220"/>
      <c r="X625" s="220"/>
      <c r="Y625" s="283"/>
      <c r="Z625" s="220"/>
      <c r="AA625" s="220"/>
      <c r="AB625" s="220"/>
      <c r="AC625" s="220"/>
      <c r="AD625" s="220"/>
      <c r="AE625" s="283"/>
      <c r="AF625" s="220"/>
      <c r="AG625" s="220"/>
      <c r="AH625" s="220"/>
      <c r="AI625" s="220"/>
      <c r="AJ625" s="226">
        <v>1</v>
      </c>
      <c r="AK625" s="226">
        <v>0</v>
      </c>
      <c r="AL625" s="225">
        <v>4.3999999999999997E-2</v>
      </c>
      <c r="AM625" s="220"/>
      <c r="AN625" s="225">
        <v>417</v>
      </c>
      <c r="AO625" s="220"/>
      <c r="AP625" s="220"/>
      <c r="AQ625" s="283"/>
      <c r="AR625" s="283"/>
      <c r="AS625" s="283"/>
      <c r="AT625" s="223">
        <v>0</v>
      </c>
      <c r="AU625" s="284">
        <v>0</v>
      </c>
      <c r="AV625" s="221">
        <v>42794</v>
      </c>
      <c r="AW625" s="221">
        <v>42794.5689748843</v>
      </c>
      <c r="AX625" s="220" t="s">
        <v>293</v>
      </c>
      <c r="AY625" s="219" t="s">
        <v>461</v>
      </c>
    </row>
    <row r="626" spans="1:51" hidden="1" outlineLevel="1" collapsed="1">
      <c r="A626" s="227" t="s">
        <v>289</v>
      </c>
      <c r="B626" s="220" t="s">
        <v>460</v>
      </c>
      <c r="C626" s="220" t="s">
        <v>460</v>
      </c>
      <c r="D626" s="220" t="s">
        <v>459</v>
      </c>
      <c r="E626" s="220" t="s">
        <v>458</v>
      </c>
      <c r="F626" s="220" t="s">
        <v>457</v>
      </c>
      <c r="G626" s="220"/>
      <c r="H626" s="220" t="s">
        <v>456</v>
      </c>
      <c r="I626" s="220" t="s">
        <v>329</v>
      </c>
      <c r="J626" s="220" t="s">
        <v>297</v>
      </c>
      <c r="K626" s="220" t="s">
        <v>328</v>
      </c>
      <c r="L626" s="220"/>
      <c r="M626" s="220"/>
      <c r="N626" s="220"/>
      <c r="O626" s="220"/>
      <c r="P626" s="220"/>
      <c r="Q626" s="220"/>
      <c r="R626" s="220"/>
      <c r="S626" s="220" t="s">
        <v>295</v>
      </c>
      <c r="T626" s="220" t="s">
        <v>153</v>
      </c>
      <c r="U626" s="220" t="s">
        <v>294</v>
      </c>
      <c r="V626" s="220"/>
      <c r="W626" s="220"/>
      <c r="X626" s="220"/>
      <c r="Y626" s="283"/>
      <c r="Z626" s="220"/>
      <c r="AA626" s="220"/>
      <c r="AB626" s="220"/>
      <c r="AC626" s="220"/>
      <c r="AD626" s="220"/>
      <c r="AE626" s="283"/>
      <c r="AF626" s="220"/>
      <c r="AG626" s="220"/>
      <c r="AH626" s="220"/>
      <c r="AI626" s="220"/>
      <c r="AJ626" s="226">
        <v>1</v>
      </c>
      <c r="AK626" s="226">
        <v>0</v>
      </c>
      <c r="AL626" s="225">
        <v>0.19</v>
      </c>
      <c r="AM626" s="220"/>
      <c r="AN626" s="225">
        <v>508</v>
      </c>
      <c r="AO626" s="220"/>
      <c r="AP626" s="220"/>
      <c r="AQ626" s="283"/>
      <c r="AR626" s="283"/>
      <c r="AS626" s="283"/>
      <c r="AT626" s="223">
        <v>0</v>
      </c>
      <c r="AU626" s="284">
        <v>0</v>
      </c>
      <c r="AV626" s="221">
        <v>42794</v>
      </c>
      <c r="AW626" s="221">
        <v>42794.5689748843</v>
      </c>
      <c r="AX626" s="220" t="s">
        <v>293</v>
      </c>
      <c r="AY626" s="219" t="s">
        <v>455</v>
      </c>
    </row>
    <row r="627" spans="1:51" hidden="1" outlineLevel="1" collapsed="1">
      <c r="A627" s="227" t="s">
        <v>289</v>
      </c>
      <c r="B627" s="220" t="s">
        <v>453</v>
      </c>
      <c r="C627" s="220" t="s">
        <v>453</v>
      </c>
      <c r="D627" s="220" t="s">
        <v>452</v>
      </c>
      <c r="E627" s="220" t="s">
        <v>451</v>
      </c>
      <c r="F627" s="220" t="s">
        <v>450</v>
      </c>
      <c r="G627" s="220"/>
      <c r="H627" s="220" t="s">
        <v>449</v>
      </c>
      <c r="I627" s="220" t="s">
        <v>308</v>
      </c>
      <c r="J627" s="220" t="s">
        <v>297</v>
      </c>
      <c r="K627" s="220" t="s">
        <v>307</v>
      </c>
      <c r="L627" s="220"/>
      <c r="M627" s="220"/>
      <c r="N627" s="220"/>
      <c r="O627" s="220"/>
      <c r="P627" s="220"/>
      <c r="Q627" s="220"/>
      <c r="R627" s="220"/>
      <c r="S627" s="220" t="s">
        <v>295</v>
      </c>
      <c r="T627" s="220" t="s">
        <v>305</v>
      </c>
      <c r="U627" s="220" t="s">
        <v>294</v>
      </c>
      <c r="V627" s="220"/>
      <c r="W627" s="220"/>
      <c r="X627" s="220"/>
      <c r="Y627" s="283"/>
      <c r="Z627" s="220"/>
      <c r="AA627" s="220"/>
      <c r="AB627" s="220"/>
      <c r="AC627" s="220"/>
      <c r="AD627" s="220"/>
      <c r="AE627" s="283"/>
      <c r="AF627" s="220"/>
      <c r="AG627" s="220"/>
      <c r="AH627" s="220"/>
      <c r="AI627" s="220"/>
      <c r="AJ627" s="226">
        <v>1</v>
      </c>
      <c r="AK627" s="226">
        <v>0</v>
      </c>
      <c r="AL627" s="225">
        <v>4.3999999999999997E-2</v>
      </c>
      <c r="AM627" s="220"/>
      <c r="AN627" s="225">
        <v>417</v>
      </c>
      <c r="AO627" s="220"/>
      <c r="AP627" s="220"/>
      <c r="AQ627" s="283"/>
      <c r="AR627" s="283"/>
      <c r="AS627" s="283"/>
      <c r="AT627" s="223">
        <v>0</v>
      </c>
      <c r="AU627" s="284">
        <v>0</v>
      </c>
      <c r="AV627" s="221">
        <v>42794</v>
      </c>
      <c r="AW627" s="221">
        <v>42794.578149340297</v>
      </c>
      <c r="AX627" s="220" t="s">
        <v>293</v>
      </c>
      <c r="AY627" s="219" t="s">
        <v>454</v>
      </c>
    </row>
    <row r="628" spans="1:51" hidden="1" outlineLevel="1" collapsed="1">
      <c r="A628" s="227" t="s">
        <v>289</v>
      </c>
      <c r="B628" s="220" t="s">
        <v>453</v>
      </c>
      <c r="C628" s="220" t="s">
        <v>453</v>
      </c>
      <c r="D628" s="220" t="s">
        <v>452</v>
      </c>
      <c r="E628" s="220" t="s">
        <v>451</v>
      </c>
      <c r="F628" s="220" t="s">
        <v>450</v>
      </c>
      <c r="G628" s="220"/>
      <c r="H628" s="220" t="s">
        <v>449</v>
      </c>
      <c r="I628" s="220" t="s">
        <v>308</v>
      </c>
      <c r="J628" s="220" t="s">
        <v>297</v>
      </c>
      <c r="K628" s="220" t="s">
        <v>307</v>
      </c>
      <c r="L628" s="220"/>
      <c r="M628" s="220"/>
      <c r="N628" s="220"/>
      <c r="O628" s="220"/>
      <c r="P628" s="220"/>
      <c r="Q628" s="220"/>
      <c r="R628" s="220"/>
      <c r="S628" s="220" t="s">
        <v>295</v>
      </c>
      <c r="T628" s="220" t="s">
        <v>153</v>
      </c>
      <c r="U628" s="220" t="s">
        <v>294</v>
      </c>
      <c r="V628" s="220"/>
      <c r="W628" s="220"/>
      <c r="X628" s="220"/>
      <c r="Y628" s="283"/>
      <c r="Z628" s="220"/>
      <c r="AA628" s="220"/>
      <c r="AB628" s="220"/>
      <c r="AC628" s="220"/>
      <c r="AD628" s="220"/>
      <c r="AE628" s="283"/>
      <c r="AF628" s="220"/>
      <c r="AG628" s="220"/>
      <c r="AH628" s="220"/>
      <c r="AI628" s="220"/>
      <c r="AJ628" s="226">
        <v>1</v>
      </c>
      <c r="AK628" s="226">
        <v>0</v>
      </c>
      <c r="AL628" s="225">
        <v>0.19</v>
      </c>
      <c r="AM628" s="220"/>
      <c r="AN628" s="225">
        <v>508</v>
      </c>
      <c r="AO628" s="220"/>
      <c r="AP628" s="220"/>
      <c r="AQ628" s="283"/>
      <c r="AR628" s="283"/>
      <c r="AS628" s="283"/>
      <c r="AT628" s="223">
        <v>0</v>
      </c>
      <c r="AU628" s="284">
        <v>0</v>
      </c>
      <c r="AV628" s="221">
        <v>42794</v>
      </c>
      <c r="AW628" s="221">
        <v>42794.578149340297</v>
      </c>
      <c r="AX628" s="220" t="s">
        <v>293</v>
      </c>
      <c r="AY628" s="219" t="s">
        <v>448</v>
      </c>
    </row>
    <row r="629" spans="1:51" hidden="1" outlineLevel="1" collapsed="1">
      <c r="A629" s="227" t="s">
        <v>289</v>
      </c>
      <c r="B629" s="220" t="s">
        <v>446</v>
      </c>
      <c r="C629" s="220" t="s">
        <v>446</v>
      </c>
      <c r="D629" s="220" t="s">
        <v>445</v>
      </c>
      <c r="E629" s="220" t="s">
        <v>444</v>
      </c>
      <c r="F629" s="220" t="s">
        <v>443</v>
      </c>
      <c r="G629" s="220"/>
      <c r="H629" s="220" t="s">
        <v>442</v>
      </c>
      <c r="I629" s="220" t="s">
        <v>320</v>
      </c>
      <c r="J629" s="220" t="s">
        <v>297</v>
      </c>
      <c r="K629" s="220" t="s">
        <v>319</v>
      </c>
      <c r="L629" s="220"/>
      <c r="M629" s="220"/>
      <c r="N629" s="220"/>
      <c r="O629" s="220"/>
      <c r="P629" s="220"/>
      <c r="Q629" s="220"/>
      <c r="R629" s="220"/>
      <c r="S629" s="220" t="s">
        <v>295</v>
      </c>
      <c r="T629" s="220" t="s">
        <v>305</v>
      </c>
      <c r="U629" s="220" t="s">
        <v>294</v>
      </c>
      <c r="V629" s="220"/>
      <c r="W629" s="220"/>
      <c r="X629" s="220"/>
      <c r="Y629" s="283"/>
      <c r="Z629" s="220"/>
      <c r="AA629" s="220"/>
      <c r="AB629" s="220"/>
      <c r="AC629" s="220"/>
      <c r="AD629" s="220"/>
      <c r="AE629" s="283"/>
      <c r="AF629" s="220"/>
      <c r="AG629" s="220"/>
      <c r="AH629" s="220"/>
      <c r="AI629" s="220"/>
      <c r="AJ629" s="226">
        <v>1</v>
      </c>
      <c r="AK629" s="226">
        <v>0</v>
      </c>
      <c r="AL629" s="225">
        <v>4.3999999999999997E-2</v>
      </c>
      <c r="AM629" s="220"/>
      <c r="AN629" s="225">
        <v>417</v>
      </c>
      <c r="AO629" s="220"/>
      <c r="AP629" s="220"/>
      <c r="AQ629" s="283"/>
      <c r="AR629" s="283"/>
      <c r="AS629" s="283"/>
      <c r="AT629" s="223">
        <v>0</v>
      </c>
      <c r="AU629" s="284">
        <v>0</v>
      </c>
      <c r="AV629" s="221">
        <v>42802</v>
      </c>
      <c r="AW629" s="221">
        <v>42802.646110185196</v>
      </c>
      <c r="AX629" s="220" t="s">
        <v>293</v>
      </c>
      <c r="AY629" s="219" t="s">
        <v>441</v>
      </c>
    </row>
    <row r="630" spans="1:51" hidden="1" outlineLevel="1" collapsed="1">
      <c r="A630" s="227" t="s">
        <v>289</v>
      </c>
      <c r="B630" s="220" t="s">
        <v>446</v>
      </c>
      <c r="C630" s="220" t="s">
        <v>446</v>
      </c>
      <c r="D630" s="220" t="s">
        <v>445</v>
      </c>
      <c r="E630" s="220" t="s">
        <v>444</v>
      </c>
      <c r="F630" s="220" t="s">
        <v>443</v>
      </c>
      <c r="G630" s="220"/>
      <c r="H630" s="220" t="s">
        <v>442</v>
      </c>
      <c r="I630" s="220" t="s">
        <v>320</v>
      </c>
      <c r="J630" s="220" t="s">
        <v>297</v>
      </c>
      <c r="K630" s="220" t="s">
        <v>319</v>
      </c>
      <c r="L630" s="220"/>
      <c r="M630" s="220"/>
      <c r="N630" s="220"/>
      <c r="O630" s="220"/>
      <c r="P630" s="220"/>
      <c r="Q630" s="220"/>
      <c r="R630" s="220"/>
      <c r="S630" s="220" t="s">
        <v>295</v>
      </c>
      <c r="T630" s="220" t="s">
        <v>153</v>
      </c>
      <c r="U630" s="220" t="s">
        <v>294</v>
      </c>
      <c r="V630" s="220"/>
      <c r="W630" s="220"/>
      <c r="X630" s="220"/>
      <c r="Y630" s="283"/>
      <c r="Z630" s="220"/>
      <c r="AA630" s="220"/>
      <c r="AB630" s="220"/>
      <c r="AC630" s="220"/>
      <c r="AD630" s="220"/>
      <c r="AE630" s="283"/>
      <c r="AF630" s="220"/>
      <c r="AG630" s="220"/>
      <c r="AH630" s="220"/>
      <c r="AI630" s="220"/>
      <c r="AJ630" s="226">
        <v>1</v>
      </c>
      <c r="AK630" s="226">
        <v>0</v>
      </c>
      <c r="AL630" s="225">
        <v>0.19</v>
      </c>
      <c r="AM630" s="220"/>
      <c r="AN630" s="225">
        <v>508</v>
      </c>
      <c r="AO630" s="220"/>
      <c r="AP630" s="220"/>
      <c r="AQ630" s="283"/>
      <c r="AR630" s="283"/>
      <c r="AS630" s="283"/>
      <c r="AT630" s="223">
        <v>0</v>
      </c>
      <c r="AU630" s="284">
        <v>0</v>
      </c>
      <c r="AV630" s="221">
        <v>42802</v>
      </c>
      <c r="AW630" s="221">
        <v>42802.646110185196</v>
      </c>
      <c r="AX630" s="220" t="s">
        <v>293</v>
      </c>
      <c r="AY630" s="219" t="s">
        <v>447</v>
      </c>
    </row>
    <row r="631" spans="1:51" hidden="1" outlineLevel="1" collapsed="1">
      <c r="A631" s="227" t="s">
        <v>289</v>
      </c>
      <c r="B631" s="220" t="s">
        <v>439</v>
      </c>
      <c r="C631" s="220" t="s">
        <v>439</v>
      </c>
      <c r="D631" s="220" t="s">
        <v>438</v>
      </c>
      <c r="E631" s="220" t="s">
        <v>437</v>
      </c>
      <c r="F631" s="220" t="s">
        <v>436</v>
      </c>
      <c r="G631" s="220"/>
      <c r="H631" s="220" t="s">
        <v>435</v>
      </c>
      <c r="I631" s="220" t="s">
        <v>329</v>
      </c>
      <c r="J631" s="220" t="s">
        <v>297</v>
      </c>
      <c r="K631" s="220" t="s">
        <v>328</v>
      </c>
      <c r="L631" s="220"/>
      <c r="M631" s="220"/>
      <c r="N631" s="220"/>
      <c r="O631" s="220"/>
      <c r="P631" s="220"/>
      <c r="Q631" s="220"/>
      <c r="R631" s="220"/>
      <c r="S631" s="220" t="s">
        <v>295</v>
      </c>
      <c r="T631" s="220" t="s">
        <v>153</v>
      </c>
      <c r="U631" s="220" t="s">
        <v>294</v>
      </c>
      <c r="V631" s="220"/>
      <c r="W631" s="220"/>
      <c r="X631" s="220"/>
      <c r="Y631" s="283"/>
      <c r="Z631" s="220"/>
      <c r="AA631" s="220"/>
      <c r="AB631" s="220"/>
      <c r="AC631" s="220"/>
      <c r="AD631" s="220"/>
      <c r="AE631" s="283"/>
      <c r="AF631" s="220"/>
      <c r="AG631" s="220"/>
      <c r="AH631" s="220"/>
      <c r="AI631" s="220"/>
      <c r="AJ631" s="226">
        <v>1</v>
      </c>
      <c r="AK631" s="226">
        <v>0</v>
      </c>
      <c r="AL631" s="225">
        <v>0.19</v>
      </c>
      <c r="AM631" s="220"/>
      <c r="AN631" s="225">
        <v>508</v>
      </c>
      <c r="AO631" s="220"/>
      <c r="AP631" s="220"/>
      <c r="AQ631" s="283"/>
      <c r="AR631" s="283"/>
      <c r="AS631" s="283"/>
      <c r="AT631" s="223">
        <v>0</v>
      </c>
      <c r="AU631" s="284">
        <v>0</v>
      </c>
      <c r="AV631" s="221">
        <v>42804</v>
      </c>
      <c r="AW631" s="221">
        <v>42804.560725578704</v>
      </c>
      <c r="AX631" s="220" t="s">
        <v>293</v>
      </c>
      <c r="AY631" s="219" t="s">
        <v>434</v>
      </c>
    </row>
    <row r="632" spans="1:51" hidden="1" outlineLevel="1" collapsed="1">
      <c r="A632" s="227" t="s">
        <v>289</v>
      </c>
      <c r="B632" s="220" t="s">
        <v>439</v>
      </c>
      <c r="C632" s="220" t="s">
        <v>439</v>
      </c>
      <c r="D632" s="220" t="s">
        <v>438</v>
      </c>
      <c r="E632" s="220" t="s">
        <v>437</v>
      </c>
      <c r="F632" s="220" t="s">
        <v>436</v>
      </c>
      <c r="G632" s="220"/>
      <c r="H632" s="220" t="s">
        <v>435</v>
      </c>
      <c r="I632" s="220" t="s">
        <v>329</v>
      </c>
      <c r="J632" s="220" t="s">
        <v>297</v>
      </c>
      <c r="K632" s="220" t="s">
        <v>328</v>
      </c>
      <c r="L632" s="220"/>
      <c r="M632" s="220"/>
      <c r="N632" s="220"/>
      <c r="O632" s="220"/>
      <c r="P632" s="220"/>
      <c r="Q632" s="220"/>
      <c r="R632" s="220"/>
      <c r="S632" s="220" t="s">
        <v>295</v>
      </c>
      <c r="T632" s="220" t="s">
        <v>305</v>
      </c>
      <c r="U632" s="220" t="s">
        <v>294</v>
      </c>
      <c r="V632" s="220"/>
      <c r="W632" s="220"/>
      <c r="X632" s="220"/>
      <c r="Y632" s="283"/>
      <c r="Z632" s="220"/>
      <c r="AA632" s="220"/>
      <c r="AB632" s="220"/>
      <c r="AC632" s="220"/>
      <c r="AD632" s="220"/>
      <c r="AE632" s="283"/>
      <c r="AF632" s="220"/>
      <c r="AG632" s="220"/>
      <c r="AH632" s="220"/>
      <c r="AI632" s="220"/>
      <c r="AJ632" s="226">
        <v>1</v>
      </c>
      <c r="AK632" s="226">
        <v>0</v>
      </c>
      <c r="AL632" s="225">
        <v>4.3999999999999997E-2</v>
      </c>
      <c r="AM632" s="220"/>
      <c r="AN632" s="225">
        <v>417</v>
      </c>
      <c r="AO632" s="220"/>
      <c r="AP632" s="220"/>
      <c r="AQ632" s="283"/>
      <c r="AR632" s="283"/>
      <c r="AS632" s="283"/>
      <c r="AT632" s="223">
        <v>0</v>
      </c>
      <c r="AU632" s="284">
        <v>0</v>
      </c>
      <c r="AV632" s="221">
        <v>42804</v>
      </c>
      <c r="AW632" s="221">
        <v>42804.560725578704</v>
      </c>
      <c r="AX632" s="220" t="s">
        <v>293</v>
      </c>
      <c r="AY632" s="219" t="s">
        <v>440</v>
      </c>
    </row>
    <row r="633" spans="1:51" hidden="1" outlineLevel="1" collapsed="1">
      <c r="A633" s="227" t="s">
        <v>289</v>
      </c>
      <c r="B633" s="220" t="s">
        <v>432</v>
      </c>
      <c r="C633" s="220" t="s">
        <v>432</v>
      </c>
      <c r="D633" s="220" t="s">
        <v>431</v>
      </c>
      <c r="E633" s="220" t="s">
        <v>430</v>
      </c>
      <c r="F633" s="220" t="s">
        <v>429</v>
      </c>
      <c r="G633" s="220"/>
      <c r="H633" s="220" t="s">
        <v>428</v>
      </c>
      <c r="I633" s="220" t="s">
        <v>345</v>
      </c>
      <c r="J633" s="220" t="s">
        <v>297</v>
      </c>
      <c r="K633" s="220" t="s">
        <v>344</v>
      </c>
      <c r="L633" s="220"/>
      <c r="M633" s="220"/>
      <c r="N633" s="220"/>
      <c r="O633" s="220"/>
      <c r="P633" s="220"/>
      <c r="Q633" s="220"/>
      <c r="R633" s="220"/>
      <c r="S633" s="220" t="s">
        <v>295</v>
      </c>
      <c r="T633" s="220" t="s">
        <v>153</v>
      </c>
      <c r="U633" s="220" t="s">
        <v>294</v>
      </c>
      <c r="V633" s="220"/>
      <c r="W633" s="220"/>
      <c r="X633" s="220"/>
      <c r="Y633" s="283"/>
      <c r="Z633" s="220"/>
      <c r="AA633" s="220"/>
      <c r="AB633" s="220"/>
      <c r="AC633" s="220"/>
      <c r="AD633" s="220"/>
      <c r="AE633" s="283"/>
      <c r="AF633" s="220"/>
      <c r="AG633" s="220"/>
      <c r="AH633" s="220"/>
      <c r="AI633" s="220"/>
      <c r="AJ633" s="226">
        <v>1</v>
      </c>
      <c r="AK633" s="226">
        <v>0</v>
      </c>
      <c r="AL633" s="225">
        <v>0.19</v>
      </c>
      <c r="AM633" s="220"/>
      <c r="AN633" s="225">
        <v>508</v>
      </c>
      <c r="AO633" s="220"/>
      <c r="AP633" s="220"/>
      <c r="AQ633" s="283"/>
      <c r="AR633" s="283"/>
      <c r="AS633" s="283"/>
      <c r="AT633" s="223">
        <v>0</v>
      </c>
      <c r="AU633" s="284">
        <v>0</v>
      </c>
      <c r="AV633" s="221">
        <v>42804</v>
      </c>
      <c r="AW633" s="221">
        <v>42804.564351041699</v>
      </c>
      <c r="AX633" s="220" t="s">
        <v>293</v>
      </c>
      <c r="AY633" s="219" t="s">
        <v>433</v>
      </c>
    </row>
    <row r="634" spans="1:51" hidden="1" outlineLevel="1" collapsed="1">
      <c r="A634" s="227" t="s">
        <v>289</v>
      </c>
      <c r="B634" s="220" t="s">
        <v>432</v>
      </c>
      <c r="C634" s="220" t="s">
        <v>432</v>
      </c>
      <c r="D634" s="220" t="s">
        <v>431</v>
      </c>
      <c r="E634" s="220" t="s">
        <v>430</v>
      </c>
      <c r="F634" s="220" t="s">
        <v>429</v>
      </c>
      <c r="G634" s="220"/>
      <c r="H634" s="220" t="s">
        <v>428</v>
      </c>
      <c r="I634" s="220" t="s">
        <v>345</v>
      </c>
      <c r="J634" s="220" t="s">
        <v>297</v>
      </c>
      <c r="K634" s="220" t="s">
        <v>344</v>
      </c>
      <c r="L634" s="220"/>
      <c r="M634" s="220"/>
      <c r="N634" s="220"/>
      <c r="O634" s="220"/>
      <c r="P634" s="220"/>
      <c r="Q634" s="220"/>
      <c r="R634" s="220"/>
      <c r="S634" s="220" t="s">
        <v>295</v>
      </c>
      <c r="T634" s="220" t="s">
        <v>305</v>
      </c>
      <c r="U634" s="220" t="s">
        <v>294</v>
      </c>
      <c r="V634" s="220"/>
      <c r="W634" s="220"/>
      <c r="X634" s="220"/>
      <c r="Y634" s="283"/>
      <c r="Z634" s="220"/>
      <c r="AA634" s="220"/>
      <c r="AB634" s="220"/>
      <c r="AC634" s="220"/>
      <c r="AD634" s="220"/>
      <c r="AE634" s="283"/>
      <c r="AF634" s="220"/>
      <c r="AG634" s="220"/>
      <c r="AH634" s="220"/>
      <c r="AI634" s="220"/>
      <c r="AJ634" s="226">
        <v>1</v>
      </c>
      <c r="AK634" s="226">
        <v>0</v>
      </c>
      <c r="AL634" s="225">
        <v>4.3999999999999997E-2</v>
      </c>
      <c r="AM634" s="220"/>
      <c r="AN634" s="225">
        <v>417</v>
      </c>
      <c r="AO634" s="220"/>
      <c r="AP634" s="220"/>
      <c r="AQ634" s="283"/>
      <c r="AR634" s="283"/>
      <c r="AS634" s="283"/>
      <c r="AT634" s="223">
        <v>0</v>
      </c>
      <c r="AU634" s="284">
        <v>0</v>
      </c>
      <c r="AV634" s="221">
        <v>42804</v>
      </c>
      <c r="AW634" s="221">
        <v>42804.564351041699</v>
      </c>
      <c r="AX634" s="220" t="s">
        <v>293</v>
      </c>
      <c r="AY634" s="219" t="s">
        <v>427</v>
      </c>
    </row>
    <row r="635" spans="1:51" hidden="1" outlineLevel="1" collapsed="1">
      <c r="A635" s="227" t="s">
        <v>289</v>
      </c>
      <c r="B635" s="220" t="s">
        <v>425</v>
      </c>
      <c r="C635" s="220" t="s">
        <v>425</v>
      </c>
      <c r="D635" s="220" t="s">
        <v>424</v>
      </c>
      <c r="E635" s="220" t="s">
        <v>423</v>
      </c>
      <c r="F635" s="220" t="s">
        <v>422</v>
      </c>
      <c r="G635" s="220"/>
      <c r="H635" s="220" t="s">
        <v>421</v>
      </c>
      <c r="I635" s="220" t="s">
        <v>329</v>
      </c>
      <c r="J635" s="220" t="s">
        <v>297</v>
      </c>
      <c r="K635" s="220" t="s">
        <v>328</v>
      </c>
      <c r="L635" s="220"/>
      <c r="M635" s="220"/>
      <c r="N635" s="220"/>
      <c r="O635" s="220"/>
      <c r="P635" s="220"/>
      <c r="Q635" s="220"/>
      <c r="R635" s="220"/>
      <c r="S635" s="220" t="s">
        <v>295</v>
      </c>
      <c r="T635" s="220" t="s">
        <v>305</v>
      </c>
      <c r="U635" s="220" t="s">
        <v>294</v>
      </c>
      <c r="V635" s="220"/>
      <c r="W635" s="220"/>
      <c r="X635" s="220"/>
      <c r="Y635" s="283"/>
      <c r="Z635" s="220"/>
      <c r="AA635" s="220"/>
      <c r="AB635" s="220"/>
      <c r="AC635" s="220"/>
      <c r="AD635" s="220"/>
      <c r="AE635" s="283"/>
      <c r="AF635" s="220"/>
      <c r="AG635" s="220"/>
      <c r="AH635" s="220"/>
      <c r="AI635" s="220"/>
      <c r="AJ635" s="226">
        <v>1</v>
      </c>
      <c r="AK635" s="226">
        <v>0</v>
      </c>
      <c r="AL635" s="225">
        <v>4.3999999999999997E-2</v>
      </c>
      <c r="AM635" s="220"/>
      <c r="AN635" s="225">
        <v>417</v>
      </c>
      <c r="AO635" s="220"/>
      <c r="AP635" s="220"/>
      <c r="AQ635" s="283"/>
      <c r="AR635" s="283"/>
      <c r="AS635" s="283"/>
      <c r="AT635" s="223">
        <v>0</v>
      </c>
      <c r="AU635" s="284">
        <v>0</v>
      </c>
      <c r="AV635" s="221">
        <v>42804</v>
      </c>
      <c r="AW635" s="221">
        <v>42804.574054942103</v>
      </c>
      <c r="AX635" s="220" t="s">
        <v>293</v>
      </c>
      <c r="AY635" s="219" t="s">
        <v>420</v>
      </c>
    </row>
    <row r="636" spans="1:51" hidden="1" outlineLevel="1" collapsed="1">
      <c r="A636" s="227" t="s">
        <v>289</v>
      </c>
      <c r="B636" s="220" t="s">
        <v>425</v>
      </c>
      <c r="C636" s="220" t="s">
        <v>425</v>
      </c>
      <c r="D636" s="220" t="s">
        <v>424</v>
      </c>
      <c r="E636" s="220" t="s">
        <v>423</v>
      </c>
      <c r="F636" s="220" t="s">
        <v>422</v>
      </c>
      <c r="G636" s="220"/>
      <c r="H636" s="220" t="s">
        <v>421</v>
      </c>
      <c r="I636" s="220" t="s">
        <v>329</v>
      </c>
      <c r="J636" s="220" t="s">
        <v>297</v>
      </c>
      <c r="K636" s="220" t="s">
        <v>328</v>
      </c>
      <c r="L636" s="220"/>
      <c r="M636" s="220"/>
      <c r="N636" s="220"/>
      <c r="O636" s="220"/>
      <c r="P636" s="220"/>
      <c r="Q636" s="220"/>
      <c r="R636" s="220"/>
      <c r="S636" s="220" t="s">
        <v>295</v>
      </c>
      <c r="T636" s="220" t="s">
        <v>153</v>
      </c>
      <c r="U636" s="220" t="s">
        <v>294</v>
      </c>
      <c r="V636" s="220"/>
      <c r="W636" s="220"/>
      <c r="X636" s="220"/>
      <c r="Y636" s="283"/>
      <c r="Z636" s="220"/>
      <c r="AA636" s="220"/>
      <c r="AB636" s="220"/>
      <c r="AC636" s="220"/>
      <c r="AD636" s="220"/>
      <c r="AE636" s="283"/>
      <c r="AF636" s="220"/>
      <c r="AG636" s="220"/>
      <c r="AH636" s="220"/>
      <c r="AI636" s="220"/>
      <c r="AJ636" s="226">
        <v>1</v>
      </c>
      <c r="AK636" s="226">
        <v>0</v>
      </c>
      <c r="AL636" s="225">
        <v>0.19</v>
      </c>
      <c r="AM636" s="220"/>
      <c r="AN636" s="225">
        <v>508</v>
      </c>
      <c r="AO636" s="220"/>
      <c r="AP636" s="220"/>
      <c r="AQ636" s="283"/>
      <c r="AR636" s="283"/>
      <c r="AS636" s="283"/>
      <c r="AT636" s="223">
        <v>0</v>
      </c>
      <c r="AU636" s="284">
        <v>0</v>
      </c>
      <c r="AV636" s="221">
        <v>42804</v>
      </c>
      <c r="AW636" s="221">
        <v>42804.574054942103</v>
      </c>
      <c r="AX636" s="220" t="s">
        <v>293</v>
      </c>
      <c r="AY636" s="219" t="s">
        <v>426</v>
      </c>
    </row>
    <row r="637" spans="1:51" hidden="1" outlineLevel="1" collapsed="1">
      <c r="A637" s="227" t="s">
        <v>289</v>
      </c>
      <c r="B637" s="220" t="s">
        <v>418</v>
      </c>
      <c r="C637" s="220" t="s">
        <v>418</v>
      </c>
      <c r="D637" s="220" t="s">
        <v>417</v>
      </c>
      <c r="E637" s="220" t="s">
        <v>416</v>
      </c>
      <c r="F637" s="220" t="s">
        <v>415</v>
      </c>
      <c r="G637" s="220"/>
      <c r="H637" s="220" t="s">
        <v>414</v>
      </c>
      <c r="I637" s="220" t="s">
        <v>413</v>
      </c>
      <c r="J637" s="220" t="s">
        <v>297</v>
      </c>
      <c r="K637" s="220" t="s">
        <v>412</v>
      </c>
      <c r="L637" s="220"/>
      <c r="M637" s="220"/>
      <c r="N637" s="220"/>
      <c r="O637" s="220"/>
      <c r="P637" s="220"/>
      <c r="Q637" s="220"/>
      <c r="R637" s="220"/>
      <c r="S637" s="220" t="s">
        <v>295</v>
      </c>
      <c r="T637" s="220" t="s">
        <v>153</v>
      </c>
      <c r="U637" s="220" t="s">
        <v>294</v>
      </c>
      <c r="V637" s="220"/>
      <c r="W637" s="220"/>
      <c r="X637" s="220"/>
      <c r="Y637" s="283"/>
      <c r="Z637" s="220"/>
      <c r="AA637" s="220"/>
      <c r="AB637" s="220"/>
      <c r="AC637" s="220"/>
      <c r="AD637" s="220"/>
      <c r="AE637" s="283"/>
      <c r="AF637" s="220"/>
      <c r="AG637" s="220"/>
      <c r="AH637" s="220"/>
      <c r="AI637" s="220"/>
      <c r="AJ637" s="226">
        <v>1</v>
      </c>
      <c r="AK637" s="226">
        <v>0</v>
      </c>
      <c r="AL637" s="225">
        <v>0.19</v>
      </c>
      <c r="AM637" s="220"/>
      <c r="AN637" s="225">
        <v>508</v>
      </c>
      <c r="AO637" s="220"/>
      <c r="AP637" s="220"/>
      <c r="AQ637" s="283"/>
      <c r="AR637" s="283"/>
      <c r="AS637" s="283"/>
      <c r="AT637" s="223">
        <v>0</v>
      </c>
      <c r="AU637" s="284">
        <v>0</v>
      </c>
      <c r="AV637" s="221">
        <v>42815</v>
      </c>
      <c r="AW637" s="221">
        <v>42815.742467557902</v>
      </c>
      <c r="AX637" s="220" t="s">
        <v>293</v>
      </c>
      <c r="AY637" s="219" t="s">
        <v>411</v>
      </c>
    </row>
    <row r="638" spans="1:51" hidden="1" outlineLevel="1" collapsed="1">
      <c r="A638" s="227" t="s">
        <v>289</v>
      </c>
      <c r="B638" s="220" t="s">
        <v>418</v>
      </c>
      <c r="C638" s="220" t="s">
        <v>418</v>
      </c>
      <c r="D638" s="220" t="s">
        <v>417</v>
      </c>
      <c r="E638" s="220" t="s">
        <v>416</v>
      </c>
      <c r="F638" s="220" t="s">
        <v>415</v>
      </c>
      <c r="G638" s="220"/>
      <c r="H638" s="220" t="s">
        <v>414</v>
      </c>
      <c r="I638" s="220" t="s">
        <v>413</v>
      </c>
      <c r="J638" s="220" t="s">
        <v>297</v>
      </c>
      <c r="K638" s="220" t="s">
        <v>412</v>
      </c>
      <c r="L638" s="220"/>
      <c r="M638" s="220"/>
      <c r="N638" s="220"/>
      <c r="O638" s="220"/>
      <c r="P638" s="220"/>
      <c r="Q638" s="220"/>
      <c r="R638" s="220"/>
      <c r="S638" s="220" t="s">
        <v>295</v>
      </c>
      <c r="T638" s="220" t="s">
        <v>305</v>
      </c>
      <c r="U638" s="220" t="s">
        <v>294</v>
      </c>
      <c r="V638" s="220"/>
      <c r="W638" s="220"/>
      <c r="X638" s="220"/>
      <c r="Y638" s="283"/>
      <c r="Z638" s="220"/>
      <c r="AA638" s="220"/>
      <c r="AB638" s="220"/>
      <c r="AC638" s="220"/>
      <c r="AD638" s="220"/>
      <c r="AE638" s="283"/>
      <c r="AF638" s="220"/>
      <c r="AG638" s="220"/>
      <c r="AH638" s="220"/>
      <c r="AI638" s="220"/>
      <c r="AJ638" s="226">
        <v>1</v>
      </c>
      <c r="AK638" s="226">
        <v>0</v>
      </c>
      <c r="AL638" s="225">
        <v>4.3999999999999997E-2</v>
      </c>
      <c r="AM638" s="220"/>
      <c r="AN638" s="225">
        <v>417</v>
      </c>
      <c r="AO638" s="220"/>
      <c r="AP638" s="220"/>
      <c r="AQ638" s="283"/>
      <c r="AR638" s="283"/>
      <c r="AS638" s="283"/>
      <c r="AT638" s="223">
        <v>0</v>
      </c>
      <c r="AU638" s="284">
        <v>0</v>
      </c>
      <c r="AV638" s="221">
        <v>42815</v>
      </c>
      <c r="AW638" s="221">
        <v>42815.742467557902</v>
      </c>
      <c r="AX638" s="220" t="s">
        <v>293</v>
      </c>
      <c r="AY638" s="219" t="s">
        <v>419</v>
      </c>
    </row>
    <row r="639" spans="1:51" hidden="1" outlineLevel="1" collapsed="1">
      <c r="A639" s="227" t="s">
        <v>289</v>
      </c>
      <c r="B639" s="220" t="s">
        <v>409</v>
      </c>
      <c r="C639" s="220" t="s">
        <v>409</v>
      </c>
      <c r="D639" s="220" t="s">
        <v>408</v>
      </c>
      <c r="E639" s="220" t="s">
        <v>407</v>
      </c>
      <c r="F639" s="220" t="s">
        <v>406</v>
      </c>
      <c r="G639" s="220"/>
      <c r="H639" s="220" t="s">
        <v>405</v>
      </c>
      <c r="I639" s="220" t="s">
        <v>329</v>
      </c>
      <c r="J639" s="220" t="s">
        <v>297</v>
      </c>
      <c r="K639" s="220" t="s">
        <v>328</v>
      </c>
      <c r="L639" s="220"/>
      <c r="M639" s="220"/>
      <c r="N639" s="220"/>
      <c r="O639" s="220"/>
      <c r="P639" s="220"/>
      <c r="Q639" s="220"/>
      <c r="R639" s="220"/>
      <c r="S639" s="220" t="s">
        <v>295</v>
      </c>
      <c r="T639" s="220" t="s">
        <v>153</v>
      </c>
      <c r="U639" s="220" t="s">
        <v>294</v>
      </c>
      <c r="V639" s="220"/>
      <c r="W639" s="220"/>
      <c r="X639" s="220"/>
      <c r="Y639" s="283"/>
      <c r="Z639" s="220"/>
      <c r="AA639" s="220"/>
      <c r="AB639" s="220"/>
      <c r="AC639" s="220"/>
      <c r="AD639" s="220"/>
      <c r="AE639" s="283"/>
      <c r="AF639" s="220"/>
      <c r="AG639" s="220"/>
      <c r="AH639" s="220"/>
      <c r="AI639" s="220"/>
      <c r="AJ639" s="226">
        <v>1</v>
      </c>
      <c r="AK639" s="226">
        <v>0</v>
      </c>
      <c r="AL639" s="225">
        <v>0.19</v>
      </c>
      <c r="AM639" s="220"/>
      <c r="AN639" s="225">
        <v>508</v>
      </c>
      <c r="AO639" s="220"/>
      <c r="AP639" s="220"/>
      <c r="AQ639" s="283"/>
      <c r="AR639" s="283"/>
      <c r="AS639" s="283"/>
      <c r="AT639" s="223">
        <v>0</v>
      </c>
      <c r="AU639" s="284">
        <v>0</v>
      </c>
      <c r="AV639" s="221">
        <v>42815</v>
      </c>
      <c r="AW639" s="221">
        <v>42815.771673495401</v>
      </c>
      <c r="AX639" s="220" t="s">
        <v>293</v>
      </c>
      <c r="AY639" s="219" t="s">
        <v>404</v>
      </c>
    </row>
    <row r="640" spans="1:51" hidden="1" outlineLevel="1" collapsed="1">
      <c r="A640" s="227" t="s">
        <v>289</v>
      </c>
      <c r="B640" s="220" t="s">
        <v>409</v>
      </c>
      <c r="C640" s="220" t="s">
        <v>409</v>
      </c>
      <c r="D640" s="220" t="s">
        <v>408</v>
      </c>
      <c r="E640" s="220" t="s">
        <v>407</v>
      </c>
      <c r="F640" s="220" t="s">
        <v>406</v>
      </c>
      <c r="G640" s="220"/>
      <c r="H640" s="220" t="s">
        <v>405</v>
      </c>
      <c r="I640" s="220" t="s">
        <v>329</v>
      </c>
      <c r="J640" s="220" t="s">
        <v>297</v>
      </c>
      <c r="K640" s="220" t="s">
        <v>328</v>
      </c>
      <c r="L640" s="220"/>
      <c r="M640" s="220"/>
      <c r="N640" s="220"/>
      <c r="O640" s="220"/>
      <c r="P640" s="220"/>
      <c r="Q640" s="220"/>
      <c r="R640" s="220"/>
      <c r="S640" s="220" t="s">
        <v>295</v>
      </c>
      <c r="T640" s="220" t="s">
        <v>305</v>
      </c>
      <c r="U640" s="220" t="s">
        <v>294</v>
      </c>
      <c r="V640" s="220"/>
      <c r="W640" s="220"/>
      <c r="X640" s="220"/>
      <c r="Y640" s="283"/>
      <c r="Z640" s="220"/>
      <c r="AA640" s="220"/>
      <c r="AB640" s="220"/>
      <c r="AC640" s="220"/>
      <c r="AD640" s="220"/>
      <c r="AE640" s="283"/>
      <c r="AF640" s="220"/>
      <c r="AG640" s="220"/>
      <c r="AH640" s="220"/>
      <c r="AI640" s="220"/>
      <c r="AJ640" s="226">
        <v>1</v>
      </c>
      <c r="AK640" s="226">
        <v>0</v>
      </c>
      <c r="AL640" s="225">
        <v>4.3999999999999997E-2</v>
      </c>
      <c r="AM640" s="220"/>
      <c r="AN640" s="225">
        <v>417</v>
      </c>
      <c r="AO640" s="220"/>
      <c r="AP640" s="220"/>
      <c r="AQ640" s="283"/>
      <c r="AR640" s="283"/>
      <c r="AS640" s="283"/>
      <c r="AT640" s="223">
        <v>0</v>
      </c>
      <c r="AU640" s="284">
        <v>0</v>
      </c>
      <c r="AV640" s="221">
        <v>42815</v>
      </c>
      <c r="AW640" s="221">
        <v>42815.771673495401</v>
      </c>
      <c r="AX640" s="220" t="s">
        <v>293</v>
      </c>
      <c r="AY640" s="219" t="s">
        <v>410</v>
      </c>
    </row>
    <row r="641" spans="1:51" hidden="1" outlineLevel="1" collapsed="1">
      <c r="A641" s="227" t="s">
        <v>289</v>
      </c>
      <c r="B641" s="220" t="s">
        <v>402</v>
      </c>
      <c r="C641" s="220" t="s">
        <v>402</v>
      </c>
      <c r="D641" s="220" t="s">
        <v>401</v>
      </c>
      <c r="E641" s="220" t="s">
        <v>400</v>
      </c>
      <c r="F641" s="220" t="s">
        <v>399</v>
      </c>
      <c r="G641" s="220"/>
      <c r="H641" s="220" t="s">
        <v>398</v>
      </c>
      <c r="I641" s="220" t="s">
        <v>329</v>
      </c>
      <c r="J641" s="220" t="s">
        <v>297</v>
      </c>
      <c r="K641" s="220" t="s">
        <v>397</v>
      </c>
      <c r="L641" s="220"/>
      <c r="M641" s="220"/>
      <c r="N641" s="220"/>
      <c r="O641" s="220"/>
      <c r="P641" s="220"/>
      <c r="Q641" s="220"/>
      <c r="R641" s="220"/>
      <c r="S641" s="220" t="s">
        <v>295</v>
      </c>
      <c r="T641" s="220" t="s">
        <v>305</v>
      </c>
      <c r="U641" s="220"/>
      <c r="V641" s="220"/>
      <c r="W641" s="220"/>
      <c r="X641" s="220"/>
      <c r="Y641" s="283"/>
      <c r="Z641" s="220"/>
      <c r="AA641" s="220"/>
      <c r="AB641" s="220"/>
      <c r="AC641" s="220"/>
      <c r="AD641" s="220"/>
      <c r="AE641" s="283"/>
      <c r="AF641" s="220"/>
      <c r="AG641" s="220"/>
      <c r="AH641" s="220"/>
      <c r="AI641" s="220"/>
      <c r="AJ641" s="226">
        <v>1</v>
      </c>
      <c r="AK641" s="226">
        <v>0</v>
      </c>
      <c r="AL641" s="225">
        <v>4.3999999999999997E-2</v>
      </c>
      <c r="AM641" s="220"/>
      <c r="AN641" s="225">
        <v>417</v>
      </c>
      <c r="AO641" s="220"/>
      <c r="AP641" s="220"/>
      <c r="AQ641" s="283"/>
      <c r="AR641" s="283"/>
      <c r="AS641" s="283"/>
      <c r="AT641" s="223">
        <v>0</v>
      </c>
      <c r="AU641" s="284">
        <v>0</v>
      </c>
      <c r="AV641" s="221">
        <v>42821</v>
      </c>
      <c r="AW641" s="221">
        <v>42821.687218553197</v>
      </c>
      <c r="AX641" s="220" t="s">
        <v>293</v>
      </c>
      <c r="AY641" s="219" t="s">
        <v>403</v>
      </c>
    </row>
    <row r="642" spans="1:51" hidden="1" outlineLevel="1" collapsed="1">
      <c r="A642" s="227" t="s">
        <v>289</v>
      </c>
      <c r="B642" s="220" t="s">
        <v>402</v>
      </c>
      <c r="C642" s="220" t="s">
        <v>402</v>
      </c>
      <c r="D642" s="220" t="s">
        <v>401</v>
      </c>
      <c r="E642" s="220" t="s">
        <v>400</v>
      </c>
      <c r="F642" s="220" t="s">
        <v>399</v>
      </c>
      <c r="G642" s="220"/>
      <c r="H642" s="220" t="s">
        <v>398</v>
      </c>
      <c r="I642" s="220" t="s">
        <v>329</v>
      </c>
      <c r="J642" s="220" t="s">
        <v>297</v>
      </c>
      <c r="K642" s="220" t="s">
        <v>397</v>
      </c>
      <c r="L642" s="220"/>
      <c r="M642" s="220"/>
      <c r="N642" s="220"/>
      <c r="O642" s="220"/>
      <c r="P642" s="220"/>
      <c r="Q642" s="220"/>
      <c r="R642" s="220"/>
      <c r="S642" s="220" t="s">
        <v>295</v>
      </c>
      <c r="T642" s="220" t="s">
        <v>153</v>
      </c>
      <c r="U642" s="220"/>
      <c r="V642" s="220"/>
      <c r="W642" s="220"/>
      <c r="X642" s="220"/>
      <c r="Y642" s="283"/>
      <c r="Z642" s="220"/>
      <c r="AA642" s="220"/>
      <c r="AB642" s="220"/>
      <c r="AC642" s="220"/>
      <c r="AD642" s="220"/>
      <c r="AE642" s="283"/>
      <c r="AF642" s="220"/>
      <c r="AG642" s="220"/>
      <c r="AH642" s="220"/>
      <c r="AI642" s="220"/>
      <c r="AJ642" s="226">
        <v>1</v>
      </c>
      <c r="AK642" s="226">
        <v>0</v>
      </c>
      <c r="AL642" s="225">
        <v>0.19</v>
      </c>
      <c r="AM642" s="220"/>
      <c r="AN642" s="225">
        <v>508</v>
      </c>
      <c r="AO642" s="220"/>
      <c r="AP642" s="220"/>
      <c r="AQ642" s="283"/>
      <c r="AR642" s="283"/>
      <c r="AS642" s="283"/>
      <c r="AT642" s="223">
        <v>0</v>
      </c>
      <c r="AU642" s="284">
        <v>0</v>
      </c>
      <c r="AV642" s="221">
        <v>42821</v>
      </c>
      <c r="AW642" s="221">
        <v>42821.687218553197</v>
      </c>
      <c r="AX642" s="220" t="s">
        <v>293</v>
      </c>
      <c r="AY642" s="219" t="s">
        <v>396</v>
      </c>
    </row>
    <row r="643" spans="1:51" hidden="1" outlineLevel="1" collapsed="1">
      <c r="A643" s="227" t="s">
        <v>289</v>
      </c>
      <c r="B643" s="220" t="s">
        <v>394</v>
      </c>
      <c r="C643" s="220" t="s">
        <v>394</v>
      </c>
      <c r="D643" s="220" t="s">
        <v>393</v>
      </c>
      <c r="E643" s="220" t="s">
        <v>392</v>
      </c>
      <c r="F643" s="220" t="s">
        <v>391</v>
      </c>
      <c r="G643" s="220"/>
      <c r="H643" s="220" t="s">
        <v>390</v>
      </c>
      <c r="I643" s="220" t="s">
        <v>329</v>
      </c>
      <c r="J643" s="220" t="s">
        <v>297</v>
      </c>
      <c r="K643" s="220" t="s">
        <v>328</v>
      </c>
      <c r="L643" s="220"/>
      <c r="M643" s="220"/>
      <c r="N643" s="220"/>
      <c r="O643" s="220"/>
      <c r="P643" s="220"/>
      <c r="Q643" s="220"/>
      <c r="R643" s="220"/>
      <c r="S643" s="220" t="s">
        <v>295</v>
      </c>
      <c r="T643" s="220" t="s">
        <v>305</v>
      </c>
      <c r="U643" s="220"/>
      <c r="V643" s="220"/>
      <c r="W643" s="220"/>
      <c r="X643" s="220"/>
      <c r="Y643" s="283"/>
      <c r="Z643" s="220"/>
      <c r="AA643" s="220"/>
      <c r="AB643" s="220"/>
      <c r="AC643" s="220"/>
      <c r="AD643" s="220"/>
      <c r="AE643" s="283"/>
      <c r="AF643" s="220"/>
      <c r="AG643" s="220"/>
      <c r="AH643" s="220"/>
      <c r="AI643" s="220"/>
      <c r="AJ643" s="226">
        <v>1</v>
      </c>
      <c r="AK643" s="226">
        <v>0</v>
      </c>
      <c r="AL643" s="225">
        <v>4.3999999999999997E-2</v>
      </c>
      <c r="AM643" s="220"/>
      <c r="AN643" s="225">
        <v>417</v>
      </c>
      <c r="AO643" s="220"/>
      <c r="AP643" s="220"/>
      <c r="AQ643" s="283"/>
      <c r="AR643" s="283"/>
      <c r="AS643" s="283"/>
      <c r="AT643" s="223">
        <v>0</v>
      </c>
      <c r="AU643" s="284">
        <v>0</v>
      </c>
      <c r="AV643" s="221">
        <v>42832</v>
      </c>
      <c r="AW643" s="221">
        <v>42832.5187526968</v>
      </c>
      <c r="AX643" s="220" t="s">
        <v>293</v>
      </c>
      <c r="AY643" s="219" t="s">
        <v>389</v>
      </c>
    </row>
    <row r="644" spans="1:51" hidden="1" outlineLevel="1" collapsed="1">
      <c r="A644" s="227" t="s">
        <v>289</v>
      </c>
      <c r="B644" s="220" t="s">
        <v>394</v>
      </c>
      <c r="C644" s="220" t="s">
        <v>394</v>
      </c>
      <c r="D644" s="220" t="s">
        <v>393</v>
      </c>
      <c r="E644" s="220" t="s">
        <v>392</v>
      </c>
      <c r="F644" s="220" t="s">
        <v>391</v>
      </c>
      <c r="G644" s="220"/>
      <c r="H644" s="220" t="s">
        <v>390</v>
      </c>
      <c r="I644" s="220" t="s">
        <v>329</v>
      </c>
      <c r="J644" s="220" t="s">
        <v>297</v>
      </c>
      <c r="K644" s="220" t="s">
        <v>328</v>
      </c>
      <c r="L644" s="220"/>
      <c r="M644" s="220"/>
      <c r="N644" s="220"/>
      <c r="O644" s="220"/>
      <c r="P644" s="220"/>
      <c r="Q644" s="220"/>
      <c r="R644" s="220"/>
      <c r="S644" s="220" t="s">
        <v>295</v>
      </c>
      <c r="T644" s="220" t="s">
        <v>153</v>
      </c>
      <c r="U644" s="220"/>
      <c r="V644" s="220"/>
      <c r="W644" s="220"/>
      <c r="X644" s="220"/>
      <c r="Y644" s="283"/>
      <c r="Z644" s="220"/>
      <c r="AA644" s="220"/>
      <c r="AB644" s="220"/>
      <c r="AC644" s="220"/>
      <c r="AD644" s="220"/>
      <c r="AE644" s="283"/>
      <c r="AF644" s="220"/>
      <c r="AG644" s="220"/>
      <c r="AH644" s="220"/>
      <c r="AI644" s="220"/>
      <c r="AJ644" s="226">
        <v>1</v>
      </c>
      <c r="AK644" s="226">
        <v>0</v>
      </c>
      <c r="AL644" s="225">
        <v>0.19</v>
      </c>
      <c r="AM644" s="220"/>
      <c r="AN644" s="225">
        <v>508</v>
      </c>
      <c r="AO644" s="220"/>
      <c r="AP644" s="220"/>
      <c r="AQ644" s="283"/>
      <c r="AR644" s="283"/>
      <c r="AS644" s="283"/>
      <c r="AT644" s="223">
        <v>0</v>
      </c>
      <c r="AU644" s="284">
        <v>0</v>
      </c>
      <c r="AV644" s="221">
        <v>42832</v>
      </c>
      <c r="AW644" s="221">
        <v>42832.5187526968</v>
      </c>
      <c r="AX644" s="220" t="s">
        <v>293</v>
      </c>
      <c r="AY644" s="219" t="s">
        <v>395</v>
      </c>
    </row>
    <row r="645" spans="1:51" hidden="1" outlineLevel="1" collapsed="1">
      <c r="A645" s="227" t="s">
        <v>289</v>
      </c>
      <c r="B645" s="220" t="s">
        <v>387</v>
      </c>
      <c r="C645" s="220" t="s">
        <v>387</v>
      </c>
      <c r="D645" s="220" t="s">
        <v>386</v>
      </c>
      <c r="E645" s="220" t="s">
        <v>385</v>
      </c>
      <c r="F645" s="220" t="s">
        <v>384</v>
      </c>
      <c r="G645" s="220"/>
      <c r="H645" s="220" t="s">
        <v>383</v>
      </c>
      <c r="I645" s="220" t="s">
        <v>382</v>
      </c>
      <c r="J645" s="220" t="s">
        <v>297</v>
      </c>
      <c r="K645" s="220" t="s">
        <v>381</v>
      </c>
      <c r="L645" s="220"/>
      <c r="M645" s="220"/>
      <c r="N645" s="220"/>
      <c r="O645" s="220"/>
      <c r="P645" s="220"/>
      <c r="Q645" s="220"/>
      <c r="R645" s="220"/>
      <c r="S645" s="220" t="s">
        <v>295</v>
      </c>
      <c r="T645" s="220" t="s">
        <v>305</v>
      </c>
      <c r="U645" s="220" t="s">
        <v>294</v>
      </c>
      <c r="V645" s="220"/>
      <c r="W645" s="220"/>
      <c r="X645" s="220"/>
      <c r="Y645" s="283"/>
      <c r="Z645" s="220"/>
      <c r="AA645" s="220"/>
      <c r="AB645" s="220"/>
      <c r="AC645" s="220"/>
      <c r="AD645" s="220"/>
      <c r="AE645" s="283"/>
      <c r="AF645" s="220"/>
      <c r="AG645" s="220"/>
      <c r="AH645" s="220"/>
      <c r="AI645" s="220"/>
      <c r="AJ645" s="226">
        <v>1</v>
      </c>
      <c r="AK645" s="226">
        <v>0</v>
      </c>
      <c r="AL645" s="225">
        <v>4.3999999999999997E-2</v>
      </c>
      <c r="AM645" s="220"/>
      <c r="AN645" s="225">
        <v>417</v>
      </c>
      <c r="AO645" s="220"/>
      <c r="AP645" s="220"/>
      <c r="AQ645" s="283"/>
      <c r="AR645" s="283"/>
      <c r="AS645" s="283"/>
      <c r="AT645" s="223">
        <v>0</v>
      </c>
      <c r="AU645" s="284">
        <v>0</v>
      </c>
      <c r="AV645" s="221">
        <v>42844</v>
      </c>
      <c r="AW645" s="221">
        <v>42844.467479710598</v>
      </c>
      <c r="AX645" s="220" t="s">
        <v>293</v>
      </c>
      <c r="AY645" s="219" t="s">
        <v>380</v>
      </c>
    </row>
    <row r="646" spans="1:51" hidden="1" outlineLevel="1" collapsed="1">
      <c r="A646" s="227" t="s">
        <v>289</v>
      </c>
      <c r="B646" s="220" t="s">
        <v>387</v>
      </c>
      <c r="C646" s="220" t="s">
        <v>387</v>
      </c>
      <c r="D646" s="220" t="s">
        <v>386</v>
      </c>
      <c r="E646" s="220" t="s">
        <v>385</v>
      </c>
      <c r="F646" s="220" t="s">
        <v>384</v>
      </c>
      <c r="G646" s="220"/>
      <c r="H646" s="220" t="s">
        <v>383</v>
      </c>
      <c r="I646" s="220" t="s">
        <v>382</v>
      </c>
      <c r="J646" s="220" t="s">
        <v>297</v>
      </c>
      <c r="K646" s="220" t="s">
        <v>381</v>
      </c>
      <c r="L646" s="220"/>
      <c r="M646" s="220"/>
      <c r="N646" s="220"/>
      <c r="O646" s="220"/>
      <c r="P646" s="220"/>
      <c r="Q646" s="220"/>
      <c r="R646" s="220"/>
      <c r="S646" s="220" t="s">
        <v>295</v>
      </c>
      <c r="T646" s="220" t="s">
        <v>153</v>
      </c>
      <c r="U646" s="220" t="s">
        <v>294</v>
      </c>
      <c r="V646" s="220"/>
      <c r="W646" s="220"/>
      <c r="X646" s="220"/>
      <c r="Y646" s="283"/>
      <c r="Z646" s="220"/>
      <c r="AA646" s="220"/>
      <c r="AB646" s="220"/>
      <c r="AC646" s="220"/>
      <c r="AD646" s="220"/>
      <c r="AE646" s="283"/>
      <c r="AF646" s="220"/>
      <c r="AG646" s="220"/>
      <c r="AH646" s="220"/>
      <c r="AI646" s="220"/>
      <c r="AJ646" s="226">
        <v>1</v>
      </c>
      <c r="AK646" s="226">
        <v>0</v>
      </c>
      <c r="AL646" s="225">
        <v>0.19</v>
      </c>
      <c r="AM646" s="220"/>
      <c r="AN646" s="225">
        <v>508</v>
      </c>
      <c r="AO646" s="220"/>
      <c r="AP646" s="220"/>
      <c r="AQ646" s="283"/>
      <c r="AR646" s="283"/>
      <c r="AS646" s="283"/>
      <c r="AT646" s="223">
        <v>0</v>
      </c>
      <c r="AU646" s="284">
        <v>0</v>
      </c>
      <c r="AV646" s="221">
        <v>42844</v>
      </c>
      <c r="AW646" s="221">
        <v>42844.467479710598</v>
      </c>
      <c r="AX646" s="220" t="s">
        <v>293</v>
      </c>
      <c r="AY646" s="219" t="s">
        <v>388</v>
      </c>
    </row>
    <row r="647" spans="1:51" hidden="1" outlineLevel="1" collapsed="1">
      <c r="A647" s="227" t="s">
        <v>289</v>
      </c>
      <c r="B647" s="220" t="s">
        <v>378</v>
      </c>
      <c r="C647" s="220" t="s">
        <v>378</v>
      </c>
      <c r="D647" s="220" t="s">
        <v>377</v>
      </c>
      <c r="E647" s="220" t="s">
        <v>376</v>
      </c>
      <c r="F647" s="220" t="s">
        <v>375</v>
      </c>
      <c r="G647" s="220"/>
      <c r="H647" s="220" t="s">
        <v>374</v>
      </c>
      <c r="I647" s="220" t="s">
        <v>337</v>
      </c>
      <c r="J647" s="220" t="s">
        <v>297</v>
      </c>
      <c r="K647" s="220" t="s">
        <v>336</v>
      </c>
      <c r="L647" s="220"/>
      <c r="M647" s="220"/>
      <c r="N647" s="220"/>
      <c r="O647" s="220"/>
      <c r="P647" s="220"/>
      <c r="Q647" s="220"/>
      <c r="R647" s="220"/>
      <c r="S647" s="220" t="s">
        <v>295</v>
      </c>
      <c r="T647" s="220" t="s">
        <v>153</v>
      </c>
      <c r="U647" s="220" t="s">
        <v>294</v>
      </c>
      <c r="V647" s="220"/>
      <c r="W647" s="220"/>
      <c r="X647" s="220"/>
      <c r="Y647" s="283"/>
      <c r="Z647" s="220"/>
      <c r="AA647" s="220"/>
      <c r="AB647" s="220"/>
      <c r="AC647" s="220"/>
      <c r="AD647" s="220"/>
      <c r="AE647" s="283"/>
      <c r="AF647" s="220"/>
      <c r="AG647" s="220"/>
      <c r="AH647" s="220"/>
      <c r="AI647" s="220"/>
      <c r="AJ647" s="226">
        <v>1</v>
      </c>
      <c r="AK647" s="226">
        <v>0</v>
      </c>
      <c r="AL647" s="225">
        <v>0.19</v>
      </c>
      <c r="AM647" s="220"/>
      <c r="AN647" s="225">
        <v>508</v>
      </c>
      <c r="AO647" s="220"/>
      <c r="AP647" s="220"/>
      <c r="AQ647" s="283"/>
      <c r="AR647" s="283"/>
      <c r="AS647" s="283"/>
      <c r="AT647" s="223">
        <v>0</v>
      </c>
      <c r="AU647" s="284">
        <v>0</v>
      </c>
      <c r="AV647" s="221">
        <v>42844</v>
      </c>
      <c r="AW647" s="221">
        <v>42844.473528159702</v>
      </c>
      <c r="AX647" s="220" t="s">
        <v>293</v>
      </c>
      <c r="AY647" s="219" t="s">
        <v>379</v>
      </c>
    </row>
    <row r="648" spans="1:51" hidden="1" outlineLevel="1" collapsed="1">
      <c r="A648" s="227" t="s">
        <v>289</v>
      </c>
      <c r="B648" s="220" t="s">
        <v>378</v>
      </c>
      <c r="C648" s="220" t="s">
        <v>378</v>
      </c>
      <c r="D648" s="220" t="s">
        <v>377</v>
      </c>
      <c r="E648" s="220" t="s">
        <v>376</v>
      </c>
      <c r="F648" s="220" t="s">
        <v>375</v>
      </c>
      <c r="G648" s="220"/>
      <c r="H648" s="220" t="s">
        <v>374</v>
      </c>
      <c r="I648" s="220" t="s">
        <v>337</v>
      </c>
      <c r="J648" s="220" t="s">
        <v>297</v>
      </c>
      <c r="K648" s="220" t="s">
        <v>336</v>
      </c>
      <c r="L648" s="220"/>
      <c r="M648" s="220"/>
      <c r="N648" s="220"/>
      <c r="O648" s="220"/>
      <c r="P648" s="220"/>
      <c r="Q648" s="220"/>
      <c r="R648" s="220"/>
      <c r="S648" s="220" t="s">
        <v>295</v>
      </c>
      <c r="T648" s="220" t="s">
        <v>305</v>
      </c>
      <c r="U648" s="220" t="s">
        <v>294</v>
      </c>
      <c r="V648" s="220"/>
      <c r="W648" s="220"/>
      <c r="X648" s="220"/>
      <c r="Y648" s="283"/>
      <c r="Z648" s="220"/>
      <c r="AA648" s="220"/>
      <c r="AB648" s="220"/>
      <c r="AC648" s="220"/>
      <c r="AD648" s="220"/>
      <c r="AE648" s="283"/>
      <c r="AF648" s="220"/>
      <c r="AG648" s="220"/>
      <c r="AH648" s="220"/>
      <c r="AI648" s="220"/>
      <c r="AJ648" s="226">
        <v>1</v>
      </c>
      <c r="AK648" s="226">
        <v>0</v>
      </c>
      <c r="AL648" s="225">
        <v>4.3999999999999997E-2</v>
      </c>
      <c r="AM648" s="220"/>
      <c r="AN648" s="225">
        <v>417</v>
      </c>
      <c r="AO648" s="220"/>
      <c r="AP648" s="220"/>
      <c r="AQ648" s="283"/>
      <c r="AR648" s="283"/>
      <c r="AS648" s="283"/>
      <c r="AT648" s="223">
        <v>0</v>
      </c>
      <c r="AU648" s="284">
        <v>0</v>
      </c>
      <c r="AV648" s="221">
        <v>42844</v>
      </c>
      <c r="AW648" s="221">
        <v>42844.473528159702</v>
      </c>
      <c r="AX648" s="220" t="s">
        <v>293</v>
      </c>
      <c r="AY648" s="219" t="s">
        <v>373</v>
      </c>
    </row>
    <row r="649" spans="1:51" hidden="1" outlineLevel="1" collapsed="1">
      <c r="A649" s="227" t="s">
        <v>289</v>
      </c>
      <c r="B649" s="220" t="s">
        <v>371</v>
      </c>
      <c r="C649" s="220" t="s">
        <v>371</v>
      </c>
      <c r="D649" s="220" t="s">
        <v>370</v>
      </c>
      <c r="E649" s="220" t="s">
        <v>369</v>
      </c>
      <c r="F649" s="220" t="s">
        <v>368</v>
      </c>
      <c r="G649" s="220"/>
      <c r="H649" s="220" t="s">
        <v>367</v>
      </c>
      <c r="I649" s="220" t="s">
        <v>345</v>
      </c>
      <c r="J649" s="220" t="s">
        <v>297</v>
      </c>
      <c r="K649" s="220" t="s">
        <v>344</v>
      </c>
      <c r="L649" s="220"/>
      <c r="M649" s="220"/>
      <c r="N649" s="220"/>
      <c r="O649" s="220"/>
      <c r="P649" s="220"/>
      <c r="Q649" s="220"/>
      <c r="R649" s="220"/>
      <c r="S649" s="220" t="s">
        <v>295</v>
      </c>
      <c r="T649" s="220" t="s">
        <v>153</v>
      </c>
      <c r="U649" s="220" t="s">
        <v>294</v>
      </c>
      <c r="V649" s="220"/>
      <c r="W649" s="220"/>
      <c r="X649" s="220"/>
      <c r="Y649" s="283"/>
      <c r="Z649" s="220"/>
      <c r="AA649" s="220"/>
      <c r="AB649" s="220"/>
      <c r="AC649" s="220"/>
      <c r="AD649" s="220"/>
      <c r="AE649" s="283"/>
      <c r="AF649" s="220"/>
      <c r="AG649" s="220"/>
      <c r="AH649" s="220"/>
      <c r="AI649" s="220"/>
      <c r="AJ649" s="226">
        <v>1</v>
      </c>
      <c r="AK649" s="226">
        <v>0</v>
      </c>
      <c r="AL649" s="225">
        <v>0.19</v>
      </c>
      <c r="AM649" s="220"/>
      <c r="AN649" s="225">
        <v>508</v>
      </c>
      <c r="AO649" s="220"/>
      <c r="AP649" s="220"/>
      <c r="AQ649" s="283"/>
      <c r="AR649" s="283"/>
      <c r="AS649" s="283"/>
      <c r="AT649" s="223">
        <v>0</v>
      </c>
      <c r="AU649" s="284">
        <v>0</v>
      </c>
      <c r="AV649" s="221">
        <v>42844</v>
      </c>
      <c r="AW649" s="221">
        <v>42844.535247453699</v>
      </c>
      <c r="AX649" s="220" t="s">
        <v>293</v>
      </c>
      <c r="AY649" s="219" t="s">
        <v>366</v>
      </c>
    </row>
    <row r="650" spans="1:51" hidden="1" outlineLevel="1" collapsed="1">
      <c r="A650" s="227" t="s">
        <v>289</v>
      </c>
      <c r="B650" s="220" t="s">
        <v>371</v>
      </c>
      <c r="C650" s="220" t="s">
        <v>371</v>
      </c>
      <c r="D650" s="220" t="s">
        <v>370</v>
      </c>
      <c r="E650" s="220" t="s">
        <v>369</v>
      </c>
      <c r="F650" s="220" t="s">
        <v>368</v>
      </c>
      <c r="G650" s="220"/>
      <c r="H650" s="220" t="s">
        <v>367</v>
      </c>
      <c r="I650" s="220" t="s">
        <v>345</v>
      </c>
      <c r="J650" s="220" t="s">
        <v>297</v>
      </c>
      <c r="K650" s="220" t="s">
        <v>344</v>
      </c>
      <c r="L650" s="220"/>
      <c r="M650" s="220"/>
      <c r="N650" s="220"/>
      <c r="O650" s="220"/>
      <c r="P650" s="220"/>
      <c r="Q650" s="220"/>
      <c r="R650" s="220"/>
      <c r="S650" s="220" t="s">
        <v>295</v>
      </c>
      <c r="T650" s="220" t="s">
        <v>305</v>
      </c>
      <c r="U650" s="220" t="s">
        <v>294</v>
      </c>
      <c r="V650" s="220"/>
      <c r="W650" s="220"/>
      <c r="X650" s="220"/>
      <c r="Y650" s="283"/>
      <c r="Z650" s="220"/>
      <c r="AA650" s="220"/>
      <c r="AB650" s="220"/>
      <c r="AC650" s="220"/>
      <c r="AD650" s="220"/>
      <c r="AE650" s="283"/>
      <c r="AF650" s="220"/>
      <c r="AG650" s="220"/>
      <c r="AH650" s="220"/>
      <c r="AI650" s="220"/>
      <c r="AJ650" s="226">
        <v>1</v>
      </c>
      <c r="AK650" s="226">
        <v>0</v>
      </c>
      <c r="AL650" s="225">
        <v>4.3999999999999997E-2</v>
      </c>
      <c r="AM650" s="220"/>
      <c r="AN650" s="225">
        <v>417</v>
      </c>
      <c r="AO650" s="220"/>
      <c r="AP650" s="220"/>
      <c r="AQ650" s="283"/>
      <c r="AR650" s="283"/>
      <c r="AS650" s="283"/>
      <c r="AT650" s="223">
        <v>0</v>
      </c>
      <c r="AU650" s="284">
        <v>0</v>
      </c>
      <c r="AV650" s="221">
        <v>42844</v>
      </c>
      <c r="AW650" s="221">
        <v>42844.535247453699</v>
      </c>
      <c r="AX650" s="220" t="s">
        <v>293</v>
      </c>
      <c r="AY650" s="219" t="s">
        <v>372</v>
      </c>
    </row>
    <row r="651" spans="1:51" hidden="1" outlineLevel="1" collapsed="1">
      <c r="A651" s="227" t="s">
        <v>289</v>
      </c>
      <c r="B651" s="220" t="s">
        <v>364</v>
      </c>
      <c r="C651" s="220" t="s">
        <v>364</v>
      </c>
      <c r="D651" s="220" t="s">
        <v>363</v>
      </c>
      <c r="E651" s="220" t="s">
        <v>362</v>
      </c>
      <c r="F651" s="220" t="s">
        <v>361</v>
      </c>
      <c r="G651" s="220"/>
      <c r="H651" s="220" t="s">
        <v>360</v>
      </c>
      <c r="I651" s="220" t="s">
        <v>298</v>
      </c>
      <c r="J651" s="220" t="s">
        <v>297</v>
      </c>
      <c r="K651" s="220" t="s">
        <v>296</v>
      </c>
      <c r="L651" s="220"/>
      <c r="M651" s="220"/>
      <c r="N651" s="220"/>
      <c r="O651" s="220"/>
      <c r="P651" s="220"/>
      <c r="Q651" s="220"/>
      <c r="R651" s="220"/>
      <c r="S651" s="220" t="s">
        <v>295</v>
      </c>
      <c r="T651" s="220" t="s">
        <v>153</v>
      </c>
      <c r="U651" s="220" t="s">
        <v>294</v>
      </c>
      <c r="V651" s="220"/>
      <c r="W651" s="220"/>
      <c r="X651" s="220"/>
      <c r="Y651" s="283"/>
      <c r="Z651" s="220"/>
      <c r="AA651" s="220"/>
      <c r="AB651" s="220"/>
      <c r="AC651" s="220"/>
      <c r="AD651" s="220"/>
      <c r="AE651" s="283"/>
      <c r="AF651" s="220"/>
      <c r="AG651" s="220"/>
      <c r="AH651" s="220"/>
      <c r="AI651" s="220"/>
      <c r="AJ651" s="226">
        <v>1</v>
      </c>
      <c r="AK651" s="226">
        <v>0</v>
      </c>
      <c r="AL651" s="225">
        <v>0.19</v>
      </c>
      <c r="AM651" s="220"/>
      <c r="AN651" s="225">
        <v>508</v>
      </c>
      <c r="AO651" s="220"/>
      <c r="AP651" s="220"/>
      <c r="AQ651" s="283"/>
      <c r="AR651" s="283"/>
      <c r="AS651" s="283"/>
      <c r="AT651" s="223">
        <v>0</v>
      </c>
      <c r="AU651" s="284">
        <v>0</v>
      </c>
      <c r="AV651" s="221">
        <v>42885</v>
      </c>
      <c r="AW651" s="221">
        <v>42885.786298032399</v>
      </c>
      <c r="AX651" s="220" t="s">
        <v>293</v>
      </c>
      <c r="AY651" s="219" t="s">
        <v>359</v>
      </c>
    </row>
    <row r="652" spans="1:51" hidden="1" outlineLevel="1" collapsed="1">
      <c r="A652" s="227" t="s">
        <v>289</v>
      </c>
      <c r="B652" s="220" t="s">
        <v>364</v>
      </c>
      <c r="C652" s="220" t="s">
        <v>364</v>
      </c>
      <c r="D652" s="220" t="s">
        <v>363</v>
      </c>
      <c r="E652" s="220" t="s">
        <v>362</v>
      </c>
      <c r="F652" s="220" t="s">
        <v>361</v>
      </c>
      <c r="G652" s="220"/>
      <c r="H652" s="220" t="s">
        <v>360</v>
      </c>
      <c r="I652" s="220" t="s">
        <v>298</v>
      </c>
      <c r="J652" s="220" t="s">
        <v>297</v>
      </c>
      <c r="K652" s="220" t="s">
        <v>296</v>
      </c>
      <c r="L652" s="220"/>
      <c r="M652" s="220"/>
      <c r="N652" s="220"/>
      <c r="O652" s="220"/>
      <c r="P652" s="220"/>
      <c r="Q652" s="220"/>
      <c r="R652" s="220"/>
      <c r="S652" s="220" t="s">
        <v>295</v>
      </c>
      <c r="T652" s="220" t="s">
        <v>305</v>
      </c>
      <c r="U652" s="220" t="s">
        <v>294</v>
      </c>
      <c r="V652" s="220"/>
      <c r="W652" s="220"/>
      <c r="X652" s="220"/>
      <c r="Y652" s="283"/>
      <c r="Z652" s="220"/>
      <c r="AA652" s="220"/>
      <c r="AB652" s="220"/>
      <c r="AC652" s="220"/>
      <c r="AD652" s="220"/>
      <c r="AE652" s="283"/>
      <c r="AF652" s="220"/>
      <c r="AG652" s="220"/>
      <c r="AH652" s="220"/>
      <c r="AI652" s="220"/>
      <c r="AJ652" s="226">
        <v>1</v>
      </c>
      <c r="AK652" s="226">
        <v>0</v>
      </c>
      <c r="AL652" s="225">
        <v>4.3999999999999997E-2</v>
      </c>
      <c r="AM652" s="220"/>
      <c r="AN652" s="225">
        <v>417</v>
      </c>
      <c r="AO652" s="220"/>
      <c r="AP652" s="220"/>
      <c r="AQ652" s="283"/>
      <c r="AR652" s="283"/>
      <c r="AS652" s="283"/>
      <c r="AT652" s="223">
        <v>0</v>
      </c>
      <c r="AU652" s="284">
        <v>0</v>
      </c>
      <c r="AV652" s="221">
        <v>42885</v>
      </c>
      <c r="AW652" s="221">
        <v>42885.786298032399</v>
      </c>
      <c r="AX652" s="220" t="s">
        <v>293</v>
      </c>
      <c r="AY652" s="219" t="s">
        <v>365</v>
      </c>
    </row>
    <row r="653" spans="1:51" hidden="1" outlineLevel="1" collapsed="1">
      <c r="A653" s="227" t="s">
        <v>289</v>
      </c>
      <c r="B653" s="220" t="s">
        <v>357</v>
      </c>
      <c r="C653" s="220" t="s">
        <v>357</v>
      </c>
      <c r="D653" s="220" t="s">
        <v>356</v>
      </c>
      <c r="E653" s="220" t="s">
        <v>355</v>
      </c>
      <c r="F653" s="220" t="s">
        <v>354</v>
      </c>
      <c r="G653" s="220"/>
      <c r="H653" s="220" t="s">
        <v>353</v>
      </c>
      <c r="I653" s="220" t="s">
        <v>298</v>
      </c>
      <c r="J653" s="220" t="s">
        <v>297</v>
      </c>
      <c r="K653" s="220" t="s">
        <v>296</v>
      </c>
      <c r="L653" s="220"/>
      <c r="M653" s="220"/>
      <c r="N653" s="220"/>
      <c r="O653" s="220"/>
      <c r="P653" s="220"/>
      <c r="Q653" s="220"/>
      <c r="R653" s="220"/>
      <c r="S653" s="220" t="s">
        <v>295</v>
      </c>
      <c r="T653" s="220" t="s">
        <v>153</v>
      </c>
      <c r="U653" s="220" t="s">
        <v>294</v>
      </c>
      <c r="V653" s="220"/>
      <c r="W653" s="220"/>
      <c r="X653" s="220"/>
      <c r="Y653" s="283"/>
      <c r="Z653" s="220"/>
      <c r="AA653" s="220"/>
      <c r="AB653" s="220"/>
      <c r="AC653" s="220"/>
      <c r="AD653" s="220"/>
      <c r="AE653" s="283"/>
      <c r="AF653" s="220"/>
      <c r="AG653" s="220"/>
      <c r="AH653" s="220"/>
      <c r="AI653" s="220"/>
      <c r="AJ653" s="226">
        <v>1</v>
      </c>
      <c r="AK653" s="226">
        <v>0</v>
      </c>
      <c r="AL653" s="225">
        <v>0.19</v>
      </c>
      <c r="AM653" s="220"/>
      <c r="AN653" s="225">
        <v>508</v>
      </c>
      <c r="AO653" s="220"/>
      <c r="AP653" s="220"/>
      <c r="AQ653" s="283"/>
      <c r="AR653" s="283"/>
      <c r="AS653" s="283"/>
      <c r="AT653" s="223">
        <v>0</v>
      </c>
      <c r="AU653" s="284">
        <v>0</v>
      </c>
      <c r="AV653" s="221">
        <v>42886</v>
      </c>
      <c r="AW653" s="221">
        <v>42886.694545486098</v>
      </c>
      <c r="AX653" s="220" t="s">
        <v>293</v>
      </c>
      <c r="AY653" s="219" t="s">
        <v>358</v>
      </c>
    </row>
    <row r="654" spans="1:51" hidden="1" outlineLevel="1" collapsed="1">
      <c r="A654" s="227" t="s">
        <v>289</v>
      </c>
      <c r="B654" s="220" t="s">
        <v>357</v>
      </c>
      <c r="C654" s="220" t="s">
        <v>357</v>
      </c>
      <c r="D654" s="220" t="s">
        <v>356</v>
      </c>
      <c r="E654" s="220" t="s">
        <v>355</v>
      </c>
      <c r="F654" s="220" t="s">
        <v>354</v>
      </c>
      <c r="G654" s="220"/>
      <c r="H654" s="220" t="s">
        <v>353</v>
      </c>
      <c r="I654" s="220" t="s">
        <v>298</v>
      </c>
      <c r="J654" s="220" t="s">
        <v>297</v>
      </c>
      <c r="K654" s="220" t="s">
        <v>296</v>
      </c>
      <c r="L654" s="220"/>
      <c r="M654" s="220"/>
      <c r="N654" s="220"/>
      <c r="O654" s="220"/>
      <c r="P654" s="220"/>
      <c r="Q654" s="220"/>
      <c r="R654" s="220"/>
      <c r="S654" s="220" t="s">
        <v>295</v>
      </c>
      <c r="T654" s="220" t="s">
        <v>305</v>
      </c>
      <c r="U654" s="220" t="s">
        <v>294</v>
      </c>
      <c r="V654" s="220"/>
      <c r="W654" s="220"/>
      <c r="X654" s="220"/>
      <c r="Y654" s="283"/>
      <c r="Z654" s="220"/>
      <c r="AA654" s="220"/>
      <c r="AB654" s="220"/>
      <c r="AC654" s="220"/>
      <c r="AD654" s="220"/>
      <c r="AE654" s="283"/>
      <c r="AF654" s="220"/>
      <c r="AG654" s="220"/>
      <c r="AH654" s="220"/>
      <c r="AI654" s="220"/>
      <c r="AJ654" s="226">
        <v>1</v>
      </c>
      <c r="AK654" s="226">
        <v>0</v>
      </c>
      <c r="AL654" s="225">
        <v>4.3999999999999997E-2</v>
      </c>
      <c r="AM654" s="220"/>
      <c r="AN654" s="225">
        <v>417</v>
      </c>
      <c r="AO654" s="220"/>
      <c r="AP654" s="220"/>
      <c r="AQ654" s="283"/>
      <c r="AR654" s="283"/>
      <c r="AS654" s="283"/>
      <c r="AT654" s="223">
        <v>0</v>
      </c>
      <c r="AU654" s="284">
        <v>0</v>
      </c>
      <c r="AV654" s="221">
        <v>42886</v>
      </c>
      <c r="AW654" s="221">
        <v>42886.694545486098</v>
      </c>
      <c r="AX654" s="220" t="s">
        <v>293</v>
      </c>
      <c r="AY654" s="219" t="s">
        <v>352</v>
      </c>
    </row>
    <row r="655" spans="1:51" hidden="1" outlineLevel="1" collapsed="1">
      <c r="A655" s="227" t="s">
        <v>289</v>
      </c>
      <c r="B655" s="220" t="s">
        <v>350</v>
      </c>
      <c r="C655" s="220" t="s">
        <v>350</v>
      </c>
      <c r="D655" s="220" t="s">
        <v>349</v>
      </c>
      <c r="E655" s="220" t="s">
        <v>348</v>
      </c>
      <c r="F655" s="220" t="s">
        <v>347</v>
      </c>
      <c r="G655" s="220"/>
      <c r="H655" s="220" t="s">
        <v>346</v>
      </c>
      <c r="I655" s="220" t="s">
        <v>345</v>
      </c>
      <c r="J655" s="220" t="s">
        <v>297</v>
      </c>
      <c r="K655" s="220" t="s">
        <v>344</v>
      </c>
      <c r="L655" s="220"/>
      <c r="M655" s="220"/>
      <c r="N655" s="220"/>
      <c r="O655" s="220"/>
      <c r="P655" s="220"/>
      <c r="Q655" s="220"/>
      <c r="R655" s="220"/>
      <c r="S655" s="220" t="s">
        <v>295</v>
      </c>
      <c r="T655" s="220" t="s">
        <v>153</v>
      </c>
      <c r="U655" s="220" t="s">
        <v>294</v>
      </c>
      <c r="V655" s="220"/>
      <c r="W655" s="220"/>
      <c r="X655" s="220"/>
      <c r="Y655" s="283"/>
      <c r="Z655" s="220"/>
      <c r="AA655" s="220"/>
      <c r="AB655" s="220"/>
      <c r="AC655" s="220"/>
      <c r="AD655" s="220"/>
      <c r="AE655" s="283"/>
      <c r="AF655" s="220"/>
      <c r="AG655" s="220"/>
      <c r="AH655" s="220"/>
      <c r="AI655" s="220"/>
      <c r="AJ655" s="226">
        <v>1</v>
      </c>
      <c r="AK655" s="226">
        <v>0</v>
      </c>
      <c r="AL655" s="225">
        <v>0.19</v>
      </c>
      <c r="AM655" s="220"/>
      <c r="AN655" s="225">
        <v>508</v>
      </c>
      <c r="AO655" s="220"/>
      <c r="AP655" s="220"/>
      <c r="AQ655" s="283"/>
      <c r="AR655" s="283"/>
      <c r="AS655" s="283"/>
      <c r="AT655" s="223">
        <v>0</v>
      </c>
      <c r="AU655" s="284">
        <v>0</v>
      </c>
      <c r="AV655" s="221">
        <v>42927</v>
      </c>
      <c r="AW655" s="221">
        <v>42927.597792789398</v>
      </c>
      <c r="AX655" s="220" t="s">
        <v>293</v>
      </c>
      <c r="AY655" s="219" t="s">
        <v>343</v>
      </c>
    </row>
    <row r="656" spans="1:51" hidden="1" outlineLevel="1" collapsed="1">
      <c r="A656" s="227" t="s">
        <v>289</v>
      </c>
      <c r="B656" s="220" t="s">
        <v>350</v>
      </c>
      <c r="C656" s="220" t="s">
        <v>350</v>
      </c>
      <c r="D656" s="220" t="s">
        <v>349</v>
      </c>
      <c r="E656" s="220" t="s">
        <v>348</v>
      </c>
      <c r="F656" s="220" t="s">
        <v>347</v>
      </c>
      <c r="G656" s="220"/>
      <c r="H656" s="220" t="s">
        <v>346</v>
      </c>
      <c r="I656" s="220" t="s">
        <v>345</v>
      </c>
      <c r="J656" s="220" t="s">
        <v>297</v>
      </c>
      <c r="K656" s="220" t="s">
        <v>344</v>
      </c>
      <c r="L656" s="220"/>
      <c r="M656" s="220"/>
      <c r="N656" s="220"/>
      <c r="O656" s="220"/>
      <c r="P656" s="220"/>
      <c r="Q656" s="220"/>
      <c r="R656" s="220"/>
      <c r="S656" s="220" t="s">
        <v>295</v>
      </c>
      <c r="T656" s="220" t="s">
        <v>153</v>
      </c>
      <c r="U656" s="220" t="s">
        <v>294</v>
      </c>
      <c r="V656" s="220"/>
      <c r="W656" s="220"/>
      <c r="X656" s="220"/>
      <c r="Y656" s="283"/>
      <c r="Z656" s="220"/>
      <c r="AA656" s="220"/>
      <c r="AB656" s="220"/>
      <c r="AC656" s="220"/>
      <c r="AD656" s="220"/>
      <c r="AE656" s="283"/>
      <c r="AF656" s="220"/>
      <c r="AG656" s="220"/>
      <c r="AH656" s="220"/>
      <c r="AI656" s="220"/>
      <c r="AJ656" s="226">
        <v>1</v>
      </c>
      <c r="AK656" s="226">
        <v>0</v>
      </c>
      <c r="AL656" s="225">
        <v>0.19</v>
      </c>
      <c r="AM656" s="220"/>
      <c r="AN656" s="225">
        <v>508</v>
      </c>
      <c r="AO656" s="220"/>
      <c r="AP656" s="220"/>
      <c r="AQ656" s="283"/>
      <c r="AR656" s="283"/>
      <c r="AS656" s="283"/>
      <c r="AT656" s="223">
        <v>0</v>
      </c>
      <c r="AU656" s="284">
        <v>0</v>
      </c>
      <c r="AV656" s="221">
        <v>42927</v>
      </c>
      <c r="AW656" s="221">
        <v>42927.597792789398</v>
      </c>
      <c r="AX656" s="220" t="s">
        <v>293</v>
      </c>
      <c r="AY656" s="219" t="s">
        <v>351</v>
      </c>
    </row>
    <row r="657" spans="1:51" hidden="1" outlineLevel="1" collapsed="1">
      <c r="A657" s="227" t="s">
        <v>289</v>
      </c>
      <c r="B657" s="220" t="s">
        <v>342</v>
      </c>
      <c r="C657" s="220" t="s">
        <v>342</v>
      </c>
      <c r="D657" s="220" t="s">
        <v>341</v>
      </c>
      <c r="E657" s="220" t="s">
        <v>340</v>
      </c>
      <c r="F657" s="220" t="s">
        <v>339</v>
      </c>
      <c r="G657" s="220"/>
      <c r="H657" s="220" t="s">
        <v>338</v>
      </c>
      <c r="I657" s="220" t="s">
        <v>337</v>
      </c>
      <c r="J657" s="220" t="s">
        <v>297</v>
      </c>
      <c r="K657" s="220" t="s">
        <v>336</v>
      </c>
      <c r="L657" s="220"/>
      <c r="M657" s="220"/>
      <c r="N657" s="220"/>
      <c r="O657" s="220"/>
      <c r="P657" s="220"/>
      <c r="Q657" s="220"/>
      <c r="R657" s="220"/>
      <c r="S657" s="220" t="s">
        <v>295</v>
      </c>
      <c r="T657" s="220" t="s">
        <v>153</v>
      </c>
      <c r="U657" s="220"/>
      <c r="V657" s="220"/>
      <c r="W657" s="220"/>
      <c r="X657" s="220"/>
      <c r="Y657" s="283"/>
      <c r="Z657" s="220"/>
      <c r="AA657" s="220"/>
      <c r="AB657" s="220"/>
      <c r="AC657" s="220"/>
      <c r="AD657" s="220"/>
      <c r="AE657" s="283"/>
      <c r="AF657" s="220"/>
      <c r="AG657" s="220"/>
      <c r="AH657" s="220"/>
      <c r="AI657" s="220"/>
      <c r="AJ657" s="226">
        <v>1</v>
      </c>
      <c r="AK657" s="226">
        <v>0</v>
      </c>
      <c r="AL657" s="225">
        <v>0.19</v>
      </c>
      <c r="AM657" s="220"/>
      <c r="AN657" s="225">
        <v>508</v>
      </c>
      <c r="AO657" s="220"/>
      <c r="AP657" s="220"/>
      <c r="AQ657" s="283"/>
      <c r="AR657" s="283"/>
      <c r="AS657" s="283"/>
      <c r="AT657" s="223">
        <v>0</v>
      </c>
      <c r="AU657" s="284">
        <v>0</v>
      </c>
      <c r="AV657" s="221">
        <v>42954</v>
      </c>
      <c r="AW657" s="221">
        <v>42954.676392442103</v>
      </c>
      <c r="AX657" s="220" t="s">
        <v>293</v>
      </c>
      <c r="AY657" s="219" t="s">
        <v>335</v>
      </c>
    </row>
    <row r="658" spans="1:51" ht="20.399999999999999" hidden="1" outlineLevel="1" collapsed="1">
      <c r="A658" s="227" t="s">
        <v>289</v>
      </c>
      <c r="B658" s="220" t="s">
        <v>334</v>
      </c>
      <c r="C658" s="220" t="s">
        <v>334</v>
      </c>
      <c r="D658" s="220" t="s">
        <v>333</v>
      </c>
      <c r="E658" s="220" t="s">
        <v>332</v>
      </c>
      <c r="F658" s="220" t="s">
        <v>331</v>
      </c>
      <c r="G658" s="220"/>
      <c r="H658" s="220" t="s">
        <v>330</v>
      </c>
      <c r="I658" s="220" t="s">
        <v>329</v>
      </c>
      <c r="J658" s="220" t="s">
        <v>297</v>
      </c>
      <c r="K658" s="220" t="s">
        <v>328</v>
      </c>
      <c r="L658" s="220"/>
      <c r="M658" s="220"/>
      <c r="N658" s="220"/>
      <c r="O658" s="220"/>
      <c r="P658" s="220"/>
      <c r="Q658" s="220"/>
      <c r="R658" s="220"/>
      <c r="S658" s="220" t="s">
        <v>295</v>
      </c>
      <c r="T658" s="220" t="s">
        <v>153</v>
      </c>
      <c r="U658" s="220"/>
      <c r="V658" s="220"/>
      <c r="W658" s="220"/>
      <c r="X658" s="220"/>
      <c r="Y658" s="283"/>
      <c r="Z658" s="220"/>
      <c r="AA658" s="220"/>
      <c r="AB658" s="220"/>
      <c r="AC658" s="220"/>
      <c r="AD658" s="220"/>
      <c r="AE658" s="283"/>
      <c r="AF658" s="220"/>
      <c r="AG658" s="220"/>
      <c r="AH658" s="220"/>
      <c r="AI658" s="220"/>
      <c r="AJ658" s="226">
        <v>1</v>
      </c>
      <c r="AK658" s="226">
        <v>0</v>
      </c>
      <c r="AL658" s="225">
        <v>0.19</v>
      </c>
      <c r="AM658" s="220"/>
      <c r="AN658" s="225">
        <v>508</v>
      </c>
      <c r="AO658" s="220"/>
      <c r="AP658" s="220"/>
      <c r="AQ658" s="283"/>
      <c r="AR658" s="283"/>
      <c r="AS658" s="283"/>
      <c r="AT658" s="223">
        <v>0</v>
      </c>
      <c r="AU658" s="284">
        <v>0</v>
      </c>
      <c r="AV658" s="221">
        <v>42954</v>
      </c>
      <c r="AW658" s="221">
        <v>42954.6789623843</v>
      </c>
      <c r="AX658" s="220" t="s">
        <v>293</v>
      </c>
      <c r="AY658" s="219" t="s">
        <v>327</v>
      </c>
    </row>
    <row r="659" spans="1:51" hidden="1" outlineLevel="1" collapsed="1">
      <c r="A659" s="227" t="s">
        <v>289</v>
      </c>
      <c r="B659" s="220" t="s">
        <v>325</v>
      </c>
      <c r="C659" s="220" t="s">
        <v>325</v>
      </c>
      <c r="D659" s="220" t="s">
        <v>324</v>
      </c>
      <c r="E659" s="220" t="s">
        <v>323</v>
      </c>
      <c r="F659" s="220" t="s">
        <v>322</v>
      </c>
      <c r="G659" s="220"/>
      <c r="H659" s="220" t="s">
        <v>321</v>
      </c>
      <c r="I659" s="220" t="s">
        <v>320</v>
      </c>
      <c r="J659" s="220" t="s">
        <v>297</v>
      </c>
      <c r="K659" s="220" t="s">
        <v>319</v>
      </c>
      <c r="L659" s="220"/>
      <c r="M659" s="220"/>
      <c r="N659" s="220"/>
      <c r="O659" s="220"/>
      <c r="P659" s="220"/>
      <c r="Q659" s="220"/>
      <c r="R659" s="220"/>
      <c r="S659" s="220" t="s">
        <v>295</v>
      </c>
      <c r="T659" s="220" t="s">
        <v>305</v>
      </c>
      <c r="U659" s="220" t="s">
        <v>294</v>
      </c>
      <c r="V659" s="220"/>
      <c r="W659" s="220"/>
      <c r="X659" s="220"/>
      <c r="Y659" s="283"/>
      <c r="Z659" s="220"/>
      <c r="AA659" s="220"/>
      <c r="AB659" s="220"/>
      <c r="AC659" s="220"/>
      <c r="AD659" s="220"/>
      <c r="AE659" s="283"/>
      <c r="AF659" s="220"/>
      <c r="AG659" s="220"/>
      <c r="AH659" s="220"/>
      <c r="AI659" s="220"/>
      <c r="AJ659" s="226">
        <v>1</v>
      </c>
      <c r="AK659" s="226">
        <v>0</v>
      </c>
      <c r="AL659" s="225">
        <v>4.3999999999999997E-2</v>
      </c>
      <c r="AM659" s="220"/>
      <c r="AN659" s="225">
        <v>417</v>
      </c>
      <c r="AO659" s="220"/>
      <c r="AP659" s="220"/>
      <c r="AQ659" s="283"/>
      <c r="AR659" s="283"/>
      <c r="AS659" s="283"/>
      <c r="AT659" s="223">
        <v>0</v>
      </c>
      <c r="AU659" s="284">
        <v>0</v>
      </c>
      <c r="AV659" s="221">
        <v>42961</v>
      </c>
      <c r="AW659" s="221">
        <v>42961.698382951399</v>
      </c>
      <c r="AX659" s="220" t="s">
        <v>293</v>
      </c>
      <c r="AY659" s="219" t="s">
        <v>326</v>
      </c>
    </row>
    <row r="660" spans="1:51" hidden="1" outlineLevel="1" collapsed="1">
      <c r="A660" s="227" t="s">
        <v>289</v>
      </c>
      <c r="B660" s="220" t="s">
        <v>325</v>
      </c>
      <c r="C660" s="220" t="s">
        <v>325</v>
      </c>
      <c r="D660" s="220" t="s">
        <v>324</v>
      </c>
      <c r="E660" s="220" t="s">
        <v>323</v>
      </c>
      <c r="F660" s="220" t="s">
        <v>322</v>
      </c>
      <c r="G660" s="220"/>
      <c r="H660" s="220" t="s">
        <v>321</v>
      </c>
      <c r="I660" s="220" t="s">
        <v>320</v>
      </c>
      <c r="J660" s="220" t="s">
        <v>297</v>
      </c>
      <c r="K660" s="220" t="s">
        <v>319</v>
      </c>
      <c r="L660" s="220"/>
      <c r="M660" s="220"/>
      <c r="N660" s="220"/>
      <c r="O660" s="220"/>
      <c r="P660" s="220"/>
      <c r="Q660" s="220"/>
      <c r="R660" s="220"/>
      <c r="S660" s="220" t="s">
        <v>295</v>
      </c>
      <c r="T660" s="220" t="s">
        <v>153</v>
      </c>
      <c r="U660" s="220" t="s">
        <v>294</v>
      </c>
      <c r="V660" s="220"/>
      <c r="W660" s="220"/>
      <c r="X660" s="220"/>
      <c r="Y660" s="283"/>
      <c r="Z660" s="220"/>
      <c r="AA660" s="220"/>
      <c r="AB660" s="220"/>
      <c r="AC660" s="220"/>
      <c r="AD660" s="220"/>
      <c r="AE660" s="283"/>
      <c r="AF660" s="220"/>
      <c r="AG660" s="220"/>
      <c r="AH660" s="220"/>
      <c r="AI660" s="220"/>
      <c r="AJ660" s="226">
        <v>1</v>
      </c>
      <c r="AK660" s="226">
        <v>0</v>
      </c>
      <c r="AL660" s="225">
        <v>0.19</v>
      </c>
      <c r="AM660" s="220"/>
      <c r="AN660" s="225">
        <v>508</v>
      </c>
      <c r="AO660" s="220"/>
      <c r="AP660" s="220"/>
      <c r="AQ660" s="283"/>
      <c r="AR660" s="283"/>
      <c r="AS660" s="283"/>
      <c r="AT660" s="223">
        <v>0</v>
      </c>
      <c r="AU660" s="284">
        <v>0</v>
      </c>
      <c r="AV660" s="221">
        <v>42961</v>
      </c>
      <c r="AW660" s="221">
        <v>42961.698382951399</v>
      </c>
      <c r="AX660" s="220" t="s">
        <v>293</v>
      </c>
      <c r="AY660" s="219" t="s">
        <v>318</v>
      </c>
    </row>
    <row r="661" spans="1:51" hidden="1" outlineLevel="1" collapsed="1">
      <c r="A661" s="227" t="s">
        <v>289</v>
      </c>
      <c r="B661" s="220" t="s">
        <v>316</v>
      </c>
      <c r="C661" s="220" t="s">
        <v>316</v>
      </c>
      <c r="D661" s="220" t="s">
        <v>312</v>
      </c>
      <c r="E661" s="220" t="s">
        <v>311</v>
      </c>
      <c r="F661" s="220" t="s">
        <v>310</v>
      </c>
      <c r="G661" s="220"/>
      <c r="H661" s="220" t="s">
        <v>309</v>
      </c>
      <c r="I661" s="220" t="s">
        <v>308</v>
      </c>
      <c r="J661" s="220" t="s">
        <v>297</v>
      </c>
      <c r="K661" s="220" t="s">
        <v>307</v>
      </c>
      <c r="L661" s="220"/>
      <c r="M661" s="220"/>
      <c r="N661" s="220"/>
      <c r="O661" s="220"/>
      <c r="P661" s="220"/>
      <c r="Q661" s="220"/>
      <c r="R661" s="220"/>
      <c r="S661" s="220" t="s">
        <v>295</v>
      </c>
      <c r="T661" s="220" t="s">
        <v>305</v>
      </c>
      <c r="U661" s="220" t="s">
        <v>294</v>
      </c>
      <c r="V661" s="220"/>
      <c r="W661" s="220"/>
      <c r="X661" s="220"/>
      <c r="Y661" s="283"/>
      <c r="Z661" s="220"/>
      <c r="AA661" s="220"/>
      <c r="AB661" s="220"/>
      <c r="AC661" s="220"/>
      <c r="AD661" s="220"/>
      <c r="AE661" s="283"/>
      <c r="AF661" s="220"/>
      <c r="AG661" s="220"/>
      <c r="AH661" s="220"/>
      <c r="AI661" s="220"/>
      <c r="AJ661" s="226">
        <v>1</v>
      </c>
      <c r="AK661" s="226">
        <v>0</v>
      </c>
      <c r="AL661" s="225">
        <v>4.3999999999999997E-2</v>
      </c>
      <c r="AM661" s="220"/>
      <c r="AN661" s="225">
        <v>417</v>
      </c>
      <c r="AO661" s="220"/>
      <c r="AP661" s="220"/>
      <c r="AQ661" s="283"/>
      <c r="AR661" s="283"/>
      <c r="AS661" s="283"/>
      <c r="AT661" s="223">
        <v>0</v>
      </c>
      <c r="AU661" s="284">
        <v>0</v>
      </c>
      <c r="AV661" s="221">
        <v>42968</v>
      </c>
      <c r="AW661" s="221">
        <v>42968.833325891203</v>
      </c>
      <c r="AX661" s="220" t="s">
        <v>293</v>
      </c>
      <c r="AY661" s="219" t="s">
        <v>317</v>
      </c>
    </row>
    <row r="662" spans="1:51" hidden="1" outlineLevel="1" collapsed="1">
      <c r="A662" s="227" t="s">
        <v>289</v>
      </c>
      <c r="B662" s="220" t="s">
        <v>316</v>
      </c>
      <c r="C662" s="220" t="s">
        <v>316</v>
      </c>
      <c r="D662" s="220" t="s">
        <v>312</v>
      </c>
      <c r="E662" s="220" t="s">
        <v>311</v>
      </c>
      <c r="F662" s="220" t="s">
        <v>310</v>
      </c>
      <c r="G662" s="220"/>
      <c r="H662" s="220" t="s">
        <v>309</v>
      </c>
      <c r="I662" s="220" t="s">
        <v>308</v>
      </c>
      <c r="J662" s="220" t="s">
        <v>297</v>
      </c>
      <c r="K662" s="220" t="s">
        <v>307</v>
      </c>
      <c r="L662" s="220"/>
      <c r="M662" s="220"/>
      <c r="N662" s="220"/>
      <c r="O662" s="220"/>
      <c r="P662" s="220"/>
      <c r="Q662" s="220"/>
      <c r="R662" s="220"/>
      <c r="S662" s="220" t="s">
        <v>295</v>
      </c>
      <c r="T662" s="220" t="s">
        <v>153</v>
      </c>
      <c r="U662" s="220" t="s">
        <v>294</v>
      </c>
      <c r="V662" s="220"/>
      <c r="W662" s="220"/>
      <c r="X662" s="220"/>
      <c r="Y662" s="283"/>
      <c r="Z662" s="220"/>
      <c r="AA662" s="220"/>
      <c r="AB662" s="220"/>
      <c r="AC662" s="220"/>
      <c r="AD662" s="220"/>
      <c r="AE662" s="283"/>
      <c r="AF662" s="220"/>
      <c r="AG662" s="220"/>
      <c r="AH662" s="220"/>
      <c r="AI662" s="220"/>
      <c r="AJ662" s="226">
        <v>1</v>
      </c>
      <c r="AK662" s="226">
        <v>0</v>
      </c>
      <c r="AL662" s="225">
        <v>0.19</v>
      </c>
      <c r="AM662" s="220"/>
      <c r="AN662" s="225">
        <v>508</v>
      </c>
      <c r="AO662" s="220"/>
      <c r="AP662" s="220"/>
      <c r="AQ662" s="283"/>
      <c r="AR662" s="283"/>
      <c r="AS662" s="283"/>
      <c r="AT662" s="223">
        <v>0</v>
      </c>
      <c r="AU662" s="284">
        <v>0</v>
      </c>
      <c r="AV662" s="221">
        <v>42968</v>
      </c>
      <c r="AW662" s="221">
        <v>42968.833325891203</v>
      </c>
      <c r="AX662" s="220" t="s">
        <v>293</v>
      </c>
      <c r="AY662" s="219" t="s">
        <v>315</v>
      </c>
    </row>
    <row r="663" spans="1:51" hidden="1" outlineLevel="1" collapsed="1">
      <c r="A663" s="227" t="s">
        <v>289</v>
      </c>
      <c r="B663" s="220" t="s">
        <v>313</v>
      </c>
      <c r="C663" s="220" t="s">
        <v>313</v>
      </c>
      <c r="D663" s="220" t="s">
        <v>312</v>
      </c>
      <c r="E663" s="220" t="s">
        <v>311</v>
      </c>
      <c r="F663" s="220" t="s">
        <v>310</v>
      </c>
      <c r="G663" s="220"/>
      <c r="H663" s="220" t="s">
        <v>309</v>
      </c>
      <c r="I663" s="220" t="s">
        <v>308</v>
      </c>
      <c r="J663" s="220" t="s">
        <v>297</v>
      </c>
      <c r="K663" s="220" t="s">
        <v>307</v>
      </c>
      <c r="L663" s="220"/>
      <c r="M663" s="220"/>
      <c r="N663" s="220"/>
      <c r="O663" s="220"/>
      <c r="P663" s="220"/>
      <c r="Q663" s="220"/>
      <c r="R663" s="220"/>
      <c r="S663" s="220" t="s">
        <v>295</v>
      </c>
      <c r="T663" s="220" t="s">
        <v>305</v>
      </c>
      <c r="U663" s="220"/>
      <c r="V663" s="220"/>
      <c r="W663" s="220"/>
      <c r="X663" s="220"/>
      <c r="Y663" s="283"/>
      <c r="Z663" s="220"/>
      <c r="AA663" s="220"/>
      <c r="AB663" s="220"/>
      <c r="AC663" s="220"/>
      <c r="AD663" s="220"/>
      <c r="AE663" s="283"/>
      <c r="AF663" s="220"/>
      <c r="AG663" s="220"/>
      <c r="AH663" s="220"/>
      <c r="AI663" s="220"/>
      <c r="AJ663" s="226">
        <v>1</v>
      </c>
      <c r="AK663" s="226">
        <v>0</v>
      </c>
      <c r="AL663" s="225">
        <v>4.3999999999999997E-2</v>
      </c>
      <c r="AM663" s="220"/>
      <c r="AN663" s="225">
        <v>417</v>
      </c>
      <c r="AO663" s="220"/>
      <c r="AP663" s="220"/>
      <c r="AQ663" s="283"/>
      <c r="AR663" s="283"/>
      <c r="AS663" s="283"/>
      <c r="AT663" s="223">
        <v>0</v>
      </c>
      <c r="AU663" s="284">
        <v>0</v>
      </c>
      <c r="AV663" s="221">
        <v>42968</v>
      </c>
      <c r="AW663" s="221">
        <v>42968.838196909703</v>
      </c>
      <c r="AX663" s="220" t="s">
        <v>293</v>
      </c>
      <c r="AY663" s="219" t="s">
        <v>306</v>
      </c>
    </row>
    <row r="664" spans="1:51" hidden="1" outlineLevel="1" collapsed="1">
      <c r="A664" s="227" t="s">
        <v>289</v>
      </c>
      <c r="B664" s="220" t="s">
        <v>313</v>
      </c>
      <c r="C664" s="220" t="s">
        <v>313</v>
      </c>
      <c r="D664" s="220" t="s">
        <v>312</v>
      </c>
      <c r="E664" s="220" t="s">
        <v>311</v>
      </c>
      <c r="F664" s="220" t="s">
        <v>310</v>
      </c>
      <c r="G664" s="220"/>
      <c r="H664" s="220" t="s">
        <v>309</v>
      </c>
      <c r="I664" s="220" t="s">
        <v>308</v>
      </c>
      <c r="J664" s="220" t="s">
        <v>297</v>
      </c>
      <c r="K664" s="220" t="s">
        <v>307</v>
      </c>
      <c r="L664" s="220"/>
      <c r="M664" s="220"/>
      <c r="N664" s="220"/>
      <c r="O664" s="220"/>
      <c r="P664" s="220"/>
      <c r="Q664" s="220"/>
      <c r="R664" s="220"/>
      <c r="S664" s="220" t="s">
        <v>295</v>
      </c>
      <c r="T664" s="220" t="s">
        <v>153</v>
      </c>
      <c r="U664" s="220"/>
      <c r="V664" s="220"/>
      <c r="W664" s="220"/>
      <c r="X664" s="220"/>
      <c r="Y664" s="283"/>
      <c r="Z664" s="220"/>
      <c r="AA664" s="220"/>
      <c r="AB664" s="220"/>
      <c r="AC664" s="220"/>
      <c r="AD664" s="220"/>
      <c r="AE664" s="283"/>
      <c r="AF664" s="220"/>
      <c r="AG664" s="220"/>
      <c r="AH664" s="220"/>
      <c r="AI664" s="220"/>
      <c r="AJ664" s="226">
        <v>1</v>
      </c>
      <c r="AK664" s="226">
        <v>0</v>
      </c>
      <c r="AL664" s="225">
        <v>0.19</v>
      </c>
      <c r="AM664" s="220"/>
      <c r="AN664" s="225">
        <v>508</v>
      </c>
      <c r="AO664" s="220"/>
      <c r="AP664" s="220"/>
      <c r="AQ664" s="283"/>
      <c r="AR664" s="283"/>
      <c r="AS664" s="283"/>
      <c r="AT664" s="223">
        <v>0</v>
      </c>
      <c r="AU664" s="284">
        <v>0</v>
      </c>
      <c r="AV664" s="221">
        <v>42968</v>
      </c>
      <c r="AW664" s="221">
        <v>42968.838196909703</v>
      </c>
      <c r="AX664" s="220" t="s">
        <v>293</v>
      </c>
      <c r="AY664" s="219" t="s">
        <v>314</v>
      </c>
    </row>
    <row r="665" spans="1:51" hidden="1" outlineLevel="1" collapsed="1">
      <c r="A665" s="227" t="s">
        <v>289</v>
      </c>
      <c r="B665" s="220" t="s">
        <v>303</v>
      </c>
      <c r="C665" s="220" t="s">
        <v>303</v>
      </c>
      <c r="D665" s="220" t="s">
        <v>302</v>
      </c>
      <c r="E665" s="220" t="s">
        <v>301</v>
      </c>
      <c r="F665" s="220" t="s">
        <v>300</v>
      </c>
      <c r="G665" s="220"/>
      <c r="H665" s="220" t="s">
        <v>299</v>
      </c>
      <c r="I665" s="220" t="s">
        <v>298</v>
      </c>
      <c r="J665" s="220" t="s">
        <v>297</v>
      </c>
      <c r="K665" s="220" t="s">
        <v>296</v>
      </c>
      <c r="L665" s="220"/>
      <c r="M665" s="220"/>
      <c r="N665" s="220"/>
      <c r="O665" s="220"/>
      <c r="P665" s="220"/>
      <c r="Q665" s="220"/>
      <c r="R665" s="220"/>
      <c r="S665" s="220" t="s">
        <v>295</v>
      </c>
      <c r="T665" s="220" t="s">
        <v>305</v>
      </c>
      <c r="U665" s="220" t="s">
        <v>294</v>
      </c>
      <c r="V665" s="220"/>
      <c r="W665" s="220"/>
      <c r="X665" s="220"/>
      <c r="Y665" s="283"/>
      <c r="Z665" s="220"/>
      <c r="AA665" s="220"/>
      <c r="AB665" s="220"/>
      <c r="AC665" s="220"/>
      <c r="AD665" s="220"/>
      <c r="AE665" s="283"/>
      <c r="AF665" s="220"/>
      <c r="AG665" s="220"/>
      <c r="AH665" s="220"/>
      <c r="AI665" s="220"/>
      <c r="AJ665" s="226">
        <v>1</v>
      </c>
      <c r="AK665" s="226">
        <v>0</v>
      </c>
      <c r="AL665" s="225">
        <v>4.3999999999999997E-2</v>
      </c>
      <c r="AM665" s="220"/>
      <c r="AN665" s="225">
        <v>417</v>
      </c>
      <c r="AO665" s="220"/>
      <c r="AP665" s="220"/>
      <c r="AQ665" s="283"/>
      <c r="AR665" s="283"/>
      <c r="AS665" s="283"/>
      <c r="AT665" s="223">
        <v>0</v>
      </c>
      <c r="AU665" s="284">
        <v>0</v>
      </c>
      <c r="AV665" s="221">
        <v>42968</v>
      </c>
      <c r="AW665" s="221">
        <v>42968.841239502297</v>
      </c>
      <c r="AX665" s="220" t="s">
        <v>293</v>
      </c>
      <c r="AY665" s="219" t="s">
        <v>304</v>
      </c>
    </row>
    <row r="666" spans="1:51" hidden="1" outlineLevel="1" collapsed="1">
      <c r="A666" s="227" t="s">
        <v>289</v>
      </c>
      <c r="B666" s="220" t="s">
        <v>303</v>
      </c>
      <c r="C666" s="220" t="s">
        <v>303</v>
      </c>
      <c r="D666" s="220" t="s">
        <v>302</v>
      </c>
      <c r="E666" s="220" t="s">
        <v>301</v>
      </c>
      <c r="F666" s="220" t="s">
        <v>300</v>
      </c>
      <c r="G666" s="220"/>
      <c r="H666" s="220" t="s">
        <v>299</v>
      </c>
      <c r="I666" s="220" t="s">
        <v>298</v>
      </c>
      <c r="J666" s="220" t="s">
        <v>297</v>
      </c>
      <c r="K666" s="220" t="s">
        <v>296</v>
      </c>
      <c r="L666" s="220"/>
      <c r="M666" s="220"/>
      <c r="N666" s="220"/>
      <c r="O666" s="220"/>
      <c r="P666" s="220"/>
      <c r="Q666" s="220"/>
      <c r="R666" s="220"/>
      <c r="S666" s="220" t="s">
        <v>295</v>
      </c>
      <c r="T666" s="220" t="s">
        <v>153</v>
      </c>
      <c r="U666" s="220" t="s">
        <v>294</v>
      </c>
      <c r="V666" s="220"/>
      <c r="W666" s="220"/>
      <c r="X666" s="220"/>
      <c r="Y666" s="283"/>
      <c r="Z666" s="220"/>
      <c r="AA666" s="220"/>
      <c r="AB666" s="220"/>
      <c r="AC666" s="220"/>
      <c r="AD666" s="220"/>
      <c r="AE666" s="283"/>
      <c r="AF666" s="220"/>
      <c r="AG666" s="220"/>
      <c r="AH666" s="220"/>
      <c r="AI666" s="220"/>
      <c r="AJ666" s="226">
        <v>1</v>
      </c>
      <c r="AK666" s="226">
        <v>0</v>
      </c>
      <c r="AL666" s="225">
        <v>0.19</v>
      </c>
      <c r="AM666" s="220"/>
      <c r="AN666" s="225">
        <v>508</v>
      </c>
      <c r="AO666" s="220"/>
      <c r="AP666" s="220"/>
      <c r="AQ666" s="283"/>
      <c r="AR666" s="283"/>
      <c r="AS666" s="283"/>
      <c r="AT666" s="223">
        <v>0</v>
      </c>
      <c r="AU666" s="284">
        <v>0</v>
      </c>
      <c r="AV666" s="221">
        <v>42968</v>
      </c>
      <c r="AW666" s="221">
        <v>42968.841239502297</v>
      </c>
      <c r="AX666" s="220" t="s">
        <v>293</v>
      </c>
      <c r="AY666" s="219" t="s">
        <v>292</v>
      </c>
    </row>
    <row r="667" spans="1:51" ht="15" hidden="1" thickTop="1">
      <c r="A667" s="218" t="s">
        <v>291</v>
      </c>
      <c r="B667" s="217">
        <v>415</v>
      </c>
      <c r="C667" s="280" t="s">
        <v>289</v>
      </c>
      <c r="D667" s="665" t="s">
        <v>289</v>
      </c>
      <c r="E667" s="666"/>
      <c r="F667" s="666"/>
      <c r="G667" s="666"/>
      <c r="H667" s="666"/>
      <c r="I667" s="666"/>
      <c r="J667" s="666"/>
      <c r="K667" s="666"/>
      <c r="L667" s="666"/>
      <c r="M667" s="666"/>
      <c r="N667" s="666"/>
      <c r="O667" s="666"/>
      <c r="P667" s="666"/>
      <c r="Q667" s="666"/>
      <c r="R667" s="666"/>
      <c r="S667" s="666"/>
      <c r="T667" s="667"/>
      <c r="U667" s="280" t="s">
        <v>289</v>
      </c>
      <c r="V667" s="280" t="s">
        <v>289</v>
      </c>
      <c r="W667" s="280" t="s">
        <v>289</v>
      </c>
      <c r="X667" s="280" t="s">
        <v>289</v>
      </c>
      <c r="Y667" s="214" t="s">
        <v>289</v>
      </c>
      <c r="Z667" s="214" t="s">
        <v>289</v>
      </c>
      <c r="AA667" s="214" t="s">
        <v>289</v>
      </c>
      <c r="AB667" s="214" t="s">
        <v>289</v>
      </c>
      <c r="AC667" s="214" t="s">
        <v>289</v>
      </c>
      <c r="AD667" s="214" t="s">
        <v>289</v>
      </c>
      <c r="AE667" s="214" t="s">
        <v>289</v>
      </c>
      <c r="AF667" s="214" t="s">
        <v>289</v>
      </c>
      <c r="AG667" s="214" t="s">
        <v>289</v>
      </c>
      <c r="AH667" s="214" t="s">
        <v>289</v>
      </c>
      <c r="AI667" s="214" t="s">
        <v>289</v>
      </c>
      <c r="AJ667" s="217">
        <v>22186</v>
      </c>
      <c r="AK667" s="216">
        <v>0</v>
      </c>
      <c r="AL667" s="215">
        <v>1015.420463</v>
      </c>
      <c r="AM667" s="280"/>
      <c r="AN667" s="215">
        <v>4684157.7472299999</v>
      </c>
      <c r="AO667" s="280"/>
      <c r="AP667" s="280"/>
      <c r="AQ667" s="214"/>
      <c r="AR667" s="214"/>
      <c r="AS667" s="214"/>
      <c r="AT667" s="213">
        <v>0</v>
      </c>
      <c r="AU667" s="212">
        <v>449054.10749999998</v>
      </c>
      <c r="AV667" s="665" t="s">
        <v>289</v>
      </c>
      <c r="AW667" s="666"/>
      <c r="AX667" s="667"/>
      <c r="AY667" s="211" t="s">
        <v>289</v>
      </c>
    </row>
    <row r="668" spans="1:51" ht="9" customHeight="1">
      <c r="A668" s="657" t="s">
        <v>289</v>
      </c>
      <c r="B668" s="658"/>
      <c r="C668" s="658"/>
      <c r="D668" s="658"/>
      <c r="E668" s="658"/>
      <c r="F668" s="658"/>
      <c r="G668" s="658"/>
      <c r="H668" s="658"/>
      <c r="I668" s="658"/>
      <c r="J668" s="658"/>
      <c r="K668" s="658"/>
      <c r="L668" s="658"/>
      <c r="M668" s="658"/>
      <c r="N668" s="658"/>
      <c r="O668" s="658"/>
      <c r="P668" s="658"/>
      <c r="Q668" s="658"/>
      <c r="R668" s="658"/>
      <c r="S668" s="658"/>
      <c r="T668" s="658"/>
      <c r="U668" s="658"/>
      <c r="V668" s="658"/>
      <c r="W668" s="658"/>
      <c r="X668" s="658"/>
      <c r="Y668" s="658"/>
      <c r="Z668" s="658"/>
      <c r="AA668" s="658"/>
      <c r="AB668" s="658"/>
      <c r="AC668" s="658"/>
      <c r="AD668" s="658"/>
      <c r="AE668" s="658"/>
      <c r="AF668" s="658"/>
      <c r="AG668" s="658"/>
      <c r="AH668" s="658"/>
      <c r="AI668" s="658"/>
      <c r="AJ668" s="658"/>
      <c r="AK668" s="658"/>
      <c r="AL668" s="658"/>
      <c r="AM668" s="658"/>
      <c r="AN668" s="658"/>
      <c r="AO668" s="658"/>
      <c r="AP668" s="658"/>
      <c r="AQ668" s="658"/>
      <c r="AR668" s="658"/>
      <c r="AS668" s="658"/>
      <c r="AT668" s="658"/>
      <c r="AU668" s="658"/>
      <c r="AV668" s="658"/>
      <c r="AW668" s="658"/>
      <c r="AX668" s="658"/>
      <c r="AY668" s="659"/>
    </row>
    <row r="669" spans="1:51" ht="15" hidden="1" thickTop="1">
      <c r="A669" s="278" t="s">
        <v>290</v>
      </c>
      <c r="B669" s="210">
        <v>415</v>
      </c>
      <c r="C669" s="278" t="s">
        <v>289</v>
      </c>
      <c r="D669" s="660" t="s">
        <v>289</v>
      </c>
      <c r="E669" s="661"/>
      <c r="F669" s="661"/>
      <c r="G669" s="661"/>
      <c r="H669" s="661"/>
      <c r="I669" s="661"/>
      <c r="J669" s="661"/>
      <c r="K669" s="661"/>
      <c r="L669" s="661"/>
      <c r="M669" s="661"/>
      <c r="N669" s="661"/>
      <c r="O669" s="661"/>
      <c r="P669" s="661"/>
      <c r="Q669" s="661"/>
      <c r="R669" s="661"/>
      <c r="S669" s="661"/>
      <c r="T669" s="662"/>
      <c r="U669" s="278" t="s">
        <v>289</v>
      </c>
      <c r="V669" s="278" t="s">
        <v>289</v>
      </c>
      <c r="W669" s="278" t="s">
        <v>289</v>
      </c>
      <c r="X669" s="278" t="s">
        <v>289</v>
      </c>
      <c r="Y669" s="207" t="s">
        <v>289</v>
      </c>
      <c r="Z669" s="207" t="s">
        <v>289</v>
      </c>
      <c r="AA669" s="207" t="s">
        <v>289</v>
      </c>
      <c r="AB669" s="207" t="s">
        <v>289</v>
      </c>
      <c r="AC669" s="207" t="s">
        <v>289</v>
      </c>
      <c r="AD669" s="207" t="s">
        <v>289</v>
      </c>
      <c r="AE669" s="207" t="s">
        <v>289</v>
      </c>
      <c r="AF669" s="207" t="s">
        <v>289</v>
      </c>
      <c r="AG669" s="207" t="s">
        <v>289</v>
      </c>
      <c r="AH669" s="207" t="s">
        <v>289</v>
      </c>
      <c r="AI669" s="207" t="s">
        <v>289</v>
      </c>
      <c r="AJ669" s="210">
        <v>22186</v>
      </c>
      <c r="AK669" s="209">
        <v>0</v>
      </c>
      <c r="AL669" s="208">
        <v>1015.420463</v>
      </c>
      <c r="AM669" s="278"/>
      <c r="AN669" s="208">
        <v>4684157.7472299999</v>
      </c>
      <c r="AO669" s="278"/>
      <c r="AP669" s="278"/>
      <c r="AQ669" s="207"/>
      <c r="AR669" s="207"/>
      <c r="AS669" s="207"/>
      <c r="AT669" s="206">
        <v>0</v>
      </c>
      <c r="AU669" s="205">
        <v>449054.10749999998</v>
      </c>
      <c r="AV669" s="660" t="s">
        <v>289</v>
      </c>
      <c r="AW669" s="661"/>
      <c r="AX669" s="662"/>
      <c r="AY669" s="278" t="s">
        <v>289</v>
      </c>
    </row>
  </sheetData>
  <autoFilter ref="A331:AY669">
    <filterColumn colId="39">
      <filters blank="1"/>
    </filterColumn>
    <filterColumn colId="47" showButton="0"/>
    <filterColumn colId="48" showButton="0"/>
  </autoFilter>
  <mergeCells count="15">
    <mergeCell ref="AV331:AX331"/>
    <mergeCell ref="A2:AY2"/>
    <mergeCell ref="AV4:AX4"/>
    <mergeCell ref="AV49:AX49"/>
    <mergeCell ref="AV114:AX114"/>
    <mergeCell ref="AV274:AX274"/>
    <mergeCell ref="A668:AY668"/>
    <mergeCell ref="D669:T669"/>
    <mergeCell ref="AV669:AX669"/>
    <mergeCell ref="AV541:AX541"/>
    <mergeCell ref="AV554:AX554"/>
    <mergeCell ref="AV575:AX575"/>
    <mergeCell ref="AV588:AX588"/>
    <mergeCell ref="D667:T667"/>
    <mergeCell ref="AV667:AX667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B1:M107"/>
  <sheetViews>
    <sheetView showGridLines="0" topLeftCell="A11" zoomScaleNormal="100" workbookViewId="0">
      <selection activeCell="H39" sqref="H39"/>
    </sheetView>
  </sheetViews>
  <sheetFormatPr defaultColWidth="8.88671875" defaultRowHeight="14.4"/>
  <cols>
    <col min="1" max="1" width="3.44140625" style="204" customWidth="1"/>
    <col min="2" max="2" width="61.6640625" style="204" customWidth="1"/>
    <col min="3" max="6" width="13.6640625" style="204" customWidth="1"/>
    <col min="7" max="7" width="7" style="204" bestFit="1" customWidth="1"/>
    <col min="8" max="8" width="12" style="204" customWidth="1"/>
    <col min="9" max="9" width="13.6640625" style="204" customWidth="1"/>
    <col min="10" max="10" width="1.6640625" style="204" customWidth="1"/>
    <col min="11" max="11" width="9.5546875" style="204" customWidth="1"/>
    <col min="12" max="13" width="11.88671875" style="204" customWidth="1"/>
    <col min="14" max="16384" width="8.88671875" style="204"/>
  </cols>
  <sheetData>
    <row r="1" spans="2:13" ht="9" customHeight="1"/>
    <row r="2" spans="2:13" ht="16.2" customHeight="1">
      <c r="B2" s="678" t="s">
        <v>3335</v>
      </c>
      <c r="C2" s="669"/>
      <c r="D2" s="669"/>
      <c r="E2" s="669"/>
      <c r="F2" s="669"/>
      <c r="G2" s="670"/>
    </row>
    <row r="3" spans="2:13" ht="270" customHeight="1">
      <c r="B3" s="679"/>
      <c r="C3" s="680"/>
      <c r="D3" s="680"/>
      <c r="E3" s="680"/>
      <c r="F3" s="680"/>
      <c r="G3" s="681"/>
    </row>
    <row r="4" spans="2:13" ht="19.95" customHeight="1"/>
    <row r="5" spans="2:13" ht="16.2" customHeight="1">
      <c r="B5" s="682" t="s">
        <v>3334</v>
      </c>
      <c r="C5" s="683"/>
      <c r="D5" s="683"/>
      <c r="E5" s="684"/>
      <c r="H5" s="260" t="s">
        <v>3327</v>
      </c>
    </row>
    <row r="6" spans="2:13" ht="31.2" thickBot="1">
      <c r="B6" s="268" t="s">
        <v>3333</v>
      </c>
      <c r="C6" s="267" t="s">
        <v>3332</v>
      </c>
      <c r="D6" s="267" t="s">
        <v>167</v>
      </c>
      <c r="E6" s="266" t="s">
        <v>3331</v>
      </c>
      <c r="H6" s="267" t="s">
        <v>167</v>
      </c>
      <c r="I6" s="266" t="s">
        <v>3331</v>
      </c>
    </row>
    <row r="7" spans="2:13" ht="15" thickTop="1">
      <c r="B7" s="227" t="s">
        <v>182</v>
      </c>
      <c r="C7" s="258">
        <v>902024</v>
      </c>
      <c r="D7" s="258">
        <v>2012355.77</v>
      </c>
      <c r="E7" s="265">
        <v>2.2309337334705064</v>
      </c>
      <c r="H7" s="258">
        <f>+H40</f>
        <v>766797.3600000001</v>
      </c>
      <c r="I7" s="251">
        <f>+H7/C7</f>
        <v>0.85008531923762576</v>
      </c>
    </row>
    <row r="8" spans="2:13">
      <c r="B8" s="227" t="s">
        <v>3330</v>
      </c>
      <c r="C8" s="222">
        <v>7091943</v>
      </c>
      <c r="D8" s="255">
        <v>4682518.15123</v>
      </c>
      <c r="E8" s="265">
        <v>0.66025885307171817</v>
      </c>
    </row>
    <row r="9" spans="2:13">
      <c r="B9" s="227" t="s">
        <v>65</v>
      </c>
      <c r="C9" s="222">
        <v>6740</v>
      </c>
      <c r="D9" s="226">
        <v>1564</v>
      </c>
      <c r="E9" s="265">
        <v>0.23204747774480713</v>
      </c>
    </row>
    <row r="10" spans="2:13">
      <c r="B10" s="264" t="s">
        <v>3329</v>
      </c>
      <c r="C10" s="263"/>
      <c r="D10" s="262">
        <v>22186</v>
      </c>
      <c r="E10" s="261" t="s">
        <v>289</v>
      </c>
    </row>
    <row r="11" spans="2:13" ht="23.4" customHeight="1"/>
    <row r="12" spans="2:13" ht="16.2" customHeight="1">
      <c r="B12" s="685" t="s">
        <v>164</v>
      </c>
      <c r="C12" s="669"/>
      <c r="D12" s="669"/>
      <c r="E12" s="670"/>
    </row>
    <row r="13" spans="2:13" ht="16.2" customHeight="1">
      <c r="B13" s="673" t="s">
        <v>3328</v>
      </c>
      <c r="C13" s="658"/>
      <c r="D13" s="658"/>
      <c r="E13" s="664"/>
      <c r="H13" s="260" t="s">
        <v>3327</v>
      </c>
    </row>
    <row r="14" spans="2:13" ht="21" thickBot="1">
      <c r="B14" s="248" t="s">
        <v>5</v>
      </c>
      <c r="C14" s="247" t="s">
        <v>73</v>
      </c>
      <c r="D14" s="247" t="s">
        <v>3326</v>
      </c>
      <c r="E14" s="247" t="s">
        <v>3325</v>
      </c>
      <c r="H14" s="247" t="s">
        <v>3326</v>
      </c>
      <c r="I14" s="247" t="s">
        <v>3325</v>
      </c>
      <c r="K14" s="247" t="s">
        <v>3324</v>
      </c>
      <c r="M14" s="241" t="s">
        <v>3259</v>
      </c>
    </row>
    <row r="15" spans="2:13" ht="15" thickTop="1">
      <c r="B15" s="220" t="s">
        <v>203</v>
      </c>
      <c r="C15" s="258">
        <v>12630</v>
      </c>
      <c r="D15" s="258">
        <v>32227.63</v>
      </c>
      <c r="E15" s="251">
        <v>2.5516730007917658</v>
      </c>
      <c r="H15" s="258">
        <v>7544.1899999999987</v>
      </c>
      <c r="I15" s="251">
        <f>+H15/C15</f>
        <v>0.59732304038004735</v>
      </c>
      <c r="K15" s="258">
        <f>+D92*50</f>
        <v>2200</v>
      </c>
      <c r="M15" s="241" t="s">
        <v>203</v>
      </c>
    </row>
    <row r="16" spans="2:13">
      <c r="B16" s="220" t="s">
        <v>3323</v>
      </c>
      <c r="C16" s="258">
        <v>259727</v>
      </c>
      <c r="D16" s="258">
        <v>636948.6</v>
      </c>
      <c r="E16" s="251">
        <v>2.4523773038613621</v>
      </c>
      <c r="H16" s="258">
        <v>239973.93000000005</v>
      </c>
      <c r="I16" s="251">
        <f>+H16/C16</f>
        <v>0.92394679798403723</v>
      </c>
      <c r="K16" s="258">
        <v>212345.45</v>
      </c>
      <c r="M16" s="241" t="s">
        <v>187</v>
      </c>
    </row>
    <row r="17" spans="2:13">
      <c r="B17" s="220" t="s">
        <v>3322</v>
      </c>
      <c r="C17" s="258">
        <v>2750</v>
      </c>
      <c r="D17" s="258">
        <v>75</v>
      </c>
      <c r="E17" s="251">
        <v>2.7272727272727271E-2</v>
      </c>
      <c r="H17" s="258"/>
      <c r="K17" s="258"/>
      <c r="M17" s="241" t="s">
        <v>228</v>
      </c>
    </row>
    <row r="18" spans="2:13">
      <c r="B18" s="220" t="s">
        <v>3321</v>
      </c>
      <c r="C18" s="258">
        <v>3850</v>
      </c>
      <c r="D18" s="224"/>
      <c r="E18" s="251">
        <v>0</v>
      </c>
      <c r="H18" s="258"/>
      <c r="K18" s="258"/>
      <c r="M18" s="241" t="s">
        <v>228</v>
      </c>
    </row>
    <row r="19" spans="2:13">
      <c r="B19" s="220" t="s">
        <v>3320</v>
      </c>
      <c r="C19" s="258">
        <v>206562</v>
      </c>
      <c r="D19" s="258">
        <v>753176.11</v>
      </c>
      <c r="E19" s="251">
        <v>3.6462471800234311</v>
      </c>
      <c r="H19" s="258">
        <v>240109.03</v>
      </c>
      <c r="I19" s="251">
        <f>+H19/C19</f>
        <v>1.1624065897890221</v>
      </c>
      <c r="K19" s="258">
        <v>212569.81</v>
      </c>
      <c r="L19" s="259"/>
      <c r="M19" s="241" t="s">
        <v>228</v>
      </c>
    </row>
    <row r="20" spans="2:13">
      <c r="B20" s="220" t="s">
        <v>3319</v>
      </c>
      <c r="C20" s="258">
        <v>825</v>
      </c>
      <c r="D20" s="258">
        <v>2470</v>
      </c>
      <c r="E20" s="251">
        <v>2.9939393939393941</v>
      </c>
      <c r="H20" s="258"/>
      <c r="K20" s="258"/>
      <c r="M20" s="241" t="s">
        <v>228</v>
      </c>
    </row>
    <row r="21" spans="2:13">
      <c r="B21" s="220" t="s">
        <v>3318</v>
      </c>
      <c r="C21" s="258">
        <v>1375</v>
      </c>
      <c r="D21" s="224"/>
      <c r="E21" s="251">
        <v>0</v>
      </c>
      <c r="H21" s="258"/>
      <c r="K21" s="258"/>
      <c r="M21" s="241" t="s">
        <v>228</v>
      </c>
    </row>
    <row r="22" spans="2:13">
      <c r="B22" s="220" t="s">
        <v>3317</v>
      </c>
      <c r="C22" s="258">
        <v>2200</v>
      </c>
      <c r="D22" s="224"/>
      <c r="E22" s="251">
        <v>0</v>
      </c>
      <c r="H22" s="258"/>
      <c r="K22" s="258"/>
      <c r="M22" s="241" t="s">
        <v>228</v>
      </c>
    </row>
    <row r="23" spans="2:13">
      <c r="B23" s="220" t="s">
        <v>162</v>
      </c>
      <c r="C23" s="258">
        <v>119987</v>
      </c>
      <c r="D23" s="258">
        <v>194399.18</v>
      </c>
      <c r="E23" s="251">
        <v>1.6201686849408685</v>
      </c>
      <c r="H23" s="258">
        <f>78490.85+17.69</f>
        <v>78508.540000000008</v>
      </c>
      <c r="I23" s="251">
        <f>+H23/C23</f>
        <v>0.65430871677765101</v>
      </c>
      <c r="K23" s="258"/>
      <c r="M23" s="241" t="s">
        <v>162</v>
      </c>
    </row>
    <row r="24" spans="2:13">
      <c r="B24" s="220" t="s">
        <v>163</v>
      </c>
      <c r="C24" s="258">
        <v>64047</v>
      </c>
      <c r="D24" s="258">
        <v>137916.42000000001</v>
      </c>
      <c r="E24" s="251">
        <v>2.153362686776898</v>
      </c>
      <c r="H24" s="258">
        <v>82178.040000000008</v>
      </c>
      <c r="I24" s="251">
        <f>+H24/C24</f>
        <v>1.2830896060705421</v>
      </c>
      <c r="K24" s="258"/>
      <c r="M24" s="241" t="s">
        <v>163</v>
      </c>
    </row>
    <row r="25" spans="2:13">
      <c r="B25" s="220" t="s">
        <v>750</v>
      </c>
      <c r="C25" s="258">
        <v>23203</v>
      </c>
      <c r="D25" s="258">
        <v>14183</v>
      </c>
      <c r="E25" s="251">
        <v>0.61125716502176441</v>
      </c>
      <c r="H25" s="258">
        <v>12780</v>
      </c>
      <c r="I25" s="251">
        <f>+H25/C25</f>
        <v>0.55079084601129169</v>
      </c>
      <c r="K25" s="258"/>
      <c r="M25" s="241" t="s">
        <v>144</v>
      </c>
    </row>
    <row r="26" spans="2:13">
      <c r="B26" s="220" t="s">
        <v>3316</v>
      </c>
      <c r="C26" s="258">
        <v>15707</v>
      </c>
      <c r="D26" s="258">
        <v>10751.5</v>
      </c>
      <c r="E26" s="251">
        <v>0.68450372445406504</v>
      </c>
      <c r="H26" s="258">
        <v>1875</v>
      </c>
      <c r="I26" s="251">
        <f>+H26/C26</f>
        <v>0.11937352772649137</v>
      </c>
      <c r="K26" s="258">
        <v>1612.5</v>
      </c>
      <c r="M26" s="241" t="s">
        <v>205</v>
      </c>
    </row>
    <row r="27" spans="2:13">
      <c r="B27" s="220" t="s">
        <v>3315</v>
      </c>
      <c r="C27" s="258">
        <v>8377</v>
      </c>
      <c r="D27" s="258">
        <v>2800</v>
      </c>
      <c r="E27" s="251">
        <v>0.33424853766264773</v>
      </c>
      <c r="H27" s="258"/>
      <c r="K27" s="258"/>
      <c r="M27" s="241" t="s">
        <v>205</v>
      </c>
    </row>
    <row r="28" spans="2:13">
      <c r="B28" s="220" t="s">
        <v>3314</v>
      </c>
      <c r="C28" s="258">
        <v>5585</v>
      </c>
      <c r="D28" s="258">
        <v>10775</v>
      </c>
      <c r="E28" s="251">
        <v>1.929274843330349</v>
      </c>
      <c r="H28" s="258">
        <v>7500</v>
      </c>
      <c r="I28" s="251">
        <f>+H28/C28</f>
        <v>1.3428827215756491</v>
      </c>
      <c r="K28" s="258">
        <v>6100</v>
      </c>
      <c r="M28" s="241" t="s">
        <v>205</v>
      </c>
    </row>
    <row r="29" spans="2:13">
      <c r="B29" s="220" t="s">
        <v>3313</v>
      </c>
      <c r="C29" s="258">
        <v>10472</v>
      </c>
      <c r="D29" s="258">
        <v>8400</v>
      </c>
      <c r="E29" s="251">
        <v>0.80213903743315507</v>
      </c>
      <c r="H29" s="258"/>
      <c r="K29" s="258"/>
      <c r="M29" s="241" t="s">
        <v>205</v>
      </c>
    </row>
    <row r="30" spans="2:13">
      <c r="B30" s="220" t="s">
        <v>3312</v>
      </c>
      <c r="C30" s="258">
        <v>13962</v>
      </c>
      <c r="D30" s="258">
        <v>8588</v>
      </c>
      <c r="E30" s="251">
        <v>0.61509812347801174</v>
      </c>
      <c r="H30" s="258"/>
      <c r="K30" s="258"/>
      <c r="M30" s="241" t="s">
        <v>205</v>
      </c>
    </row>
    <row r="31" spans="2:13">
      <c r="B31" s="220" t="s">
        <v>3311</v>
      </c>
      <c r="C31" s="258">
        <v>3491</v>
      </c>
      <c r="D31" s="258">
        <v>4480</v>
      </c>
      <c r="E31" s="251">
        <v>1.2832999140647379</v>
      </c>
      <c r="H31" s="258">
        <v>1830</v>
      </c>
      <c r="I31" s="251">
        <f>+H31/C31</f>
        <v>0.52420509882555144</v>
      </c>
      <c r="K31" s="258">
        <v>1830</v>
      </c>
      <c r="M31" s="241" t="s">
        <v>205</v>
      </c>
    </row>
    <row r="32" spans="2:13">
      <c r="B32" s="220" t="s">
        <v>3310</v>
      </c>
      <c r="C32" s="258">
        <v>3491</v>
      </c>
      <c r="D32" s="258">
        <v>1841</v>
      </c>
      <c r="E32" s="251">
        <v>0.52735605843597821</v>
      </c>
      <c r="H32" s="258">
        <v>1500</v>
      </c>
      <c r="I32" s="251">
        <f>+H32/C32</f>
        <v>0.42967631051274707</v>
      </c>
      <c r="K32" s="258">
        <v>1500</v>
      </c>
      <c r="M32" s="241" t="s">
        <v>205</v>
      </c>
    </row>
    <row r="33" spans="2:13">
      <c r="B33" s="220" t="s">
        <v>3309</v>
      </c>
      <c r="C33" s="258">
        <v>100</v>
      </c>
      <c r="D33" s="224"/>
      <c r="E33" s="251">
        <v>0</v>
      </c>
      <c r="H33" s="258"/>
      <c r="K33" s="258"/>
      <c r="M33" s="241" t="s">
        <v>145</v>
      </c>
    </row>
    <row r="34" spans="2:13">
      <c r="B34" s="220" t="s">
        <v>3308</v>
      </c>
      <c r="C34" s="258">
        <v>5500</v>
      </c>
      <c r="D34" s="258">
        <v>7398.19</v>
      </c>
      <c r="E34" s="251">
        <v>1.3451254545454545</v>
      </c>
      <c r="H34" s="258">
        <v>3638.1899999999996</v>
      </c>
      <c r="I34" s="251">
        <f t="shared" ref="I34:I40" si="0">+H34/C34</f>
        <v>0.6614890909090908</v>
      </c>
      <c r="K34" s="258">
        <v>3638.19</v>
      </c>
      <c r="M34" s="241" t="s">
        <v>145</v>
      </c>
    </row>
    <row r="35" spans="2:13">
      <c r="B35" s="220" t="s">
        <v>3307</v>
      </c>
      <c r="C35" s="258">
        <v>29570</v>
      </c>
      <c r="D35" s="258">
        <v>46175.17</v>
      </c>
      <c r="E35" s="251">
        <v>1.5615546161650322</v>
      </c>
      <c r="H35" s="258">
        <f>12848.44-3373.95</f>
        <v>9474.4900000000016</v>
      </c>
      <c r="I35" s="251">
        <f t="shared" si="0"/>
        <v>0.32040886033141702</v>
      </c>
      <c r="K35" s="258">
        <v>4491.91</v>
      </c>
      <c r="M35" s="241" t="s">
        <v>145</v>
      </c>
    </row>
    <row r="36" spans="2:13">
      <c r="B36" s="220" t="s">
        <v>3285</v>
      </c>
      <c r="C36" s="258">
        <v>1396</v>
      </c>
      <c r="D36" s="258">
        <v>11210.5</v>
      </c>
      <c r="E36" s="251">
        <v>8.0304441260744994</v>
      </c>
      <c r="H36" s="258">
        <v>2766.25</v>
      </c>
      <c r="I36" s="251">
        <f t="shared" si="0"/>
        <v>1.9815544412607451</v>
      </c>
      <c r="K36" s="258">
        <f>106.25+2660</f>
        <v>2766.25</v>
      </c>
      <c r="M36" s="241" t="s">
        <v>205</v>
      </c>
    </row>
    <row r="37" spans="2:13">
      <c r="B37" s="220" t="s">
        <v>645</v>
      </c>
      <c r="C37" s="258">
        <v>63150</v>
      </c>
      <c r="D37" s="258">
        <v>94468.21</v>
      </c>
      <c r="E37" s="251">
        <v>1.4959336500395883</v>
      </c>
      <c r="H37" s="258">
        <v>62222.55</v>
      </c>
      <c r="I37" s="251">
        <f t="shared" si="0"/>
        <v>0.98531353919239906</v>
      </c>
      <c r="K37" s="258"/>
      <c r="M37" s="241" t="s">
        <v>224</v>
      </c>
    </row>
    <row r="38" spans="2:13">
      <c r="B38" s="220" t="s">
        <v>83</v>
      </c>
      <c r="C38" s="258">
        <v>11051</v>
      </c>
      <c r="D38" s="258">
        <v>1415.51</v>
      </c>
      <c r="E38" s="251">
        <v>0.12808886073658493</v>
      </c>
      <c r="H38" s="258">
        <v>131.49</v>
      </c>
      <c r="I38" s="251">
        <f t="shared" si="0"/>
        <v>1.1898470726631074E-2</v>
      </c>
      <c r="K38" s="258"/>
      <c r="M38" s="241" t="s">
        <v>83</v>
      </c>
    </row>
    <row r="39" spans="2:13" ht="15" thickBot="1">
      <c r="B39" s="220" t="s">
        <v>3306</v>
      </c>
      <c r="C39" s="258">
        <v>33016</v>
      </c>
      <c r="D39" s="258">
        <v>32656.75</v>
      </c>
      <c r="E39" s="251">
        <v>0.98911891204264601</v>
      </c>
      <c r="H39" s="258">
        <f>18580.38+169.91-3984.63</f>
        <v>14765.66</v>
      </c>
      <c r="I39" s="251">
        <f t="shared" si="0"/>
        <v>0.44722740489459656</v>
      </c>
      <c r="K39" s="258"/>
      <c r="M39" s="241" t="s">
        <v>147</v>
      </c>
    </row>
    <row r="40" spans="2:13" ht="15" thickTop="1">
      <c r="B40" s="244" t="s">
        <v>3271</v>
      </c>
      <c r="C40" s="257">
        <v>902024</v>
      </c>
      <c r="D40" s="257">
        <v>2012355.77</v>
      </c>
      <c r="E40" s="249">
        <v>2.2309337334705064</v>
      </c>
      <c r="H40" s="257">
        <f>SUM(H15:H39)</f>
        <v>766797.3600000001</v>
      </c>
      <c r="I40" s="249">
        <f t="shared" si="0"/>
        <v>0.85008531923762576</v>
      </c>
      <c r="K40" s="257">
        <f>SUM(K15:K39)</f>
        <v>449054.11</v>
      </c>
      <c r="M40" s="270">
        <f>H40</f>
        <v>766797.3600000001</v>
      </c>
    </row>
    <row r="41" spans="2:13" ht="14.4" customHeight="1">
      <c r="B41" s="671" t="s">
        <v>289</v>
      </c>
      <c r="C41" s="672"/>
      <c r="D41" s="672"/>
      <c r="E41" s="672"/>
    </row>
    <row r="42" spans="2:13" ht="16.2" customHeight="1">
      <c r="B42" s="673" t="s">
        <v>3305</v>
      </c>
      <c r="C42" s="658"/>
      <c r="D42" s="658"/>
      <c r="E42" s="664"/>
      <c r="F42" s="673" t="s">
        <v>289</v>
      </c>
      <c r="G42" s="658"/>
      <c r="H42" s="658"/>
      <c r="I42" s="664"/>
    </row>
    <row r="43" spans="2:13" ht="21" thickBot="1">
      <c r="B43" s="248" t="s">
        <v>5</v>
      </c>
      <c r="C43" s="247" t="s">
        <v>3304</v>
      </c>
      <c r="D43" s="247" t="s">
        <v>3303</v>
      </c>
      <c r="E43" s="247" t="s">
        <v>3283</v>
      </c>
      <c r="F43" s="256" t="s">
        <v>3302</v>
      </c>
      <c r="G43" s="674" t="s">
        <v>3301</v>
      </c>
      <c r="H43" s="675"/>
      <c r="I43" s="247" t="s">
        <v>3283</v>
      </c>
    </row>
    <row r="44" spans="2:13" ht="15" thickTop="1">
      <c r="B44" s="220" t="s">
        <v>3299</v>
      </c>
      <c r="C44" s="222">
        <v>15176</v>
      </c>
      <c r="D44" s="224"/>
      <c r="E44" s="251">
        <v>0</v>
      </c>
      <c r="F44" s="254">
        <v>3.61</v>
      </c>
      <c r="G44" s="676"/>
      <c r="H44" s="677"/>
      <c r="I44" s="251">
        <v>0</v>
      </c>
    </row>
    <row r="45" spans="2:13">
      <c r="B45" s="220" t="s">
        <v>3298</v>
      </c>
      <c r="C45" s="222">
        <v>2374754</v>
      </c>
      <c r="D45" s="255">
        <v>2011262.5374</v>
      </c>
      <c r="E45" s="251">
        <v>0.84693510881548151</v>
      </c>
      <c r="F45" s="254">
        <v>589.09</v>
      </c>
      <c r="G45" s="686">
        <v>493.67036999999999</v>
      </c>
      <c r="H45" s="677"/>
      <c r="I45" s="251">
        <v>0.83802198305861586</v>
      </c>
    </row>
    <row r="46" spans="2:13">
      <c r="B46" s="220" t="s">
        <v>3297</v>
      </c>
      <c r="C46" s="222">
        <v>88851</v>
      </c>
      <c r="D46" s="224"/>
      <c r="E46" s="251">
        <v>0</v>
      </c>
      <c r="F46" s="254">
        <v>8.39</v>
      </c>
      <c r="G46" s="676"/>
      <c r="H46" s="677"/>
      <c r="I46" s="251">
        <v>0</v>
      </c>
    </row>
    <row r="47" spans="2:13">
      <c r="B47" s="220" t="s">
        <v>3296</v>
      </c>
      <c r="C47" s="222">
        <v>13870</v>
      </c>
      <c r="D47" s="224"/>
      <c r="E47" s="251">
        <v>0</v>
      </c>
      <c r="F47" s="254">
        <v>0.66</v>
      </c>
      <c r="G47" s="676"/>
      <c r="H47" s="677"/>
      <c r="I47" s="251">
        <v>0</v>
      </c>
    </row>
    <row r="48" spans="2:13">
      <c r="B48" s="220" t="s">
        <v>3295</v>
      </c>
      <c r="C48" s="222">
        <v>3263214</v>
      </c>
      <c r="D48" s="255">
        <v>1831274.4110000001</v>
      </c>
      <c r="E48" s="251">
        <v>0.56118734811753079</v>
      </c>
      <c r="F48" s="254">
        <v>712.42</v>
      </c>
      <c r="G48" s="686">
        <v>397.78708999999998</v>
      </c>
      <c r="H48" s="677"/>
      <c r="I48" s="251">
        <v>0.5583603632688583</v>
      </c>
    </row>
    <row r="49" spans="2:9">
      <c r="B49" s="220" t="s">
        <v>3294</v>
      </c>
      <c r="C49" s="222">
        <v>3618</v>
      </c>
      <c r="D49" s="224"/>
      <c r="E49" s="251">
        <v>0</v>
      </c>
      <c r="F49" s="254">
        <v>0.82</v>
      </c>
      <c r="G49" s="676"/>
      <c r="H49" s="677"/>
      <c r="I49" s="251">
        <v>0</v>
      </c>
    </row>
    <row r="50" spans="2:9">
      <c r="B50" s="220" t="s">
        <v>3293</v>
      </c>
      <c r="C50" s="222">
        <v>28728</v>
      </c>
      <c r="D50" s="255">
        <v>7211.1080000000002</v>
      </c>
      <c r="E50" s="251">
        <v>0.25101322751322752</v>
      </c>
      <c r="F50" s="254">
        <v>29.57</v>
      </c>
      <c r="G50" s="686">
        <v>4.9429999999999996</v>
      </c>
      <c r="H50" s="677"/>
      <c r="I50" s="251">
        <v>0.16716266486303685</v>
      </c>
    </row>
    <row r="51" spans="2:9">
      <c r="B51" s="220" t="s">
        <v>143</v>
      </c>
      <c r="C51" s="222">
        <v>97600</v>
      </c>
      <c r="D51" s="255">
        <v>55428</v>
      </c>
      <c r="E51" s="251">
        <v>0.56790983606557377</v>
      </c>
      <c r="F51" s="254">
        <v>11.14</v>
      </c>
      <c r="G51" s="686">
        <v>6.3209999999999997</v>
      </c>
      <c r="H51" s="677"/>
      <c r="I51" s="251">
        <v>0.56741472172351881</v>
      </c>
    </row>
    <row r="52" spans="2:9">
      <c r="B52" s="220" t="s">
        <v>750</v>
      </c>
      <c r="C52" s="222">
        <v>79400</v>
      </c>
      <c r="D52" s="255">
        <v>102619</v>
      </c>
      <c r="E52" s="251">
        <v>1.2924307304785894</v>
      </c>
      <c r="F52" s="254">
        <v>8</v>
      </c>
      <c r="G52" s="686">
        <v>10.802</v>
      </c>
      <c r="H52" s="677"/>
      <c r="I52" s="251">
        <v>1.35025</v>
      </c>
    </row>
    <row r="53" spans="2:9">
      <c r="B53" s="220" t="s">
        <v>3292</v>
      </c>
      <c r="C53" s="222">
        <v>39482</v>
      </c>
      <c r="D53" s="224"/>
      <c r="E53" s="251">
        <v>0</v>
      </c>
      <c r="F53" s="254">
        <v>6.1</v>
      </c>
      <c r="G53" s="676"/>
      <c r="H53" s="677"/>
      <c r="I53" s="251">
        <v>0</v>
      </c>
    </row>
    <row r="54" spans="2:9">
      <c r="B54" s="220" t="s">
        <v>3291</v>
      </c>
      <c r="C54" s="222">
        <v>3830</v>
      </c>
      <c r="D54" s="255">
        <v>42546.737999999998</v>
      </c>
      <c r="E54" s="251">
        <v>11.108808877284595</v>
      </c>
      <c r="F54" s="254">
        <v>3.94</v>
      </c>
      <c r="G54" s="686">
        <v>22.7</v>
      </c>
      <c r="H54" s="677"/>
      <c r="I54" s="251">
        <v>5.7614213197969546</v>
      </c>
    </row>
    <row r="55" spans="2:9">
      <c r="B55" s="220" t="s">
        <v>3290</v>
      </c>
      <c r="C55" s="222">
        <v>74029</v>
      </c>
      <c r="D55" s="224"/>
      <c r="E55" s="251">
        <v>0</v>
      </c>
      <c r="F55" s="254">
        <v>11.43</v>
      </c>
      <c r="G55" s="676"/>
      <c r="H55" s="677"/>
      <c r="I55" s="251">
        <v>0</v>
      </c>
    </row>
    <row r="56" spans="2:9">
      <c r="B56" s="220" t="s">
        <v>3289</v>
      </c>
      <c r="C56" s="222">
        <v>124851</v>
      </c>
      <c r="D56" s="224"/>
      <c r="E56" s="251">
        <v>0</v>
      </c>
      <c r="F56" s="254">
        <v>44.63</v>
      </c>
      <c r="G56" s="676"/>
      <c r="H56" s="677"/>
      <c r="I56" s="251">
        <v>0</v>
      </c>
    </row>
    <row r="57" spans="2:9">
      <c r="B57" s="220" t="s">
        <v>3288</v>
      </c>
      <c r="C57" s="222">
        <v>26006</v>
      </c>
      <c r="D57" s="255">
        <v>21247</v>
      </c>
      <c r="E57" s="251">
        <v>0.81700376836114741</v>
      </c>
      <c r="F57" s="254">
        <v>1.23</v>
      </c>
      <c r="G57" s="686">
        <v>1.0049999999999999</v>
      </c>
      <c r="H57" s="677"/>
      <c r="I57" s="251">
        <v>0.81707317073170727</v>
      </c>
    </row>
    <row r="58" spans="2:9">
      <c r="B58" s="220" t="s">
        <v>3287</v>
      </c>
      <c r="C58" s="222">
        <v>193951</v>
      </c>
      <c r="D58" s="255">
        <v>49332.3</v>
      </c>
      <c r="E58" s="251">
        <v>0.25435445035086179</v>
      </c>
      <c r="F58" s="254">
        <v>22.82</v>
      </c>
      <c r="G58" s="686">
        <v>5.8082000000000003</v>
      </c>
      <c r="H58" s="677"/>
      <c r="I58" s="251">
        <v>0.25452234881682734</v>
      </c>
    </row>
    <row r="59" spans="2:9">
      <c r="B59" s="220" t="s">
        <v>3286</v>
      </c>
      <c r="C59" s="222">
        <v>21465</v>
      </c>
      <c r="D59" s="255">
        <v>34941.728999999999</v>
      </c>
      <c r="E59" s="251">
        <v>1.6278466806429071</v>
      </c>
      <c r="F59" s="254">
        <v>15.09</v>
      </c>
      <c r="G59" s="686">
        <v>12.747</v>
      </c>
      <c r="H59" s="677"/>
      <c r="I59" s="251">
        <v>0.84473161033797217</v>
      </c>
    </row>
    <row r="60" spans="2:9">
      <c r="B60" s="220" t="s">
        <v>3285</v>
      </c>
      <c r="C60" s="222">
        <v>3482</v>
      </c>
      <c r="D60" s="255">
        <v>5512.3278300000002</v>
      </c>
      <c r="E60" s="251">
        <v>1.5830924267662263</v>
      </c>
      <c r="F60" s="254">
        <v>0.39</v>
      </c>
      <c r="G60" s="686">
        <v>0.62919999999999998</v>
      </c>
      <c r="H60" s="677"/>
      <c r="I60" s="251">
        <v>1.6133333333333333</v>
      </c>
    </row>
    <row r="61" spans="2:9">
      <c r="B61" s="220" t="s">
        <v>645</v>
      </c>
      <c r="C61" s="222">
        <v>476397</v>
      </c>
      <c r="D61" s="255">
        <v>477194</v>
      </c>
      <c r="E61" s="251">
        <v>1.0016729744309893</v>
      </c>
      <c r="F61" s="254">
        <v>48.01</v>
      </c>
      <c r="G61" s="686">
        <v>48.08</v>
      </c>
      <c r="H61" s="677"/>
      <c r="I61" s="251">
        <v>1.0014580295771713</v>
      </c>
    </row>
    <row r="62" spans="2:9">
      <c r="B62" s="220" t="s">
        <v>83</v>
      </c>
      <c r="C62" s="222">
        <v>49776</v>
      </c>
      <c r="D62" s="255">
        <v>7692</v>
      </c>
      <c r="E62" s="251">
        <v>0.15453230472516877</v>
      </c>
      <c r="F62" s="254">
        <v>7.06</v>
      </c>
      <c r="G62" s="686">
        <v>1.194</v>
      </c>
      <c r="H62" s="677"/>
      <c r="I62" s="251">
        <v>0.16912181303116147</v>
      </c>
    </row>
    <row r="63" spans="2:9" ht="15" thickBot="1">
      <c r="B63" s="220" t="s">
        <v>147</v>
      </c>
      <c r="C63" s="222">
        <v>113463</v>
      </c>
      <c r="D63" s="255">
        <v>36257</v>
      </c>
      <c r="E63" s="251">
        <v>0.31954910411323517</v>
      </c>
      <c r="F63" s="254">
        <v>28.91</v>
      </c>
      <c r="G63" s="686">
        <v>9.4179999999999993</v>
      </c>
      <c r="H63" s="677"/>
      <c r="I63" s="251">
        <v>0.32576962988585262</v>
      </c>
    </row>
    <row r="64" spans="2:9" ht="15" thickTop="1">
      <c r="B64" s="244" t="s">
        <v>3271</v>
      </c>
      <c r="C64" s="250">
        <v>7091943</v>
      </c>
      <c r="D64" s="253">
        <v>4682518.15123</v>
      </c>
      <c r="E64" s="249">
        <v>0.66025885307171817</v>
      </c>
      <c r="F64" s="252">
        <v>1553.31</v>
      </c>
      <c r="G64" s="572">
        <v>1015.10486</v>
      </c>
      <c r="H64" s="351"/>
      <c r="I64" s="249">
        <v>0.6535107995184477</v>
      </c>
    </row>
    <row r="65" spans="2:9" ht="14.4" customHeight="1">
      <c r="B65" s="671" t="s">
        <v>289</v>
      </c>
      <c r="C65" s="672"/>
      <c r="D65" s="672"/>
      <c r="E65" s="672"/>
      <c r="F65" s="687" t="s">
        <v>289</v>
      </c>
      <c r="G65" s="688"/>
      <c r="H65" s="688"/>
      <c r="I65" s="689"/>
    </row>
    <row r="66" spans="2:9" ht="16.2" customHeight="1">
      <c r="B66" s="673" t="s">
        <v>3300</v>
      </c>
      <c r="C66" s="658"/>
      <c r="D66" s="658"/>
      <c r="E66" s="664"/>
    </row>
    <row r="67" spans="2:9" ht="21" thickBot="1">
      <c r="B67" s="248" t="s">
        <v>5</v>
      </c>
      <c r="C67" s="247" t="s">
        <v>166</v>
      </c>
      <c r="D67" s="247" t="s">
        <v>167</v>
      </c>
      <c r="E67" s="247" t="s">
        <v>3283</v>
      </c>
    </row>
    <row r="68" spans="2:9" ht="15" thickTop="1">
      <c r="B68" s="220" t="s">
        <v>3299</v>
      </c>
      <c r="C68" s="222">
        <v>12</v>
      </c>
      <c r="D68" s="224"/>
      <c r="E68" s="251">
        <v>0</v>
      </c>
    </row>
    <row r="69" spans="2:9">
      <c r="B69" s="220" t="s">
        <v>3298</v>
      </c>
      <c r="C69" s="222">
        <v>55</v>
      </c>
      <c r="D69" s="226">
        <v>46</v>
      </c>
      <c r="E69" s="251">
        <v>0.83636363636363631</v>
      </c>
    </row>
    <row r="70" spans="2:9">
      <c r="B70" s="220" t="s">
        <v>3297</v>
      </c>
      <c r="C70" s="222">
        <v>4</v>
      </c>
      <c r="D70" s="224"/>
      <c r="E70" s="251">
        <v>0</v>
      </c>
    </row>
    <row r="71" spans="2:9">
      <c r="B71" s="220" t="s">
        <v>3296</v>
      </c>
      <c r="C71" s="222">
        <v>8</v>
      </c>
      <c r="D71" s="224"/>
      <c r="E71" s="251">
        <v>0</v>
      </c>
    </row>
    <row r="72" spans="2:9">
      <c r="B72" s="220" t="s">
        <v>3295</v>
      </c>
      <c r="C72" s="222">
        <v>100</v>
      </c>
      <c r="D72" s="226">
        <v>63</v>
      </c>
      <c r="E72" s="251">
        <v>0.63</v>
      </c>
    </row>
    <row r="73" spans="2:9">
      <c r="B73" s="220" t="s">
        <v>3294</v>
      </c>
      <c r="C73" s="222">
        <v>12</v>
      </c>
      <c r="D73" s="224"/>
      <c r="E73" s="251">
        <v>0</v>
      </c>
    </row>
    <row r="74" spans="2:9">
      <c r="B74" s="220" t="s">
        <v>3293</v>
      </c>
      <c r="C74" s="222">
        <v>60</v>
      </c>
      <c r="D74" s="226">
        <v>8</v>
      </c>
      <c r="E74" s="251">
        <v>0.13333333333333333</v>
      </c>
    </row>
    <row r="75" spans="2:9">
      <c r="B75" s="220" t="s">
        <v>143</v>
      </c>
      <c r="C75" s="222">
        <v>80</v>
      </c>
      <c r="D75" s="226">
        <v>40</v>
      </c>
      <c r="E75" s="251">
        <v>0.5</v>
      </c>
    </row>
    <row r="76" spans="2:9">
      <c r="B76" s="220" t="s">
        <v>750</v>
      </c>
      <c r="C76" s="222">
        <v>400</v>
      </c>
      <c r="D76" s="226">
        <v>1</v>
      </c>
      <c r="E76" s="251">
        <v>2.5000000000000001E-3</v>
      </c>
    </row>
    <row r="77" spans="2:9">
      <c r="B77" s="220" t="s">
        <v>3292</v>
      </c>
      <c r="C77" s="222">
        <v>8</v>
      </c>
      <c r="D77" s="224"/>
      <c r="E77" s="251">
        <v>0</v>
      </c>
    </row>
    <row r="78" spans="2:9">
      <c r="B78" s="220" t="s">
        <v>3291</v>
      </c>
      <c r="C78" s="222">
        <v>8</v>
      </c>
      <c r="D78" s="226">
        <v>9</v>
      </c>
      <c r="E78" s="251">
        <v>1.125</v>
      </c>
    </row>
    <row r="79" spans="2:9">
      <c r="B79" s="220" t="s">
        <v>3290</v>
      </c>
      <c r="C79" s="222">
        <v>15</v>
      </c>
      <c r="D79" s="224"/>
      <c r="E79" s="251">
        <v>0</v>
      </c>
    </row>
    <row r="80" spans="2:9">
      <c r="B80" s="220" t="s">
        <v>3289</v>
      </c>
      <c r="C80" s="222">
        <v>8</v>
      </c>
      <c r="D80" s="224"/>
      <c r="E80" s="251">
        <v>0</v>
      </c>
    </row>
    <row r="81" spans="2:5">
      <c r="B81" s="220" t="s">
        <v>3288</v>
      </c>
      <c r="C81" s="222">
        <v>15</v>
      </c>
      <c r="D81" s="226">
        <v>7</v>
      </c>
      <c r="E81" s="251">
        <v>0.46666666666666667</v>
      </c>
    </row>
    <row r="82" spans="2:5">
      <c r="B82" s="220" t="s">
        <v>3287</v>
      </c>
      <c r="C82" s="222">
        <v>4560</v>
      </c>
      <c r="D82" s="226">
        <v>112</v>
      </c>
      <c r="E82" s="251">
        <v>2.456140350877193E-2</v>
      </c>
    </row>
    <row r="83" spans="2:5">
      <c r="B83" s="220" t="s">
        <v>3286</v>
      </c>
      <c r="C83" s="222">
        <v>20</v>
      </c>
      <c r="D83" s="226">
        <v>12</v>
      </c>
      <c r="E83" s="251">
        <v>0.6</v>
      </c>
    </row>
    <row r="84" spans="2:5">
      <c r="B84" s="220" t="s">
        <v>3285</v>
      </c>
      <c r="C84" s="222">
        <v>20</v>
      </c>
      <c r="D84" s="226">
        <v>19</v>
      </c>
      <c r="E84" s="251">
        <v>0.95</v>
      </c>
    </row>
    <row r="85" spans="2:5">
      <c r="B85" s="220" t="s">
        <v>645</v>
      </c>
      <c r="C85" s="222">
        <v>1200</v>
      </c>
      <c r="D85" s="226">
        <v>1202</v>
      </c>
      <c r="E85" s="251">
        <v>1.0016666666666667</v>
      </c>
    </row>
    <row r="86" spans="2:5">
      <c r="B86" s="220" t="s">
        <v>83</v>
      </c>
      <c r="C86" s="222">
        <v>30</v>
      </c>
      <c r="D86" s="226">
        <v>6</v>
      </c>
      <c r="E86" s="251">
        <v>0.2</v>
      </c>
    </row>
    <row r="87" spans="2:5" ht="15" thickBot="1">
      <c r="B87" s="220" t="s">
        <v>147</v>
      </c>
      <c r="C87" s="222">
        <v>125</v>
      </c>
      <c r="D87" s="226">
        <v>39</v>
      </c>
      <c r="E87" s="251">
        <v>0.312</v>
      </c>
    </row>
    <row r="88" spans="2:5" ht="15" thickTop="1">
      <c r="B88" s="244" t="s">
        <v>3271</v>
      </c>
      <c r="C88" s="250">
        <v>6740</v>
      </c>
      <c r="D88" s="245">
        <v>1564</v>
      </c>
      <c r="E88" s="249">
        <v>0.23204747774480713</v>
      </c>
    </row>
    <row r="89" spans="2:5" ht="14.4" customHeight="1">
      <c r="B89" s="671" t="s">
        <v>289</v>
      </c>
      <c r="C89" s="672"/>
      <c r="D89" s="672"/>
      <c r="E89" s="672"/>
    </row>
    <row r="90" spans="2:5" ht="16.2" customHeight="1">
      <c r="B90" s="673" t="s">
        <v>3284</v>
      </c>
      <c r="C90" s="658"/>
      <c r="D90" s="658"/>
      <c r="E90" s="664"/>
    </row>
    <row r="91" spans="2:5" ht="21" thickBot="1">
      <c r="B91" s="248" t="s">
        <v>5</v>
      </c>
      <c r="C91" s="247" t="s">
        <v>166</v>
      </c>
      <c r="D91" s="247" t="s">
        <v>167</v>
      </c>
      <c r="E91" s="247" t="s">
        <v>3283</v>
      </c>
    </row>
    <row r="92" spans="2:5" ht="15" thickTop="1">
      <c r="B92" s="220" t="s">
        <v>3282</v>
      </c>
      <c r="C92" s="224" t="s">
        <v>289</v>
      </c>
      <c r="D92" s="226">
        <v>44</v>
      </c>
      <c r="E92" s="224" t="s">
        <v>289</v>
      </c>
    </row>
    <row r="93" spans="2:5">
      <c r="B93" s="220" t="s">
        <v>3281</v>
      </c>
      <c r="C93" s="224" t="s">
        <v>289</v>
      </c>
      <c r="D93" s="226">
        <v>1220</v>
      </c>
      <c r="E93" s="224" t="s">
        <v>289</v>
      </c>
    </row>
    <row r="94" spans="2:5">
      <c r="B94" s="220" t="s">
        <v>3280</v>
      </c>
      <c r="C94" s="224" t="s">
        <v>289</v>
      </c>
      <c r="D94" s="226">
        <v>17530</v>
      </c>
      <c r="E94" s="224" t="s">
        <v>289</v>
      </c>
    </row>
    <row r="95" spans="2:5">
      <c r="B95" s="220" t="s">
        <v>3279</v>
      </c>
      <c r="C95" s="224" t="s">
        <v>289</v>
      </c>
      <c r="D95" s="226">
        <v>391</v>
      </c>
      <c r="E95" s="224" t="s">
        <v>289</v>
      </c>
    </row>
    <row r="96" spans="2:5">
      <c r="B96" s="220" t="s">
        <v>3278</v>
      </c>
      <c r="C96" s="224" t="s">
        <v>289</v>
      </c>
      <c r="D96" s="226">
        <v>1147</v>
      </c>
      <c r="E96" s="224" t="s">
        <v>289</v>
      </c>
    </row>
    <row r="97" spans="2:5">
      <c r="B97" s="220" t="s">
        <v>750</v>
      </c>
      <c r="C97" s="224" t="s">
        <v>289</v>
      </c>
      <c r="D97" s="226">
        <v>491</v>
      </c>
      <c r="E97" s="224" t="s">
        <v>289</v>
      </c>
    </row>
    <row r="98" spans="2:5">
      <c r="B98" s="220" t="s">
        <v>3277</v>
      </c>
      <c r="C98" s="224" t="s">
        <v>289</v>
      </c>
      <c r="D98" s="226">
        <v>8</v>
      </c>
      <c r="E98" s="224" t="s">
        <v>289</v>
      </c>
    </row>
    <row r="99" spans="2:5">
      <c r="B99" s="220" t="s">
        <v>3276</v>
      </c>
      <c r="C99" s="224" t="s">
        <v>289</v>
      </c>
      <c r="D99" s="226">
        <v>9</v>
      </c>
      <c r="E99" s="224" t="s">
        <v>289</v>
      </c>
    </row>
    <row r="100" spans="2:5">
      <c r="B100" s="220" t="s">
        <v>3275</v>
      </c>
      <c r="C100" s="224" t="s">
        <v>289</v>
      </c>
      <c r="D100" s="226">
        <v>7</v>
      </c>
      <c r="E100" s="224" t="s">
        <v>289</v>
      </c>
    </row>
    <row r="101" spans="2:5">
      <c r="B101" s="220" t="s">
        <v>3274</v>
      </c>
      <c r="C101" s="224" t="s">
        <v>289</v>
      </c>
      <c r="D101" s="226">
        <v>14</v>
      </c>
      <c r="E101" s="224" t="s">
        <v>289</v>
      </c>
    </row>
    <row r="102" spans="2:5">
      <c r="B102" s="220" t="s">
        <v>3273</v>
      </c>
      <c r="C102" s="224" t="s">
        <v>289</v>
      </c>
      <c r="D102" s="226">
        <v>33</v>
      </c>
      <c r="E102" s="224" t="s">
        <v>289</v>
      </c>
    </row>
    <row r="103" spans="2:5">
      <c r="B103" s="220" t="s">
        <v>645</v>
      </c>
      <c r="C103" s="224" t="s">
        <v>289</v>
      </c>
      <c r="D103" s="226">
        <v>1202</v>
      </c>
      <c r="E103" s="224" t="s">
        <v>289</v>
      </c>
    </row>
    <row r="104" spans="2:5">
      <c r="B104" s="220" t="s">
        <v>83</v>
      </c>
      <c r="C104" s="224" t="s">
        <v>289</v>
      </c>
      <c r="D104" s="226">
        <v>12</v>
      </c>
      <c r="E104" s="224" t="s">
        <v>289</v>
      </c>
    </row>
    <row r="105" spans="2:5" ht="15" thickBot="1">
      <c r="B105" s="220" t="s">
        <v>3272</v>
      </c>
      <c r="C105" s="224" t="s">
        <v>289</v>
      </c>
      <c r="D105" s="226">
        <v>78</v>
      </c>
      <c r="E105" s="224" t="s">
        <v>289</v>
      </c>
    </row>
    <row r="106" spans="2:5" ht="15" thickTop="1">
      <c r="B106" s="244" t="s">
        <v>3271</v>
      </c>
      <c r="C106" s="246"/>
      <c r="D106" s="245">
        <v>22186</v>
      </c>
      <c r="E106" s="244" t="s">
        <v>289</v>
      </c>
    </row>
    <row r="107" spans="2:5" ht="14.4" customHeight="1">
      <c r="B107" s="671" t="s">
        <v>289</v>
      </c>
      <c r="C107" s="672"/>
      <c r="D107" s="672"/>
      <c r="E107" s="672"/>
    </row>
  </sheetData>
  <mergeCells count="35">
    <mergeCell ref="B107:E107"/>
    <mergeCell ref="B65:E65"/>
    <mergeCell ref="F65:I65"/>
    <mergeCell ref="B66:E66"/>
    <mergeCell ref="B89:E89"/>
    <mergeCell ref="B90:E90"/>
    <mergeCell ref="G60:H60"/>
    <mergeCell ref="G61:H61"/>
    <mergeCell ref="G62:H62"/>
    <mergeCell ref="G63:H63"/>
    <mergeCell ref="G55:H55"/>
    <mergeCell ref="G56:H56"/>
    <mergeCell ref="G57:H57"/>
    <mergeCell ref="G58:H58"/>
    <mergeCell ref="G59:H59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B2:G2"/>
    <mergeCell ref="B3:G3"/>
    <mergeCell ref="B5:E5"/>
    <mergeCell ref="B12:E12"/>
    <mergeCell ref="B13:E13"/>
    <mergeCell ref="B41:E41"/>
    <mergeCell ref="B42:E42"/>
    <mergeCell ref="F42:I42"/>
    <mergeCell ref="G43:H43"/>
    <mergeCell ref="G44:H44"/>
  </mergeCells>
  <pageMargins left="0.5" right="0.5" top="0.5" bottom="0.875" header="0.5" footer="0.5"/>
  <pageSetup orientation="landscape" horizontalDpi="300" verticalDpi="300" r:id="rId1"/>
  <headerFooter alignWithMargins="0">
    <oddFooter>&amp;L&amp;"Arial,Regular"&amp;8 Printed by: LGOOD,  on: 9/11/2017 6:00:21 AM &amp;R&amp;"Arial,Regular"&amp;8Page &amp;P of &amp;N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/>
  </sheetPr>
  <dimension ref="A1:BS675"/>
  <sheetViews>
    <sheetView showGridLines="0" topLeftCell="A4" zoomScaleNormal="100" workbookViewId="0">
      <selection activeCell="H612" sqref="H612"/>
    </sheetView>
  </sheetViews>
  <sheetFormatPr defaultRowHeight="14.4"/>
  <cols>
    <col min="1" max="2" width="5.44140625" customWidth="1"/>
    <col min="3" max="5" width="5.6640625" customWidth="1"/>
    <col min="6" max="6" width="15.6640625" customWidth="1"/>
    <col min="7" max="8" width="17.33203125" customWidth="1"/>
    <col min="9" max="9" width="22.88671875" customWidth="1"/>
    <col min="10" max="13" width="17.33203125" customWidth="1"/>
    <col min="14" max="14" width="8.88671875" customWidth="1"/>
    <col min="15" max="15" width="18.5546875" bestFit="1" customWidth="1"/>
    <col min="16" max="16" width="18.5546875" customWidth="1"/>
    <col min="17" max="17" width="20" customWidth="1"/>
    <col min="18" max="18" width="15" customWidth="1"/>
    <col min="19" max="25" width="8.88671875" customWidth="1"/>
    <col min="26" max="26" width="39" bestFit="1" customWidth="1"/>
    <col min="27" max="27" width="26.6640625" bestFit="1" customWidth="1"/>
    <col min="28" max="32" width="8.88671875" customWidth="1"/>
    <col min="34" max="34" width="53.6640625" customWidth="1"/>
    <col min="35" max="49" width="8.88671875" hidden="1" customWidth="1"/>
    <col min="50" max="51" width="8.88671875" customWidth="1"/>
    <col min="52" max="52" width="16.44140625" bestFit="1" customWidth="1"/>
    <col min="53" max="53" width="8.88671875" customWidth="1"/>
    <col min="54" max="54" width="17.44140625" bestFit="1" customWidth="1"/>
    <col min="55" max="60" width="8.88671875" hidden="1" customWidth="1"/>
    <col min="61" max="61" width="14.109375" customWidth="1"/>
    <col min="62" max="63" width="8.88671875" customWidth="1"/>
    <col min="65" max="65" width="8.88671875" customWidth="1"/>
  </cols>
  <sheetData>
    <row r="1" spans="1:71" s="204" customFormat="1">
      <c r="L1" s="204">
        <v>2</v>
      </c>
      <c r="M1" s="204">
        <v>2</v>
      </c>
      <c r="N1" s="204" t="s">
        <v>3252</v>
      </c>
      <c r="P1" s="350"/>
    </row>
    <row r="2" spans="1:71" s="269" customFormat="1">
      <c r="P2" s="350"/>
    </row>
    <row r="3" spans="1:71" s="204" customFormat="1">
      <c r="O3" s="281"/>
      <c r="P3" s="350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281"/>
      <c r="AU3" s="281"/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281"/>
      <c r="BG3" s="281"/>
      <c r="BH3" s="281"/>
      <c r="BI3" s="281"/>
      <c r="BJ3" s="281"/>
      <c r="BK3" s="281"/>
      <c r="BL3" s="281"/>
      <c r="BM3" s="281"/>
      <c r="BN3" s="281"/>
      <c r="BO3" s="281"/>
      <c r="BP3" s="281"/>
      <c r="BQ3" s="281"/>
      <c r="BR3" s="281"/>
      <c r="BS3" s="281"/>
    </row>
    <row r="4" spans="1:71" s="204" customFormat="1">
      <c r="A4" s="241" t="s">
        <v>58</v>
      </c>
      <c r="B4" s="241" t="s">
        <v>3251</v>
      </c>
      <c r="C4" s="241" t="s">
        <v>3263</v>
      </c>
      <c r="D4" s="241" t="s">
        <v>3262</v>
      </c>
      <c r="E4" s="241" t="s">
        <v>3261</v>
      </c>
      <c r="F4" s="241" t="s">
        <v>3260</v>
      </c>
      <c r="G4" s="241" t="s">
        <v>3259</v>
      </c>
      <c r="H4" s="241" t="s">
        <v>3258</v>
      </c>
      <c r="I4" s="241" t="s">
        <v>3257</v>
      </c>
      <c r="J4" s="241" t="s">
        <v>3256</v>
      </c>
      <c r="K4" s="241" t="s">
        <v>3255</v>
      </c>
      <c r="L4" s="241" t="s">
        <v>3254</v>
      </c>
      <c r="M4" s="241" t="s">
        <v>3253</v>
      </c>
      <c r="N4" s="204" t="s">
        <v>3251</v>
      </c>
      <c r="O4" s="204" t="s">
        <v>3250</v>
      </c>
      <c r="P4" s="569" t="s">
        <v>3409</v>
      </c>
      <c r="Q4" s="204" t="s">
        <v>3249</v>
      </c>
      <c r="R4" s="204" t="s">
        <v>3248</v>
      </c>
      <c r="S4" s="204" t="s">
        <v>3247</v>
      </c>
      <c r="T4" s="204" t="s">
        <v>3246</v>
      </c>
      <c r="U4" s="204" t="s">
        <v>3245</v>
      </c>
      <c r="V4" s="204" t="s">
        <v>3244</v>
      </c>
      <c r="W4" s="204" t="s">
        <v>3243</v>
      </c>
      <c r="X4" s="204" t="s">
        <v>3242</v>
      </c>
      <c r="Y4" s="204" t="s">
        <v>3241</v>
      </c>
      <c r="Z4" s="204" t="s">
        <v>3240</v>
      </c>
      <c r="AA4" s="204" t="s">
        <v>3239</v>
      </c>
      <c r="AB4" s="204" t="s">
        <v>3238</v>
      </c>
      <c r="AC4" s="204" t="s">
        <v>3237</v>
      </c>
      <c r="AD4" s="204" t="s">
        <v>3236</v>
      </c>
      <c r="AE4" s="204" t="s">
        <v>3235</v>
      </c>
      <c r="AF4" s="204" t="s">
        <v>3234</v>
      </c>
      <c r="AG4" s="241" t="s">
        <v>3233</v>
      </c>
      <c r="AH4" s="241" t="s">
        <v>3232</v>
      </c>
      <c r="AI4" s="204" t="s">
        <v>3231</v>
      </c>
      <c r="AJ4" s="204" t="s">
        <v>3230</v>
      </c>
      <c r="AK4" s="204" t="s">
        <v>3229</v>
      </c>
      <c r="AL4" s="204" t="s">
        <v>3228</v>
      </c>
      <c r="AM4" s="204" t="s">
        <v>3227</v>
      </c>
      <c r="AN4" s="204" t="s">
        <v>3226</v>
      </c>
      <c r="AO4" s="204" t="s">
        <v>3225</v>
      </c>
      <c r="AP4" s="204" t="s">
        <v>3224</v>
      </c>
      <c r="AQ4" s="204" t="s">
        <v>3223</v>
      </c>
      <c r="AR4" s="204" t="s">
        <v>3222</v>
      </c>
      <c r="AS4" s="204" t="s">
        <v>3221</v>
      </c>
      <c r="AT4" s="204" t="s">
        <v>3220</v>
      </c>
      <c r="AU4" s="204" t="s">
        <v>3219</v>
      </c>
      <c r="AV4" s="204" t="s">
        <v>3218</v>
      </c>
      <c r="AW4" s="204" t="s">
        <v>3217</v>
      </c>
      <c r="AX4" s="204" t="s">
        <v>3216</v>
      </c>
      <c r="AY4" s="204" t="s">
        <v>3215</v>
      </c>
      <c r="AZ4" s="241" t="s">
        <v>3214</v>
      </c>
      <c r="BA4" s="204" t="s">
        <v>3213</v>
      </c>
      <c r="BB4" s="241" t="s">
        <v>3212</v>
      </c>
      <c r="BC4" s="204" t="s">
        <v>3211</v>
      </c>
      <c r="BD4" s="204" t="s">
        <v>3210</v>
      </c>
      <c r="BE4" s="204" t="s">
        <v>3209</v>
      </c>
      <c r="BF4" s="204" t="s">
        <v>3208</v>
      </c>
      <c r="BG4" s="204" t="s">
        <v>3207</v>
      </c>
      <c r="BH4" s="204" t="s">
        <v>3206</v>
      </c>
      <c r="BI4" s="241" t="s">
        <v>3205</v>
      </c>
      <c r="BJ4" s="204" t="s">
        <v>3204</v>
      </c>
      <c r="BK4" s="204" t="s">
        <v>3203</v>
      </c>
      <c r="BL4" s="241" t="s">
        <v>3202</v>
      </c>
      <c r="BM4" s="204" t="s">
        <v>3201</v>
      </c>
      <c r="BN4" s="241" t="s">
        <v>3347</v>
      </c>
      <c r="BO4" s="241" t="s">
        <v>3348</v>
      </c>
      <c r="BP4" s="241" t="s">
        <v>3349</v>
      </c>
      <c r="BQ4" s="241" t="s">
        <v>3350</v>
      </c>
      <c r="BR4" s="241" t="s">
        <v>3351</v>
      </c>
      <c r="BS4" s="241" t="s">
        <v>3352</v>
      </c>
    </row>
    <row r="5" spans="1:71" s="204" customFormat="1" hidden="1">
      <c r="A5" s="241">
        <v>1</v>
      </c>
      <c r="B5" s="241" t="str">
        <f t="shared" ref="B5:B68" si="0">IF(N5="",B4,N5)</f>
        <v>Residential/Non-Residential - BHPSD - Appliance Recycling</v>
      </c>
      <c r="C5" s="241" t="b">
        <f t="shared" ref="C5:C68" si="1">(N5="")</f>
        <v>0</v>
      </c>
      <c r="D5" s="241" t="str">
        <f t="shared" ref="D5:D68" si="2">B5&amp;"_"&amp;AG5&amp;"_"&amp;AH5</f>
        <v>Residential/Non-Residential - BHPSD - Appliance Recycling__</v>
      </c>
      <c r="E5" s="241">
        <f t="shared" ref="E5:E68" si="3">IFERROR(F5&amp;"_"&amp;G5&amp;"_"&amp;H5&amp;"_"&amp;I5,0)</f>
        <v>0</v>
      </c>
      <c r="F5" s="241" t="e">
        <f>INDEX('VDSM MAPPING'!E:E,MATCH($D5,'VDSM MAPPING'!$A:$A,0))</f>
        <v>#N/A</v>
      </c>
      <c r="G5" s="241" t="e">
        <f>INDEX('VDSM MAPPING'!F:F,MATCH($D5,'VDSM MAPPING'!$A:$A,0))</f>
        <v>#N/A</v>
      </c>
      <c r="H5" s="241" t="e">
        <f>INDEX('VDSM MAPPING'!G:G,MATCH($D5,'VDSM MAPPING'!$A:$A,0))</f>
        <v>#N/A</v>
      </c>
      <c r="I5" s="241" t="e">
        <f>INDEX('VDSM MAPPING'!H:H,MATCH($D5,'VDSM MAPPING'!$A:$A,0))</f>
        <v>#N/A</v>
      </c>
      <c r="J5" s="240" t="str">
        <f>IFERROR(STANDARDIZE($BN5,$BP5,$BQ5),"")</f>
        <v/>
      </c>
      <c r="K5" s="240" t="str">
        <f>IFERROR(STANDARDIZE($BO5,$BR5,$BS5),"")</f>
        <v/>
      </c>
      <c r="L5" s="240" t="b">
        <f>AND(ISNUMBER(J5),OR(J5&gt;=L$1,J5&lt;=-L$1))</f>
        <v>0</v>
      </c>
      <c r="M5" s="240" t="b">
        <f>AND(ISNUMBER(K5),OR(K5&gt;=M$1,K5&lt;=-M$1))</f>
        <v>0</v>
      </c>
      <c r="N5" s="204" t="s">
        <v>3200</v>
      </c>
      <c r="O5" s="204">
        <v>40</v>
      </c>
      <c r="P5" s="350">
        <v>1</v>
      </c>
      <c r="Q5" s="204" t="s">
        <v>289</v>
      </c>
      <c r="R5" s="204" t="s">
        <v>289</v>
      </c>
      <c r="S5" s="204" t="s">
        <v>289</v>
      </c>
      <c r="T5" s="204" t="s">
        <v>289</v>
      </c>
      <c r="U5" s="204" t="s">
        <v>289</v>
      </c>
      <c r="V5" s="204" t="s">
        <v>289</v>
      </c>
      <c r="W5" s="204" t="s">
        <v>289</v>
      </c>
      <c r="X5" s="204" t="s">
        <v>289</v>
      </c>
      <c r="Y5" s="204" t="s">
        <v>289</v>
      </c>
      <c r="Z5" s="204" t="s">
        <v>289</v>
      </c>
      <c r="AA5" s="204" t="s">
        <v>289</v>
      </c>
      <c r="AB5" s="204" t="s">
        <v>289</v>
      </c>
      <c r="AC5" s="204" t="s">
        <v>289</v>
      </c>
      <c r="AD5" s="204" t="s">
        <v>289</v>
      </c>
      <c r="AE5" s="204" t="s">
        <v>289</v>
      </c>
      <c r="AF5" s="204" t="s">
        <v>289</v>
      </c>
      <c r="AG5" s="204" t="s">
        <v>289</v>
      </c>
      <c r="AH5" s="204" t="s">
        <v>289</v>
      </c>
      <c r="AI5" s="204" t="s">
        <v>289</v>
      </c>
      <c r="AJ5" s="204" t="s">
        <v>289</v>
      </c>
      <c r="AK5" s="204" t="s">
        <v>289</v>
      </c>
      <c r="AL5" s="204" t="s">
        <v>289</v>
      </c>
      <c r="AM5" s="204" t="s">
        <v>289</v>
      </c>
      <c r="AN5" s="204" t="s">
        <v>289</v>
      </c>
      <c r="AO5" s="204" t="s">
        <v>289</v>
      </c>
      <c r="AP5" s="204" t="s">
        <v>289</v>
      </c>
      <c r="AQ5" s="204" t="s">
        <v>289</v>
      </c>
      <c r="AR5" s="204" t="s">
        <v>289</v>
      </c>
      <c r="AS5" s="204" t="s">
        <v>289</v>
      </c>
      <c r="AT5" s="204" t="s">
        <v>289</v>
      </c>
      <c r="AU5" s="204" t="s">
        <v>289</v>
      </c>
      <c r="AV5" s="204" t="s">
        <v>289</v>
      </c>
      <c r="AW5" s="204" t="s">
        <v>289</v>
      </c>
      <c r="AX5" s="204">
        <v>44</v>
      </c>
      <c r="AY5" s="204">
        <v>0</v>
      </c>
      <c r="AZ5" s="204">
        <v>6.3209999999999997</v>
      </c>
      <c r="BB5" s="204">
        <v>55428</v>
      </c>
      <c r="BH5" s="204">
        <v>0</v>
      </c>
      <c r="BI5" s="204">
        <v>2200</v>
      </c>
      <c r="BJ5" s="204" t="s">
        <v>289</v>
      </c>
      <c r="BM5" s="204" t="s">
        <v>289</v>
      </c>
      <c r="BN5" s="204">
        <f>IFERROR(BB5/$AX5,"")</f>
        <v>1259.7272727272727</v>
      </c>
      <c r="BO5" s="204">
        <f>BI5/$AX5</f>
        <v>50</v>
      </c>
      <c r="BP5" s="204" t="e">
        <f>INDEX('App Data Outliers'!$M:$M,MATCH($E5,'App Data Outliers'!$A:$A,0))</f>
        <v>#N/A</v>
      </c>
      <c r="BQ5" s="269" t="e">
        <f>INDEX('App Data Outliers'!$N:$N,MATCH($E5,'App Data Outliers'!$A:$A,0))</f>
        <v>#N/A</v>
      </c>
      <c r="BR5" s="269" t="e">
        <f>INDEX('App Data Outliers'!$S:$S,MATCH($E5,'App Data Outliers'!$A:$A,0))</f>
        <v>#N/A</v>
      </c>
      <c r="BS5" s="269" t="e">
        <f>INDEX('App Data Outliers'!$T:$T,MATCH($E5,'App Data Outliers'!$A:$A,0))</f>
        <v>#N/A</v>
      </c>
    </row>
    <row r="6" spans="1:71" s="204" customFormat="1" hidden="1">
      <c r="A6" s="241">
        <v>2</v>
      </c>
      <c r="B6" s="241" t="str">
        <f t="shared" si="0"/>
        <v>Residential/Non-Residential - BHPSD - Appliance Recycling</v>
      </c>
      <c r="C6" s="241" t="b">
        <f t="shared" si="1"/>
        <v>1</v>
      </c>
      <c r="D6" s="241" t="str">
        <f t="shared" si="2"/>
        <v>Residential/Non-Residential - BHPSD - Appliance Recycling_Appliance Recycling :- Customer Incentives_Refrigerator Recycling - Residential</v>
      </c>
      <c r="E6" s="241" t="str">
        <f t="shared" si="3"/>
        <v>Residential_Appliance Recycling_Appliance Recycling_Refrigerator Recycle</v>
      </c>
      <c r="F6" s="241" t="str">
        <f>INDEX('VDSM MAPPING'!E:E,MATCH($D6,'VDSM MAPPING'!$A:$A,0))</f>
        <v>Residential</v>
      </c>
      <c r="G6" s="241" t="str">
        <f>INDEX('VDSM MAPPING'!F:F,MATCH($D6,'VDSM MAPPING'!$A:$A,0))</f>
        <v>Appliance Recycling</v>
      </c>
      <c r="H6" s="241" t="str">
        <f>INDEX('VDSM MAPPING'!G:G,MATCH($D6,'VDSM MAPPING'!$A:$A,0))</f>
        <v>Appliance Recycling</v>
      </c>
      <c r="I6" s="241" t="str">
        <f>INDEX('VDSM MAPPING'!H:H,MATCH($D6,'VDSM MAPPING'!$A:$A,0))</f>
        <v>Refrigerator Recycle</v>
      </c>
      <c r="J6" s="240" t="str">
        <f t="shared" ref="J6:J69" si="4">IFERROR(STANDARDIZE(BN6,BP6,BQ6),"")</f>
        <v/>
      </c>
      <c r="K6" s="240" t="str">
        <f t="shared" ref="K6:K69" si="5">IFERROR(STANDARDIZE($BO6,$BR6,$BS6),"")</f>
        <v/>
      </c>
      <c r="L6" s="240" t="b">
        <f t="shared" ref="L6:L69" si="6">AND(ISNUMBER(J6),OR(J6&gt;=L$1,J6&lt;=-L$1))</f>
        <v>0</v>
      </c>
      <c r="M6" s="240" t="b">
        <f t="shared" ref="M6:M69" si="7">AND(ISNUMBER(K6),OR(K6&gt;=M$1,K6&lt;=-M$1))</f>
        <v>0</v>
      </c>
      <c r="N6" s="204" t="s">
        <v>289</v>
      </c>
      <c r="O6" s="204" t="s">
        <v>3199</v>
      </c>
      <c r="P6" s="350">
        <v>1</v>
      </c>
      <c r="Q6" s="204" t="s">
        <v>3199</v>
      </c>
      <c r="R6" s="204" t="s">
        <v>3198</v>
      </c>
      <c r="S6" s="204" t="s">
        <v>3197</v>
      </c>
      <c r="T6" s="204" t="s">
        <v>3196</v>
      </c>
      <c r="V6" s="204" t="s">
        <v>3195</v>
      </c>
      <c r="W6" s="204" t="s">
        <v>329</v>
      </c>
      <c r="X6" s="204" t="s">
        <v>297</v>
      </c>
      <c r="Y6" s="204" t="s">
        <v>397</v>
      </c>
      <c r="Z6" s="204" t="s">
        <v>1820</v>
      </c>
      <c r="AA6" s="204" t="s">
        <v>1819</v>
      </c>
      <c r="AB6" s="204" t="s">
        <v>329</v>
      </c>
      <c r="AC6" s="204" t="s">
        <v>297</v>
      </c>
      <c r="AD6" s="204" t="s">
        <v>599</v>
      </c>
      <c r="AE6" s="204" t="s">
        <v>1818</v>
      </c>
      <c r="AG6" s="204" t="s">
        <v>2917</v>
      </c>
      <c r="AH6" s="204" t="s">
        <v>2916</v>
      </c>
      <c r="AV6" s="204" t="s">
        <v>3194</v>
      </c>
      <c r="AX6" s="204">
        <v>1</v>
      </c>
      <c r="AY6" s="204">
        <v>0</v>
      </c>
      <c r="AZ6" s="204">
        <v>0.14699999999999999</v>
      </c>
      <c r="BB6" s="204">
        <v>1289</v>
      </c>
      <c r="BH6" s="204">
        <v>0</v>
      </c>
      <c r="BI6" s="204">
        <v>50</v>
      </c>
      <c r="BJ6" s="204">
        <v>42795</v>
      </c>
      <c r="BK6" s="204">
        <v>42611.6753068287</v>
      </c>
      <c r="BL6" s="204" t="s">
        <v>293</v>
      </c>
      <c r="BM6" s="204" t="s">
        <v>3193</v>
      </c>
      <c r="BN6" s="269">
        <f t="shared" ref="BN6:BN69" si="8">IFERROR(BB6/$AX6,"")</f>
        <v>1289</v>
      </c>
      <c r="BO6" s="269">
        <f t="shared" ref="BO6:BO69" si="9">BI6/$AX6</f>
        <v>50</v>
      </c>
      <c r="BP6" s="269">
        <f>INDEX('App Data Outliers'!$M:$M,MATCH($E6,'App Data Outliers'!$A:$A,0))</f>
        <v>1289</v>
      </c>
      <c r="BQ6" s="269">
        <f>INDEX('App Data Outliers'!$N:$N,MATCH($E6,'App Data Outliers'!$A:$A,0))</f>
        <v>0</v>
      </c>
      <c r="BR6" s="269">
        <f>INDEX('App Data Outliers'!$S:$S,MATCH($E6,'App Data Outliers'!$A:$A,0))</f>
        <v>50</v>
      </c>
      <c r="BS6" s="269">
        <f>INDEX('App Data Outliers'!$T:$T,MATCH($E6,'App Data Outliers'!$A:$A,0))</f>
        <v>0</v>
      </c>
    </row>
    <row r="7" spans="1:71" s="204" customFormat="1" hidden="1">
      <c r="A7" s="241">
        <v>3</v>
      </c>
      <c r="B7" s="241" t="str">
        <f t="shared" si="0"/>
        <v>Residential/Non-Residential - BHPSD - Appliance Recycling</v>
      </c>
      <c r="C7" s="241" t="b">
        <f t="shared" si="1"/>
        <v>1</v>
      </c>
      <c r="D7" s="241" t="str">
        <f t="shared" si="2"/>
        <v>Residential/Non-Residential - BHPSD - Appliance Recycling_Appliance Recycling :- Customer Incentives_Refrigerator Recycling - Residential</v>
      </c>
      <c r="E7" s="241" t="str">
        <f t="shared" si="3"/>
        <v>Residential_Appliance Recycling_Appliance Recycling_Refrigerator Recycle</v>
      </c>
      <c r="F7" s="241" t="str">
        <f>INDEX('VDSM MAPPING'!E:E,MATCH($D7,'VDSM MAPPING'!$A:$A,0))</f>
        <v>Residential</v>
      </c>
      <c r="G7" s="241" t="str">
        <f>INDEX('VDSM MAPPING'!F:F,MATCH($D7,'VDSM MAPPING'!$A:$A,0))</f>
        <v>Appliance Recycling</v>
      </c>
      <c r="H7" s="241" t="str">
        <f>INDEX('VDSM MAPPING'!G:G,MATCH($D7,'VDSM MAPPING'!$A:$A,0))</f>
        <v>Appliance Recycling</v>
      </c>
      <c r="I7" s="241" t="str">
        <f>INDEX('VDSM MAPPING'!H:H,MATCH($D7,'VDSM MAPPING'!$A:$A,0))</f>
        <v>Refrigerator Recycle</v>
      </c>
      <c r="J7" s="240" t="str">
        <f t="shared" si="4"/>
        <v/>
      </c>
      <c r="K7" s="240" t="str">
        <f t="shared" si="5"/>
        <v/>
      </c>
      <c r="L7" s="240" t="b">
        <f t="shared" si="6"/>
        <v>0</v>
      </c>
      <c r="M7" s="240" t="b">
        <f t="shared" si="7"/>
        <v>0</v>
      </c>
      <c r="N7" s="204" t="s">
        <v>289</v>
      </c>
      <c r="O7" s="204" t="s">
        <v>3192</v>
      </c>
      <c r="P7" s="350">
        <v>1</v>
      </c>
      <c r="Q7" s="204" t="s">
        <v>3192</v>
      </c>
      <c r="R7" s="204" t="s">
        <v>3191</v>
      </c>
      <c r="S7" s="204" t="s">
        <v>3190</v>
      </c>
      <c r="T7" s="204" t="s">
        <v>3189</v>
      </c>
      <c r="V7" s="204" t="s">
        <v>3188</v>
      </c>
      <c r="W7" s="204" t="s">
        <v>329</v>
      </c>
      <c r="X7" s="204" t="s">
        <v>297</v>
      </c>
      <c r="Y7" s="204" t="s">
        <v>328</v>
      </c>
      <c r="Z7" s="204" t="s">
        <v>1820</v>
      </c>
      <c r="AA7" s="204" t="s">
        <v>1819</v>
      </c>
      <c r="AB7" s="204" t="s">
        <v>329</v>
      </c>
      <c r="AC7" s="204" t="s">
        <v>297</v>
      </c>
      <c r="AD7" s="204" t="s">
        <v>599</v>
      </c>
      <c r="AE7" s="204" t="s">
        <v>1818</v>
      </c>
      <c r="AG7" s="204" t="s">
        <v>2917</v>
      </c>
      <c r="AH7" s="204" t="s">
        <v>2916</v>
      </c>
      <c r="AV7" s="204" t="s">
        <v>3187</v>
      </c>
      <c r="AX7" s="204">
        <v>1</v>
      </c>
      <c r="AY7" s="204">
        <v>0</v>
      </c>
      <c r="AZ7" s="204">
        <v>0.14699999999999999</v>
      </c>
      <c r="BB7" s="204">
        <v>1289</v>
      </c>
      <c r="BH7" s="204">
        <v>0</v>
      </c>
      <c r="BI7" s="204">
        <v>50</v>
      </c>
      <c r="BJ7" s="204">
        <v>42621</v>
      </c>
      <c r="BK7" s="204">
        <v>42621.686162118101</v>
      </c>
      <c r="BL7" s="204" t="s">
        <v>293</v>
      </c>
      <c r="BM7" s="204" t="s">
        <v>3186</v>
      </c>
      <c r="BN7" s="269">
        <f t="shared" si="8"/>
        <v>1289</v>
      </c>
      <c r="BO7" s="269">
        <f t="shared" si="9"/>
        <v>50</v>
      </c>
      <c r="BP7" s="269">
        <f>INDEX('App Data Outliers'!$M:$M,MATCH($E7,'App Data Outliers'!$A:$A,0))</f>
        <v>1289</v>
      </c>
      <c r="BQ7" s="269">
        <f>INDEX('App Data Outliers'!$N:$N,MATCH($E7,'App Data Outliers'!$A:$A,0))</f>
        <v>0</v>
      </c>
      <c r="BR7" s="269">
        <f>INDEX('App Data Outliers'!$S:$S,MATCH($E7,'App Data Outliers'!$A:$A,0))</f>
        <v>50</v>
      </c>
      <c r="BS7" s="269">
        <f>INDEX('App Data Outliers'!$T:$T,MATCH($E7,'App Data Outliers'!$A:$A,0))</f>
        <v>0</v>
      </c>
    </row>
    <row r="8" spans="1:71" s="204" customFormat="1" hidden="1">
      <c r="A8" s="241">
        <v>4</v>
      </c>
      <c r="B8" s="241" t="str">
        <f t="shared" si="0"/>
        <v>Residential/Non-Residential - BHPSD - Appliance Recycling</v>
      </c>
      <c r="C8" s="241" t="b">
        <f t="shared" si="1"/>
        <v>1</v>
      </c>
      <c r="D8" s="241" t="str">
        <f t="shared" si="2"/>
        <v>Residential/Non-Residential - BHPSD - Appliance Recycling_Appliance Recycling :- Customer Incentives_Refrigerator Recycling - Residential</v>
      </c>
      <c r="E8" s="241" t="str">
        <f t="shared" si="3"/>
        <v>Residential_Appliance Recycling_Appliance Recycling_Refrigerator Recycle</v>
      </c>
      <c r="F8" s="241" t="str">
        <f>INDEX('VDSM MAPPING'!E:E,MATCH($D8,'VDSM MAPPING'!$A:$A,0))</f>
        <v>Residential</v>
      </c>
      <c r="G8" s="241" t="str">
        <f>INDEX('VDSM MAPPING'!F:F,MATCH($D8,'VDSM MAPPING'!$A:$A,0))</f>
        <v>Appliance Recycling</v>
      </c>
      <c r="H8" s="241" t="str">
        <f>INDEX('VDSM MAPPING'!G:G,MATCH($D8,'VDSM MAPPING'!$A:$A,0))</f>
        <v>Appliance Recycling</v>
      </c>
      <c r="I8" s="241" t="str">
        <f>INDEX('VDSM MAPPING'!H:H,MATCH($D8,'VDSM MAPPING'!$A:$A,0))</f>
        <v>Refrigerator Recycle</v>
      </c>
      <c r="J8" s="240" t="str">
        <f t="shared" si="4"/>
        <v/>
      </c>
      <c r="K8" s="240" t="str">
        <f t="shared" si="5"/>
        <v/>
      </c>
      <c r="L8" s="240" t="b">
        <f t="shared" si="6"/>
        <v>0</v>
      </c>
      <c r="M8" s="240" t="b">
        <f t="shared" si="7"/>
        <v>0</v>
      </c>
      <c r="N8" s="204" t="s">
        <v>289</v>
      </c>
      <c r="O8" s="204" t="s">
        <v>3185</v>
      </c>
      <c r="P8" s="350">
        <v>1</v>
      </c>
      <c r="Q8" s="204" t="s">
        <v>3185</v>
      </c>
      <c r="R8" s="204" t="s">
        <v>3184</v>
      </c>
      <c r="S8" s="204" t="s">
        <v>3183</v>
      </c>
      <c r="T8" s="204" t="s">
        <v>3182</v>
      </c>
      <c r="V8" s="204" t="s">
        <v>3181</v>
      </c>
      <c r="W8" s="204" t="s">
        <v>329</v>
      </c>
      <c r="X8" s="204" t="s">
        <v>297</v>
      </c>
      <c r="Y8" s="204" t="s">
        <v>397</v>
      </c>
      <c r="Z8" s="204" t="s">
        <v>1820</v>
      </c>
      <c r="AA8" s="204" t="s">
        <v>1819</v>
      </c>
      <c r="AB8" s="204" t="s">
        <v>329</v>
      </c>
      <c r="AC8" s="204" t="s">
        <v>297</v>
      </c>
      <c r="AD8" s="204" t="s">
        <v>599</v>
      </c>
      <c r="AE8" s="204" t="s">
        <v>1818</v>
      </c>
      <c r="AG8" s="204" t="s">
        <v>2917</v>
      </c>
      <c r="AH8" s="204" t="s">
        <v>2916</v>
      </c>
      <c r="AV8" s="204" t="s">
        <v>3180</v>
      </c>
      <c r="AX8" s="204">
        <v>1</v>
      </c>
      <c r="AY8" s="204">
        <v>0</v>
      </c>
      <c r="AZ8" s="204">
        <v>0.14699999999999999</v>
      </c>
      <c r="BB8" s="204">
        <v>1289</v>
      </c>
      <c r="BH8" s="204">
        <v>0</v>
      </c>
      <c r="BI8" s="204">
        <v>50</v>
      </c>
      <c r="BJ8" s="204">
        <v>42632</v>
      </c>
      <c r="BK8" s="204">
        <v>42632.497293055603</v>
      </c>
      <c r="BL8" s="204" t="s">
        <v>293</v>
      </c>
      <c r="BM8" s="204" t="s">
        <v>3179</v>
      </c>
      <c r="BN8" s="269">
        <f t="shared" si="8"/>
        <v>1289</v>
      </c>
      <c r="BO8" s="269">
        <f t="shared" si="9"/>
        <v>50</v>
      </c>
      <c r="BP8" s="269">
        <f>INDEX('App Data Outliers'!$M:$M,MATCH($E8,'App Data Outliers'!$A:$A,0))</f>
        <v>1289</v>
      </c>
      <c r="BQ8" s="269">
        <f>INDEX('App Data Outliers'!$N:$N,MATCH($E8,'App Data Outliers'!$A:$A,0))</f>
        <v>0</v>
      </c>
      <c r="BR8" s="269">
        <f>INDEX('App Data Outliers'!$S:$S,MATCH($E8,'App Data Outliers'!$A:$A,0))</f>
        <v>50</v>
      </c>
      <c r="BS8" s="269">
        <f>INDEX('App Data Outliers'!$T:$T,MATCH($E8,'App Data Outliers'!$A:$A,0))</f>
        <v>0</v>
      </c>
    </row>
    <row r="9" spans="1:71" s="204" customFormat="1" hidden="1">
      <c r="A9" s="241">
        <v>5</v>
      </c>
      <c r="B9" s="241" t="str">
        <f t="shared" si="0"/>
        <v>Residential/Non-Residential - BHPSD - Appliance Recycling</v>
      </c>
      <c r="C9" s="241" t="b">
        <f t="shared" si="1"/>
        <v>1</v>
      </c>
      <c r="D9" s="241" t="str">
        <f t="shared" si="2"/>
        <v>Residential/Non-Residential - BHPSD - Appliance Recycling_Appliance Recycling :- Customer Incentives_Refrigerator Recycling - Residential</v>
      </c>
      <c r="E9" s="241" t="str">
        <f t="shared" si="3"/>
        <v>Residential_Appliance Recycling_Appliance Recycling_Refrigerator Recycle</v>
      </c>
      <c r="F9" s="241" t="str">
        <f>INDEX('VDSM MAPPING'!E:E,MATCH($D9,'VDSM MAPPING'!$A:$A,0))</f>
        <v>Residential</v>
      </c>
      <c r="G9" s="241" t="str">
        <f>INDEX('VDSM MAPPING'!F:F,MATCH($D9,'VDSM MAPPING'!$A:$A,0))</f>
        <v>Appliance Recycling</v>
      </c>
      <c r="H9" s="241" t="str">
        <f>INDEX('VDSM MAPPING'!G:G,MATCH($D9,'VDSM MAPPING'!$A:$A,0))</f>
        <v>Appliance Recycling</v>
      </c>
      <c r="I9" s="241" t="str">
        <f>INDEX('VDSM MAPPING'!H:H,MATCH($D9,'VDSM MAPPING'!$A:$A,0))</f>
        <v>Refrigerator Recycle</v>
      </c>
      <c r="J9" s="240" t="str">
        <f t="shared" si="4"/>
        <v/>
      </c>
      <c r="K9" s="240" t="str">
        <f t="shared" si="5"/>
        <v/>
      </c>
      <c r="L9" s="240" t="b">
        <f t="shared" si="6"/>
        <v>0</v>
      </c>
      <c r="M9" s="240" t="b">
        <f t="shared" si="7"/>
        <v>0</v>
      </c>
      <c r="N9" s="204" t="s">
        <v>289</v>
      </c>
      <c r="O9" s="204" t="s">
        <v>3178</v>
      </c>
      <c r="P9" s="350">
        <v>1</v>
      </c>
      <c r="Q9" s="204" t="s">
        <v>3178</v>
      </c>
      <c r="R9" s="204" t="s">
        <v>3177</v>
      </c>
      <c r="S9" s="204" t="s">
        <v>3176</v>
      </c>
      <c r="T9" s="204" t="s">
        <v>3175</v>
      </c>
      <c r="V9" s="204" t="s">
        <v>3174</v>
      </c>
      <c r="W9" s="204" t="s">
        <v>1252</v>
      </c>
      <c r="X9" s="204" t="s">
        <v>297</v>
      </c>
      <c r="Y9" s="204" t="s">
        <v>1251</v>
      </c>
      <c r="Z9" s="204" t="s">
        <v>1820</v>
      </c>
      <c r="AA9" s="204" t="s">
        <v>1819</v>
      </c>
      <c r="AB9" s="204" t="s">
        <v>329</v>
      </c>
      <c r="AC9" s="204" t="s">
        <v>297</v>
      </c>
      <c r="AD9" s="204" t="s">
        <v>599</v>
      </c>
      <c r="AE9" s="204" t="s">
        <v>1818</v>
      </c>
      <c r="AG9" s="204" t="s">
        <v>2917</v>
      </c>
      <c r="AH9" s="204" t="s">
        <v>2916</v>
      </c>
      <c r="AV9" s="204" t="s">
        <v>3173</v>
      </c>
      <c r="AX9" s="204">
        <v>1</v>
      </c>
      <c r="AY9" s="204">
        <v>0</v>
      </c>
      <c r="AZ9" s="204">
        <v>0.14699999999999999</v>
      </c>
      <c r="BB9" s="204">
        <v>1289</v>
      </c>
      <c r="BH9" s="204">
        <v>0</v>
      </c>
      <c r="BI9" s="204">
        <v>50</v>
      </c>
      <c r="BJ9" s="204">
        <v>42654</v>
      </c>
      <c r="BK9" s="204">
        <v>42654.784208483798</v>
      </c>
      <c r="BL9" s="204" t="s">
        <v>293</v>
      </c>
      <c r="BM9" s="204" t="s">
        <v>3172</v>
      </c>
      <c r="BN9" s="269">
        <f t="shared" si="8"/>
        <v>1289</v>
      </c>
      <c r="BO9" s="269">
        <f t="shared" si="9"/>
        <v>50</v>
      </c>
      <c r="BP9" s="269">
        <f>INDEX('App Data Outliers'!$M:$M,MATCH($E9,'App Data Outliers'!$A:$A,0))</f>
        <v>1289</v>
      </c>
      <c r="BQ9" s="269">
        <f>INDEX('App Data Outliers'!$N:$N,MATCH($E9,'App Data Outliers'!$A:$A,0))</f>
        <v>0</v>
      </c>
      <c r="BR9" s="269">
        <f>INDEX('App Data Outliers'!$S:$S,MATCH($E9,'App Data Outliers'!$A:$A,0))</f>
        <v>50</v>
      </c>
      <c r="BS9" s="269">
        <f>INDEX('App Data Outliers'!$T:$T,MATCH($E9,'App Data Outliers'!$A:$A,0))</f>
        <v>0</v>
      </c>
    </row>
    <row r="10" spans="1:71" s="204" customFormat="1" hidden="1">
      <c r="A10" s="241">
        <v>6</v>
      </c>
      <c r="B10" s="241" t="str">
        <f t="shared" si="0"/>
        <v>Residential/Non-Residential - BHPSD - Appliance Recycling</v>
      </c>
      <c r="C10" s="241" t="b">
        <f t="shared" si="1"/>
        <v>1</v>
      </c>
      <c r="D10" s="241" t="str">
        <f t="shared" si="2"/>
        <v>Residential/Non-Residential - BHPSD - Appliance Recycling_Appliance Recycling :- Customer Incentives_Refrigerator Recycling - Residential</v>
      </c>
      <c r="E10" s="241" t="str">
        <f t="shared" si="3"/>
        <v>Residential_Appliance Recycling_Appliance Recycling_Refrigerator Recycle</v>
      </c>
      <c r="F10" s="241" t="str">
        <f>INDEX('VDSM MAPPING'!E:E,MATCH($D10,'VDSM MAPPING'!$A:$A,0))</f>
        <v>Residential</v>
      </c>
      <c r="G10" s="241" t="str">
        <f>INDEX('VDSM MAPPING'!F:F,MATCH($D10,'VDSM MAPPING'!$A:$A,0))</f>
        <v>Appliance Recycling</v>
      </c>
      <c r="H10" s="241" t="str">
        <f>INDEX('VDSM MAPPING'!G:G,MATCH($D10,'VDSM MAPPING'!$A:$A,0))</f>
        <v>Appliance Recycling</v>
      </c>
      <c r="I10" s="241" t="str">
        <f>INDEX('VDSM MAPPING'!H:H,MATCH($D10,'VDSM MAPPING'!$A:$A,0))</f>
        <v>Refrigerator Recycle</v>
      </c>
      <c r="J10" s="240" t="str">
        <f t="shared" si="4"/>
        <v/>
      </c>
      <c r="K10" s="240" t="str">
        <f t="shared" si="5"/>
        <v/>
      </c>
      <c r="L10" s="240" t="b">
        <f t="shared" si="6"/>
        <v>0</v>
      </c>
      <c r="M10" s="240" t="b">
        <f t="shared" si="7"/>
        <v>0</v>
      </c>
      <c r="N10" s="204" t="s">
        <v>289</v>
      </c>
      <c r="O10" s="204" t="s">
        <v>3171</v>
      </c>
      <c r="P10" s="350">
        <v>1</v>
      </c>
      <c r="Q10" s="204" t="s">
        <v>3171</v>
      </c>
      <c r="R10" s="204" t="s">
        <v>3170</v>
      </c>
      <c r="S10" s="204" t="s">
        <v>3169</v>
      </c>
      <c r="T10" s="204" t="s">
        <v>3168</v>
      </c>
      <c r="V10" s="204" t="s">
        <v>3167</v>
      </c>
      <c r="W10" s="204" t="s">
        <v>345</v>
      </c>
      <c r="X10" s="204" t="s">
        <v>297</v>
      </c>
      <c r="Y10" s="204" t="s">
        <v>344</v>
      </c>
      <c r="Z10" s="204" t="s">
        <v>1820</v>
      </c>
      <c r="AA10" s="204" t="s">
        <v>1819</v>
      </c>
      <c r="AB10" s="204" t="s">
        <v>329</v>
      </c>
      <c r="AC10" s="204" t="s">
        <v>297</v>
      </c>
      <c r="AD10" s="204" t="s">
        <v>599</v>
      </c>
      <c r="AE10" s="204" t="s">
        <v>1818</v>
      </c>
      <c r="AG10" s="204" t="s">
        <v>2917</v>
      </c>
      <c r="AH10" s="204" t="s">
        <v>2916</v>
      </c>
      <c r="AV10" s="204" t="s">
        <v>3166</v>
      </c>
      <c r="AX10" s="204">
        <v>1</v>
      </c>
      <c r="AY10" s="204">
        <v>0</v>
      </c>
      <c r="AZ10" s="204">
        <v>0.14699999999999999</v>
      </c>
      <c r="BB10" s="204">
        <v>1289</v>
      </c>
      <c r="BH10" s="204">
        <v>0</v>
      </c>
      <c r="BI10" s="204">
        <v>50</v>
      </c>
      <c r="BJ10" s="204">
        <v>42795</v>
      </c>
      <c r="BK10" s="204">
        <v>42669.514234918999</v>
      </c>
      <c r="BL10" s="204" t="s">
        <v>293</v>
      </c>
      <c r="BM10" s="204" t="s">
        <v>3165</v>
      </c>
      <c r="BN10" s="269">
        <f t="shared" si="8"/>
        <v>1289</v>
      </c>
      <c r="BO10" s="269">
        <f t="shared" si="9"/>
        <v>50</v>
      </c>
      <c r="BP10" s="269">
        <f>INDEX('App Data Outliers'!$M:$M,MATCH($E10,'App Data Outliers'!$A:$A,0))</f>
        <v>1289</v>
      </c>
      <c r="BQ10" s="269">
        <f>INDEX('App Data Outliers'!$N:$N,MATCH($E10,'App Data Outliers'!$A:$A,0))</f>
        <v>0</v>
      </c>
      <c r="BR10" s="269">
        <f>INDEX('App Data Outliers'!$S:$S,MATCH($E10,'App Data Outliers'!$A:$A,0))</f>
        <v>50</v>
      </c>
      <c r="BS10" s="269">
        <f>INDEX('App Data Outliers'!$T:$T,MATCH($E10,'App Data Outliers'!$A:$A,0))</f>
        <v>0</v>
      </c>
    </row>
    <row r="11" spans="1:71" s="204" customFormat="1" hidden="1">
      <c r="A11" s="241">
        <v>7</v>
      </c>
      <c r="B11" s="241" t="str">
        <f t="shared" si="0"/>
        <v>Residential/Non-Residential - BHPSD - Appliance Recycling</v>
      </c>
      <c r="C11" s="241" t="b">
        <f t="shared" si="1"/>
        <v>1</v>
      </c>
      <c r="D11" s="241" t="str">
        <f t="shared" si="2"/>
        <v>Residential/Non-Residential - BHPSD - Appliance Recycling_Appliance Recycling :- Customer Incentives_Refrigerator Recycling - Residential</v>
      </c>
      <c r="E11" s="241" t="str">
        <f t="shared" si="3"/>
        <v>Residential_Appliance Recycling_Appliance Recycling_Refrigerator Recycle</v>
      </c>
      <c r="F11" s="241" t="str">
        <f>INDEX('VDSM MAPPING'!E:E,MATCH($D11,'VDSM MAPPING'!$A:$A,0))</f>
        <v>Residential</v>
      </c>
      <c r="G11" s="241" t="str">
        <f>INDEX('VDSM MAPPING'!F:F,MATCH($D11,'VDSM MAPPING'!$A:$A,0))</f>
        <v>Appliance Recycling</v>
      </c>
      <c r="H11" s="241" t="str">
        <f>INDEX('VDSM MAPPING'!G:G,MATCH($D11,'VDSM MAPPING'!$A:$A,0))</f>
        <v>Appliance Recycling</v>
      </c>
      <c r="I11" s="241" t="str">
        <f>INDEX('VDSM MAPPING'!H:H,MATCH($D11,'VDSM MAPPING'!$A:$A,0))</f>
        <v>Refrigerator Recycle</v>
      </c>
      <c r="J11" s="240" t="str">
        <f t="shared" si="4"/>
        <v/>
      </c>
      <c r="K11" s="240" t="str">
        <f t="shared" si="5"/>
        <v/>
      </c>
      <c r="L11" s="240" t="b">
        <f t="shared" si="6"/>
        <v>0</v>
      </c>
      <c r="M11" s="240" t="b">
        <f t="shared" si="7"/>
        <v>0</v>
      </c>
      <c r="N11" s="204" t="s">
        <v>289</v>
      </c>
      <c r="O11" s="204" t="s">
        <v>3164</v>
      </c>
      <c r="P11" s="350">
        <v>1</v>
      </c>
      <c r="Q11" s="204" t="s">
        <v>3164</v>
      </c>
      <c r="R11" s="204" t="s">
        <v>3163</v>
      </c>
      <c r="S11" s="204" t="s">
        <v>3162</v>
      </c>
      <c r="T11" s="204" t="s">
        <v>3161</v>
      </c>
      <c r="V11" s="204" t="s">
        <v>3160</v>
      </c>
      <c r="W11" s="204" t="s">
        <v>329</v>
      </c>
      <c r="X11" s="204" t="s">
        <v>297</v>
      </c>
      <c r="Y11" s="204" t="s">
        <v>328</v>
      </c>
      <c r="Z11" s="204" t="s">
        <v>1820</v>
      </c>
      <c r="AA11" s="204" t="s">
        <v>1819</v>
      </c>
      <c r="AB11" s="204" t="s">
        <v>329</v>
      </c>
      <c r="AC11" s="204" t="s">
        <v>297</v>
      </c>
      <c r="AD11" s="204" t="s">
        <v>599</v>
      </c>
      <c r="AE11" s="204" t="s">
        <v>1818</v>
      </c>
      <c r="AG11" s="204" t="s">
        <v>2917</v>
      </c>
      <c r="AH11" s="204" t="s">
        <v>2916</v>
      </c>
      <c r="AV11" s="204" t="s">
        <v>3159</v>
      </c>
      <c r="AX11" s="204">
        <v>1</v>
      </c>
      <c r="AY11" s="204">
        <v>0</v>
      </c>
      <c r="AZ11" s="204">
        <v>0.14699999999999999</v>
      </c>
      <c r="BB11" s="204">
        <v>1289</v>
      </c>
      <c r="BH11" s="204">
        <v>0</v>
      </c>
      <c r="BI11" s="204">
        <v>50</v>
      </c>
      <c r="BJ11" s="204">
        <v>42738</v>
      </c>
      <c r="BK11" s="204">
        <v>42688.537395601903</v>
      </c>
      <c r="BL11" s="204" t="s">
        <v>293</v>
      </c>
      <c r="BM11" s="204" t="s">
        <v>3158</v>
      </c>
      <c r="BN11" s="269">
        <f t="shared" si="8"/>
        <v>1289</v>
      </c>
      <c r="BO11" s="269">
        <f t="shared" si="9"/>
        <v>50</v>
      </c>
      <c r="BP11" s="269">
        <f>INDEX('App Data Outliers'!$M:$M,MATCH($E11,'App Data Outliers'!$A:$A,0))</f>
        <v>1289</v>
      </c>
      <c r="BQ11" s="269">
        <f>INDEX('App Data Outliers'!$N:$N,MATCH($E11,'App Data Outliers'!$A:$A,0))</f>
        <v>0</v>
      </c>
      <c r="BR11" s="269">
        <f>INDEX('App Data Outliers'!$S:$S,MATCH($E11,'App Data Outliers'!$A:$A,0))</f>
        <v>50</v>
      </c>
      <c r="BS11" s="269">
        <f>INDEX('App Data Outliers'!$T:$T,MATCH($E11,'App Data Outliers'!$A:$A,0))</f>
        <v>0</v>
      </c>
    </row>
    <row r="12" spans="1:71" s="204" customFormat="1" hidden="1">
      <c r="A12" s="241">
        <v>8</v>
      </c>
      <c r="B12" s="241" t="str">
        <f t="shared" si="0"/>
        <v>Residential/Non-Residential - BHPSD - Appliance Recycling</v>
      </c>
      <c r="C12" s="241" t="b">
        <f t="shared" si="1"/>
        <v>1</v>
      </c>
      <c r="D12" s="241" t="str">
        <f t="shared" si="2"/>
        <v>Residential/Non-Residential - BHPSD - Appliance Recycling_Appliance Recycling :- Customer Incentives_Refrigerator Recycling - Residential</v>
      </c>
      <c r="E12" s="241" t="str">
        <f t="shared" si="3"/>
        <v>Residential_Appliance Recycling_Appliance Recycling_Refrigerator Recycle</v>
      </c>
      <c r="F12" s="241" t="str">
        <f>INDEX('VDSM MAPPING'!E:E,MATCH($D12,'VDSM MAPPING'!$A:$A,0))</f>
        <v>Residential</v>
      </c>
      <c r="G12" s="241" t="str">
        <f>INDEX('VDSM MAPPING'!F:F,MATCH($D12,'VDSM MAPPING'!$A:$A,0))</f>
        <v>Appliance Recycling</v>
      </c>
      <c r="H12" s="241" t="str">
        <f>INDEX('VDSM MAPPING'!G:G,MATCH($D12,'VDSM MAPPING'!$A:$A,0))</f>
        <v>Appliance Recycling</v>
      </c>
      <c r="I12" s="241" t="str">
        <f>INDEX('VDSM MAPPING'!H:H,MATCH($D12,'VDSM MAPPING'!$A:$A,0))</f>
        <v>Refrigerator Recycle</v>
      </c>
      <c r="J12" s="240" t="str">
        <f t="shared" si="4"/>
        <v/>
      </c>
      <c r="K12" s="240" t="str">
        <f t="shared" si="5"/>
        <v/>
      </c>
      <c r="L12" s="240" t="b">
        <f t="shared" si="6"/>
        <v>0</v>
      </c>
      <c r="M12" s="240" t="b">
        <f t="shared" si="7"/>
        <v>0</v>
      </c>
      <c r="N12" s="204" t="s">
        <v>289</v>
      </c>
      <c r="O12" s="204" t="s">
        <v>3157</v>
      </c>
      <c r="P12" s="350">
        <v>1</v>
      </c>
      <c r="Q12" s="204" t="s">
        <v>3157</v>
      </c>
      <c r="R12" s="204" t="s">
        <v>3156</v>
      </c>
      <c r="S12" s="204" t="s">
        <v>3155</v>
      </c>
      <c r="T12" s="204" t="s">
        <v>3154</v>
      </c>
      <c r="V12" s="204" t="s">
        <v>3153</v>
      </c>
      <c r="W12" s="204" t="s">
        <v>329</v>
      </c>
      <c r="X12" s="204" t="s">
        <v>297</v>
      </c>
      <c r="Y12" s="204" t="s">
        <v>328</v>
      </c>
      <c r="Z12" s="204" t="s">
        <v>1820</v>
      </c>
      <c r="AA12" s="204" t="s">
        <v>1819</v>
      </c>
      <c r="AB12" s="204" t="s">
        <v>329</v>
      </c>
      <c r="AC12" s="204" t="s">
        <v>297</v>
      </c>
      <c r="AD12" s="204" t="s">
        <v>599</v>
      </c>
      <c r="AE12" s="204" t="s">
        <v>1818</v>
      </c>
      <c r="AG12" s="204" t="s">
        <v>2917</v>
      </c>
      <c r="AH12" s="204" t="s">
        <v>2916</v>
      </c>
      <c r="AV12" s="204" t="s">
        <v>3152</v>
      </c>
      <c r="AX12" s="204">
        <v>1</v>
      </c>
      <c r="AY12" s="204">
        <v>0</v>
      </c>
      <c r="AZ12" s="204">
        <v>0.14699999999999999</v>
      </c>
      <c r="BB12" s="204">
        <v>1289</v>
      </c>
      <c r="BH12" s="204">
        <v>0</v>
      </c>
      <c r="BI12" s="204">
        <v>50</v>
      </c>
      <c r="BJ12" s="204">
        <v>42738</v>
      </c>
      <c r="BK12" s="204">
        <v>42689.509298379598</v>
      </c>
      <c r="BL12" s="204" t="s">
        <v>293</v>
      </c>
      <c r="BM12" s="204" t="s">
        <v>3151</v>
      </c>
      <c r="BN12" s="269">
        <f t="shared" si="8"/>
        <v>1289</v>
      </c>
      <c r="BO12" s="269">
        <f t="shared" si="9"/>
        <v>50</v>
      </c>
      <c r="BP12" s="269">
        <f>INDEX('App Data Outliers'!$M:$M,MATCH($E12,'App Data Outliers'!$A:$A,0))</f>
        <v>1289</v>
      </c>
      <c r="BQ12" s="269">
        <f>INDEX('App Data Outliers'!$N:$N,MATCH($E12,'App Data Outliers'!$A:$A,0))</f>
        <v>0</v>
      </c>
      <c r="BR12" s="269">
        <f>INDEX('App Data Outliers'!$S:$S,MATCH($E12,'App Data Outliers'!$A:$A,0))</f>
        <v>50</v>
      </c>
      <c r="BS12" s="269">
        <f>INDEX('App Data Outliers'!$T:$T,MATCH($E12,'App Data Outliers'!$A:$A,0))</f>
        <v>0</v>
      </c>
    </row>
    <row r="13" spans="1:71" s="204" customFormat="1" hidden="1">
      <c r="A13" s="241">
        <v>9</v>
      </c>
      <c r="B13" s="241" t="str">
        <f t="shared" si="0"/>
        <v>Residential/Non-Residential - BHPSD - Appliance Recycling</v>
      </c>
      <c r="C13" s="241" t="b">
        <f t="shared" si="1"/>
        <v>1</v>
      </c>
      <c r="D13" s="241" t="str">
        <f t="shared" si="2"/>
        <v>Residential/Non-Residential - BHPSD - Appliance Recycling_Appliance Recycling :- Customer Incentives_Refrigerator Recycling - Residential</v>
      </c>
      <c r="E13" s="241" t="str">
        <f t="shared" si="3"/>
        <v>Residential_Appliance Recycling_Appliance Recycling_Refrigerator Recycle</v>
      </c>
      <c r="F13" s="241" t="str">
        <f>INDEX('VDSM MAPPING'!E:E,MATCH($D13,'VDSM MAPPING'!$A:$A,0))</f>
        <v>Residential</v>
      </c>
      <c r="G13" s="241" t="str">
        <f>INDEX('VDSM MAPPING'!F:F,MATCH($D13,'VDSM MAPPING'!$A:$A,0))</f>
        <v>Appliance Recycling</v>
      </c>
      <c r="H13" s="241" t="str">
        <f>INDEX('VDSM MAPPING'!G:G,MATCH($D13,'VDSM MAPPING'!$A:$A,0))</f>
        <v>Appliance Recycling</v>
      </c>
      <c r="I13" s="241" t="str">
        <f>INDEX('VDSM MAPPING'!H:H,MATCH($D13,'VDSM MAPPING'!$A:$A,0))</f>
        <v>Refrigerator Recycle</v>
      </c>
      <c r="J13" s="240" t="str">
        <f t="shared" si="4"/>
        <v/>
      </c>
      <c r="K13" s="240" t="str">
        <f t="shared" si="5"/>
        <v/>
      </c>
      <c r="L13" s="240" t="b">
        <f t="shared" si="6"/>
        <v>0</v>
      </c>
      <c r="M13" s="240" t="b">
        <f t="shared" si="7"/>
        <v>0</v>
      </c>
      <c r="N13" s="204" t="s">
        <v>289</v>
      </c>
      <c r="O13" s="204" t="s">
        <v>3150</v>
      </c>
      <c r="P13" s="350">
        <v>1</v>
      </c>
      <c r="Q13" s="204" t="s">
        <v>3150</v>
      </c>
      <c r="R13" s="204" t="s">
        <v>3149</v>
      </c>
      <c r="S13" s="204" t="s">
        <v>2988</v>
      </c>
      <c r="T13" s="204" t="s">
        <v>1545</v>
      </c>
      <c r="V13" s="204" t="s">
        <v>3148</v>
      </c>
      <c r="W13" s="204" t="s">
        <v>329</v>
      </c>
      <c r="X13" s="204" t="s">
        <v>297</v>
      </c>
      <c r="Y13" s="204" t="s">
        <v>397</v>
      </c>
      <c r="Z13" s="204" t="s">
        <v>1820</v>
      </c>
      <c r="AA13" s="204" t="s">
        <v>1819</v>
      </c>
      <c r="AB13" s="204" t="s">
        <v>329</v>
      </c>
      <c r="AC13" s="204" t="s">
        <v>297</v>
      </c>
      <c r="AD13" s="204" t="s">
        <v>599</v>
      </c>
      <c r="AE13" s="204" t="s">
        <v>1818</v>
      </c>
      <c r="AG13" s="204" t="s">
        <v>2917</v>
      </c>
      <c r="AH13" s="204" t="s">
        <v>2916</v>
      </c>
      <c r="AV13" s="204" t="s">
        <v>3147</v>
      </c>
      <c r="AX13" s="204">
        <v>1</v>
      </c>
      <c r="AY13" s="204">
        <v>0</v>
      </c>
      <c r="AZ13" s="204">
        <v>0.14699999999999999</v>
      </c>
      <c r="BB13" s="204">
        <v>1289</v>
      </c>
      <c r="BH13" s="204">
        <v>0</v>
      </c>
      <c r="BI13" s="204">
        <v>50</v>
      </c>
      <c r="BJ13" s="204">
        <v>42738</v>
      </c>
      <c r="BK13" s="204">
        <v>42689.647468368101</v>
      </c>
      <c r="BL13" s="204" t="s">
        <v>293</v>
      </c>
      <c r="BM13" s="204" t="s">
        <v>3146</v>
      </c>
      <c r="BN13" s="269">
        <f t="shared" si="8"/>
        <v>1289</v>
      </c>
      <c r="BO13" s="269">
        <f t="shared" si="9"/>
        <v>50</v>
      </c>
      <c r="BP13" s="269">
        <f>INDEX('App Data Outliers'!$M:$M,MATCH($E13,'App Data Outliers'!$A:$A,0))</f>
        <v>1289</v>
      </c>
      <c r="BQ13" s="269">
        <f>INDEX('App Data Outliers'!$N:$N,MATCH($E13,'App Data Outliers'!$A:$A,0))</f>
        <v>0</v>
      </c>
      <c r="BR13" s="269">
        <f>INDEX('App Data Outliers'!$S:$S,MATCH($E13,'App Data Outliers'!$A:$A,0))</f>
        <v>50</v>
      </c>
      <c r="BS13" s="269">
        <f>INDEX('App Data Outliers'!$T:$T,MATCH($E13,'App Data Outliers'!$A:$A,0))</f>
        <v>0</v>
      </c>
    </row>
    <row r="14" spans="1:71" s="204" customFormat="1" hidden="1">
      <c r="A14" s="241">
        <v>10</v>
      </c>
      <c r="B14" s="241" t="str">
        <f t="shared" si="0"/>
        <v>Residential/Non-Residential - BHPSD - Appliance Recycling</v>
      </c>
      <c r="C14" s="241" t="b">
        <f t="shared" si="1"/>
        <v>1</v>
      </c>
      <c r="D14" s="241" t="str">
        <f t="shared" si="2"/>
        <v>Residential/Non-Residential - BHPSD - Appliance Recycling_Appliance Recycling :- Customer Incentives_Refrigerator Recycling - Residential</v>
      </c>
      <c r="E14" s="241" t="str">
        <f t="shared" si="3"/>
        <v>Residential_Appliance Recycling_Appliance Recycling_Refrigerator Recycle</v>
      </c>
      <c r="F14" s="241" t="str">
        <f>INDEX('VDSM MAPPING'!E:E,MATCH($D14,'VDSM MAPPING'!$A:$A,0))</f>
        <v>Residential</v>
      </c>
      <c r="G14" s="241" t="str">
        <f>INDEX('VDSM MAPPING'!F:F,MATCH($D14,'VDSM MAPPING'!$A:$A,0))</f>
        <v>Appliance Recycling</v>
      </c>
      <c r="H14" s="241" t="str">
        <f>INDEX('VDSM MAPPING'!G:G,MATCH($D14,'VDSM MAPPING'!$A:$A,0))</f>
        <v>Appliance Recycling</v>
      </c>
      <c r="I14" s="241" t="str">
        <f>INDEX('VDSM MAPPING'!H:H,MATCH($D14,'VDSM MAPPING'!$A:$A,0))</f>
        <v>Refrigerator Recycle</v>
      </c>
      <c r="J14" s="240" t="str">
        <f t="shared" si="4"/>
        <v/>
      </c>
      <c r="K14" s="240" t="str">
        <f t="shared" si="5"/>
        <v/>
      </c>
      <c r="L14" s="240" t="b">
        <f t="shared" si="6"/>
        <v>0</v>
      </c>
      <c r="M14" s="240" t="b">
        <f t="shared" si="7"/>
        <v>0</v>
      </c>
      <c r="N14" s="204" t="s">
        <v>289</v>
      </c>
      <c r="O14" s="204" t="s">
        <v>3145</v>
      </c>
      <c r="P14" s="350">
        <v>1</v>
      </c>
      <c r="Q14" s="204" t="s">
        <v>3145</v>
      </c>
      <c r="R14" s="204" t="s">
        <v>3144</v>
      </c>
      <c r="S14" s="204" t="s">
        <v>1749</v>
      </c>
      <c r="T14" s="204" t="s">
        <v>3143</v>
      </c>
      <c r="V14" s="204" t="s">
        <v>3142</v>
      </c>
      <c r="W14" s="204" t="s">
        <v>329</v>
      </c>
      <c r="X14" s="204" t="s">
        <v>297</v>
      </c>
      <c r="Y14" s="204" t="s">
        <v>328</v>
      </c>
      <c r="Z14" s="204" t="s">
        <v>1820</v>
      </c>
      <c r="AA14" s="204" t="s">
        <v>1819</v>
      </c>
      <c r="AB14" s="204" t="s">
        <v>329</v>
      </c>
      <c r="AC14" s="204" t="s">
        <v>297</v>
      </c>
      <c r="AD14" s="204" t="s">
        <v>599</v>
      </c>
      <c r="AE14" s="204" t="s">
        <v>1818</v>
      </c>
      <c r="AG14" s="204" t="s">
        <v>2917</v>
      </c>
      <c r="AH14" s="204" t="s">
        <v>2916</v>
      </c>
      <c r="AX14" s="204">
        <v>1</v>
      </c>
      <c r="AY14" s="204">
        <v>0</v>
      </c>
      <c r="AZ14" s="204">
        <v>0.14699999999999999</v>
      </c>
      <c r="BB14" s="204">
        <v>1289</v>
      </c>
      <c r="BH14" s="204">
        <v>0</v>
      </c>
      <c r="BI14" s="204">
        <v>50</v>
      </c>
      <c r="BJ14" s="204">
        <v>42738</v>
      </c>
      <c r="BK14" s="204">
        <v>42695.756104398097</v>
      </c>
      <c r="BL14" s="204" t="s">
        <v>293</v>
      </c>
      <c r="BM14" s="204" t="s">
        <v>3141</v>
      </c>
      <c r="BN14" s="269">
        <f t="shared" si="8"/>
        <v>1289</v>
      </c>
      <c r="BO14" s="269">
        <f t="shared" si="9"/>
        <v>50</v>
      </c>
      <c r="BP14" s="269">
        <f>INDEX('App Data Outliers'!$M:$M,MATCH($E14,'App Data Outliers'!$A:$A,0))</f>
        <v>1289</v>
      </c>
      <c r="BQ14" s="269">
        <f>INDEX('App Data Outliers'!$N:$N,MATCH($E14,'App Data Outliers'!$A:$A,0))</f>
        <v>0</v>
      </c>
      <c r="BR14" s="269">
        <f>INDEX('App Data Outliers'!$S:$S,MATCH($E14,'App Data Outliers'!$A:$A,0))</f>
        <v>50</v>
      </c>
      <c r="BS14" s="269">
        <f>INDEX('App Data Outliers'!$T:$T,MATCH($E14,'App Data Outliers'!$A:$A,0))</f>
        <v>0</v>
      </c>
    </row>
    <row r="15" spans="1:71" s="204" customFormat="1" hidden="1">
      <c r="A15" s="241">
        <v>11</v>
      </c>
      <c r="B15" s="241" t="str">
        <f t="shared" si="0"/>
        <v>Residential/Non-Residential - BHPSD - Appliance Recycling</v>
      </c>
      <c r="C15" s="241" t="b">
        <f t="shared" si="1"/>
        <v>1</v>
      </c>
      <c r="D15" s="241" t="str">
        <f t="shared" si="2"/>
        <v>Residential/Non-Residential - BHPSD - Appliance Recycling_Appliance Recycling :- Customer Incentives_Freezer Recycling - Residential</v>
      </c>
      <c r="E15" s="241" t="str">
        <f t="shared" si="3"/>
        <v>Residential_Appliance Recycling_Appliance Recycling_Freezer Recycle</v>
      </c>
      <c r="F15" s="241" t="str">
        <f>INDEX('VDSM MAPPING'!E:E,MATCH($D15,'VDSM MAPPING'!$A:$A,0))</f>
        <v>Residential</v>
      </c>
      <c r="G15" s="241" t="str">
        <f>INDEX('VDSM MAPPING'!F:F,MATCH($D15,'VDSM MAPPING'!$A:$A,0))</f>
        <v>Appliance Recycling</v>
      </c>
      <c r="H15" s="241" t="str">
        <f>INDEX('VDSM MAPPING'!G:G,MATCH($D15,'VDSM MAPPING'!$A:$A,0))</f>
        <v>Appliance Recycling</v>
      </c>
      <c r="I15" s="241" t="str">
        <f>INDEX('VDSM MAPPING'!H:H,MATCH($D15,'VDSM MAPPING'!$A:$A,0))</f>
        <v>Freezer Recycle</v>
      </c>
      <c r="J15" s="240" t="str">
        <f t="shared" si="4"/>
        <v/>
      </c>
      <c r="K15" s="240" t="str">
        <f t="shared" si="5"/>
        <v/>
      </c>
      <c r="L15" s="240" t="b">
        <f t="shared" si="6"/>
        <v>0</v>
      </c>
      <c r="M15" s="240" t="b">
        <f t="shared" si="7"/>
        <v>0</v>
      </c>
      <c r="N15" s="204" t="s">
        <v>289</v>
      </c>
      <c r="O15" s="204" t="s">
        <v>3140</v>
      </c>
      <c r="P15" s="350">
        <v>1</v>
      </c>
      <c r="Q15" s="204" t="s">
        <v>3140</v>
      </c>
      <c r="R15" s="204" t="s">
        <v>3139</v>
      </c>
      <c r="S15" s="204" t="s">
        <v>3138</v>
      </c>
      <c r="T15" s="204" t="s">
        <v>3137</v>
      </c>
      <c r="V15" s="204" t="s">
        <v>3136</v>
      </c>
      <c r="W15" s="204" t="s">
        <v>329</v>
      </c>
      <c r="X15" s="204" t="s">
        <v>297</v>
      </c>
      <c r="Y15" s="204" t="s">
        <v>848</v>
      </c>
      <c r="Z15" s="204" t="s">
        <v>1820</v>
      </c>
      <c r="AA15" s="204" t="s">
        <v>1819</v>
      </c>
      <c r="AB15" s="204" t="s">
        <v>329</v>
      </c>
      <c r="AC15" s="204" t="s">
        <v>297</v>
      </c>
      <c r="AD15" s="204" t="s">
        <v>599</v>
      </c>
      <c r="AE15" s="204" t="s">
        <v>1818</v>
      </c>
      <c r="AG15" s="204" t="s">
        <v>2917</v>
      </c>
      <c r="AH15" s="204" t="s">
        <v>2934</v>
      </c>
      <c r="AV15" s="204" t="s">
        <v>3135</v>
      </c>
      <c r="AX15" s="204">
        <v>1</v>
      </c>
      <c r="AY15" s="204">
        <v>0</v>
      </c>
      <c r="AZ15" s="204">
        <v>0.126</v>
      </c>
      <c r="BB15" s="204">
        <v>1105</v>
      </c>
      <c r="BH15" s="204">
        <v>0</v>
      </c>
      <c r="BI15" s="204">
        <v>50</v>
      </c>
      <c r="BJ15" s="204">
        <v>42738</v>
      </c>
      <c r="BK15" s="204">
        <v>42703.547365509301</v>
      </c>
      <c r="BL15" s="204" t="s">
        <v>293</v>
      </c>
      <c r="BM15" s="204" t="s">
        <v>3134</v>
      </c>
      <c r="BN15" s="269">
        <f t="shared" si="8"/>
        <v>1105</v>
      </c>
      <c r="BO15" s="269">
        <f t="shared" si="9"/>
        <v>50</v>
      </c>
      <c r="BP15" s="269">
        <f>INDEX('App Data Outliers'!$M:$M,MATCH($E15,'App Data Outliers'!$A:$A,0))</f>
        <v>1105</v>
      </c>
      <c r="BQ15" s="269">
        <f>INDEX('App Data Outliers'!$N:$N,MATCH($E15,'App Data Outliers'!$A:$A,0))</f>
        <v>0</v>
      </c>
      <c r="BR15" s="269">
        <f>INDEX('App Data Outliers'!$S:$S,MATCH($E15,'App Data Outliers'!$A:$A,0))</f>
        <v>50</v>
      </c>
      <c r="BS15" s="269">
        <f>INDEX('App Data Outliers'!$T:$T,MATCH($E15,'App Data Outliers'!$A:$A,0))</f>
        <v>0</v>
      </c>
    </row>
    <row r="16" spans="1:71" s="204" customFormat="1" hidden="1">
      <c r="A16" s="241">
        <v>12</v>
      </c>
      <c r="B16" s="241" t="str">
        <f t="shared" si="0"/>
        <v>Residential/Non-Residential - BHPSD - Appliance Recycling</v>
      </c>
      <c r="C16" s="241" t="b">
        <f t="shared" si="1"/>
        <v>1</v>
      </c>
      <c r="D16" s="241" t="str">
        <f t="shared" si="2"/>
        <v>Residential/Non-Residential - BHPSD - Appliance Recycling_Appliance Recycling :- Customer Incentives_Refrigerator Recycling - Residential</v>
      </c>
      <c r="E16" s="241" t="str">
        <f t="shared" si="3"/>
        <v>Residential_Appliance Recycling_Appliance Recycling_Refrigerator Recycle</v>
      </c>
      <c r="F16" s="241" t="str">
        <f>INDEX('VDSM MAPPING'!E:E,MATCH($D16,'VDSM MAPPING'!$A:$A,0))</f>
        <v>Residential</v>
      </c>
      <c r="G16" s="241" t="str">
        <f>INDEX('VDSM MAPPING'!F:F,MATCH($D16,'VDSM MAPPING'!$A:$A,0))</f>
        <v>Appliance Recycling</v>
      </c>
      <c r="H16" s="241" t="str">
        <f>INDEX('VDSM MAPPING'!G:G,MATCH($D16,'VDSM MAPPING'!$A:$A,0))</f>
        <v>Appliance Recycling</v>
      </c>
      <c r="I16" s="241" t="str">
        <f>INDEX('VDSM MAPPING'!H:H,MATCH($D16,'VDSM MAPPING'!$A:$A,0))</f>
        <v>Refrigerator Recycle</v>
      </c>
      <c r="J16" s="240" t="str">
        <f t="shared" si="4"/>
        <v/>
      </c>
      <c r="K16" s="240" t="str">
        <f t="shared" si="5"/>
        <v/>
      </c>
      <c r="L16" s="240" t="b">
        <f t="shared" si="6"/>
        <v>0</v>
      </c>
      <c r="M16" s="240" t="b">
        <f t="shared" si="7"/>
        <v>0</v>
      </c>
      <c r="N16" s="204" t="s">
        <v>289</v>
      </c>
      <c r="O16" s="204" t="s">
        <v>3133</v>
      </c>
      <c r="P16" s="350">
        <v>1</v>
      </c>
      <c r="Q16" s="204" t="s">
        <v>3133</v>
      </c>
      <c r="R16" s="204" t="s">
        <v>3132</v>
      </c>
      <c r="S16" s="204" t="s">
        <v>2937</v>
      </c>
      <c r="T16" s="204" t="s">
        <v>3131</v>
      </c>
      <c r="V16" s="204" t="s">
        <v>3130</v>
      </c>
      <c r="W16" s="204" t="s">
        <v>337</v>
      </c>
      <c r="X16" s="204" t="s">
        <v>297</v>
      </c>
      <c r="Y16" s="204" t="s">
        <v>336</v>
      </c>
      <c r="Z16" s="204" t="s">
        <v>1820</v>
      </c>
      <c r="AA16" s="204" t="s">
        <v>1819</v>
      </c>
      <c r="AB16" s="204" t="s">
        <v>329</v>
      </c>
      <c r="AC16" s="204" t="s">
        <v>297</v>
      </c>
      <c r="AD16" s="204" t="s">
        <v>599</v>
      </c>
      <c r="AE16" s="204" t="s">
        <v>1818</v>
      </c>
      <c r="AG16" s="204" t="s">
        <v>2917</v>
      </c>
      <c r="AH16" s="204" t="s">
        <v>2916</v>
      </c>
      <c r="AV16" s="204" t="s">
        <v>3129</v>
      </c>
      <c r="AX16" s="204">
        <v>1</v>
      </c>
      <c r="AY16" s="204">
        <v>0</v>
      </c>
      <c r="AZ16" s="204">
        <v>0.14699999999999999</v>
      </c>
      <c r="BB16" s="204">
        <v>1289</v>
      </c>
      <c r="BH16" s="204">
        <v>0</v>
      </c>
      <c r="BI16" s="204">
        <v>50</v>
      </c>
      <c r="BJ16" s="204">
        <v>42795</v>
      </c>
      <c r="BK16" s="204">
        <v>42709.651740509304</v>
      </c>
      <c r="BL16" s="204" t="s">
        <v>293</v>
      </c>
      <c r="BM16" s="204" t="s">
        <v>3128</v>
      </c>
      <c r="BN16" s="269">
        <f t="shared" si="8"/>
        <v>1289</v>
      </c>
      <c r="BO16" s="269">
        <f t="shared" si="9"/>
        <v>50</v>
      </c>
      <c r="BP16" s="269">
        <f>INDEX('App Data Outliers'!$M:$M,MATCH($E16,'App Data Outliers'!$A:$A,0))</f>
        <v>1289</v>
      </c>
      <c r="BQ16" s="269">
        <f>INDEX('App Data Outliers'!$N:$N,MATCH($E16,'App Data Outliers'!$A:$A,0))</f>
        <v>0</v>
      </c>
      <c r="BR16" s="269">
        <f>INDEX('App Data Outliers'!$S:$S,MATCH($E16,'App Data Outliers'!$A:$A,0))</f>
        <v>50</v>
      </c>
      <c r="BS16" s="269">
        <f>INDEX('App Data Outliers'!$T:$T,MATCH($E16,'App Data Outliers'!$A:$A,0))</f>
        <v>0</v>
      </c>
    </row>
    <row r="17" spans="1:71" s="204" customFormat="1" hidden="1">
      <c r="A17" s="241">
        <v>13</v>
      </c>
      <c r="B17" s="241" t="str">
        <f t="shared" si="0"/>
        <v>Residential/Non-Residential - BHPSD - Appliance Recycling</v>
      </c>
      <c r="C17" s="241" t="b">
        <f t="shared" si="1"/>
        <v>1</v>
      </c>
      <c r="D17" s="241" t="str">
        <f t="shared" si="2"/>
        <v>Residential/Non-Residential - BHPSD - Appliance Recycling_Appliance Recycling :- Customer Incentives_Refrigerator Recycling - Residential</v>
      </c>
      <c r="E17" s="241" t="str">
        <f t="shared" si="3"/>
        <v>Residential_Appliance Recycling_Appliance Recycling_Refrigerator Recycle</v>
      </c>
      <c r="F17" s="241" t="str">
        <f>INDEX('VDSM MAPPING'!E:E,MATCH($D17,'VDSM MAPPING'!$A:$A,0))</f>
        <v>Residential</v>
      </c>
      <c r="G17" s="241" t="str">
        <f>INDEX('VDSM MAPPING'!F:F,MATCH($D17,'VDSM MAPPING'!$A:$A,0))</f>
        <v>Appliance Recycling</v>
      </c>
      <c r="H17" s="241" t="str">
        <f>INDEX('VDSM MAPPING'!G:G,MATCH($D17,'VDSM MAPPING'!$A:$A,0))</f>
        <v>Appliance Recycling</v>
      </c>
      <c r="I17" s="241" t="str">
        <f>INDEX('VDSM MAPPING'!H:H,MATCH($D17,'VDSM MAPPING'!$A:$A,0))</f>
        <v>Refrigerator Recycle</v>
      </c>
      <c r="J17" s="240" t="str">
        <f t="shared" si="4"/>
        <v/>
      </c>
      <c r="K17" s="240" t="str">
        <f t="shared" si="5"/>
        <v/>
      </c>
      <c r="L17" s="240" t="b">
        <f t="shared" si="6"/>
        <v>0</v>
      </c>
      <c r="M17" s="240" t="b">
        <f t="shared" si="7"/>
        <v>0</v>
      </c>
      <c r="N17" s="204" t="s">
        <v>289</v>
      </c>
      <c r="O17" s="204" t="s">
        <v>3127</v>
      </c>
      <c r="P17" s="350">
        <v>1</v>
      </c>
      <c r="Q17" s="204" t="s">
        <v>3127</v>
      </c>
      <c r="R17" s="204" t="s">
        <v>3126</v>
      </c>
      <c r="S17" s="204" t="s">
        <v>3125</v>
      </c>
      <c r="T17" s="204" t="s">
        <v>3124</v>
      </c>
      <c r="V17" s="204" t="s">
        <v>2524</v>
      </c>
      <c r="W17" s="204" t="s">
        <v>329</v>
      </c>
      <c r="X17" s="204" t="s">
        <v>297</v>
      </c>
      <c r="Y17" s="204" t="s">
        <v>328</v>
      </c>
      <c r="Z17" s="204" t="s">
        <v>1820</v>
      </c>
      <c r="AA17" s="204" t="s">
        <v>1819</v>
      </c>
      <c r="AB17" s="204" t="s">
        <v>329</v>
      </c>
      <c r="AC17" s="204" t="s">
        <v>297</v>
      </c>
      <c r="AD17" s="204" t="s">
        <v>599</v>
      </c>
      <c r="AE17" s="204" t="s">
        <v>1818</v>
      </c>
      <c r="AG17" s="204" t="s">
        <v>2917</v>
      </c>
      <c r="AH17" s="204" t="s">
        <v>2916</v>
      </c>
      <c r="AX17" s="204">
        <v>1</v>
      </c>
      <c r="AY17" s="204">
        <v>0</v>
      </c>
      <c r="AZ17" s="204">
        <v>0.14699999999999999</v>
      </c>
      <c r="BB17" s="204">
        <v>1289</v>
      </c>
      <c r="BH17" s="204">
        <v>0</v>
      </c>
      <c r="BI17" s="204">
        <v>50</v>
      </c>
      <c r="BJ17" s="204">
        <v>42738</v>
      </c>
      <c r="BK17" s="204">
        <v>42709.676248842603</v>
      </c>
      <c r="BL17" s="204" t="s">
        <v>293</v>
      </c>
      <c r="BM17" s="204" t="s">
        <v>3123</v>
      </c>
      <c r="BN17" s="269">
        <f t="shared" si="8"/>
        <v>1289</v>
      </c>
      <c r="BO17" s="269">
        <f t="shared" si="9"/>
        <v>50</v>
      </c>
      <c r="BP17" s="269">
        <f>INDEX('App Data Outliers'!$M:$M,MATCH($E17,'App Data Outliers'!$A:$A,0))</f>
        <v>1289</v>
      </c>
      <c r="BQ17" s="269">
        <f>INDEX('App Data Outliers'!$N:$N,MATCH($E17,'App Data Outliers'!$A:$A,0))</f>
        <v>0</v>
      </c>
      <c r="BR17" s="269">
        <f>INDEX('App Data Outliers'!$S:$S,MATCH($E17,'App Data Outliers'!$A:$A,0))</f>
        <v>50</v>
      </c>
      <c r="BS17" s="269">
        <f>INDEX('App Data Outliers'!$T:$T,MATCH($E17,'App Data Outliers'!$A:$A,0))</f>
        <v>0</v>
      </c>
    </row>
    <row r="18" spans="1:71" s="204" customFormat="1" hidden="1">
      <c r="A18" s="241">
        <v>14</v>
      </c>
      <c r="B18" s="241" t="str">
        <f t="shared" si="0"/>
        <v>Residential/Non-Residential - BHPSD - Appliance Recycling</v>
      </c>
      <c r="C18" s="241" t="b">
        <f t="shared" si="1"/>
        <v>1</v>
      </c>
      <c r="D18" s="241" t="str">
        <f t="shared" si="2"/>
        <v>Residential/Non-Residential - BHPSD - Appliance Recycling_Appliance Recycling :- Customer Incentives_Refrigerator Recycling - Residential</v>
      </c>
      <c r="E18" s="241" t="str">
        <f t="shared" si="3"/>
        <v>Residential_Appliance Recycling_Appliance Recycling_Refrigerator Recycle</v>
      </c>
      <c r="F18" s="241" t="str">
        <f>INDEX('VDSM MAPPING'!E:E,MATCH($D18,'VDSM MAPPING'!$A:$A,0))</f>
        <v>Residential</v>
      </c>
      <c r="G18" s="241" t="str">
        <f>INDEX('VDSM MAPPING'!F:F,MATCH($D18,'VDSM MAPPING'!$A:$A,0))</f>
        <v>Appliance Recycling</v>
      </c>
      <c r="H18" s="241" t="str">
        <f>INDEX('VDSM MAPPING'!G:G,MATCH($D18,'VDSM MAPPING'!$A:$A,0))</f>
        <v>Appliance Recycling</v>
      </c>
      <c r="I18" s="241" t="str">
        <f>INDEX('VDSM MAPPING'!H:H,MATCH($D18,'VDSM MAPPING'!$A:$A,0))</f>
        <v>Refrigerator Recycle</v>
      </c>
      <c r="J18" s="240" t="str">
        <f t="shared" si="4"/>
        <v/>
      </c>
      <c r="K18" s="240" t="str">
        <f t="shared" si="5"/>
        <v/>
      </c>
      <c r="L18" s="240" t="b">
        <f t="shared" si="6"/>
        <v>0</v>
      </c>
      <c r="M18" s="240" t="b">
        <f t="shared" si="7"/>
        <v>0</v>
      </c>
      <c r="N18" s="204" t="s">
        <v>289</v>
      </c>
      <c r="O18" s="204" t="s">
        <v>3122</v>
      </c>
      <c r="P18" s="350">
        <v>1</v>
      </c>
      <c r="Q18" s="204" t="s">
        <v>3122</v>
      </c>
      <c r="R18" s="204" t="s">
        <v>3121</v>
      </c>
      <c r="S18" s="204" t="s">
        <v>3120</v>
      </c>
      <c r="T18" s="204" t="s">
        <v>3119</v>
      </c>
      <c r="V18" s="204" t="s">
        <v>3118</v>
      </c>
      <c r="W18" s="204" t="s">
        <v>329</v>
      </c>
      <c r="X18" s="204" t="s">
        <v>297</v>
      </c>
      <c r="Y18" s="204" t="s">
        <v>328</v>
      </c>
      <c r="Z18" s="204" t="s">
        <v>1820</v>
      </c>
      <c r="AA18" s="204" t="s">
        <v>1819</v>
      </c>
      <c r="AB18" s="204" t="s">
        <v>329</v>
      </c>
      <c r="AC18" s="204" t="s">
        <v>297</v>
      </c>
      <c r="AD18" s="204" t="s">
        <v>599</v>
      </c>
      <c r="AE18" s="204" t="s">
        <v>1818</v>
      </c>
      <c r="AG18" s="204" t="s">
        <v>2917</v>
      </c>
      <c r="AH18" s="204" t="s">
        <v>2916</v>
      </c>
      <c r="AV18" s="204" t="s">
        <v>3117</v>
      </c>
      <c r="AX18" s="204">
        <v>1</v>
      </c>
      <c r="AY18" s="204">
        <v>0</v>
      </c>
      <c r="AZ18" s="204">
        <v>0.14699999999999999</v>
      </c>
      <c r="BB18" s="204">
        <v>1289</v>
      </c>
      <c r="BH18" s="204">
        <v>0</v>
      </c>
      <c r="BI18" s="204">
        <v>50</v>
      </c>
      <c r="BJ18" s="204">
        <v>42738</v>
      </c>
      <c r="BK18" s="204">
        <v>42712.749418900501</v>
      </c>
      <c r="BL18" s="204" t="s">
        <v>293</v>
      </c>
      <c r="BM18" s="204" t="s">
        <v>3116</v>
      </c>
      <c r="BN18" s="269">
        <f t="shared" si="8"/>
        <v>1289</v>
      </c>
      <c r="BO18" s="269">
        <f t="shared" si="9"/>
        <v>50</v>
      </c>
      <c r="BP18" s="269">
        <f>INDEX('App Data Outliers'!$M:$M,MATCH($E18,'App Data Outliers'!$A:$A,0))</f>
        <v>1289</v>
      </c>
      <c r="BQ18" s="269">
        <f>INDEX('App Data Outliers'!$N:$N,MATCH($E18,'App Data Outliers'!$A:$A,0))</f>
        <v>0</v>
      </c>
      <c r="BR18" s="269">
        <f>INDEX('App Data Outliers'!$S:$S,MATCH($E18,'App Data Outliers'!$A:$A,0))</f>
        <v>50</v>
      </c>
      <c r="BS18" s="269">
        <f>INDEX('App Data Outliers'!$T:$T,MATCH($E18,'App Data Outliers'!$A:$A,0))</f>
        <v>0</v>
      </c>
    </row>
    <row r="19" spans="1:71" s="204" customFormat="1" hidden="1">
      <c r="A19" s="241">
        <v>15</v>
      </c>
      <c r="B19" s="241" t="str">
        <f t="shared" si="0"/>
        <v>Residential/Non-Residential - BHPSD - Appliance Recycling</v>
      </c>
      <c r="C19" s="241" t="b">
        <f t="shared" si="1"/>
        <v>1</v>
      </c>
      <c r="D19" s="241" t="str">
        <f t="shared" si="2"/>
        <v>Residential/Non-Residential - BHPSD - Appliance Recycling_Appliance Recycling :- Customer Incentives_Refrigerator Recycling - Residential</v>
      </c>
      <c r="E19" s="241" t="str">
        <f t="shared" si="3"/>
        <v>Residential_Appliance Recycling_Appliance Recycling_Refrigerator Recycle</v>
      </c>
      <c r="F19" s="241" t="str">
        <f>INDEX('VDSM MAPPING'!E:E,MATCH($D19,'VDSM MAPPING'!$A:$A,0))</f>
        <v>Residential</v>
      </c>
      <c r="G19" s="241" t="str">
        <f>INDEX('VDSM MAPPING'!F:F,MATCH($D19,'VDSM MAPPING'!$A:$A,0))</f>
        <v>Appliance Recycling</v>
      </c>
      <c r="H19" s="241" t="str">
        <f>INDEX('VDSM MAPPING'!G:G,MATCH($D19,'VDSM MAPPING'!$A:$A,0))</f>
        <v>Appliance Recycling</v>
      </c>
      <c r="I19" s="241" t="str">
        <f>INDEX('VDSM MAPPING'!H:H,MATCH($D19,'VDSM MAPPING'!$A:$A,0))</f>
        <v>Refrigerator Recycle</v>
      </c>
      <c r="J19" s="240" t="str">
        <f t="shared" si="4"/>
        <v/>
      </c>
      <c r="K19" s="240" t="str">
        <f t="shared" si="5"/>
        <v/>
      </c>
      <c r="L19" s="240" t="b">
        <f t="shared" si="6"/>
        <v>0</v>
      </c>
      <c r="M19" s="240" t="b">
        <f t="shared" si="7"/>
        <v>0</v>
      </c>
      <c r="N19" s="204" t="s">
        <v>289</v>
      </c>
      <c r="O19" s="204" t="s">
        <v>3115</v>
      </c>
      <c r="P19" s="350">
        <v>1</v>
      </c>
      <c r="Q19" s="204" t="s">
        <v>3115</v>
      </c>
      <c r="R19" s="204" t="s">
        <v>3114</v>
      </c>
      <c r="S19" s="204" t="s">
        <v>3113</v>
      </c>
      <c r="T19" s="204" t="s">
        <v>3112</v>
      </c>
      <c r="V19" s="204" t="s">
        <v>3111</v>
      </c>
      <c r="W19" s="204" t="s">
        <v>329</v>
      </c>
      <c r="X19" s="204" t="s">
        <v>297</v>
      </c>
      <c r="Y19" s="204" t="s">
        <v>328</v>
      </c>
      <c r="Z19" s="204" t="s">
        <v>1820</v>
      </c>
      <c r="AA19" s="204" t="s">
        <v>1819</v>
      </c>
      <c r="AB19" s="204" t="s">
        <v>329</v>
      </c>
      <c r="AC19" s="204" t="s">
        <v>297</v>
      </c>
      <c r="AD19" s="204" t="s">
        <v>599</v>
      </c>
      <c r="AE19" s="204" t="s">
        <v>1818</v>
      </c>
      <c r="AG19" s="204" t="s">
        <v>2917</v>
      </c>
      <c r="AH19" s="204" t="s">
        <v>2916</v>
      </c>
      <c r="AV19" s="204" t="s">
        <v>3110</v>
      </c>
      <c r="AX19" s="204">
        <v>1</v>
      </c>
      <c r="AY19" s="204">
        <v>0</v>
      </c>
      <c r="AZ19" s="204">
        <v>0.14699999999999999</v>
      </c>
      <c r="BB19" s="204">
        <v>1289</v>
      </c>
      <c r="BH19" s="204">
        <v>0</v>
      </c>
      <c r="BI19" s="204">
        <v>50</v>
      </c>
      <c r="BJ19" s="204">
        <v>42795</v>
      </c>
      <c r="BK19" s="204">
        <v>42725.620602048599</v>
      </c>
      <c r="BL19" s="204" t="s">
        <v>293</v>
      </c>
      <c r="BM19" s="204" t="s">
        <v>3109</v>
      </c>
      <c r="BN19" s="269">
        <f t="shared" si="8"/>
        <v>1289</v>
      </c>
      <c r="BO19" s="269">
        <f t="shared" si="9"/>
        <v>50</v>
      </c>
      <c r="BP19" s="269">
        <f>INDEX('App Data Outliers'!$M:$M,MATCH($E19,'App Data Outliers'!$A:$A,0))</f>
        <v>1289</v>
      </c>
      <c r="BQ19" s="269">
        <f>INDEX('App Data Outliers'!$N:$N,MATCH($E19,'App Data Outliers'!$A:$A,0))</f>
        <v>0</v>
      </c>
      <c r="BR19" s="269">
        <f>INDEX('App Data Outliers'!$S:$S,MATCH($E19,'App Data Outliers'!$A:$A,0))</f>
        <v>50</v>
      </c>
      <c r="BS19" s="269">
        <f>INDEX('App Data Outliers'!$T:$T,MATCH($E19,'App Data Outliers'!$A:$A,0))</f>
        <v>0</v>
      </c>
    </row>
    <row r="20" spans="1:71" s="204" customFormat="1" hidden="1">
      <c r="A20" s="241">
        <v>16</v>
      </c>
      <c r="B20" s="241" t="str">
        <f t="shared" si="0"/>
        <v>Residential/Non-Residential - BHPSD - Appliance Recycling</v>
      </c>
      <c r="C20" s="241" t="b">
        <f t="shared" si="1"/>
        <v>1</v>
      </c>
      <c r="D20" s="241" t="str">
        <f t="shared" si="2"/>
        <v>Residential/Non-Residential - BHPSD - Appliance Recycling_Appliance Recycling :- Customer Incentives_Refrigerator Recycling - Residential</v>
      </c>
      <c r="E20" s="241" t="str">
        <f t="shared" si="3"/>
        <v>Residential_Appliance Recycling_Appliance Recycling_Refrigerator Recycle</v>
      </c>
      <c r="F20" s="241" t="str">
        <f>INDEX('VDSM MAPPING'!E:E,MATCH($D20,'VDSM MAPPING'!$A:$A,0))</f>
        <v>Residential</v>
      </c>
      <c r="G20" s="241" t="str">
        <f>INDEX('VDSM MAPPING'!F:F,MATCH($D20,'VDSM MAPPING'!$A:$A,0))</f>
        <v>Appliance Recycling</v>
      </c>
      <c r="H20" s="241" t="str">
        <f>INDEX('VDSM MAPPING'!G:G,MATCH($D20,'VDSM MAPPING'!$A:$A,0))</f>
        <v>Appliance Recycling</v>
      </c>
      <c r="I20" s="241" t="str">
        <f>INDEX('VDSM MAPPING'!H:H,MATCH($D20,'VDSM MAPPING'!$A:$A,0))</f>
        <v>Refrigerator Recycle</v>
      </c>
      <c r="J20" s="240" t="str">
        <f t="shared" si="4"/>
        <v/>
      </c>
      <c r="K20" s="240" t="str">
        <f t="shared" si="5"/>
        <v/>
      </c>
      <c r="L20" s="240" t="b">
        <f t="shared" si="6"/>
        <v>0</v>
      </c>
      <c r="M20" s="240" t="b">
        <f t="shared" si="7"/>
        <v>0</v>
      </c>
      <c r="N20" s="204" t="s">
        <v>289</v>
      </c>
      <c r="O20" s="204" t="s">
        <v>3108</v>
      </c>
      <c r="P20" s="350">
        <v>1</v>
      </c>
      <c r="Q20" s="204" t="s">
        <v>3108</v>
      </c>
      <c r="R20" s="204" t="s">
        <v>3107</v>
      </c>
      <c r="S20" s="204" t="s">
        <v>3106</v>
      </c>
      <c r="T20" s="204" t="s">
        <v>3105</v>
      </c>
      <c r="V20" s="204" t="s">
        <v>3104</v>
      </c>
      <c r="W20" s="204" t="s">
        <v>329</v>
      </c>
      <c r="X20" s="204" t="s">
        <v>297</v>
      </c>
      <c r="Y20" s="204" t="s">
        <v>328</v>
      </c>
      <c r="Z20" s="204" t="s">
        <v>1820</v>
      </c>
      <c r="AA20" s="204" t="s">
        <v>1819</v>
      </c>
      <c r="AB20" s="204" t="s">
        <v>329</v>
      </c>
      <c r="AC20" s="204" t="s">
        <v>297</v>
      </c>
      <c r="AD20" s="204" t="s">
        <v>599</v>
      </c>
      <c r="AE20" s="204" t="s">
        <v>1818</v>
      </c>
      <c r="AG20" s="204" t="s">
        <v>2917</v>
      </c>
      <c r="AH20" s="204" t="s">
        <v>2916</v>
      </c>
      <c r="AV20" s="204" t="s">
        <v>3103</v>
      </c>
      <c r="AX20" s="204">
        <v>1</v>
      </c>
      <c r="AY20" s="204">
        <v>0</v>
      </c>
      <c r="AZ20" s="204">
        <v>0.14699999999999999</v>
      </c>
      <c r="BB20" s="204">
        <v>1289</v>
      </c>
      <c r="BH20" s="204">
        <v>0</v>
      </c>
      <c r="BI20" s="204">
        <v>50</v>
      </c>
      <c r="BJ20" s="204">
        <v>42795</v>
      </c>
      <c r="BK20" s="204">
        <v>42725.667703587998</v>
      </c>
      <c r="BL20" s="204" t="s">
        <v>293</v>
      </c>
      <c r="BM20" s="204" t="s">
        <v>3102</v>
      </c>
      <c r="BN20" s="269">
        <f t="shared" si="8"/>
        <v>1289</v>
      </c>
      <c r="BO20" s="269">
        <f t="shared" si="9"/>
        <v>50</v>
      </c>
      <c r="BP20" s="269">
        <f>INDEX('App Data Outliers'!$M:$M,MATCH($E20,'App Data Outliers'!$A:$A,0))</f>
        <v>1289</v>
      </c>
      <c r="BQ20" s="269">
        <f>INDEX('App Data Outliers'!$N:$N,MATCH($E20,'App Data Outliers'!$A:$A,0))</f>
        <v>0</v>
      </c>
      <c r="BR20" s="269">
        <f>INDEX('App Data Outliers'!$S:$S,MATCH($E20,'App Data Outliers'!$A:$A,0))</f>
        <v>50</v>
      </c>
      <c r="BS20" s="269">
        <f>INDEX('App Data Outliers'!$T:$T,MATCH($E20,'App Data Outliers'!$A:$A,0))</f>
        <v>0</v>
      </c>
    </row>
    <row r="21" spans="1:71" s="204" customFormat="1" hidden="1">
      <c r="A21" s="241">
        <v>17</v>
      </c>
      <c r="B21" s="241" t="str">
        <f t="shared" si="0"/>
        <v>Residential/Non-Residential - BHPSD - Appliance Recycling</v>
      </c>
      <c r="C21" s="241" t="b">
        <f t="shared" si="1"/>
        <v>1</v>
      </c>
      <c r="D21" s="241" t="str">
        <f t="shared" si="2"/>
        <v>Residential/Non-Residential - BHPSD - Appliance Recycling_Appliance Recycling :- Customer Incentives_Refrigerator Recycling - Residential</v>
      </c>
      <c r="E21" s="241" t="str">
        <f t="shared" si="3"/>
        <v>Residential_Appliance Recycling_Appliance Recycling_Refrigerator Recycle</v>
      </c>
      <c r="F21" s="241" t="str">
        <f>INDEX('VDSM MAPPING'!E:E,MATCH($D21,'VDSM MAPPING'!$A:$A,0))</f>
        <v>Residential</v>
      </c>
      <c r="G21" s="241" t="str">
        <f>INDEX('VDSM MAPPING'!F:F,MATCH($D21,'VDSM MAPPING'!$A:$A,0))</f>
        <v>Appliance Recycling</v>
      </c>
      <c r="H21" s="241" t="str">
        <f>INDEX('VDSM MAPPING'!G:G,MATCH($D21,'VDSM MAPPING'!$A:$A,0))</f>
        <v>Appliance Recycling</v>
      </c>
      <c r="I21" s="241" t="str">
        <f>INDEX('VDSM MAPPING'!H:H,MATCH($D21,'VDSM MAPPING'!$A:$A,0))</f>
        <v>Refrigerator Recycle</v>
      </c>
      <c r="J21" s="240" t="str">
        <f t="shared" si="4"/>
        <v/>
      </c>
      <c r="K21" s="240" t="str">
        <f t="shared" si="5"/>
        <v/>
      </c>
      <c r="L21" s="240" t="b">
        <f t="shared" si="6"/>
        <v>0</v>
      </c>
      <c r="M21" s="240" t="b">
        <f t="shared" si="7"/>
        <v>0</v>
      </c>
      <c r="N21" s="204" t="s">
        <v>289</v>
      </c>
      <c r="O21" s="204" t="s">
        <v>3101</v>
      </c>
      <c r="P21" s="350">
        <v>1</v>
      </c>
      <c r="Q21" s="204" t="s">
        <v>3101</v>
      </c>
      <c r="R21" s="204" t="s">
        <v>3100</v>
      </c>
      <c r="S21" s="204" t="s">
        <v>3099</v>
      </c>
      <c r="T21" s="204" t="s">
        <v>3098</v>
      </c>
      <c r="V21" s="204" t="s">
        <v>3097</v>
      </c>
      <c r="W21" s="204" t="s">
        <v>329</v>
      </c>
      <c r="X21" s="204" t="s">
        <v>297</v>
      </c>
      <c r="Y21" s="204" t="s">
        <v>328</v>
      </c>
      <c r="Z21" s="204" t="s">
        <v>1820</v>
      </c>
      <c r="AA21" s="204" t="s">
        <v>1819</v>
      </c>
      <c r="AB21" s="204" t="s">
        <v>329</v>
      </c>
      <c r="AC21" s="204" t="s">
        <v>297</v>
      </c>
      <c r="AD21" s="204" t="s">
        <v>599</v>
      </c>
      <c r="AE21" s="204" t="s">
        <v>1818</v>
      </c>
      <c r="AG21" s="204" t="s">
        <v>2917</v>
      </c>
      <c r="AH21" s="204" t="s">
        <v>2916</v>
      </c>
      <c r="AV21" s="204" t="s">
        <v>3096</v>
      </c>
      <c r="AX21" s="204">
        <v>1</v>
      </c>
      <c r="AY21" s="204">
        <v>0</v>
      </c>
      <c r="AZ21" s="204">
        <v>0.14699999999999999</v>
      </c>
      <c r="BB21" s="204">
        <v>1289</v>
      </c>
      <c r="BH21" s="204">
        <v>0</v>
      </c>
      <c r="BI21" s="204">
        <v>50</v>
      </c>
      <c r="BJ21" s="204">
        <v>42795</v>
      </c>
      <c r="BK21" s="204">
        <v>42739.7710030093</v>
      </c>
      <c r="BL21" s="204" t="s">
        <v>293</v>
      </c>
      <c r="BM21" s="204" t="s">
        <v>3095</v>
      </c>
      <c r="BN21" s="269">
        <f t="shared" si="8"/>
        <v>1289</v>
      </c>
      <c r="BO21" s="269">
        <f t="shared" si="9"/>
        <v>50</v>
      </c>
      <c r="BP21" s="269">
        <f>INDEX('App Data Outliers'!$M:$M,MATCH($E21,'App Data Outliers'!$A:$A,0))</f>
        <v>1289</v>
      </c>
      <c r="BQ21" s="269">
        <f>INDEX('App Data Outliers'!$N:$N,MATCH($E21,'App Data Outliers'!$A:$A,0))</f>
        <v>0</v>
      </c>
      <c r="BR21" s="269">
        <f>INDEX('App Data Outliers'!$S:$S,MATCH($E21,'App Data Outliers'!$A:$A,0))</f>
        <v>50</v>
      </c>
      <c r="BS21" s="269">
        <f>INDEX('App Data Outliers'!$T:$T,MATCH($E21,'App Data Outliers'!$A:$A,0))</f>
        <v>0</v>
      </c>
    </row>
    <row r="22" spans="1:71" s="204" customFormat="1" hidden="1">
      <c r="A22" s="241">
        <v>18</v>
      </c>
      <c r="B22" s="241" t="str">
        <f t="shared" si="0"/>
        <v>Residential/Non-Residential - BHPSD - Appliance Recycling</v>
      </c>
      <c r="C22" s="241" t="b">
        <f t="shared" si="1"/>
        <v>1</v>
      </c>
      <c r="D22" s="241" t="str">
        <f t="shared" si="2"/>
        <v>Residential/Non-Residential - BHPSD - Appliance Recycling_Appliance Recycling :- Customer Incentives_Freezer Recycling - Residential</v>
      </c>
      <c r="E22" s="241" t="str">
        <f t="shared" si="3"/>
        <v>Residential_Appliance Recycling_Appliance Recycling_Freezer Recycle</v>
      </c>
      <c r="F22" s="241" t="str">
        <f>INDEX('VDSM MAPPING'!E:E,MATCH($D22,'VDSM MAPPING'!$A:$A,0))</f>
        <v>Residential</v>
      </c>
      <c r="G22" s="241" t="str">
        <f>INDEX('VDSM MAPPING'!F:F,MATCH($D22,'VDSM MAPPING'!$A:$A,0))</f>
        <v>Appliance Recycling</v>
      </c>
      <c r="H22" s="241" t="str">
        <f>INDEX('VDSM MAPPING'!G:G,MATCH($D22,'VDSM MAPPING'!$A:$A,0))</f>
        <v>Appliance Recycling</v>
      </c>
      <c r="I22" s="241" t="str">
        <f>INDEX('VDSM MAPPING'!H:H,MATCH($D22,'VDSM MAPPING'!$A:$A,0))</f>
        <v>Freezer Recycle</v>
      </c>
      <c r="J22" s="240" t="str">
        <f t="shared" si="4"/>
        <v/>
      </c>
      <c r="K22" s="240" t="str">
        <f t="shared" si="5"/>
        <v/>
      </c>
      <c r="L22" s="240" t="b">
        <f t="shared" si="6"/>
        <v>0</v>
      </c>
      <c r="M22" s="240" t="b">
        <f t="shared" si="7"/>
        <v>0</v>
      </c>
      <c r="N22" s="204" t="s">
        <v>289</v>
      </c>
      <c r="O22" s="204" t="s">
        <v>3094</v>
      </c>
      <c r="P22" s="350">
        <v>1</v>
      </c>
      <c r="Q22" s="204" t="s">
        <v>3094</v>
      </c>
      <c r="R22" s="204" t="s">
        <v>3093</v>
      </c>
      <c r="S22" s="204" t="s">
        <v>354</v>
      </c>
      <c r="T22" s="204" t="s">
        <v>3092</v>
      </c>
      <c r="U22" s="204" t="s">
        <v>3091</v>
      </c>
      <c r="V22" s="204" t="s">
        <v>3090</v>
      </c>
      <c r="W22" s="204" t="s">
        <v>329</v>
      </c>
      <c r="X22" s="204" t="s">
        <v>297</v>
      </c>
      <c r="Y22" s="204" t="s">
        <v>328</v>
      </c>
      <c r="Z22" s="204" t="s">
        <v>1820</v>
      </c>
      <c r="AA22" s="204" t="s">
        <v>1819</v>
      </c>
      <c r="AB22" s="204" t="s">
        <v>329</v>
      </c>
      <c r="AC22" s="204" t="s">
        <v>297</v>
      </c>
      <c r="AD22" s="204" t="s">
        <v>599</v>
      </c>
      <c r="AE22" s="204" t="s">
        <v>1818</v>
      </c>
      <c r="AG22" s="204" t="s">
        <v>2917</v>
      </c>
      <c r="AH22" s="204" t="s">
        <v>2934</v>
      </c>
      <c r="AV22" s="204" t="s">
        <v>3089</v>
      </c>
      <c r="AX22" s="204">
        <v>1</v>
      </c>
      <c r="AY22" s="204">
        <v>0</v>
      </c>
      <c r="AZ22" s="204">
        <v>0.126</v>
      </c>
      <c r="BB22" s="204">
        <v>1105</v>
      </c>
      <c r="BH22" s="204">
        <v>0</v>
      </c>
      <c r="BI22" s="204">
        <v>50</v>
      </c>
      <c r="BJ22" s="204">
        <v>42795</v>
      </c>
      <c r="BK22" s="204">
        <v>42739.773195370399</v>
      </c>
      <c r="BL22" s="204" t="s">
        <v>293</v>
      </c>
      <c r="BM22" s="204" t="s">
        <v>3088</v>
      </c>
      <c r="BN22" s="269">
        <f t="shared" si="8"/>
        <v>1105</v>
      </c>
      <c r="BO22" s="269">
        <f t="shared" si="9"/>
        <v>50</v>
      </c>
      <c r="BP22" s="269">
        <f>INDEX('App Data Outliers'!$M:$M,MATCH($E22,'App Data Outliers'!$A:$A,0))</f>
        <v>1105</v>
      </c>
      <c r="BQ22" s="269">
        <f>INDEX('App Data Outliers'!$N:$N,MATCH($E22,'App Data Outliers'!$A:$A,0))</f>
        <v>0</v>
      </c>
      <c r="BR22" s="269">
        <f>INDEX('App Data Outliers'!$S:$S,MATCH($E22,'App Data Outliers'!$A:$A,0))</f>
        <v>50</v>
      </c>
      <c r="BS22" s="269">
        <f>INDEX('App Data Outliers'!$T:$T,MATCH($E22,'App Data Outliers'!$A:$A,0))</f>
        <v>0</v>
      </c>
    </row>
    <row r="23" spans="1:71" s="204" customFormat="1" hidden="1">
      <c r="A23" s="241">
        <v>19</v>
      </c>
      <c r="B23" s="241" t="str">
        <f t="shared" si="0"/>
        <v>Residential/Non-Residential - BHPSD - Appliance Recycling</v>
      </c>
      <c r="C23" s="241" t="b">
        <f t="shared" si="1"/>
        <v>1</v>
      </c>
      <c r="D23" s="241" t="str">
        <f t="shared" si="2"/>
        <v>Residential/Non-Residential - BHPSD - Appliance Recycling_Appliance Recycling :- Customer Incentives_Refrigerator Recycling - Residential</v>
      </c>
      <c r="E23" s="241" t="str">
        <f t="shared" si="3"/>
        <v>Residential_Appliance Recycling_Appliance Recycling_Refrigerator Recycle</v>
      </c>
      <c r="F23" s="241" t="str">
        <f>INDEX('VDSM MAPPING'!E:E,MATCH($D23,'VDSM MAPPING'!$A:$A,0))</f>
        <v>Residential</v>
      </c>
      <c r="G23" s="241" t="str">
        <f>INDEX('VDSM MAPPING'!F:F,MATCH($D23,'VDSM MAPPING'!$A:$A,0))</f>
        <v>Appliance Recycling</v>
      </c>
      <c r="H23" s="241" t="str">
        <f>INDEX('VDSM MAPPING'!G:G,MATCH($D23,'VDSM MAPPING'!$A:$A,0))</f>
        <v>Appliance Recycling</v>
      </c>
      <c r="I23" s="241" t="str">
        <f>INDEX('VDSM MAPPING'!H:H,MATCH($D23,'VDSM MAPPING'!$A:$A,0))</f>
        <v>Refrigerator Recycle</v>
      </c>
      <c r="J23" s="240" t="str">
        <f t="shared" si="4"/>
        <v/>
      </c>
      <c r="K23" s="240" t="str">
        <f t="shared" si="5"/>
        <v/>
      </c>
      <c r="L23" s="240" t="b">
        <f t="shared" si="6"/>
        <v>0</v>
      </c>
      <c r="M23" s="240" t="b">
        <f t="shared" si="7"/>
        <v>0</v>
      </c>
      <c r="N23" s="204" t="s">
        <v>289</v>
      </c>
      <c r="O23" s="204" t="s">
        <v>3087</v>
      </c>
      <c r="P23" s="350">
        <v>1</v>
      </c>
      <c r="Q23" s="204" t="s">
        <v>3087</v>
      </c>
      <c r="R23" s="204" t="s">
        <v>3086</v>
      </c>
      <c r="S23" s="204" t="s">
        <v>3085</v>
      </c>
      <c r="T23" s="204" t="s">
        <v>3084</v>
      </c>
      <c r="U23" s="204" t="s">
        <v>3083</v>
      </c>
      <c r="V23" s="204" t="s">
        <v>3082</v>
      </c>
      <c r="W23" s="204" t="s">
        <v>2015</v>
      </c>
      <c r="X23" s="204" t="s">
        <v>297</v>
      </c>
      <c r="Y23" s="204" t="s">
        <v>2014</v>
      </c>
      <c r="Z23" s="204" t="s">
        <v>1820</v>
      </c>
      <c r="AA23" s="204" t="s">
        <v>1819</v>
      </c>
      <c r="AB23" s="204" t="s">
        <v>329</v>
      </c>
      <c r="AC23" s="204" t="s">
        <v>297</v>
      </c>
      <c r="AD23" s="204" t="s">
        <v>599</v>
      </c>
      <c r="AE23" s="204" t="s">
        <v>1818</v>
      </c>
      <c r="AG23" s="204" t="s">
        <v>2917</v>
      </c>
      <c r="AH23" s="204" t="s">
        <v>2916</v>
      </c>
      <c r="AV23" s="204" t="s">
        <v>3081</v>
      </c>
      <c r="AX23" s="204">
        <v>1</v>
      </c>
      <c r="AY23" s="204">
        <v>0</v>
      </c>
      <c r="AZ23" s="204">
        <v>0.14699999999999999</v>
      </c>
      <c r="BB23" s="204">
        <v>1289</v>
      </c>
      <c r="BH23" s="204">
        <v>0</v>
      </c>
      <c r="BI23" s="204">
        <v>50</v>
      </c>
      <c r="BJ23" s="204">
        <v>42795</v>
      </c>
      <c r="BK23" s="204">
        <v>42739.7751721065</v>
      </c>
      <c r="BL23" s="204" t="s">
        <v>293</v>
      </c>
      <c r="BM23" s="204" t="s">
        <v>3080</v>
      </c>
      <c r="BN23" s="269">
        <f t="shared" si="8"/>
        <v>1289</v>
      </c>
      <c r="BO23" s="269">
        <f t="shared" si="9"/>
        <v>50</v>
      </c>
      <c r="BP23" s="269">
        <f>INDEX('App Data Outliers'!$M:$M,MATCH($E23,'App Data Outliers'!$A:$A,0))</f>
        <v>1289</v>
      </c>
      <c r="BQ23" s="269">
        <f>INDEX('App Data Outliers'!$N:$N,MATCH($E23,'App Data Outliers'!$A:$A,0))</f>
        <v>0</v>
      </c>
      <c r="BR23" s="269">
        <f>INDEX('App Data Outliers'!$S:$S,MATCH($E23,'App Data Outliers'!$A:$A,0))</f>
        <v>50</v>
      </c>
      <c r="BS23" s="269">
        <f>INDEX('App Data Outliers'!$T:$T,MATCH($E23,'App Data Outliers'!$A:$A,0))</f>
        <v>0</v>
      </c>
    </row>
    <row r="24" spans="1:71" s="204" customFormat="1" hidden="1">
      <c r="A24" s="241">
        <v>20</v>
      </c>
      <c r="B24" s="241" t="str">
        <f t="shared" si="0"/>
        <v>Residential/Non-Residential - BHPSD - Appliance Recycling</v>
      </c>
      <c r="C24" s="241" t="b">
        <f t="shared" si="1"/>
        <v>1</v>
      </c>
      <c r="D24" s="241" t="str">
        <f t="shared" si="2"/>
        <v>Residential/Non-Residential - BHPSD - Appliance Recycling_Appliance Recycling :- Customer Incentives_Refrigerator Recycling - Residential</v>
      </c>
      <c r="E24" s="241" t="str">
        <f t="shared" si="3"/>
        <v>Residential_Appliance Recycling_Appliance Recycling_Refrigerator Recycle</v>
      </c>
      <c r="F24" s="241" t="str">
        <f>INDEX('VDSM MAPPING'!E:E,MATCH($D24,'VDSM MAPPING'!$A:$A,0))</f>
        <v>Residential</v>
      </c>
      <c r="G24" s="241" t="str">
        <f>INDEX('VDSM MAPPING'!F:F,MATCH($D24,'VDSM MAPPING'!$A:$A,0))</f>
        <v>Appliance Recycling</v>
      </c>
      <c r="H24" s="241" t="str">
        <f>INDEX('VDSM MAPPING'!G:G,MATCH($D24,'VDSM MAPPING'!$A:$A,0))</f>
        <v>Appliance Recycling</v>
      </c>
      <c r="I24" s="241" t="str">
        <f>INDEX('VDSM MAPPING'!H:H,MATCH($D24,'VDSM MAPPING'!$A:$A,0))</f>
        <v>Refrigerator Recycle</v>
      </c>
      <c r="J24" s="240" t="str">
        <f t="shared" si="4"/>
        <v/>
      </c>
      <c r="K24" s="240" t="str">
        <f t="shared" si="5"/>
        <v/>
      </c>
      <c r="L24" s="240" t="b">
        <f t="shared" si="6"/>
        <v>0</v>
      </c>
      <c r="M24" s="240" t="b">
        <f t="shared" si="7"/>
        <v>0</v>
      </c>
      <c r="N24" s="204" t="s">
        <v>289</v>
      </c>
      <c r="O24" s="204" t="s">
        <v>3079</v>
      </c>
      <c r="P24" s="350">
        <v>1</v>
      </c>
      <c r="Q24" s="204" t="s">
        <v>3079</v>
      </c>
      <c r="R24" s="204" t="s">
        <v>3078</v>
      </c>
      <c r="S24" s="204" t="s">
        <v>3077</v>
      </c>
      <c r="T24" s="204" t="s">
        <v>3076</v>
      </c>
      <c r="U24" s="204" t="s">
        <v>3075</v>
      </c>
      <c r="V24" s="204" t="s">
        <v>3074</v>
      </c>
      <c r="W24" s="204" t="s">
        <v>329</v>
      </c>
      <c r="X24" s="204" t="s">
        <v>297</v>
      </c>
      <c r="Y24" s="204" t="s">
        <v>328</v>
      </c>
      <c r="Z24" s="204" t="s">
        <v>1820</v>
      </c>
      <c r="AA24" s="204" t="s">
        <v>1819</v>
      </c>
      <c r="AB24" s="204" t="s">
        <v>329</v>
      </c>
      <c r="AC24" s="204" t="s">
        <v>297</v>
      </c>
      <c r="AD24" s="204" t="s">
        <v>599</v>
      </c>
      <c r="AE24" s="204" t="s">
        <v>1818</v>
      </c>
      <c r="AG24" s="204" t="s">
        <v>2917</v>
      </c>
      <c r="AH24" s="204" t="s">
        <v>2916</v>
      </c>
      <c r="AV24" s="204" t="s">
        <v>3073</v>
      </c>
      <c r="AX24" s="204">
        <v>1</v>
      </c>
      <c r="AY24" s="204">
        <v>0</v>
      </c>
      <c r="AZ24" s="204">
        <v>0.14699999999999999</v>
      </c>
      <c r="BB24" s="204">
        <v>1289</v>
      </c>
      <c r="BH24" s="204">
        <v>0</v>
      </c>
      <c r="BI24" s="204">
        <v>50</v>
      </c>
      <c r="BJ24" s="204">
        <v>42795</v>
      </c>
      <c r="BK24" s="204">
        <v>42740.758115972203</v>
      </c>
      <c r="BL24" s="204" t="s">
        <v>293</v>
      </c>
      <c r="BM24" s="204" t="s">
        <v>3072</v>
      </c>
      <c r="BN24" s="269">
        <f t="shared" si="8"/>
        <v>1289</v>
      </c>
      <c r="BO24" s="269">
        <f t="shared" si="9"/>
        <v>50</v>
      </c>
      <c r="BP24" s="269">
        <f>INDEX('App Data Outliers'!$M:$M,MATCH($E24,'App Data Outliers'!$A:$A,0))</f>
        <v>1289</v>
      </c>
      <c r="BQ24" s="269">
        <f>INDEX('App Data Outliers'!$N:$N,MATCH($E24,'App Data Outliers'!$A:$A,0))</f>
        <v>0</v>
      </c>
      <c r="BR24" s="269">
        <f>INDEX('App Data Outliers'!$S:$S,MATCH($E24,'App Data Outliers'!$A:$A,0))</f>
        <v>50</v>
      </c>
      <c r="BS24" s="269">
        <f>INDEX('App Data Outliers'!$T:$T,MATCH($E24,'App Data Outliers'!$A:$A,0))</f>
        <v>0</v>
      </c>
    </row>
    <row r="25" spans="1:71" s="204" customFormat="1" hidden="1">
      <c r="A25" s="241">
        <v>21</v>
      </c>
      <c r="B25" s="241" t="str">
        <f t="shared" si="0"/>
        <v>Residential/Non-Residential - BHPSD - Appliance Recycling</v>
      </c>
      <c r="C25" s="241" t="b">
        <f t="shared" si="1"/>
        <v>1</v>
      </c>
      <c r="D25" s="241" t="str">
        <f t="shared" si="2"/>
        <v>Residential/Non-Residential - BHPSD - Appliance Recycling_Appliance Recycling :- Customer Incentives_Refrigerator Recycling - Residential</v>
      </c>
      <c r="E25" s="241" t="str">
        <f t="shared" si="3"/>
        <v>Residential_Appliance Recycling_Appliance Recycling_Refrigerator Recycle</v>
      </c>
      <c r="F25" s="241" t="str">
        <f>INDEX('VDSM MAPPING'!E:E,MATCH($D25,'VDSM MAPPING'!$A:$A,0))</f>
        <v>Residential</v>
      </c>
      <c r="G25" s="241" t="str">
        <f>INDEX('VDSM MAPPING'!F:F,MATCH($D25,'VDSM MAPPING'!$A:$A,0))</f>
        <v>Appliance Recycling</v>
      </c>
      <c r="H25" s="241" t="str">
        <f>INDEX('VDSM MAPPING'!G:G,MATCH($D25,'VDSM MAPPING'!$A:$A,0))</f>
        <v>Appliance Recycling</v>
      </c>
      <c r="I25" s="241" t="str">
        <f>INDEX('VDSM MAPPING'!H:H,MATCH($D25,'VDSM MAPPING'!$A:$A,0))</f>
        <v>Refrigerator Recycle</v>
      </c>
      <c r="J25" s="240" t="str">
        <f t="shared" si="4"/>
        <v/>
      </c>
      <c r="K25" s="240" t="str">
        <f t="shared" si="5"/>
        <v/>
      </c>
      <c r="L25" s="240" t="b">
        <f t="shared" si="6"/>
        <v>0</v>
      </c>
      <c r="M25" s="240" t="b">
        <f t="shared" si="7"/>
        <v>0</v>
      </c>
      <c r="N25" s="204" t="s">
        <v>289</v>
      </c>
      <c r="O25" s="204" t="s">
        <v>3071</v>
      </c>
      <c r="P25" s="350">
        <v>1</v>
      </c>
      <c r="Q25" s="204" t="s">
        <v>3071</v>
      </c>
      <c r="R25" s="204" t="s">
        <v>3070</v>
      </c>
      <c r="S25" s="204" t="s">
        <v>3069</v>
      </c>
      <c r="T25" s="204" t="s">
        <v>3068</v>
      </c>
      <c r="V25" s="204" t="s">
        <v>3067</v>
      </c>
      <c r="W25" s="204" t="s">
        <v>329</v>
      </c>
      <c r="X25" s="204" t="s">
        <v>297</v>
      </c>
      <c r="Y25" s="204" t="s">
        <v>397</v>
      </c>
      <c r="Z25" s="204" t="s">
        <v>1820</v>
      </c>
      <c r="AA25" s="204" t="s">
        <v>1819</v>
      </c>
      <c r="AB25" s="204" t="s">
        <v>329</v>
      </c>
      <c r="AC25" s="204" t="s">
        <v>297</v>
      </c>
      <c r="AD25" s="204" t="s">
        <v>599</v>
      </c>
      <c r="AE25" s="204" t="s">
        <v>1818</v>
      </c>
      <c r="AG25" s="204" t="s">
        <v>2917</v>
      </c>
      <c r="AH25" s="204" t="s">
        <v>2916</v>
      </c>
      <c r="AV25" s="204" t="s">
        <v>3066</v>
      </c>
      <c r="AX25" s="204">
        <v>1</v>
      </c>
      <c r="AY25" s="204">
        <v>0</v>
      </c>
      <c r="AZ25" s="204">
        <v>0.14699999999999999</v>
      </c>
      <c r="BB25" s="204">
        <v>1289</v>
      </c>
      <c r="BH25" s="204">
        <v>0</v>
      </c>
      <c r="BI25" s="204">
        <v>50</v>
      </c>
      <c r="BJ25" s="204">
        <v>42795</v>
      </c>
      <c r="BK25" s="204">
        <v>42766.672992592597</v>
      </c>
      <c r="BL25" s="204" t="s">
        <v>293</v>
      </c>
      <c r="BM25" s="204" t="s">
        <v>3065</v>
      </c>
      <c r="BN25" s="269">
        <f t="shared" si="8"/>
        <v>1289</v>
      </c>
      <c r="BO25" s="269">
        <f t="shared" si="9"/>
        <v>50</v>
      </c>
      <c r="BP25" s="269">
        <f>INDEX('App Data Outliers'!$M:$M,MATCH($E25,'App Data Outliers'!$A:$A,0))</f>
        <v>1289</v>
      </c>
      <c r="BQ25" s="269">
        <f>INDEX('App Data Outliers'!$N:$N,MATCH($E25,'App Data Outliers'!$A:$A,0))</f>
        <v>0</v>
      </c>
      <c r="BR25" s="269">
        <f>INDEX('App Data Outliers'!$S:$S,MATCH($E25,'App Data Outliers'!$A:$A,0))</f>
        <v>50</v>
      </c>
      <c r="BS25" s="269">
        <f>INDEX('App Data Outliers'!$T:$T,MATCH($E25,'App Data Outliers'!$A:$A,0))</f>
        <v>0</v>
      </c>
    </row>
    <row r="26" spans="1:71" s="204" customFormat="1" hidden="1">
      <c r="A26" s="241">
        <v>22</v>
      </c>
      <c r="B26" s="241" t="str">
        <f t="shared" si="0"/>
        <v>Residential/Non-Residential - BHPSD - Appliance Recycling</v>
      </c>
      <c r="C26" s="241" t="b">
        <f t="shared" si="1"/>
        <v>1</v>
      </c>
      <c r="D26" s="241" t="str">
        <f t="shared" si="2"/>
        <v>Residential/Non-Residential - BHPSD - Appliance Recycling_Appliance Recycling :- Customer Incentives_Refrigerator Recycling - Residential</v>
      </c>
      <c r="E26" s="241" t="str">
        <f t="shared" si="3"/>
        <v>Residential_Appliance Recycling_Appliance Recycling_Refrigerator Recycle</v>
      </c>
      <c r="F26" s="241" t="str">
        <f>INDEX('VDSM MAPPING'!E:E,MATCH($D26,'VDSM MAPPING'!$A:$A,0))</f>
        <v>Residential</v>
      </c>
      <c r="G26" s="241" t="str">
        <f>INDEX('VDSM MAPPING'!F:F,MATCH($D26,'VDSM MAPPING'!$A:$A,0))</f>
        <v>Appliance Recycling</v>
      </c>
      <c r="H26" s="241" t="str">
        <f>INDEX('VDSM MAPPING'!G:G,MATCH($D26,'VDSM MAPPING'!$A:$A,0))</f>
        <v>Appliance Recycling</v>
      </c>
      <c r="I26" s="241" t="str">
        <f>INDEX('VDSM MAPPING'!H:H,MATCH($D26,'VDSM MAPPING'!$A:$A,0))</f>
        <v>Refrigerator Recycle</v>
      </c>
      <c r="J26" s="240" t="str">
        <f t="shared" si="4"/>
        <v/>
      </c>
      <c r="K26" s="240" t="str">
        <f t="shared" si="5"/>
        <v/>
      </c>
      <c r="L26" s="240" t="b">
        <f t="shared" si="6"/>
        <v>0</v>
      </c>
      <c r="M26" s="240" t="b">
        <f t="shared" si="7"/>
        <v>0</v>
      </c>
      <c r="N26" s="204" t="s">
        <v>289</v>
      </c>
      <c r="O26" s="204" t="s">
        <v>3064</v>
      </c>
      <c r="P26" s="350">
        <v>1</v>
      </c>
      <c r="Q26" s="204" t="s">
        <v>3064</v>
      </c>
      <c r="R26" s="204" t="s">
        <v>3063</v>
      </c>
      <c r="S26" s="204" t="s">
        <v>3062</v>
      </c>
      <c r="T26" s="204" t="s">
        <v>3061</v>
      </c>
      <c r="U26" s="204" t="s">
        <v>3060</v>
      </c>
      <c r="V26" s="204" t="s">
        <v>3059</v>
      </c>
      <c r="W26" s="204" t="s">
        <v>329</v>
      </c>
      <c r="X26" s="204" t="s">
        <v>297</v>
      </c>
      <c r="Y26" s="204" t="s">
        <v>328</v>
      </c>
      <c r="Z26" s="204" t="s">
        <v>1820</v>
      </c>
      <c r="AA26" s="204" t="s">
        <v>1819</v>
      </c>
      <c r="AB26" s="204" t="s">
        <v>329</v>
      </c>
      <c r="AC26" s="204" t="s">
        <v>297</v>
      </c>
      <c r="AD26" s="204" t="s">
        <v>599</v>
      </c>
      <c r="AE26" s="204" t="s">
        <v>1818</v>
      </c>
      <c r="AG26" s="204" t="s">
        <v>2917</v>
      </c>
      <c r="AH26" s="204" t="s">
        <v>2916</v>
      </c>
      <c r="AV26" s="204" t="s">
        <v>3058</v>
      </c>
      <c r="AX26" s="204">
        <v>1</v>
      </c>
      <c r="AY26" s="204">
        <v>0</v>
      </c>
      <c r="AZ26" s="204">
        <v>0.14699999999999999</v>
      </c>
      <c r="BB26" s="204">
        <v>1289</v>
      </c>
      <c r="BH26" s="204">
        <v>0</v>
      </c>
      <c r="BI26" s="204">
        <v>50</v>
      </c>
      <c r="BJ26" s="204">
        <v>42795</v>
      </c>
      <c r="BK26" s="204">
        <v>42766.674826041701</v>
      </c>
      <c r="BL26" s="204" t="s">
        <v>293</v>
      </c>
      <c r="BM26" s="204" t="s">
        <v>3057</v>
      </c>
      <c r="BN26" s="269">
        <f t="shared" si="8"/>
        <v>1289</v>
      </c>
      <c r="BO26" s="269">
        <f t="shared" si="9"/>
        <v>50</v>
      </c>
      <c r="BP26" s="269">
        <f>INDEX('App Data Outliers'!$M:$M,MATCH($E26,'App Data Outliers'!$A:$A,0))</f>
        <v>1289</v>
      </c>
      <c r="BQ26" s="269">
        <f>INDEX('App Data Outliers'!$N:$N,MATCH($E26,'App Data Outliers'!$A:$A,0))</f>
        <v>0</v>
      </c>
      <c r="BR26" s="269">
        <f>INDEX('App Data Outliers'!$S:$S,MATCH($E26,'App Data Outliers'!$A:$A,0))</f>
        <v>50</v>
      </c>
      <c r="BS26" s="269">
        <f>INDEX('App Data Outliers'!$T:$T,MATCH($E26,'App Data Outliers'!$A:$A,0))</f>
        <v>0</v>
      </c>
    </row>
    <row r="27" spans="1:71" s="204" customFormat="1" hidden="1">
      <c r="A27" s="241">
        <v>23</v>
      </c>
      <c r="B27" s="241" t="str">
        <f t="shared" si="0"/>
        <v>Residential/Non-Residential - BHPSD - Appliance Recycling</v>
      </c>
      <c r="C27" s="241" t="b">
        <f t="shared" si="1"/>
        <v>1</v>
      </c>
      <c r="D27" s="241" t="str">
        <f t="shared" si="2"/>
        <v>Residential/Non-Residential - BHPSD - Appliance Recycling_Appliance Recycling :- Customer Incentives_Freezer Recycling - Residential</v>
      </c>
      <c r="E27" s="241" t="str">
        <f t="shared" si="3"/>
        <v>Residential_Appliance Recycling_Appliance Recycling_Freezer Recycle</v>
      </c>
      <c r="F27" s="241" t="str">
        <f>INDEX('VDSM MAPPING'!E:E,MATCH($D27,'VDSM MAPPING'!$A:$A,0))</f>
        <v>Residential</v>
      </c>
      <c r="G27" s="241" t="str">
        <f>INDEX('VDSM MAPPING'!F:F,MATCH($D27,'VDSM MAPPING'!$A:$A,0))</f>
        <v>Appliance Recycling</v>
      </c>
      <c r="H27" s="241" t="str">
        <f>INDEX('VDSM MAPPING'!G:G,MATCH($D27,'VDSM MAPPING'!$A:$A,0))</f>
        <v>Appliance Recycling</v>
      </c>
      <c r="I27" s="241" t="str">
        <f>INDEX('VDSM MAPPING'!H:H,MATCH($D27,'VDSM MAPPING'!$A:$A,0))</f>
        <v>Freezer Recycle</v>
      </c>
      <c r="J27" s="240" t="str">
        <f t="shared" si="4"/>
        <v/>
      </c>
      <c r="K27" s="240" t="str">
        <f t="shared" si="5"/>
        <v/>
      </c>
      <c r="L27" s="240" t="b">
        <f t="shared" si="6"/>
        <v>0</v>
      </c>
      <c r="M27" s="240" t="b">
        <f t="shared" si="7"/>
        <v>0</v>
      </c>
      <c r="N27" s="204" t="s">
        <v>289</v>
      </c>
      <c r="O27" s="204" t="s">
        <v>3056</v>
      </c>
      <c r="P27" s="350">
        <v>1</v>
      </c>
      <c r="Q27" s="204" t="s">
        <v>3056</v>
      </c>
      <c r="R27" s="204" t="s">
        <v>3055</v>
      </c>
      <c r="S27" s="204" t="s">
        <v>3054</v>
      </c>
      <c r="T27" s="204" t="s">
        <v>3053</v>
      </c>
      <c r="V27" s="204" t="s">
        <v>3052</v>
      </c>
      <c r="W27" s="204" t="s">
        <v>329</v>
      </c>
      <c r="X27" s="204" t="s">
        <v>297</v>
      </c>
      <c r="Y27" s="204" t="s">
        <v>397</v>
      </c>
      <c r="Z27" s="204" t="s">
        <v>1820</v>
      </c>
      <c r="AA27" s="204" t="s">
        <v>1819</v>
      </c>
      <c r="AB27" s="204" t="s">
        <v>329</v>
      </c>
      <c r="AC27" s="204" t="s">
        <v>297</v>
      </c>
      <c r="AD27" s="204" t="s">
        <v>599</v>
      </c>
      <c r="AE27" s="204" t="s">
        <v>1818</v>
      </c>
      <c r="AG27" s="204" t="s">
        <v>2917</v>
      </c>
      <c r="AH27" s="204" t="s">
        <v>2934</v>
      </c>
      <c r="AV27" s="204" t="s">
        <v>3051</v>
      </c>
      <c r="AX27" s="204">
        <v>1</v>
      </c>
      <c r="AY27" s="204">
        <v>0</v>
      </c>
      <c r="AZ27" s="204">
        <v>0.126</v>
      </c>
      <c r="BB27" s="204">
        <v>1105</v>
      </c>
      <c r="BH27" s="204">
        <v>0</v>
      </c>
      <c r="BI27" s="204">
        <v>50</v>
      </c>
      <c r="BJ27" s="204">
        <v>42795</v>
      </c>
      <c r="BK27" s="204">
        <v>42774.687440856498</v>
      </c>
      <c r="BL27" s="204" t="s">
        <v>293</v>
      </c>
      <c r="BM27" s="204" t="s">
        <v>3050</v>
      </c>
      <c r="BN27" s="269">
        <f t="shared" si="8"/>
        <v>1105</v>
      </c>
      <c r="BO27" s="269">
        <f t="shared" si="9"/>
        <v>50</v>
      </c>
      <c r="BP27" s="269">
        <f>INDEX('App Data Outliers'!$M:$M,MATCH($E27,'App Data Outliers'!$A:$A,0))</f>
        <v>1105</v>
      </c>
      <c r="BQ27" s="269">
        <f>INDEX('App Data Outliers'!$N:$N,MATCH($E27,'App Data Outliers'!$A:$A,0))</f>
        <v>0</v>
      </c>
      <c r="BR27" s="269">
        <f>INDEX('App Data Outliers'!$S:$S,MATCH($E27,'App Data Outliers'!$A:$A,0))</f>
        <v>50</v>
      </c>
      <c r="BS27" s="269">
        <f>INDEX('App Data Outliers'!$T:$T,MATCH($E27,'App Data Outliers'!$A:$A,0))</f>
        <v>0</v>
      </c>
    </row>
    <row r="28" spans="1:71" s="204" customFormat="1" hidden="1">
      <c r="A28" s="241">
        <v>24</v>
      </c>
      <c r="B28" s="241" t="str">
        <f t="shared" si="0"/>
        <v>Residential/Non-Residential - BHPSD - Appliance Recycling</v>
      </c>
      <c r="C28" s="241" t="b">
        <f t="shared" si="1"/>
        <v>1</v>
      </c>
      <c r="D28" s="241" t="str">
        <f t="shared" si="2"/>
        <v>Residential/Non-Residential - BHPSD - Appliance Recycling_Appliance Recycling :- Customer Incentives_Refrigerator Recycling - Residential</v>
      </c>
      <c r="E28" s="241" t="str">
        <f t="shared" si="3"/>
        <v>Residential_Appliance Recycling_Appliance Recycling_Refrigerator Recycle</v>
      </c>
      <c r="F28" s="241" t="str">
        <f>INDEX('VDSM MAPPING'!E:E,MATCH($D28,'VDSM MAPPING'!$A:$A,0))</f>
        <v>Residential</v>
      </c>
      <c r="G28" s="241" t="str">
        <f>INDEX('VDSM MAPPING'!F:F,MATCH($D28,'VDSM MAPPING'!$A:$A,0))</f>
        <v>Appliance Recycling</v>
      </c>
      <c r="H28" s="241" t="str">
        <f>INDEX('VDSM MAPPING'!G:G,MATCH($D28,'VDSM MAPPING'!$A:$A,0))</f>
        <v>Appliance Recycling</v>
      </c>
      <c r="I28" s="241" t="str">
        <f>INDEX('VDSM MAPPING'!H:H,MATCH($D28,'VDSM MAPPING'!$A:$A,0))</f>
        <v>Refrigerator Recycle</v>
      </c>
      <c r="J28" s="240" t="str">
        <f t="shared" si="4"/>
        <v/>
      </c>
      <c r="K28" s="240" t="str">
        <f t="shared" si="5"/>
        <v/>
      </c>
      <c r="L28" s="240" t="b">
        <f t="shared" si="6"/>
        <v>0</v>
      </c>
      <c r="M28" s="240" t="b">
        <f t="shared" si="7"/>
        <v>0</v>
      </c>
      <c r="N28" s="204" t="s">
        <v>289</v>
      </c>
      <c r="O28" s="204" t="s">
        <v>3049</v>
      </c>
      <c r="P28" s="350">
        <v>1</v>
      </c>
      <c r="Q28" s="204" t="s">
        <v>3049</v>
      </c>
      <c r="R28" s="204" t="s">
        <v>3048</v>
      </c>
      <c r="S28" s="204" t="s">
        <v>3047</v>
      </c>
      <c r="T28" s="204" t="s">
        <v>2042</v>
      </c>
      <c r="V28" s="204" t="s">
        <v>3046</v>
      </c>
      <c r="W28" s="204" t="s">
        <v>329</v>
      </c>
      <c r="X28" s="204" t="s">
        <v>297</v>
      </c>
      <c r="Y28" s="204" t="s">
        <v>328</v>
      </c>
      <c r="Z28" s="204" t="s">
        <v>1820</v>
      </c>
      <c r="AA28" s="204" t="s">
        <v>1819</v>
      </c>
      <c r="AB28" s="204" t="s">
        <v>329</v>
      </c>
      <c r="AC28" s="204" t="s">
        <v>297</v>
      </c>
      <c r="AD28" s="204" t="s">
        <v>599</v>
      </c>
      <c r="AE28" s="204" t="s">
        <v>1818</v>
      </c>
      <c r="AG28" s="204" t="s">
        <v>2917</v>
      </c>
      <c r="AH28" s="204" t="s">
        <v>2916</v>
      </c>
      <c r="AV28" s="204" t="s">
        <v>3045</v>
      </c>
      <c r="AX28" s="204">
        <v>1</v>
      </c>
      <c r="AY28" s="204">
        <v>0</v>
      </c>
      <c r="AZ28" s="204">
        <v>0.14699999999999999</v>
      </c>
      <c r="BB28" s="204">
        <v>1289</v>
      </c>
      <c r="BH28" s="204">
        <v>0</v>
      </c>
      <c r="BI28" s="204">
        <v>50</v>
      </c>
      <c r="BJ28" s="204">
        <v>42795</v>
      </c>
      <c r="BK28" s="204">
        <v>42775.516744409702</v>
      </c>
      <c r="BL28" s="204" t="s">
        <v>293</v>
      </c>
      <c r="BM28" s="204" t="s">
        <v>3044</v>
      </c>
      <c r="BN28" s="269">
        <f t="shared" si="8"/>
        <v>1289</v>
      </c>
      <c r="BO28" s="269">
        <f t="shared" si="9"/>
        <v>50</v>
      </c>
      <c r="BP28" s="269">
        <f>INDEX('App Data Outliers'!$M:$M,MATCH($E28,'App Data Outliers'!$A:$A,0))</f>
        <v>1289</v>
      </c>
      <c r="BQ28" s="269">
        <f>INDEX('App Data Outliers'!$N:$N,MATCH($E28,'App Data Outliers'!$A:$A,0))</f>
        <v>0</v>
      </c>
      <c r="BR28" s="269">
        <f>INDEX('App Data Outliers'!$S:$S,MATCH($E28,'App Data Outliers'!$A:$A,0))</f>
        <v>50</v>
      </c>
      <c r="BS28" s="269">
        <f>INDEX('App Data Outliers'!$T:$T,MATCH($E28,'App Data Outliers'!$A:$A,0))</f>
        <v>0</v>
      </c>
    </row>
    <row r="29" spans="1:71" s="204" customFormat="1" hidden="1">
      <c r="A29" s="241">
        <v>25</v>
      </c>
      <c r="B29" s="241" t="str">
        <f t="shared" si="0"/>
        <v>Residential/Non-Residential - BHPSD - Appliance Recycling</v>
      </c>
      <c r="C29" s="241" t="b">
        <f t="shared" si="1"/>
        <v>1</v>
      </c>
      <c r="D29" s="241" t="str">
        <f t="shared" si="2"/>
        <v>Residential/Non-Residential - BHPSD - Appliance Recycling_Appliance Recycling :- Customer Incentives_Refrigerator Recycling - Residential</v>
      </c>
      <c r="E29" s="241" t="str">
        <f t="shared" si="3"/>
        <v>Residential_Appliance Recycling_Appliance Recycling_Refrigerator Recycle</v>
      </c>
      <c r="F29" s="241" t="str">
        <f>INDEX('VDSM MAPPING'!E:E,MATCH($D29,'VDSM MAPPING'!$A:$A,0))</f>
        <v>Residential</v>
      </c>
      <c r="G29" s="241" t="str">
        <f>INDEX('VDSM MAPPING'!F:F,MATCH($D29,'VDSM MAPPING'!$A:$A,0))</f>
        <v>Appliance Recycling</v>
      </c>
      <c r="H29" s="241" t="str">
        <f>INDEX('VDSM MAPPING'!G:G,MATCH($D29,'VDSM MAPPING'!$A:$A,0))</f>
        <v>Appliance Recycling</v>
      </c>
      <c r="I29" s="241" t="str">
        <f>INDEX('VDSM MAPPING'!H:H,MATCH($D29,'VDSM MAPPING'!$A:$A,0))</f>
        <v>Refrigerator Recycle</v>
      </c>
      <c r="J29" s="240" t="str">
        <f t="shared" si="4"/>
        <v/>
      </c>
      <c r="K29" s="240" t="str">
        <f t="shared" si="5"/>
        <v/>
      </c>
      <c r="L29" s="240" t="b">
        <f t="shared" si="6"/>
        <v>0</v>
      </c>
      <c r="M29" s="240" t="b">
        <f t="shared" si="7"/>
        <v>0</v>
      </c>
      <c r="N29" s="204" t="s">
        <v>289</v>
      </c>
      <c r="O29" s="204" t="s">
        <v>3043</v>
      </c>
      <c r="P29" s="350">
        <v>1</v>
      </c>
      <c r="Q29" s="204" t="s">
        <v>3043</v>
      </c>
      <c r="R29" s="204" t="s">
        <v>3042</v>
      </c>
      <c r="S29" s="204" t="s">
        <v>3041</v>
      </c>
      <c r="T29" s="204" t="s">
        <v>3040</v>
      </c>
      <c r="V29" s="204" t="s">
        <v>3039</v>
      </c>
      <c r="W29" s="204" t="s">
        <v>329</v>
      </c>
      <c r="X29" s="204" t="s">
        <v>297</v>
      </c>
      <c r="Y29" s="204" t="s">
        <v>397</v>
      </c>
      <c r="Z29" s="204" t="s">
        <v>1820</v>
      </c>
      <c r="AA29" s="204" t="s">
        <v>1819</v>
      </c>
      <c r="AB29" s="204" t="s">
        <v>329</v>
      </c>
      <c r="AC29" s="204" t="s">
        <v>297</v>
      </c>
      <c r="AD29" s="204" t="s">
        <v>599</v>
      </c>
      <c r="AE29" s="204" t="s">
        <v>1818</v>
      </c>
      <c r="AG29" s="204" t="s">
        <v>2917</v>
      </c>
      <c r="AH29" s="204" t="s">
        <v>2916</v>
      </c>
      <c r="AV29" s="204" t="s">
        <v>3038</v>
      </c>
      <c r="AX29" s="204">
        <v>1</v>
      </c>
      <c r="AY29" s="204">
        <v>0</v>
      </c>
      <c r="AZ29" s="204">
        <v>0.14699999999999999</v>
      </c>
      <c r="BB29" s="204">
        <v>1289</v>
      </c>
      <c r="BH29" s="204">
        <v>0</v>
      </c>
      <c r="BI29" s="204">
        <v>50</v>
      </c>
      <c r="BJ29" s="204">
        <v>42795</v>
      </c>
      <c r="BK29" s="204">
        <v>42775.525195798597</v>
      </c>
      <c r="BL29" s="204" t="s">
        <v>293</v>
      </c>
      <c r="BM29" s="204" t="s">
        <v>3037</v>
      </c>
      <c r="BN29" s="269">
        <f t="shared" si="8"/>
        <v>1289</v>
      </c>
      <c r="BO29" s="269">
        <f t="shared" si="9"/>
        <v>50</v>
      </c>
      <c r="BP29" s="269">
        <f>INDEX('App Data Outliers'!$M:$M,MATCH($E29,'App Data Outliers'!$A:$A,0))</f>
        <v>1289</v>
      </c>
      <c r="BQ29" s="269">
        <f>INDEX('App Data Outliers'!$N:$N,MATCH($E29,'App Data Outliers'!$A:$A,0))</f>
        <v>0</v>
      </c>
      <c r="BR29" s="269">
        <f>INDEX('App Data Outliers'!$S:$S,MATCH($E29,'App Data Outliers'!$A:$A,0))</f>
        <v>50</v>
      </c>
      <c r="BS29" s="269">
        <f>INDEX('App Data Outliers'!$T:$T,MATCH($E29,'App Data Outliers'!$A:$A,0))</f>
        <v>0</v>
      </c>
    </row>
    <row r="30" spans="1:71" s="204" customFormat="1" hidden="1">
      <c r="A30" s="241">
        <v>26</v>
      </c>
      <c r="B30" s="241" t="str">
        <f t="shared" si="0"/>
        <v>Residential/Non-Residential - BHPSD - Appliance Recycling</v>
      </c>
      <c r="C30" s="241" t="b">
        <f t="shared" si="1"/>
        <v>1</v>
      </c>
      <c r="D30" s="241" t="str">
        <f t="shared" si="2"/>
        <v>Residential/Non-Residential - BHPSD - Appliance Recycling_Appliance Recycling :- Customer Incentives_Refrigerator Recycling - Residential</v>
      </c>
      <c r="E30" s="241" t="str">
        <f t="shared" si="3"/>
        <v>Residential_Appliance Recycling_Appliance Recycling_Refrigerator Recycle</v>
      </c>
      <c r="F30" s="241" t="str">
        <f>INDEX('VDSM MAPPING'!E:E,MATCH($D30,'VDSM MAPPING'!$A:$A,0))</f>
        <v>Residential</v>
      </c>
      <c r="G30" s="241" t="str">
        <f>INDEX('VDSM MAPPING'!F:F,MATCH($D30,'VDSM MAPPING'!$A:$A,0))</f>
        <v>Appliance Recycling</v>
      </c>
      <c r="H30" s="241" t="str">
        <f>INDEX('VDSM MAPPING'!G:G,MATCH($D30,'VDSM MAPPING'!$A:$A,0))</f>
        <v>Appliance Recycling</v>
      </c>
      <c r="I30" s="241" t="str">
        <f>INDEX('VDSM MAPPING'!H:H,MATCH($D30,'VDSM MAPPING'!$A:$A,0))</f>
        <v>Refrigerator Recycle</v>
      </c>
      <c r="J30" s="240" t="str">
        <f t="shared" si="4"/>
        <v/>
      </c>
      <c r="K30" s="240" t="str">
        <f t="shared" si="5"/>
        <v/>
      </c>
      <c r="L30" s="240" t="b">
        <f t="shared" si="6"/>
        <v>0</v>
      </c>
      <c r="M30" s="240" t="b">
        <f t="shared" si="7"/>
        <v>0</v>
      </c>
      <c r="N30" s="204" t="s">
        <v>289</v>
      </c>
      <c r="O30" s="204" t="s">
        <v>3036</v>
      </c>
      <c r="P30" s="350">
        <v>1</v>
      </c>
      <c r="Q30" s="204" t="s">
        <v>3036</v>
      </c>
      <c r="R30" s="204" t="s">
        <v>3035</v>
      </c>
      <c r="S30" s="204" t="s">
        <v>3034</v>
      </c>
      <c r="T30" s="204" t="s">
        <v>3033</v>
      </c>
      <c r="V30" s="204" t="s">
        <v>3032</v>
      </c>
      <c r="W30" s="204" t="s">
        <v>329</v>
      </c>
      <c r="X30" s="204" t="s">
        <v>297</v>
      </c>
      <c r="Y30" s="204" t="s">
        <v>328</v>
      </c>
      <c r="Z30" s="204" t="s">
        <v>1820</v>
      </c>
      <c r="AA30" s="204" t="s">
        <v>1819</v>
      </c>
      <c r="AB30" s="204" t="s">
        <v>329</v>
      </c>
      <c r="AC30" s="204" t="s">
        <v>297</v>
      </c>
      <c r="AD30" s="204" t="s">
        <v>599</v>
      </c>
      <c r="AE30" s="204" t="s">
        <v>1818</v>
      </c>
      <c r="AG30" s="204" t="s">
        <v>2917</v>
      </c>
      <c r="AH30" s="204" t="s">
        <v>2916</v>
      </c>
      <c r="AV30" s="204" t="s">
        <v>3031</v>
      </c>
      <c r="AX30" s="204">
        <v>1</v>
      </c>
      <c r="AY30" s="204">
        <v>0</v>
      </c>
      <c r="AZ30" s="204">
        <v>0.14699999999999999</v>
      </c>
      <c r="BB30" s="204">
        <v>1289</v>
      </c>
      <c r="BH30" s="204">
        <v>0</v>
      </c>
      <c r="BI30" s="204">
        <v>50</v>
      </c>
      <c r="BJ30" s="204">
        <v>42795</v>
      </c>
      <c r="BK30" s="204">
        <v>42782.547896030097</v>
      </c>
      <c r="BL30" s="204" t="s">
        <v>293</v>
      </c>
      <c r="BM30" s="204" t="s">
        <v>3030</v>
      </c>
      <c r="BN30" s="269">
        <f t="shared" si="8"/>
        <v>1289</v>
      </c>
      <c r="BO30" s="269">
        <f t="shared" si="9"/>
        <v>50</v>
      </c>
      <c r="BP30" s="269">
        <f>INDEX('App Data Outliers'!$M:$M,MATCH($E30,'App Data Outliers'!$A:$A,0))</f>
        <v>1289</v>
      </c>
      <c r="BQ30" s="269">
        <f>INDEX('App Data Outliers'!$N:$N,MATCH($E30,'App Data Outliers'!$A:$A,0))</f>
        <v>0</v>
      </c>
      <c r="BR30" s="269">
        <f>INDEX('App Data Outliers'!$S:$S,MATCH($E30,'App Data Outliers'!$A:$A,0))</f>
        <v>50</v>
      </c>
      <c r="BS30" s="269">
        <f>INDEX('App Data Outliers'!$T:$T,MATCH($E30,'App Data Outliers'!$A:$A,0))</f>
        <v>0</v>
      </c>
    </row>
    <row r="31" spans="1:71" s="204" customFormat="1" hidden="1">
      <c r="A31" s="241">
        <v>27</v>
      </c>
      <c r="B31" s="241" t="str">
        <f t="shared" si="0"/>
        <v>Residential/Non-Residential - BHPSD - Appliance Recycling</v>
      </c>
      <c r="C31" s="241" t="b">
        <f t="shared" si="1"/>
        <v>1</v>
      </c>
      <c r="D31" s="241" t="str">
        <f t="shared" si="2"/>
        <v>Residential/Non-Residential - BHPSD - Appliance Recycling_Appliance Recycling :- Customer Incentives_Refrigerator Recycling - Residential</v>
      </c>
      <c r="E31" s="241" t="str">
        <f t="shared" si="3"/>
        <v>Residential_Appliance Recycling_Appliance Recycling_Refrigerator Recycle</v>
      </c>
      <c r="F31" s="241" t="str">
        <f>INDEX('VDSM MAPPING'!E:E,MATCH($D31,'VDSM MAPPING'!$A:$A,0))</f>
        <v>Residential</v>
      </c>
      <c r="G31" s="241" t="str">
        <f>INDEX('VDSM MAPPING'!F:F,MATCH($D31,'VDSM MAPPING'!$A:$A,0))</f>
        <v>Appliance Recycling</v>
      </c>
      <c r="H31" s="241" t="str">
        <f>INDEX('VDSM MAPPING'!G:G,MATCH($D31,'VDSM MAPPING'!$A:$A,0))</f>
        <v>Appliance Recycling</v>
      </c>
      <c r="I31" s="241" t="str">
        <f>INDEX('VDSM MAPPING'!H:H,MATCH($D31,'VDSM MAPPING'!$A:$A,0))</f>
        <v>Refrigerator Recycle</v>
      </c>
      <c r="J31" s="240" t="str">
        <f t="shared" si="4"/>
        <v/>
      </c>
      <c r="K31" s="240" t="str">
        <f t="shared" si="5"/>
        <v/>
      </c>
      <c r="L31" s="240" t="b">
        <f t="shared" si="6"/>
        <v>0</v>
      </c>
      <c r="M31" s="240" t="b">
        <f t="shared" si="7"/>
        <v>0</v>
      </c>
      <c r="N31" s="204" t="s">
        <v>289</v>
      </c>
      <c r="O31" s="204" t="s">
        <v>3029</v>
      </c>
      <c r="P31" s="350">
        <v>1</v>
      </c>
      <c r="Q31" s="204" t="s">
        <v>3029</v>
      </c>
      <c r="R31" s="204" t="s">
        <v>3028</v>
      </c>
      <c r="S31" s="204" t="s">
        <v>3027</v>
      </c>
      <c r="T31" s="204" t="s">
        <v>3026</v>
      </c>
      <c r="V31" s="204" t="s">
        <v>3025</v>
      </c>
      <c r="W31" s="204" t="s">
        <v>413</v>
      </c>
      <c r="X31" s="204" t="s">
        <v>297</v>
      </c>
      <c r="Y31" s="204" t="s">
        <v>412</v>
      </c>
      <c r="Z31" s="204" t="s">
        <v>1820</v>
      </c>
      <c r="AA31" s="204" t="s">
        <v>1819</v>
      </c>
      <c r="AB31" s="204" t="s">
        <v>329</v>
      </c>
      <c r="AC31" s="204" t="s">
        <v>297</v>
      </c>
      <c r="AD31" s="204" t="s">
        <v>599</v>
      </c>
      <c r="AE31" s="204" t="s">
        <v>1818</v>
      </c>
      <c r="AG31" s="204" t="s">
        <v>2917</v>
      </c>
      <c r="AH31" s="204" t="s">
        <v>2916</v>
      </c>
      <c r="AV31" s="204" t="s">
        <v>3024</v>
      </c>
      <c r="AX31" s="204">
        <v>1</v>
      </c>
      <c r="AY31" s="204">
        <v>0</v>
      </c>
      <c r="AZ31" s="204">
        <v>0.14699999999999999</v>
      </c>
      <c r="BB31" s="204">
        <v>1289</v>
      </c>
      <c r="BH31" s="204">
        <v>0</v>
      </c>
      <c r="BI31" s="204">
        <v>50</v>
      </c>
      <c r="BJ31" s="204">
        <v>42822</v>
      </c>
      <c r="BK31" s="204">
        <v>42788.781059838002</v>
      </c>
      <c r="BL31" s="204" t="s">
        <v>293</v>
      </c>
      <c r="BM31" s="204" t="s">
        <v>3023</v>
      </c>
      <c r="BN31" s="269">
        <f t="shared" si="8"/>
        <v>1289</v>
      </c>
      <c r="BO31" s="269">
        <f t="shared" si="9"/>
        <v>50</v>
      </c>
      <c r="BP31" s="269">
        <f>INDEX('App Data Outliers'!$M:$M,MATCH($E31,'App Data Outliers'!$A:$A,0))</f>
        <v>1289</v>
      </c>
      <c r="BQ31" s="269">
        <f>INDEX('App Data Outliers'!$N:$N,MATCH($E31,'App Data Outliers'!$A:$A,0))</f>
        <v>0</v>
      </c>
      <c r="BR31" s="269">
        <f>INDEX('App Data Outliers'!$S:$S,MATCH($E31,'App Data Outliers'!$A:$A,0))</f>
        <v>50</v>
      </c>
      <c r="BS31" s="269">
        <f>INDEX('App Data Outliers'!$T:$T,MATCH($E31,'App Data Outliers'!$A:$A,0))</f>
        <v>0</v>
      </c>
    </row>
    <row r="32" spans="1:71" s="204" customFormat="1" hidden="1">
      <c r="A32" s="241">
        <v>28</v>
      </c>
      <c r="B32" s="241" t="str">
        <f t="shared" si="0"/>
        <v>Residential/Non-Residential - BHPSD - Appliance Recycling</v>
      </c>
      <c r="C32" s="241" t="b">
        <f t="shared" si="1"/>
        <v>1</v>
      </c>
      <c r="D32" s="241" t="str">
        <f t="shared" si="2"/>
        <v>Residential/Non-Residential - BHPSD - Appliance Recycling_Appliance Recycling :- Customer Incentives_Refrigerator Recycling - Residential</v>
      </c>
      <c r="E32" s="241" t="str">
        <f t="shared" si="3"/>
        <v>Residential_Appliance Recycling_Appliance Recycling_Refrigerator Recycle</v>
      </c>
      <c r="F32" s="241" t="str">
        <f>INDEX('VDSM MAPPING'!E:E,MATCH($D32,'VDSM MAPPING'!$A:$A,0))</f>
        <v>Residential</v>
      </c>
      <c r="G32" s="241" t="str">
        <f>INDEX('VDSM MAPPING'!F:F,MATCH($D32,'VDSM MAPPING'!$A:$A,0))</f>
        <v>Appliance Recycling</v>
      </c>
      <c r="H32" s="241" t="str">
        <f>INDEX('VDSM MAPPING'!G:G,MATCH($D32,'VDSM MAPPING'!$A:$A,0))</f>
        <v>Appliance Recycling</v>
      </c>
      <c r="I32" s="241" t="str">
        <f>INDEX('VDSM MAPPING'!H:H,MATCH($D32,'VDSM MAPPING'!$A:$A,0))</f>
        <v>Refrigerator Recycle</v>
      </c>
      <c r="J32" s="240" t="str">
        <f t="shared" si="4"/>
        <v/>
      </c>
      <c r="K32" s="240" t="str">
        <f t="shared" si="5"/>
        <v/>
      </c>
      <c r="L32" s="240" t="b">
        <f t="shared" si="6"/>
        <v>0</v>
      </c>
      <c r="M32" s="240" t="b">
        <f t="shared" si="7"/>
        <v>0</v>
      </c>
      <c r="N32" s="204" t="s">
        <v>289</v>
      </c>
      <c r="O32" s="204" t="s">
        <v>3022</v>
      </c>
      <c r="P32" s="350">
        <v>1</v>
      </c>
      <c r="Q32" s="204" t="s">
        <v>3022</v>
      </c>
      <c r="R32" s="204" t="s">
        <v>3021</v>
      </c>
      <c r="S32" s="204" t="s">
        <v>3020</v>
      </c>
      <c r="T32" s="204" t="s">
        <v>3019</v>
      </c>
      <c r="V32" s="204" t="s">
        <v>3018</v>
      </c>
      <c r="W32" s="204" t="s">
        <v>329</v>
      </c>
      <c r="X32" s="204" t="s">
        <v>297</v>
      </c>
      <c r="Y32" s="204" t="s">
        <v>848</v>
      </c>
      <c r="Z32" s="204" t="s">
        <v>1820</v>
      </c>
      <c r="AA32" s="204" t="s">
        <v>1819</v>
      </c>
      <c r="AB32" s="204" t="s">
        <v>329</v>
      </c>
      <c r="AC32" s="204" t="s">
        <v>297</v>
      </c>
      <c r="AD32" s="204" t="s">
        <v>599</v>
      </c>
      <c r="AE32" s="204" t="s">
        <v>1818</v>
      </c>
      <c r="AG32" s="204" t="s">
        <v>2917</v>
      </c>
      <c r="AH32" s="204" t="s">
        <v>2916</v>
      </c>
      <c r="AV32" s="204" t="s">
        <v>3017</v>
      </c>
      <c r="AX32" s="204">
        <v>1</v>
      </c>
      <c r="AY32" s="204">
        <v>0</v>
      </c>
      <c r="AZ32" s="204">
        <v>0.14699999999999999</v>
      </c>
      <c r="BB32" s="204">
        <v>1289</v>
      </c>
      <c r="BH32" s="204">
        <v>0</v>
      </c>
      <c r="BI32" s="204">
        <v>50</v>
      </c>
      <c r="BJ32" s="204">
        <v>42822</v>
      </c>
      <c r="BK32" s="204">
        <v>42793.517275034697</v>
      </c>
      <c r="BL32" s="204" t="s">
        <v>293</v>
      </c>
      <c r="BM32" s="204" t="s">
        <v>3016</v>
      </c>
      <c r="BN32" s="269">
        <f t="shared" si="8"/>
        <v>1289</v>
      </c>
      <c r="BO32" s="269">
        <f t="shared" si="9"/>
        <v>50</v>
      </c>
      <c r="BP32" s="269">
        <f>INDEX('App Data Outliers'!$M:$M,MATCH($E32,'App Data Outliers'!$A:$A,0))</f>
        <v>1289</v>
      </c>
      <c r="BQ32" s="269">
        <f>INDEX('App Data Outliers'!$N:$N,MATCH($E32,'App Data Outliers'!$A:$A,0))</f>
        <v>0</v>
      </c>
      <c r="BR32" s="269">
        <f>INDEX('App Data Outliers'!$S:$S,MATCH($E32,'App Data Outliers'!$A:$A,0))</f>
        <v>50</v>
      </c>
      <c r="BS32" s="269">
        <f>INDEX('App Data Outliers'!$T:$T,MATCH($E32,'App Data Outliers'!$A:$A,0))</f>
        <v>0</v>
      </c>
    </row>
    <row r="33" spans="1:71" s="204" customFormat="1" hidden="1">
      <c r="A33" s="241">
        <v>29</v>
      </c>
      <c r="B33" s="241" t="str">
        <f t="shared" si="0"/>
        <v>Residential/Non-Residential - BHPSD - Appliance Recycling</v>
      </c>
      <c r="C33" s="241" t="b">
        <f t="shared" si="1"/>
        <v>1</v>
      </c>
      <c r="D33" s="241" t="str">
        <f t="shared" si="2"/>
        <v>Residential/Non-Residential - BHPSD - Appliance Recycling_Appliance Recycling :- Customer Incentives_Refrigerator Recycling - Residential</v>
      </c>
      <c r="E33" s="241" t="str">
        <f t="shared" si="3"/>
        <v>Residential_Appliance Recycling_Appliance Recycling_Refrigerator Recycle</v>
      </c>
      <c r="F33" s="241" t="str">
        <f>INDEX('VDSM MAPPING'!E:E,MATCH($D33,'VDSM MAPPING'!$A:$A,0))</f>
        <v>Residential</v>
      </c>
      <c r="G33" s="241" t="str">
        <f>INDEX('VDSM MAPPING'!F:F,MATCH($D33,'VDSM MAPPING'!$A:$A,0))</f>
        <v>Appliance Recycling</v>
      </c>
      <c r="H33" s="241" t="str">
        <f>INDEX('VDSM MAPPING'!G:G,MATCH($D33,'VDSM MAPPING'!$A:$A,0))</f>
        <v>Appliance Recycling</v>
      </c>
      <c r="I33" s="241" t="str">
        <f>INDEX('VDSM MAPPING'!H:H,MATCH($D33,'VDSM MAPPING'!$A:$A,0))</f>
        <v>Refrigerator Recycle</v>
      </c>
      <c r="J33" s="240" t="str">
        <f t="shared" si="4"/>
        <v/>
      </c>
      <c r="K33" s="240" t="str">
        <f t="shared" si="5"/>
        <v/>
      </c>
      <c r="L33" s="240" t="b">
        <f t="shared" si="6"/>
        <v>0</v>
      </c>
      <c r="M33" s="240" t="b">
        <f t="shared" si="7"/>
        <v>0</v>
      </c>
      <c r="N33" s="204" t="s">
        <v>289</v>
      </c>
      <c r="O33" s="204" t="s">
        <v>3015</v>
      </c>
      <c r="P33" s="350">
        <v>1</v>
      </c>
      <c r="Q33" s="204" t="s">
        <v>3015</v>
      </c>
      <c r="R33" s="204" t="s">
        <v>3014</v>
      </c>
      <c r="S33" s="204" t="s">
        <v>3013</v>
      </c>
      <c r="T33" s="204" t="s">
        <v>3012</v>
      </c>
      <c r="V33" s="204" t="s">
        <v>3011</v>
      </c>
      <c r="W33" s="204" t="s">
        <v>329</v>
      </c>
      <c r="X33" s="204" t="s">
        <v>297</v>
      </c>
      <c r="Y33" s="204" t="s">
        <v>397</v>
      </c>
      <c r="Z33" s="204" t="s">
        <v>1820</v>
      </c>
      <c r="AA33" s="204" t="s">
        <v>1819</v>
      </c>
      <c r="AB33" s="204" t="s">
        <v>329</v>
      </c>
      <c r="AC33" s="204" t="s">
        <v>297</v>
      </c>
      <c r="AD33" s="204" t="s">
        <v>599</v>
      </c>
      <c r="AE33" s="204" t="s">
        <v>1818</v>
      </c>
      <c r="AG33" s="204" t="s">
        <v>2917</v>
      </c>
      <c r="AH33" s="204" t="s">
        <v>2916</v>
      </c>
      <c r="AV33" s="204" t="s">
        <v>3010</v>
      </c>
      <c r="AX33" s="204">
        <v>1</v>
      </c>
      <c r="AY33" s="204">
        <v>0</v>
      </c>
      <c r="AZ33" s="204">
        <v>0.14699999999999999</v>
      </c>
      <c r="BB33" s="204">
        <v>1289</v>
      </c>
      <c r="BH33" s="204">
        <v>0</v>
      </c>
      <c r="BI33" s="204">
        <v>50</v>
      </c>
      <c r="BJ33" s="204">
        <v>42949</v>
      </c>
      <c r="BK33" s="204">
        <v>42796.462048761598</v>
      </c>
      <c r="BL33" s="204" t="s">
        <v>293</v>
      </c>
      <c r="BM33" s="204" t="s">
        <v>3009</v>
      </c>
      <c r="BN33" s="269">
        <f t="shared" si="8"/>
        <v>1289</v>
      </c>
      <c r="BO33" s="269">
        <f t="shared" si="9"/>
        <v>50</v>
      </c>
      <c r="BP33" s="269">
        <f>INDEX('App Data Outliers'!$M:$M,MATCH($E33,'App Data Outliers'!$A:$A,0))</f>
        <v>1289</v>
      </c>
      <c r="BQ33" s="269">
        <f>INDEX('App Data Outliers'!$N:$N,MATCH($E33,'App Data Outliers'!$A:$A,0))</f>
        <v>0</v>
      </c>
      <c r="BR33" s="269">
        <f>INDEX('App Data Outliers'!$S:$S,MATCH($E33,'App Data Outliers'!$A:$A,0))</f>
        <v>50</v>
      </c>
      <c r="BS33" s="269">
        <f>INDEX('App Data Outliers'!$T:$T,MATCH($E33,'App Data Outliers'!$A:$A,0))</f>
        <v>0</v>
      </c>
    </row>
    <row r="34" spans="1:71" s="204" customFormat="1" hidden="1">
      <c r="A34" s="241">
        <v>30</v>
      </c>
      <c r="B34" s="241" t="str">
        <f t="shared" si="0"/>
        <v>Residential/Non-Residential - BHPSD - Appliance Recycling</v>
      </c>
      <c r="C34" s="241" t="b">
        <f t="shared" si="1"/>
        <v>1</v>
      </c>
      <c r="D34" s="241" t="str">
        <f t="shared" si="2"/>
        <v>Residential/Non-Residential - BHPSD - Appliance Recycling_Appliance Recycling :- Customer Incentives_Freezer Recycling - Residential</v>
      </c>
      <c r="E34" s="241" t="str">
        <f t="shared" si="3"/>
        <v>Residential_Appliance Recycling_Appliance Recycling_Freezer Recycle</v>
      </c>
      <c r="F34" s="241" t="str">
        <f>INDEX('VDSM MAPPING'!E:E,MATCH($D34,'VDSM MAPPING'!$A:$A,0))</f>
        <v>Residential</v>
      </c>
      <c r="G34" s="241" t="str">
        <f>INDEX('VDSM MAPPING'!F:F,MATCH($D34,'VDSM MAPPING'!$A:$A,0))</f>
        <v>Appliance Recycling</v>
      </c>
      <c r="H34" s="241" t="str">
        <f>INDEX('VDSM MAPPING'!G:G,MATCH($D34,'VDSM MAPPING'!$A:$A,0))</f>
        <v>Appliance Recycling</v>
      </c>
      <c r="I34" s="241" t="str">
        <f>INDEX('VDSM MAPPING'!H:H,MATCH($D34,'VDSM MAPPING'!$A:$A,0))</f>
        <v>Freezer Recycle</v>
      </c>
      <c r="J34" s="240" t="str">
        <f t="shared" si="4"/>
        <v/>
      </c>
      <c r="K34" s="240" t="str">
        <f t="shared" si="5"/>
        <v/>
      </c>
      <c r="L34" s="240" t="b">
        <f t="shared" si="6"/>
        <v>0</v>
      </c>
      <c r="M34" s="240" t="b">
        <f t="shared" si="7"/>
        <v>0</v>
      </c>
      <c r="N34" s="204" t="s">
        <v>289</v>
      </c>
      <c r="O34" s="204" t="s">
        <v>3006</v>
      </c>
      <c r="P34" s="350">
        <v>1</v>
      </c>
      <c r="Q34" s="204" t="s">
        <v>3006</v>
      </c>
      <c r="R34" s="204" t="s">
        <v>3005</v>
      </c>
      <c r="S34" s="204" t="s">
        <v>3004</v>
      </c>
      <c r="T34" s="204" t="s">
        <v>3003</v>
      </c>
      <c r="V34" s="204" t="s">
        <v>3002</v>
      </c>
      <c r="W34" s="204" t="s">
        <v>329</v>
      </c>
      <c r="X34" s="204" t="s">
        <v>297</v>
      </c>
      <c r="Y34" s="204" t="s">
        <v>328</v>
      </c>
      <c r="Z34" s="204" t="s">
        <v>1820</v>
      </c>
      <c r="AA34" s="204" t="s">
        <v>1819</v>
      </c>
      <c r="AB34" s="204" t="s">
        <v>329</v>
      </c>
      <c r="AC34" s="204" t="s">
        <v>297</v>
      </c>
      <c r="AD34" s="204" t="s">
        <v>599</v>
      </c>
      <c r="AE34" s="204" t="s">
        <v>1818</v>
      </c>
      <c r="AG34" s="204" t="s">
        <v>2917</v>
      </c>
      <c r="AH34" s="204" t="s">
        <v>2934</v>
      </c>
      <c r="AV34" s="204" t="s">
        <v>3008</v>
      </c>
      <c r="AX34" s="204">
        <v>1</v>
      </c>
      <c r="AY34" s="204">
        <v>0</v>
      </c>
      <c r="AZ34" s="204">
        <v>0.126</v>
      </c>
      <c r="BB34" s="204">
        <v>1105</v>
      </c>
      <c r="BH34" s="204">
        <v>0</v>
      </c>
      <c r="BI34" s="204">
        <v>50</v>
      </c>
      <c r="BJ34" s="204">
        <v>42803</v>
      </c>
      <c r="BK34" s="204">
        <v>42803.763243518501</v>
      </c>
      <c r="BL34" s="204" t="s">
        <v>293</v>
      </c>
      <c r="BM34" s="204" t="s">
        <v>3007</v>
      </c>
      <c r="BN34" s="269">
        <f t="shared" si="8"/>
        <v>1105</v>
      </c>
      <c r="BO34" s="269">
        <f t="shared" si="9"/>
        <v>50</v>
      </c>
      <c r="BP34" s="269">
        <f>INDEX('App Data Outliers'!$M:$M,MATCH($E34,'App Data Outliers'!$A:$A,0))</f>
        <v>1105</v>
      </c>
      <c r="BQ34" s="269">
        <f>INDEX('App Data Outliers'!$N:$N,MATCH($E34,'App Data Outliers'!$A:$A,0))</f>
        <v>0</v>
      </c>
      <c r="BR34" s="269">
        <f>INDEX('App Data Outliers'!$S:$S,MATCH($E34,'App Data Outliers'!$A:$A,0))</f>
        <v>50</v>
      </c>
      <c r="BS34" s="269">
        <f>INDEX('App Data Outliers'!$T:$T,MATCH($E34,'App Data Outliers'!$A:$A,0))</f>
        <v>0</v>
      </c>
    </row>
    <row r="35" spans="1:71" s="204" customFormat="1" hidden="1">
      <c r="A35" s="241">
        <v>31</v>
      </c>
      <c r="B35" s="241" t="str">
        <f t="shared" si="0"/>
        <v>Residential/Non-Residential - BHPSD - Appliance Recycling</v>
      </c>
      <c r="C35" s="241" t="b">
        <f t="shared" si="1"/>
        <v>1</v>
      </c>
      <c r="D35" s="241" t="str">
        <f t="shared" si="2"/>
        <v>Residential/Non-Residential - BHPSD - Appliance Recycling_Appliance Recycling :- Customer Incentives_Refrigerator Recycling - Residential</v>
      </c>
      <c r="E35" s="241" t="str">
        <f t="shared" si="3"/>
        <v>Residential_Appliance Recycling_Appliance Recycling_Refrigerator Recycle</v>
      </c>
      <c r="F35" s="241" t="str">
        <f>INDEX('VDSM MAPPING'!E:E,MATCH($D35,'VDSM MAPPING'!$A:$A,0))</f>
        <v>Residential</v>
      </c>
      <c r="G35" s="241" t="str">
        <f>INDEX('VDSM MAPPING'!F:F,MATCH($D35,'VDSM MAPPING'!$A:$A,0))</f>
        <v>Appliance Recycling</v>
      </c>
      <c r="H35" s="241" t="str">
        <f>INDEX('VDSM MAPPING'!G:G,MATCH($D35,'VDSM MAPPING'!$A:$A,0))</f>
        <v>Appliance Recycling</v>
      </c>
      <c r="I35" s="241" t="str">
        <f>INDEX('VDSM MAPPING'!H:H,MATCH($D35,'VDSM MAPPING'!$A:$A,0))</f>
        <v>Refrigerator Recycle</v>
      </c>
      <c r="J35" s="240" t="str">
        <f t="shared" si="4"/>
        <v/>
      </c>
      <c r="K35" s="240" t="str">
        <f t="shared" si="5"/>
        <v/>
      </c>
      <c r="L35" s="240" t="b">
        <f t="shared" si="6"/>
        <v>0</v>
      </c>
      <c r="M35" s="240" t="b">
        <f t="shared" si="7"/>
        <v>0</v>
      </c>
      <c r="N35" s="204" t="s">
        <v>289</v>
      </c>
      <c r="O35" s="204" t="s">
        <v>3006</v>
      </c>
      <c r="P35" s="350">
        <v>0</v>
      </c>
      <c r="Q35" s="204" t="s">
        <v>3006</v>
      </c>
      <c r="R35" s="204" t="s">
        <v>3005</v>
      </c>
      <c r="S35" s="204" t="s">
        <v>3004</v>
      </c>
      <c r="T35" s="204" t="s">
        <v>3003</v>
      </c>
      <c r="V35" s="204" t="s">
        <v>3002</v>
      </c>
      <c r="W35" s="204" t="s">
        <v>329</v>
      </c>
      <c r="X35" s="204" t="s">
        <v>297</v>
      </c>
      <c r="Y35" s="204" t="s">
        <v>328</v>
      </c>
      <c r="Z35" s="204" t="s">
        <v>1820</v>
      </c>
      <c r="AA35" s="204" t="s">
        <v>1819</v>
      </c>
      <c r="AB35" s="204" t="s">
        <v>329</v>
      </c>
      <c r="AC35" s="204" t="s">
        <v>297</v>
      </c>
      <c r="AD35" s="204" t="s">
        <v>599</v>
      </c>
      <c r="AE35" s="204" t="s">
        <v>1818</v>
      </c>
      <c r="AG35" s="204" t="s">
        <v>2917</v>
      </c>
      <c r="AH35" s="204" t="s">
        <v>2916</v>
      </c>
      <c r="AV35" s="204" t="s">
        <v>3001</v>
      </c>
      <c r="AX35" s="204">
        <v>1</v>
      </c>
      <c r="AY35" s="204">
        <v>0</v>
      </c>
      <c r="AZ35" s="204">
        <v>0.14699999999999999</v>
      </c>
      <c r="BB35" s="204">
        <v>1289</v>
      </c>
      <c r="BH35" s="204">
        <v>0</v>
      </c>
      <c r="BI35" s="204">
        <v>50</v>
      </c>
      <c r="BJ35" s="204">
        <v>42803</v>
      </c>
      <c r="BK35" s="204">
        <v>42803.763243518501</v>
      </c>
      <c r="BL35" s="204" t="s">
        <v>293</v>
      </c>
      <c r="BM35" s="204" t="s">
        <v>3000</v>
      </c>
      <c r="BN35" s="269">
        <f t="shared" si="8"/>
        <v>1289</v>
      </c>
      <c r="BO35" s="269">
        <f t="shared" si="9"/>
        <v>50</v>
      </c>
      <c r="BP35" s="269">
        <f>INDEX('App Data Outliers'!$M:$M,MATCH($E35,'App Data Outliers'!$A:$A,0))</f>
        <v>1289</v>
      </c>
      <c r="BQ35" s="269">
        <f>INDEX('App Data Outliers'!$N:$N,MATCH($E35,'App Data Outliers'!$A:$A,0))</f>
        <v>0</v>
      </c>
      <c r="BR35" s="269">
        <f>INDEX('App Data Outliers'!$S:$S,MATCH($E35,'App Data Outliers'!$A:$A,0))</f>
        <v>50</v>
      </c>
      <c r="BS35" s="269">
        <f>INDEX('App Data Outliers'!$T:$T,MATCH($E35,'App Data Outliers'!$A:$A,0))</f>
        <v>0</v>
      </c>
    </row>
    <row r="36" spans="1:71" s="204" customFormat="1" hidden="1">
      <c r="A36" s="241">
        <v>32</v>
      </c>
      <c r="B36" s="241" t="str">
        <f t="shared" si="0"/>
        <v>Residential/Non-Residential - BHPSD - Appliance Recycling</v>
      </c>
      <c r="C36" s="241" t="b">
        <f t="shared" si="1"/>
        <v>1</v>
      </c>
      <c r="D36" s="241" t="str">
        <f t="shared" si="2"/>
        <v>Residential/Non-Residential - BHPSD - Appliance Recycling_Appliance Recycling :- Customer Incentives_Refrigerator Recycling - Residential</v>
      </c>
      <c r="E36" s="241" t="str">
        <f t="shared" si="3"/>
        <v>Residential_Appliance Recycling_Appliance Recycling_Refrigerator Recycle</v>
      </c>
      <c r="F36" s="241" t="str">
        <f>INDEX('VDSM MAPPING'!E:E,MATCH($D36,'VDSM MAPPING'!$A:$A,0))</f>
        <v>Residential</v>
      </c>
      <c r="G36" s="241" t="str">
        <f>INDEX('VDSM MAPPING'!F:F,MATCH($D36,'VDSM MAPPING'!$A:$A,0))</f>
        <v>Appliance Recycling</v>
      </c>
      <c r="H36" s="241" t="str">
        <f>INDEX('VDSM MAPPING'!G:G,MATCH($D36,'VDSM MAPPING'!$A:$A,0))</f>
        <v>Appliance Recycling</v>
      </c>
      <c r="I36" s="241" t="str">
        <f>INDEX('VDSM MAPPING'!H:H,MATCH($D36,'VDSM MAPPING'!$A:$A,0))</f>
        <v>Refrigerator Recycle</v>
      </c>
      <c r="J36" s="240" t="str">
        <f t="shared" si="4"/>
        <v/>
      </c>
      <c r="K36" s="240" t="str">
        <f t="shared" si="5"/>
        <v/>
      </c>
      <c r="L36" s="240" t="b">
        <f t="shared" si="6"/>
        <v>0</v>
      </c>
      <c r="M36" s="240" t="b">
        <f t="shared" si="7"/>
        <v>0</v>
      </c>
      <c r="N36" s="204" t="s">
        <v>289</v>
      </c>
      <c r="O36" s="204" t="s">
        <v>2997</v>
      </c>
      <c r="P36" s="350">
        <v>1</v>
      </c>
      <c r="Q36" s="204" t="s">
        <v>2997</v>
      </c>
      <c r="R36" s="204" t="s">
        <v>2996</v>
      </c>
      <c r="S36" s="204" t="s">
        <v>2995</v>
      </c>
      <c r="T36" s="204" t="s">
        <v>2994</v>
      </c>
      <c r="V36" s="204" t="s">
        <v>2993</v>
      </c>
      <c r="W36" s="204" t="s">
        <v>329</v>
      </c>
      <c r="X36" s="204" t="s">
        <v>297</v>
      </c>
      <c r="Y36" s="204" t="s">
        <v>397</v>
      </c>
      <c r="Z36" s="204" t="s">
        <v>1820</v>
      </c>
      <c r="AA36" s="204" t="s">
        <v>1819</v>
      </c>
      <c r="AB36" s="204" t="s">
        <v>329</v>
      </c>
      <c r="AC36" s="204" t="s">
        <v>297</v>
      </c>
      <c r="AD36" s="204" t="s">
        <v>599</v>
      </c>
      <c r="AE36" s="204" t="s">
        <v>1818</v>
      </c>
      <c r="AG36" s="204" t="s">
        <v>2917</v>
      </c>
      <c r="AH36" s="204" t="s">
        <v>2916</v>
      </c>
      <c r="AV36" s="204" t="s">
        <v>2992</v>
      </c>
      <c r="AX36" s="204">
        <v>1</v>
      </c>
      <c r="AY36" s="204">
        <v>0</v>
      </c>
      <c r="AZ36" s="204">
        <v>0.14699999999999999</v>
      </c>
      <c r="BB36" s="204">
        <v>1289</v>
      </c>
      <c r="BH36" s="204">
        <v>0</v>
      </c>
      <c r="BI36" s="204">
        <v>50</v>
      </c>
      <c r="BJ36" s="204">
        <v>42811</v>
      </c>
      <c r="BK36" s="204">
        <v>42811.770698923603</v>
      </c>
      <c r="BL36" s="204" t="s">
        <v>293</v>
      </c>
      <c r="BM36" s="204" t="s">
        <v>2991</v>
      </c>
      <c r="BN36" s="269">
        <f t="shared" si="8"/>
        <v>1289</v>
      </c>
      <c r="BO36" s="269">
        <f t="shared" si="9"/>
        <v>50</v>
      </c>
      <c r="BP36" s="269">
        <f>INDEX('App Data Outliers'!$M:$M,MATCH($E36,'App Data Outliers'!$A:$A,0))</f>
        <v>1289</v>
      </c>
      <c r="BQ36" s="269">
        <f>INDEX('App Data Outliers'!$N:$N,MATCH($E36,'App Data Outliers'!$A:$A,0))</f>
        <v>0</v>
      </c>
      <c r="BR36" s="269">
        <f>INDEX('App Data Outliers'!$S:$S,MATCH($E36,'App Data Outliers'!$A:$A,0))</f>
        <v>50</v>
      </c>
      <c r="BS36" s="269">
        <f>INDEX('App Data Outliers'!$T:$T,MATCH($E36,'App Data Outliers'!$A:$A,0))</f>
        <v>0</v>
      </c>
    </row>
    <row r="37" spans="1:71" s="204" customFormat="1" hidden="1">
      <c r="A37" s="241">
        <v>33</v>
      </c>
      <c r="B37" s="241" t="str">
        <f t="shared" si="0"/>
        <v>Residential/Non-Residential - BHPSD - Appliance Recycling</v>
      </c>
      <c r="C37" s="241" t="b">
        <f t="shared" si="1"/>
        <v>1</v>
      </c>
      <c r="D37" s="241" t="str">
        <f t="shared" si="2"/>
        <v>Residential/Non-Residential - BHPSD - Appliance Recycling_Appliance Recycling :- Customer Incentives_Refrigerator Recycling - Residential</v>
      </c>
      <c r="E37" s="241" t="str">
        <f t="shared" si="3"/>
        <v>Residential_Appliance Recycling_Appliance Recycling_Refrigerator Recycle</v>
      </c>
      <c r="F37" s="241" t="str">
        <f>INDEX('VDSM MAPPING'!E:E,MATCH($D37,'VDSM MAPPING'!$A:$A,0))</f>
        <v>Residential</v>
      </c>
      <c r="G37" s="241" t="str">
        <f>INDEX('VDSM MAPPING'!F:F,MATCH($D37,'VDSM MAPPING'!$A:$A,0))</f>
        <v>Appliance Recycling</v>
      </c>
      <c r="H37" s="241" t="str">
        <f>INDEX('VDSM MAPPING'!G:G,MATCH($D37,'VDSM MAPPING'!$A:$A,0))</f>
        <v>Appliance Recycling</v>
      </c>
      <c r="I37" s="241" t="str">
        <f>INDEX('VDSM MAPPING'!H:H,MATCH($D37,'VDSM MAPPING'!$A:$A,0))</f>
        <v>Refrigerator Recycle</v>
      </c>
      <c r="J37" s="240" t="str">
        <f t="shared" si="4"/>
        <v/>
      </c>
      <c r="K37" s="240" t="str">
        <f t="shared" si="5"/>
        <v/>
      </c>
      <c r="L37" s="240" t="b">
        <f t="shared" si="6"/>
        <v>0</v>
      </c>
      <c r="M37" s="240" t="b">
        <f t="shared" si="7"/>
        <v>0</v>
      </c>
      <c r="N37" s="204" t="s">
        <v>289</v>
      </c>
      <c r="O37" s="204" t="s">
        <v>2997</v>
      </c>
      <c r="P37" s="350">
        <v>0</v>
      </c>
      <c r="Q37" s="204" t="s">
        <v>2997</v>
      </c>
      <c r="R37" s="204" t="s">
        <v>2996</v>
      </c>
      <c r="S37" s="204" t="s">
        <v>2995</v>
      </c>
      <c r="T37" s="204" t="s">
        <v>2994</v>
      </c>
      <c r="V37" s="204" t="s">
        <v>2993</v>
      </c>
      <c r="W37" s="204" t="s">
        <v>329</v>
      </c>
      <c r="X37" s="204" t="s">
        <v>297</v>
      </c>
      <c r="Y37" s="204" t="s">
        <v>397</v>
      </c>
      <c r="Z37" s="204" t="s">
        <v>1820</v>
      </c>
      <c r="AA37" s="204" t="s">
        <v>1819</v>
      </c>
      <c r="AB37" s="204" t="s">
        <v>329</v>
      </c>
      <c r="AC37" s="204" t="s">
        <v>297</v>
      </c>
      <c r="AD37" s="204" t="s">
        <v>599</v>
      </c>
      <c r="AE37" s="204" t="s">
        <v>1818</v>
      </c>
      <c r="AG37" s="204" t="s">
        <v>2917</v>
      </c>
      <c r="AH37" s="204" t="s">
        <v>2916</v>
      </c>
      <c r="AV37" s="204" t="s">
        <v>2999</v>
      </c>
      <c r="AX37" s="204">
        <v>1</v>
      </c>
      <c r="AY37" s="204">
        <v>0</v>
      </c>
      <c r="AZ37" s="204">
        <v>0.14699999999999999</v>
      </c>
      <c r="BB37" s="204">
        <v>1289</v>
      </c>
      <c r="BH37" s="204">
        <v>0</v>
      </c>
      <c r="BI37" s="204">
        <v>50</v>
      </c>
      <c r="BJ37" s="204">
        <v>42811</v>
      </c>
      <c r="BK37" s="204">
        <v>42811.770698923603</v>
      </c>
      <c r="BL37" s="204" t="s">
        <v>293</v>
      </c>
      <c r="BM37" s="204" t="s">
        <v>2998</v>
      </c>
      <c r="BN37" s="269">
        <f t="shared" si="8"/>
        <v>1289</v>
      </c>
      <c r="BO37" s="269">
        <f t="shared" si="9"/>
        <v>50</v>
      </c>
      <c r="BP37" s="269">
        <f>INDEX('App Data Outliers'!$M:$M,MATCH($E37,'App Data Outliers'!$A:$A,0))</f>
        <v>1289</v>
      </c>
      <c r="BQ37" s="269">
        <f>INDEX('App Data Outliers'!$N:$N,MATCH($E37,'App Data Outliers'!$A:$A,0))</f>
        <v>0</v>
      </c>
      <c r="BR37" s="269">
        <f>INDEX('App Data Outliers'!$S:$S,MATCH($E37,'App Data Outliers'!$A:$A,0))</f>
        <v>50</v>
      </c>
      <c r="BS37" s="269">
        <f>INDEX('App Data Outliers'!$T:$T,MATCH($E37,'App Data Outliers'!$A:$A,0))</f>
        <v>0</v>
      </c>
    </row>
    <row r="38" spans="1:71" s="204" customFormat="1" hidden="1">
      <c r="A38" s="241">
        <v>34</v>
      </c>
      <c r="B38" s="241" t="str">
        <f t="shared" si="0"/>
        <v>Residential/Non-Residential - BHPSD - Appliance Recycling</v>
      </c>
      <c r="C38" s="241" t="b">
        <f t="shared" si="1"/>
        <v>1</v>
      </c>
      <c r="D38" s="241" t="str">
        <f t="shared" si="2"/>
        <v>Residential/Non-Residential - BHPSD - Appliance Recycling_Appliance Recycling :- Customer Incentives_Refrigerator Recycling - Residential</v>
      </c>
      <c r="E38" s="241" t="str">
        <f t="shared" si="3"/>
        <v>Residential_Appliance Recycling_Appliance Recycling_Refrigerator Recycle</v>
      </c>
      <c r="F38" s="241" t="str">
        <f>INDEX('VDSM MAPPING'!E:E,MATCH($D38,'VDSM MAPPING'!$A:$A,0))</f>
        <v>Residential</v>
      </c>
      <c r="G38" s="241" t="str">
        <f>INDEX('VDSM MAPPING'!F:F,MATCH($D38,'VDSM MAPPING'!$A:$A,0))</f>
        <v>Appliance Recycling</v>
      </c>
      <c r="H38" s="241" t="str">
        <f>INDEX('VDSM MAPPING'!G:G,MATCH($D38,'VDSM MAPPING'!$A:$A,0))</f>
        <v>Appliance Recycling</v>
      </c>
      <c r="I38" s="241" t="str">
        <f>INDEX('VDSM MAPPING'!H:H,MATCH($D38,'VDSM MAPPING'!$A:$A,0))</f>
        <v>Refrigerator Recycle</v>
      </c>
      <c r="J38" s="240" t="str">
        <f t="shared" si="4"/>
        <v/>
      </c>
      <c r="K38" s="240" t="str">
        <f t="shared" si="5"/>
        <v/>
      </c>
      <c r="L38" s="240" t="b">
        <f t="shared" si="6"/>
        <v>0</v>
      </c>
      <c r="M38" s="240" t="b">
        <f t="shared" si="7"/>
        <v>0</v>
      </c>
      <c r="N38" s="204" t="s">
        <v>289</v>
      </c>
      <c r="O38" s="204" t="s">
        <v>2990</v>
      </c>
      <c r="P38" s="350">
        <v>1</v>
      </c>
      <c r="Q38" s="204" t="s">
        <v>2990</v>
      </c>
      <c r="R38" s="204" t="s">
        <v>2989</v>
      </c>
      <c r="S38" s="204" t="s">
        <v>2988</v>
      </c>
      <c r="T38" s="204" t="s">
        <v>2068</v>
      </c>
      <c r="V38" s="204" t="s">
        <v>2987</v>
      </c>
      <c r="W38" s="204" t="s">
        <v>329</v>
      </c>
      <c r="X38" s="204" t="s">
        <v>297</v>
      </c>
      <c r="Y38" s="204" t="s">
        <v>328</v>
      </c>
      <c r="Z38" s="204" t="s">
        <v>1820</v>
      </c>
      <c r="AA38" s="204" t="s">
        <v>1819</v>
      </c>
      <c r="AB38" s="204" t="s">
        <v>329</v>
      </c>
      <c r="AC38" s="204" t="s">
        <v>297</v>
      </c>
      <c r="AD38" s="204" t="s">
        <v>599</v>
      </c>
      <c r="AE38" s="204" t="s">
        <v>1818</v>
      </c>
      <c r="AG38" s="204" t="s">
        <v>2917</v>
      </c>
      <c r="AH38" s="204" t="s">
        <v>2916</v>
      </c>
      <c r="AV38" s="204" t="s">
        <v>2986</v>
      </c>
      <c r="AX38" s="204">
        <v>1</v>
      </c>
      <c r="AY38" s="204">
        <v>0</v>
      </c>
      <c r="AZ38" s="204">
        <v>0.14699999999999999</v>
      </c>
      <c r="BB38" s="204">
        <v>1289</v>
      </c>
      <c r="BH38" s="204">
        <v>0</v>
      </c>
      <c r="BI38" s="204">
        <v>50</v>
      </c>
      <c r="BJ38" s="204">
        <v>42811</v>
      </c>
      <c r="BK38" s="204">
        <v>42811.772073726897</v>
      </c>
      <c r="BL38" s="204" t="s">
        <v>293</v>
      </c>
      <c r="BM38" s="204" t="s">
        <v>2985</v>
      </c>
      <c r="BN38" s="269">
        <f t="shared" si="8"/>
        <v>1289</v>
      </c>
      <c r="BO38" s="269">
        <f t="shared" si="9"/>
        <v>50</v>
      </c>
      <c r="BP38" s="269">
        <f>INDEX('App Data Outliers'!$M:$M,MATCH($E38,'App Data Outliers'!$A:$A,0))</f>
        <v>1289</v>
      </c>
      <c r="BQ38" s="269">
        <f>INDEX('App Data Outliers'!$N:$N,MATCH($E38,'App Data Outliers'!$A:$A,0))</f>
        <v>0</v>
      </c>
      <c r="BR38" s="269">
        <f>INDEX('App Data Outliers'!$S:$S,MATCH($E38,'App Data Outliers'!$A:$A,0))</f>
        <v>50</v>
      </c>
      <c r="BS38" s="269">
        <f>INDEX('App Data Outliers'!$T:$T,MATCH($E38,'App Data Outliers'!$A:$A,0))</f>
        <v>0</v>
      </c>
    </row>
    <row r="39" spans="1:71" s="204" customFormat="1" hidden="1">
      <c r="A39" s="241">
        <v>35</v>
      </c>
      <c r="B39" s="241" t="str">
        <f t="shared" si="0"/>
        <v>Residential/Non-Residential - BHPSD - Appliance Recycling</v>
      </c>
      <c r="C39" s="241" t="b">
        <f t="shared" si="1"/>
        <v>1</v>
      </c>
      <c r="D39" s="241" t="str">
        <f t="shared" si="2"/>
        <v>Residential/Non-Residential - BHPSD - Appliance Recycling_Appliance Recycling :- Customer Incentives_Freezer Recycling - Residential</v>
      </c>
      <c r="E39" s="241" t="str">
        <f t="shared" si="3"/>
        <v>Residential_Appliance Recycling_Appliance Recycling_Freezer Recycle</v>
      </c>
      <c r="F39" s="241" t="str">
        <f>INDEX('VDSM MAPPING'!E:E,MATCH($D39,'VDSM MAPPING'!$A:$A,0))</f>
        <v>Residential</v>
      </c>
      <c r="G39" s="241" t="str">
        <f>INDEX('VDSM MAPPING'!F:F,MATCH($D39,'VDSM MAPPING'!$A:$A,0))</f>
        <v>Appliance Recycling</v>
      </c>
      <c r="H39" s="241" t="str">
        <f>INDEX('VDSM MAPPING'!G:G,MATCH($D39,'VDSM MAPPING'!$A:$A,0))</f>
        <v>Appliance Recycling</v>
      </c>
      <c r="I39" s="241" t="str">
        <f>INDEX('VDSM MAPPING'!H:H,MATCH($D39,'VDSM MAPPING'!$A:$A,0))</f>
        <v>Freezer Recycle</v>
      </c>
      <c r="J39" s="240" t="str">
        <f t="shared" si="4"/>
        <v/>
      </c>
      <c r="K39" s="240" t="str">
        <f t="shared" si="5"/>
        <v/>
      </c>
      <c r="L39" s="240" t="b">
        <f t="shared" si="6"/>
        <v>0</v>
      </c>
      <c r="M39" s="240" t="b">
        <f t="shared" si="7"/>
        <v>0</v>
      </c>
      <c r="N39" s="204" t="s">
        <v>289</v>
      </c>
      <c r="O39" s="204" t="s">
        <v>2982</v>
      </c>
      <c r="P39" s="350">
        <v>1</v>
      </c>
      <c r="Q39" s="204" t="s">
        <v>2982</v>
      </c>
      <c r="R39" s="204" t="s">
        <v>2981</v>
      </c>
      <c r="S39" s="204" t="s">
        <v>2980</v>
      </c>
      <c r="T39" s="204" t="s">
        <v>2979</v>
      </c>
      <c r="V39" s="204" t="s">
        <v>2978</v>
      </c>
      <c r="W39" s="204" t="s">
        <v>329</v>
      </c>
      <c r="X39" s="204" t="s">
        <v>297</v>
      </c>
      <c r="Y39" s="204" t="s">
        <v>328</v>
      </c>
      <c r="Z39" s="204" t="s">
        <v>1820</v>
      </c>
      <c r="AA39" s="204" t="s">
        <v>1819</v>
      </c>
      <c r="AB39" s="204" t="s">
        <v>329</v>
      </c>
      <c r="AC39" s="204" t="s">
        <v>297</v>
      </c>
      <c r="AD39" s="204" t="s">
        <v>599</v>
      </c>
      <c r="AE39" s="204" t="s">
        <v>1818</v>
      </c>
      <c r="AG39" s="204" t="s">
        <v>2917</v>
      </c>
      <c r="AH39" s="204" t="s">
        <v>2934</v>
      </c>
      <c r="AV39" s="204" t="s">
        <v>2984</v>
      </c>
      <c r="AX39" s="204">
        <v>1</v>
      </c>
      <c r="AY39" s="204">
        <v>0</v>
      </c>
      <c r="AZ39" s="204">
        <v>0.126</v>
      </c>
      <c r="BB39" s="204">
        <v>1105</v>
      </c>
      <c r="BH39" s="204">
        <v>0</v>
      </c>
      <c r="BI39" s="204">
        <v>50</v>
      </c>
      <c r="BJ39" s="204">
        <v>42949</v>
      </c>
      <c r="BK39" s="204">
        <v>42821.784515891202</v>
      </c>
      <c r="BL39" s="204" t="s">
        <v>293</v>
      </c>
      <c r="BM39" s="204" t="s">
        <v>2983</v>
      </c>
      <c r="BN39" s="269">
        <f t="shared" si="8"/>
        <v>1105</v>
      </c>
      <c r="BO39" s="269">
        <f t="shared" si="9"/>
        <v>50</v>
      </c>
      <c r="BP39" s="269">
        <f>INDEX('App Data Outliers'!$M:$M,MATCH($E39,'App Data Outliers'!$A:$A,0))</f>
        <v>1105</v>
      </c>
      <c r="BQ39" s="269">
        <f>INDEX('App Data Outliers'!$N:$N,MATCH($E39,'App Data Outliers'!$A:$A,0))</f>
        <v>0</v>
      </c>
      <c r="BR39" s="269">
        <f>INDEX('App Data Outliers'!$S:$S,MATCH($E39,'App Data Outliers'!$A:$A,0))</f>
        <v>50</v>
      </c>
      <c r="BS39" s="269">
        <f>INDEX('App Data Outliers'!$T:$T,MATCH($E39,'App Data Outliers'!$A:$A,0))</f>
        <v>0</v>
      </c>
    </row>
    <row r="40" spans="1:71" s="204" customFormat="1" hidden="1">
      <c r="A40" s="241">
        <v>36</v>
      </c>
      <c r="B40" s="241" t="str">
        <f t="shared" si="0"/>
        <v>Residential/Non-Residential - BHPSD - Appliance Recycling</v>
      </c>
      <c r="C40" s="241" t="b">
        <f t="shared" si="1"/>
        <v>1</v>
      </c>
      <c r="D40" s="241" t="str">
        <f t="shared" si="2"/>
        <v>Residential/Non-Residential - BHPSD - Appliance Recycling_Appliance Recycling :- Customer Incentives_Refrigerator Recycling - Residential</v>
      </c>
      <c r="E40" s="241" t="str">
        <f t="shared" si="3"/>
        <v>Residential_Appliance Recycling_Appliance Recycling_Refrigerator Recycle</v>
      </c>
      <c r="F40" s="241" t="str">
        <f>INDEX('VDSM MAPPING'!E:E,MATCH($D40,'VDSM MAPPING'!$A:$A,0))</f>
        <v>Residential</v>
      </c>
      <c r="G40" s="241" t="str">
        <f>INDEX('VDSM MAPPING'!F:F,MATCH($D40,'VDSM MAPPING'!$A:$A,0))</f>
        <v>Appliance Recycling</v>
      </c>
      <c r="H40" s="241" t="str">
        <f>INDEX('VDSM MAPPING'!G:G,MATCH($D40,'VDSM MAPPING'!$A:$A,0))</f>
        <v>Appliance Recycling</v>
      </c>
      <c r="I40" s="241" t="str">
        <f>INDEX('VDSM MAPPING'!H:H,MATCH($D40,'VDSM MAPPING'!$A:$A,0))</f>
        <v>Refrigerator Recycle</v>
      </c>
      <c r="J40" s="240" t="str">
        <f t="shared" si="4"/>
        <v/>
      </c>
      <c r="K40" s="240" t="str">
        <f t="shared" si="5"/>
        <v/>
      </c>
      <c r="L40" s="240" t="b">
        <f t="shared" si="6"/>
        <v>0</v>
      </c>
      <c r="M40" s="240" t="b">
        <f t="shared" si="7"/>
        <v>0</v>
      </c>
      <c r="N40" s="204" t="s">
        <v>289</v>
      </c>
      <c r="O40" s="204" t="s">
        <v>2982</v>
      </c>
      <c r="P40" s="350">
        <v>0</v>
      </c>
      <c r="Q40" s="204" t="s">
        <v>2982</v>
      </c>
      <c r="R40" s="204" t="s">
        <v>2981</v>
      </c>
      <c r="S40" s="204" t="s">
        <v>2980</v>
      </c>
      <c r="T40" s="204" t="s">
        <v>2979</v>
      </c>
      <c r="V40" s="204" t="s">
        <v>2978</v>
      </c>
      <c r="W40" s="204" t="s">
        <v>329</v>
      </c>
      <c r="X40" s="204" t="s">
        <v>297</v>
      </c>
      <c r="Y40" s="204" t="s">
        <v>328</v>
      </c>
      <c r="Z40" s="204" t="s">
        <v>1820</v>
      </c>
      <c r="AA40" s="204" t="s">
        <v>1819</v>
      </c>
      <c r="AB40" s="204" t="s">
        <v>329</v>
      </c>
      <c r="AC40" s="204" t="s">
        <v>297</v>
      </c>
      <c r="AD40" s="204" t="s">
        <v>599</v>
      </c>
      <c r="AE40" s="204" t="s">
        <v>1818</v>
      </c>
      <c r="AG40" s="204" t="s">
        <v>2917</v>
      </c>
      <c r="AH40" s="204" t="s">
        <v>2916</v>
      </c>
      <c r="AV40" s="204" t="s">
        <v>2977</v>
      </c>
      <c r="AX40" s="204">
        <v>1</v>
      </c>
      <c r="AY40" s="204">
        <v>0</v>
      </c>
      <c r="AZ40" s="204">
        <v>0.14699999999999999</v>
      </c>
      <c r="BB40" s="204">
        <v>1289</v>
      </c>
      <c r="BH40" s="204">
        <v>0</v>
      </c>
      <c r="BI40" s="204">
        <v>50</v>
      </c>
      <c r="BJ40" s="204">
        <v>42949</v>
      </c>
      <c r="BK40" s="204">
        <v>42821.784515891202</v>
      </c>
      <c r="BL40" s="204" t="s">
        <v>293</v>
      </c>
      <c r="BM40" s="204" t="s">
        <v>2976</v>
      </c>
      <c r="BN40" s="269">
        <f t="shared" si="8"/>
        <v>1289</v>
      </c>
      <c r="BO40" s="269">
        <f t="shared" si="9"/>
        <v>50</v>
      </c>
      <c r="BP40" s="269">
        <f>INDEX('App Data Outliers'!$M:$M,MATCH($E40,'App Data Outliers'!$A:$A,0))</f>
        <v>1289</v>
      </c>
      <c r="BQ40" s="269">
        <f>INDEX('App Data Outliers'!$N:$N,MATCH($E40,'App Data Outliers'!$A:$A,0))</f>
        <v>0</v>
      </c>
      <c r="BR40" s="269">
        <f>INDEX('App Data Outliers'!$S:$S,MATCH($E40,'App Data Outliers'!$A:$A,0))</f>
        <v>50</v>
      </c>
      <c r="BS40" s="269">
        <f>INDEX('App Data Outliers'!$T:$T,MATCH($E40,'App Data Outliers'!$A:$A,0))</f>
        <v>0</v>
      </c>
    </row>
    <row r="41" spans="1:71" s="204" customFormat="1" hidden="1">
      <c r="A41" s="241">
        <v>37</v>
      </c>
      <c r="B41" s="241" t="str">
        <f t="shared" si="0"/>
        <v>Residential/Non-Residential - BHPSD - Appliance Recycling</v>
      </c>
      <c r="C41" s="241" t="b">
        <f t="shared" si="1"/>
        <v>1</v>
      </c>
      <c r="D41" s="241" t="str">
        <f t="shared" si="2"/>
        <v>Residential/Non-Residential - BHPSD - Appliance Recycling_Appliance Recycling :- Customer Incentives_Refrigerator Recycling - Residential</v>
      </c>
      <c r="E41" s="241" t="str">
        <f t="shared" si="3"/>
        <v>Residential_Appliance Recycling_Appliance Recycling_Refrigerator Recycle</v>
      </c>
      <c r="F41" s="241" t="str">
        <f>INDEX('VDSM MAPPING'!E:E,MATCH($D41,'VDSM MAPPING'!$A:$A,0))</f>
        <v>Residential</v>
      </c>
      <c r="G41" s="241" t="str">
        <f>INDEX('VDSM MAPPING'!F:F,MATCH($D41,'VDSM MAPPING'!$A:$A,0))</f>
        <v>Appliance Recycling</v>
      </c>
      <c r="H41" s="241" t="str">
        <f>INDEX('VDSM MAPPING'!G:G,MATCH($D41,'VDSM MAPPING'!$A:$A,0))</f>
        <v>Appliance Recycling</v>
      </c>
      <c r="I41" s="241" t="str">
        <f>INDEX('VDSM MAPPING'!H:H,MATCH($D41,'VDSM MAPPING'!$A:$A,0))</f>
        <v>Refrigerator Recycle</v>
      </c>
      <c r="J41" s="240" t="str">
        <f t="shared" si="4"/>
        <v/>
      </c>
      <c r="K41" s="240" t="str">
        <f t="shared" si="5"/>
        <v/>
      </c>
      <c r="L41" s="240" t="b">
        <f t="shared" si="6"/>
        <v>0</v>
      </c>
      <c r="M41" s="240" t="b">
        <f t="shared" si="7"/>
        <v>0</v>
      </c>
      <c r="N41" s="204" t="s">
        <v>289</v>
      </c>
      <c r="O41" s="204" t="s">
        <v>2973</v>
      </c>
      <c r="P41" s="350">
        <v>1</v>
      </c>
      <c r="Q41" s="204" t="s">
        <v>2973</v>
      </c>
      <c r="R41" s="204" t="s">
        <v>2972</v>
      </c>
      <c r="S41" s="204" t="s">
        <v>1383</v>
      </c>
      <c r="T41" s="204" t="s">
        <v>2971</v>
      </c>
      <c r="V41" s="204" t="s">
        <v>2970</v>
      </c>
      <c r="W41" s="204" t="s">
        <v>329</v>
      </c>
      <c r="X41" s="204" t="s">
        <v>297</v>
      </c>
      <c r="Y41" s="204" t="s">
        <v>328</v>
      </c>
      <c r="Z41" s="204" t="s">
        <v>1820</v>
      </c>
      <c r="AA41" s="204" t="s">
        <v>1819</v>
      </c>
      <c r="AB41" s="204" t="s">
        <v>329</v>
      </c>
      <c r="AC41" s="204" t="s">
        <v>297</v>
      </c>
      <c r="AD41" s="204" t="s">
        <v>599</v>
      </c>
      <c r="AE41" s="204" t="s">
        <v>1818</v>
      </c>
      <c r="AG41" s="204" t="s">
        <v>2917</v>
      </c>
      <c r="AH41" s="204" t="s">
        <v>2916</v>
      </c>
      <c r="AV41" s="204" t="s">
        <v>2975</v>
      </c>
      <c r="AX41" s="204">
        <v>1</v>
      </c>
      <c r="AY41" s="204">
        <v>0</v>
      </c>
      <c r="AZ41" s="204">
        <v>0.14699999999999999</v>
      </c>
      <c r="BB41" s="204">
        <v>1289</v>
      </c>
      <c r="BH41" s="204">
        <v>0</v>
      </c>
      <c r="BI41" s="204">
        <v>50</v>
      </c>
      <c r="BJ41" s="204">
        <v>42949</v>
      </c>
      <c r="BK41" s="204">
        <v>42832.525782638899</v>
      </c>
      <c r="BL41" s="204" t="s">
        <v>293</v>
      </c>
      <c r="BM41" s="204" t="s">
        <v>2974</v>
      </c>
      <c r="BN41" s="269">
        <f t="shared" si="8"/>
        <v>1289</v>
      </c>
      <c r="BO41" s="269">
        <f t="shared" si="9"/>
        <v>50</v>
      </c>
      <c r="BP41" s="269">
        <f>INDEX('App Data Outliers'!$M:$M,MATCH($E41,'App Data Outliers'!$A:$A,0))</f>
        <v>1289</v>
      </c>
      <c r="BQ41" s="269">
        <f>INDEX('App Data Outliers'!$N:$N,MATCH($E41,'App Data Outliers'!$A:$A,0))</f>
        <v>0</v>
      </c>
      <c r="BR41" s="269">
        <f>INDEX('App Data Outliers'!$S:$S,MATCH($E41,'App Data Outliers'!$A:$A,0))</f>
        <v>50</v>
      </c>
      <c r="BS41" s="269">
        <f>INDEX('App Data Outliers'!$T:$T,MATCH($E41,'App Data Outliers'!$A:$A,0))</f>
        <v>0</v>
      </c>
    </row>
    <row r="42" spans="1:71" s="204" customFormat="1" hidden="1">
      <c r="A42" s="241">
        <v>38</v>
      </c>
      <c r="B42" s="241" t="str">
        <f t="shared" si="0"/>
        <v>Residential/Non-Residential - BHPSD - Appliance Recycling</v>
      </c>
      <c r="C42" s="241" t="b">
        <f t="shared" si="1"/>
        <v>1</v>
      </c>
      <c r="D42" s="241" t="str">
        <f t="shared" si="2"/>
        <v>Residential/Non-Residential - BHPSD - Appliance Recycling_Appliance Recycling :- Customer Incentives_Freezer Recycling - Residential</v>
      </c>
      <c r="E42" s="241" t="str">
        <f t="shared" si="3"/>
        <v>Residential_Appliance Recycling_Appliance Recycling_Freezer Recycle</v>
      </c>
      <c r="F42" s="241" t="str">
        <f>INDEX('VDSM MAPPING'!E:E,MATCH($D42,'VDSM MAPPING'!$A:$A,0))</f>
        <v>Residential</v>
      </c>
      <c r="G42" s="241" t="str">
        <f>INDEX('VDSM MAPPING'!F:F,MATCH($D42,'VDSM MAPPING'!$A:$A,0))</f>
        <v>Appliance Recycling</v>
      </c>
      <c r="H42" s="241" t="str">
        <f>INDEX('VDSM MAPPING'!G:G,MATCH($D42,'VDSM MAPPING'!$A:$A,0))</f>
        <v>Appliance Recycling</v>
      </c>
      <c r="I42" s="241" t="str">
        <f>INDEX('VDSM MAPPING'!H:H,MATCH($D42,'VDSM MAPPING'!$A:$A,0))</f>
        <v>Freezer Recycle</v>
      </c>
      <c r="J42" s="240" t="str">
        <f t="shared" si="4"/>
        <v/>
      </c>
      <c r="K42" s="240" t="str">
        <f t="shared" si="5"/>
        <v/>
      </c>
      <c r="L42" s="240" t="b">
        <f t="shared" si="6"/>
        <v>0</v>
      </c>
      <c r="M42" s="240" t="b">
        <f t="shared" si="7"/>
        <v>0</v>
      </c>
      <c r="N42" s="204" t="s">
        <v>289</v>
      </c>
      <c r="O42" s="204" t="s">
        <v>2973</v>
      </c>
      <c r="P42" s="350">
        <v>0</v>
      </c>
      <c r="Q42" s="204" t="s">
        <v>2973</v>
      </c>
      <c r="R42" s="204" t="s">
        <v>2972</v>
      </c>
      <c r="S42" s="204" t="s">
        <v>1383</v>
      </c>
      <c r="T42" s="204" t="s">
        <v>2971</v>
      </c>
      <c r="V42" s="204" t="s">
        <v>2970</v>
      </c>
      <c r="W42" s="204" t="s">
        <v>329</v>
      </c>
      <c r="X42" s="204" t="s">
        <v>297</v>
      </c>
      <c r="Y42" s="204" t="s">
        <v>328</v>
      </c>
      <c r="Z42" s="204" t="s">
        <v>1820</v>
      </c>
      <c r="AA42" s="204" t="s">
        <v>1819</v>
      </c>
      <c r="AB42" s="204" t="s">
        <v>329</v>
      </c>
      <c r="AC42" s="204" t="s">
        <v>297</v>
      </c>
      <c r="AD42" s="204" t="s">
        <v>599</v>
      </c>
      <c r="AE42" s="204" t="s">
        <v>1818</v>
      </c>
      <c r="AG42" s="204" t="s">
        <v>2917</v>
      </c>
      <c r="AH42" s="204" t="s">
        <v>2934</v>
      </c>
      <c r="AV42" s="204" t="s">
        <v>2969</v>
      </c>
      <c r="AX42" s="204">
        <v>1</v>
      </c>
      <c r="AY42" s="204">
        <v>0</v>
      </c>
      <c r="AZ42" s="204">
        <v>0.126</v>
      </c>
      <c r="BB42" s="204">
        <v>1105</v>
      </c>
      <c r="BH42" s="204">
        <v>0</v>
      </c>
      <c r="BI42" s="204">
        <v>50</v>
      </c>
      <c r="BJ42" s="204">
        <v>42949</v>
      </c>
      <c r="BK42" s="204">
        <v>42832.525782638899</v>
      </c>
      <c r="BL42" s="204" t="s">
        <v>293</v>
      </c>
      <c r="BM42" s="204" t="s">
        <v>2968</v>
      </c>
      <c r="BN42" s="269">
        <f t="shared" si="8"/>
        <v>1105</v>
      </c>
      <c r="BO42" s="269">
        <f t="shared" si="9"/>
        <v>50</v>
      </c>
      <c r="BP42" s="269">
        <f>INDEX('App Data Outliers'!$M:$M,MATCH($E42,'App Data Outliers'!$A:$A,0))</f>
        <v>1105</v>
      </c>
      <c r="BQ42" s="269">
        <f>INDEX('App Data Outliers'!$N:$N,MATCH($E42,'App Data Outliers'!$A:$A,0))</f>
        <v>0</v>
      </c>
      <c r="BR42" s="269">
        <f>INDEX('App Data Outliers'!$S:$S,MATCH($E42,'App Data Outliers'!$A:$A,0))</f>
        <v>50</v>
      </c>
      <c r="BS42" s="269">
        <f>INDEX('App Data Outliers'!$T:$T,MATCH($E42,'App Data Outliers'!$A:$A,0))</f>
        <v>0</v>
      </c>
    </row>
    <row r="43" spans="1:71" s="204" customFormat="1" hidden="1">
      <c r="A43" s="241">
        <v>39</v>
      </c>
      <c r="B43" s="241" t="str">
        <f t="shared" si="0"/>
        <v>Residential/Non-Residential - BHPSD - Appliance Recycling</v>
      </c>
      <c r="C43" s="241" t="b">
        <f t="shared" si="1"/>
        <v>1</v>
      </c>
      <c r="D43" s="241" t="str">
        <f t="shared" si="2"/>
        <v>Residential/Non-Residential - BHPSD - Appliance Recycling_Appliance Recycling :- Customer Incentives_Refrigerator Recycling - Residential</v>
      </c>
      <c r="E43" s="241" t="str">
        <f t="shared" si="3"/>
        <v>Residential_Appliance Recycling_Appliance Recycling_Refrigerator Recycle</v>
      </c>
      <c r="F43" s="241" t="str">
        <f>INDEX('VDSM MAPPING'!E:E,MATCH($D43,'VDSM MAPPING'!$A:$A,0))</f>
        <v>Residential</v>
      </c>
      <c r="G43" s="241" t="str">
        <f>INDEX('VDSM MAPPING'!F:F,MATCH($D43,'VDSM MAPPING'!$A:$A,0))</f>
        <v>Appliance Recycling</v>
      </c>
      <c r="H43" s="241" t="str">
        <f>INDEX('VDSM MAPPING'!G:G,MATCH($D43,'VDSM MAPPING'!$A:$A,0))</f>
        <v>Appliance Recycling</v>
      </c>
      <c r="I43" s="241" t="str">
        <f>INDEX('VDSM MAPPING'!H:H,MATCH($D43,'VDSM MAPPING'!$A:$A,0))</f>
        <v>Refrigerator Recycle</v>
      </c>
      <c r="J43" s="240" t="str">
        <f t="shared" si="4"/>
        <v/>
      </c>
      <c r="K43" s="240" t="str">
        <f t="shared" si="5"/>
        <v/>
      </c>
      <c r="L43" s="240" t="b">
        <f t="shared" si="6"/>
        <v>0</v>
      </c>
      <c r="M43" s="240" t="b">
        <f t="shared" si="7"/>
        <v>0</v>
      </c>
      <c r="N43" s="204" t="s">
        <v>289</v>
      </c>
      <c r="O43" s="204" t="s">
        <v>2967</v>
      </c>
      <c r="P43" s="350">
        <v>1</v>
      </c>
      <c r="Q43" s="204" t="s">
        <v>2967</v>
      </c>
      <c r="R43" s="204" t="s">
        <v>2966</v>
      </c>
      <c r="S43" s="204" t="s">
        <v>2965</v>
      </c>
      <c r="T43" s="204" t="s">
        <v>2964</v>
      </c>
      <c r="V43" s="204" t="s">
        <v>2963</v>
      </c>
      <c r="W43" s="204" t="s">
        <v>329</v>
      </c>
      <c r="X43" s="204" t="s">
        <v>297</v>
      </c>
      <c r="Y43" s="204" t="s">
        <v>328</v>
      </c>
      <c r="Z43" s="204" t="s">
        <v>1820</v>
      </c>
      <c r="AA43" s="204" t="s">
        <v>1819</v>
      </c>
      <c r="AB43" s="204" t="s">
        <v>329</v>
      </c>
      <c r="AC43" s="204" t="s">
        <v>297</v>
      </c>
      <c r="AD43" s="204" t="s">
        <v>599</v>
      </c>
      <c r="AE43" s="204" t="s">
        <v>1818</v>
      </c>
      <c r="AG43" s="204" t="s">
        <v>2917</v>
      </c>
      <c r="AH43" s="204" t="s">
        <v>2916</v>
      </c>
      <c r="AV43" s="204" t="s">
        <v>2962</v>
      </c>
      <c r="AX43" s="204">
        <v>1</v>
      </c>
      <c r="AY43" s="204">
        <v>0</v>
      </c>
      <c r="AZ43" s="204">
        <v>0.14699999999999999</v>
      </c>
      <c r="BB43" s="204">
        <v>1289</v>
      </c>
      <c r="BH43" s="204">
        <v>0</v>
      </c>
      <c r="BI43" s="204">
        <v>50</v>
      </c>
      <c r="BJ43" s="204">
        <v>42949</v>
      </c>
      <c r="BK43" s="204">
        <v>42837.444085879601</v>
      </c>
      <c r="BL43" s="204" t="s">
        <v>293</v>
      </c>
      <c r="BM43" s="204" t="s">
        <v>2961</v>
      </c>
      <c r="BN43" s="269">
        <f t="shared" si="8"/>
        <v>1289</v>
      </c>
      <c r="BO43" s="269">
        <f t="shared" si="9"/>
        <v>50</v>
      </c>
      <c r="BP43" s="269">
        <f>INDEX('App Data Outliers'!$M:$M,MATCH($E43,'App Data Outliers'!$A:$A,0))</f>
        <v>1289</v>
      </c>
      <c r="BQ43" s="269">
        <f>INDEX('App Data Outliers'!$N:$N,MATCH($E43,'App Data Outliers'!$A:$A,0))</f>
        <v>0</v>
      </c>
      <c r="BR43" s="269">
        <f>INDEX('App Data Outliers'!$S:$S,MATCH($E43,'App Data Outliers'!$A:$A,0))</f>
        <v>50</v>
      </c>
      <c r="BS43" s="269">
        <f>INDEX('App Data Outliers'!$T:$T,MATCH($E43,'App Data Outliers'!$A:$A,0))</f>
        <v>0</v>
      </c>
    </row>
    <row r="44" spans="1:71" s="204" customFormat="1" hidden="1">
      <c r="A44" s="241">
        <v>40</v>
      </c>
      <c r="B44" s="241" t="str">
        <f t="shared" si="0"/>
        <v>Residential/Non-Residential - BHPSD - Appliance Recycling</v>
      </c>
      <c r="C44" s="241" t="b">
        <f t="shared" si="1"/>
        <v>1</v>
      </c>
      <c r="D44" s="241" t="str">
        <f t="shared" si="2"/>
        <v>Residential/Non-Residential - BHPSD - Appliance Recycling_Appliance Recycling :- Customer Incentives_Refrigerator Recycling - Residential</v>
      </c>
      <c r="E44" s="241" t="str">
        <f t="shared" si="3"/>
        <v>Residential_Appliance Recycling_Appliance Recycling_Refrigerator Recycle</v>
      </c>
      <c r="F44" s="241" t="str">
        <f>INDEX('VDSM MAPPING'!E:E,MATCH($D44,'VDSM MAPPING'!$A:$A,0))</f>
        <v>Residential</v>
      </c>
      <c r="G44" s="241" t="str">
        <f>INDEX('VDSM MAPPING'!F:F,MATCH($D44,'VDSM MAPPING'!$A:$A,0))</f>
        <v>Appliance Recycling</v>
      </c>
      <c r="H44" s="241" t="str">
        <f>INDEX('VDSM MAPPING'!G:G,MATCH($D44,'VDSM MAPPING'!$A:$A,0))</f>
        <v>Appliance Recycling</v>
      </c>
      <c r="I44" s="241" t="str">
        <f>INDEX('VDSM MAPPING'!H:H,MATCH($D44,'VDSM MAPPING'!$A:$A,0))</f>
        <v>Refrigerator Recycle</v>
      </c>
      <c r="J44" s="240" t="str">
        <f t="shared" si="4"/>
        <v/>
      </c>
      <c r="K44" s="240" t="str">
        <f t="shared" si="5"/>
        <v/>
      </c>
      <c r="L44" s="240" t="b">
        <f t="shared" si="6"/>
        <v>0</v>
      </c>
      <c r="M44" s="240" t="b">
        <f t="shared" si="7"/>
        <v>0</v>
      </c>
      <c r="N44" s="204" t="s">
        <v>289</v>
      </c>
      <c r="O44" s="204" t="s">
        <v>2960</v>
      </c>
      <c r="P44" s="350">
        <v>1</v>
      </c>
      <c r="Q44" s="204" t="s">
        <v>2960</v>
      </c>
      <c r="R44" s="204" t="s">
        <v>2959</v>
      </c>
      <c r="S44" s="204" t="s">
        <v>2958</v>
      </c>
      <c r="T44" s="204" t="s">
        <v>2957</v>
      </c>
      <c r="V44" s="204" t="s">
        <v>2956</v>
      </c>
      <c r="W44" s="204" t="s">
        <v>329</v>
      </c>
      <c r="X44" s="204" t="s">
        <v>297</v>
      </c>
      <c r="Y44" s="204" t="s">
        <v>397</v>
      </c>
      <c r="Z44" s="204" t="s">
        <v>1820</v>
      </c>
      <c r="AA44" s="204" t="s">
        <v>1819</v>
      </c>
      <c r="AB44" s="204" t="s">
        <v>329</v>
      </c>
      <c r="AC44" s="204" t="s">
        <v>297</v>
      </c>
      <c r="AD44" s="204" t="s">
        <v>599</v>
      </c>
      <c r="AE44" s="204" t="s">
        <v>1818</v>
      </c>
      <c r="AG44" s="204" t="s">
        <v>2917</v>
      </c>
      <c r="AH44" s="204" t="s">
        <v>2916</v>
      </c>
      <c r="AV44" s="204" t="s">
        <v>2955</v>
      </c>
      <c r="AX44" s="204">
        <v>1</v>
      </c>
      <c r="AY44" s="204">
        <v>0</v>
      </c>
      <c r="AZ44" s="204">
        <v>0.14699999999999999</v>
      </c>
      <c r="BB44" s="204">
        <v>1289</v>
      </c>
      <c r="BH44" s="204">
        <v>0</v>
      </c>
      <c r="BI44" s="204">
        <v>50</v>
      </c>
      <c r="BJ44" s="204">
        <v>42949</v>
      </c>
      <c r="BK44" s="204">
        <v>42863.720060613399</v>
      </c>
      <c r="BL44" s="204" t="s">
        <v>293</v>
      </c>
      <c r="BM44" s="204" t="s">
        <v>2954</v>
      </c>
      <c r="BN44" s="269">
        <f t="shared" si="8"/>
        <v>1289</v>
      </c>
      <c r="BO44" s="269">
        <f t="shared" si="9"/>
        <v>50</v>
      </c>
      <c r="BP44" s="269">
        <f>INDEX('App Data Outliers'!$M:$M,MATCH($E44,'App Data Outliers'!$A:$A,0))</f>
        <v>1289</v>
      </c>
      <c r="BQ44" s="269">
        <f>INDEX('App Data Outliers'!$N:$N,MATCH($E44,'App Data Outliers'!$A:$A,0))</f>
        <v>0</v>
      </c>
      <c r="BR44" s="269">
        <f>INDEX('App Data Outliers'!$S:$S,MATCH($E44,'App Data Outliers'!$A:$A,0))</f>
        <v>50</v>
      </c>
      <c r="BS44" s="269">
        <f>INDEX('App Data Outliers'!$T:$T,MATCH($E44,'App Data Outliers'!$A:$A,0))</f>
        <v>0</v>
      </c>
    </row>
    <row r="45" spans="1:71" s="204" customFormat="1" hidden="1">
      <c r="A45" s="241">
        <v>41</v>
      </c>
      <c r="B45" s="241" t="str">
        <f t="shared" si="0"/>
        <v>Residential/Non-Residential - BHPSD - Appliance Recycling</v>
      </c>
      <c r="C45" s="241" t="b">
        <f t="shared" si="1"/>
        <v>1</v>
      </c>
      <c r="D45" s="241" t="str">
        <f t="shared" si="2"/>
        <v>Residential/Non-Residential - BHPSD - Appliance Recycling_Appliance Recycling :- Customer Incentives_Refrigerator Recycling - Residential</v>
      </c>
      <c r="E45" s="241" t="str">
        <f t="shared" si="3"/>
        <v>Residential_Appliance Recycling_Appliance Recycling_Refrigerator Recycle</v>
      </c>
      <c r="F45" s="241" t="str">
        <f>INDEX('VDSM MAPPING'!E:E,MATCH($D45,'VDSM MAPPING'!$A:$A,0))</f>
        <v>Residential</v>
      </c>
      <c r="G45" s="241" t="str">
        <f>INDEX('VDSM MAPPING'!F:F,MATCH($D45,'VDSM MAPPING'!$A:$A,0))</f>
        <v>Appliance Recycling</v>
      </c>
      <c r="H45" s="241" t="str">
        <f>INDEX('VDSM MAPPING'!G:G,MATCH($D45,'VDSM MAPPING'!$A:$A,0))</f>
        <v>Appliance Recycling</v>
      </c>
      <c r="I45" s="241" t="str">
        <f>INDEX('VDSM MAPPING'!H:H,MATCH($D45,'VDSM MAPPING'!$A:$A,0))</f>
        <v>Refrigerator Recycle</v>
      </c>
      <c r="J45" s="240" t="str">
        <f t="shared" si="4"/>
        <v/>
      </c>
      <c r="K45" s="240" t="str">
        <f t="shared" si="5"/>
        <v/>
      </c>
      <c r="L45" s="240" t="b">
        <f t="shared" si="6"/>
        <v>0</v>
      </c>
      <c r="M45" s="240" t="b">
        <f t="shared" si="7"/>
        <v>0</v>
      </c>
      <c r="N45" s="204" t="s">
        <v>289</v>
      </c>
      <c r="O45" s="204" t="s">
        <v>2953</v>
      </c>
      <c r="P45" s="350">
        <v>1</v>
      </c>
      <c r="Q45" s="204" t="s">
        <v>2953</v>
      </c>
      <c r="R45" s="204" t="s">
        <v>2952</v>
      </c>
      <c r="S45" s="204" t="s">
        <v>2951</v>
      </c>
      <c r="T45" s="204" t="s">
        <v>2950</v>
      </c>
      <c r="V45" s="204" t="s">
        <v>2949</v>
      </c>
      <c r="W45" s="204" t="s">
        <v>329</v>
      </c>
      <c r="X45" s="204" t="s">
        <v>297</v>
      </c>
      <c r="Y45" s="204" t="s">
        <v>328</v>
      </c>
      <c r="Z45" s="204" t="s">
        <v>1820</v>
      </c>
      <c r="AA45" s="204" t="s">
        <v>1819</v>
      </c>
      <c r="AB45" s="204" t="s">
        <v>329</v>
      </c>
      <c r="AC45" s="204" t="s">
        <v>297</v>
      </c>
      <c r="AD45" s="204" t="s">
        <v>599</v>
      </c>
      <c r="AE45" s="204" t="s">
        <v>1818</v>
      </c>
      <c r="AG45" s="204" t="s">
        <v>2917</v>
      </c>
      <c r="AH45" s="204" t="s">
        <v>2916</v>
      </c>
      <c r="AV45" s="204" t="s">
        <v>2948</v>
      </c>
      <c r="AX45" s="204">
        <v>1</v>
      </c>
      <c r="AY45" s="204">
        <v>0</v>
      </c>
      <c r="AZ45" s="204">
        <v>0.14699999999999999</v>
      </c>
      <c r="BB45" s="204">
        <v>1289</v>
      </c>
      <c r="BH45" s="204">
        <v>0</v>
      </c>
      <c r="BI45" s="204">
        <v>50</v>
      </c>
      <c r="BJ45" s="204">
        <v>42888</v>
      </c>
      <c r="BK45" s="204">
        <v>42877.436355127298</v>
      </c>
      <c r="BL45" s="204" t="s">
        <v>293</v>
      </c>
      <c r="BM45" s="204" t="s">
        <v>2947</v>
      </c>
      <c r="BN45" s="269">
        <f t="shared" si="8"/>
        <v>1289</v>
      </c>
      <c r="BO45" s="269">
        <f t="shared" si="9"/>
        <v>50</v>
      </c>
      <c r="BP45" s="269">
        <f>INDEX('App Data Outliers'!$M:$M,MATCH($E45,'App Data Outliers'!$A:$A,0))</f>
        <v>1289</v>
      </c>
      <c r="BQ45" s="269">
        <f>INDEX('App Data Outliers'!$N:$N,MATCH($E45,'App Data Outliers'!$A:$A,0))</f>
        <v>0</v>
      </c>
      <c r="BR45" s="269">
        <f>INDEX('App Data Outliers'!$S:$S,MATCH($E45,'App Data Outliers'!$A:$A,0))</f>
        <v>50</v>
      </c>
      <c r="BS45" s="269">
        <f>INDEX('App Data Outliers'!$T:$T,MATCH($E45,'App Data Outliers'!$A:$A,0))</f>
        <v>0</v>
      </c>
    </row>
    <row r="46" spans="1:71" s="204" customFormat="1" hidden="1">
      <c r="A46" s="241">
        <v>42</v>
      </c>
      <c r="B46" s="241" t="str">
        <f t="shared" si="0"/>
        <v>Residential/Non-Residential - BHPSD - Appliance Recycling</v>
      </c>
      <c r="C46" s="241" t="b">
        <f t="shared" si="1"/>
        <v>1</v>
      </c>
      <c r="D46" s="241" t="str">
        <f t="shared" si="2"/>
        <v>Residential/Non-Residential - BHPSD - Appliance Recycling_Appliance Recycling :- Customer Incentives_Refrigerator Recycling - Residential</v>
      </c>
      <c r="E46" s="241" t="str">
        <f t="shared" si="3"/>
        <v>Residential_Appliance Recycling_Appliance Recycling_Refrigerator Recycle</v>
      </c>
      <c r="F46" s="241" t="str">
        <f>INDEX('VDSM MAPPING'!E:E,MATCH($D46,'VDSM MAPPING'!$A:$A,0))</f>
        <v>Residential</v>
      </c>
      <c r="G46" s="241" t="str">
        <f>INDEX('VDSM MAPPING'!F:F,MATCH($D46,'VDSM MAPPING'!$A:$A,0))</f>
        <v>Appliance Recycling</v>
      </c>
      <c r="H46" s="241" t="str">
        <f>INDEX('VDSM MAPPING'!G:G,MATCH($D46,'VDSM MAPPING'!$A:$A,0))</f>
        <v>Appliance Recycling</v>
      </c>
      <c r="I46" s="241" t="str">
        <f>INDEX('VDSM MAPPING'!H:H,MATCH($D46,'VDSM MAPPING'!$A:$A,0))</f>
        <v>Refrigerator Recycle</v>
      </c>
      <c r="J46" s="240" t="str">
        <f t="shared" si="4"/>
        <v/>
      </c>
      <c r="K46" s="240" t="str">
        <f t="shared" si="5"/>
        <v/>
      </c>
      <c r="L46" s="240" t="b">
        <f t="shared" si="6"/>
        <v>0</v>
      </c>
      <c r="M46" s="240" t="b">
        <f t="shared" si="7"/>
        <v>0</v>
      </c>
      <c r="N46" s="204" t="s">
        <v>289</v>
      </c>
      <c r="O46" s="204" t="s">
        <v>2946</v>
      </c>
      <c r="P46" s="350">
        <v>1</v>
      </c>
      <c r="Q46" s="204" t="s">
        <v>2946</v>
      </c>
      <c r="R46" s="204" t="s">
        <v>2945</v>
      </c>
      <c r="S46" s="204" t="s">
        <v>2944</v>
      </c>
      <c r="T46" s="204" t="s">
        <v>2943</v>
      </c>
      <c r="V46" s="204" t="s">
        <v>2942</v>
      </c>
      <c r="W46" s="204" t="s">
        <v>329</v>
      </c>
      <c r="X46" s="204" t="s">
        <v>297</v>
      </c>
      <c r="Y46" s="204" t="s">
        <v>397</v>
      </c>
      <c r="Z46" s="204" t="s">
        <v>2919</v>
      </c>
      <c r="AA46" s="204" t="s">
        <v>1819</v>
      </c>
      <c r="AB46" s="204" t="s">
        <v>329</v>
      </c>
      <c r="AC46" s="204" t="s">
        <v>297</v>
      </c>
      <c r="AD46" s="204" t="s">
        <v>599</v>
      </c>
      <c r="AE46" s="204" t="s">
        <v>1818</v>
      </c>
      <c r="AF46" s="204" t="s">
        <v>2918</v>
      </c>
      <c r="AG46" s="204" t="s">
        <v>2917</v>
      </c>
      <c r="AH46" s="204" t="s">
        <v>2916</v>
      </c>
      <c r="AV46" s="204" t="s">
        <v>2941</v>
      </c>
      <c r="AX46" s="204">
        <v>1</v>
      </c>
      <c r="AY46" s="204">
        <v>0</v>
      </c>
      <c r="AZ46" s="204">
        <v>0.14699999999999999</v>
      </c>
      <c r="BB46" s="204">
        <v>1289</v>
      </c>
      <c r="BH46" s="204">
        <v>0</v>
      </c>
      <c r="BI46" s="204">
        <v>50</v>
      </c>
      <c r="BJ46" s="204">
        <v>42956</v>
      </c>
      <c r="BK46" s="204">
        <v>42893.432260960602</v>
      </c>
      <c r="BL46" s="204" t="s">
        <v>293</v>
      </c>
      <c r="BM46" s="204" t="s">
        <v>2940</v>
      </c>
      <c r="BN46" s="269">
        <f t="shared" si="8"/>
        <v>1289</v>
      </c>
      <c r="BO46" s="269">
        <f t="shared" si="9"/>
        <v>50</v>
      </c>
      <c r="BP46" s="269">
        <f>INDEX('App Data Outliers'!$M:$M,MATCH($E46,'App Data Outliers'!$A:$A,0))</f>
        <v>1289</v>
      </c>
      <c r="BQ46" s="269">
        <f>INDEX('App Data Outliers'!$N:$N,MATCH($E46,'App Data Outliers'!$A:$A,0))</f>
        <v>0</v>
      </c>
      <c r="BR46" s="269">
        <f>INDEX('App Data Outliers'!$S:$S,MATCH($E46,'App Data Outliers'!$A:$A,0))</f>
        <v>50</v>
      </c>
      <c r="BS46" s="269">
        <f>INDEX('App Data Outliers'!$T:$T,MATCH($E46,'App Data Outliers'!$A:$A,0))</f>
        <v>0</v>
      </c>
    </row>
    <row r="47" spans="1:71" s="204" customFormat="1" hidden="1">
      <c r="A47" s="241">
        <v>43</v>
      </c>
      <c r="B47" s="241" t="str">
        <f t="shared" si="0"/>
        <v>Residential/Non-Residential - BHPSD - Appliance Recycling</v>
      </c>
      <c r="C47" s="241" t="b">
        <f t="shared" si="1"/>
        <v>1</v>
      </c>
      <c r="D47" s="241" t="str">
        <f t="shared" si="2"/>
        <v>Residential/Non-Residential - BHPSD - Appliance Recycling_Appliance Recycling :- Customer Incentives_Freezer Recycling - Residential</v>
      </c>
      <c r="E47" s="241" t="str">
        <f t="shared" si="3"/>
        <v>Residential_Appliance Recycling_Appliance Recycling_Freezer Recycle</v>
      </c>
      <c r="F47" s="241" t="str">
        <f>INDEX('VDSM MAPPING'!E:E,MATCH($D47,'VDSM MAPPING'!$A:$A,0))</f>
        <v>Residential</v>
      </c>
      <c r="G47" s="241" t="str">
        <f>INDEX('VDSM MAPPING'!F:F,MATCH($D47,'VDSM MAPPING'!$A:$A,0))</f>
        <v>Appliance Recycling</v>
      </c>
      <c r="H47" s="241" t="str">
        <f>INDEX('VDSM MAPPING'!G:G,MATCH($D47,'VDSM MAPPING'!$A:$A,0))</f>
        <v>Appliance Recycling</v>
      </c>
      <c r="I47" s="241" t="str">
        <f>INDEX('VDSM MAPPING'!H:H,MATCH($D47,'VDSM MAPPING'!$A:$A,0))</f>
        <v>Freezer Recycle</v>
      </c>
      <c r="J47" s="240" t="str">
        <f t="shared" si="4"/>
        <v/>
      </c>
      <c r="K47" s="240" t="str">
        <f t="shared" si="5"/>
        <v/>
      </c>
      <c r="L47" s="240" t="b">
        <f t="shared" si="6"/>
        <v>0</v>
      </c>
      <c r="M47" s="240" t="b">
        <f t="shared" si="7"/>
        <v>0</v>
      </c>
      <c r="N47" s="204" t="s">
        <v>289</v>
      </c>
      <c r="O47" s="204" t="s">
        <v>2939</v>
      </c>
      <c r="P47" s="350">
        <v>1</v>
      </c>
      <c r="Q47" s="204" t="s">
        <v>2939</v>
      </c>
      <c r="R47" s="204" t="s">
        <v>2938</v>
      </c>
      <c r="S47" s="204" t="s">
        <v>2937</v>
      </c>
      <c r="T47" s="204" t="s">
        <v>2936</v>
      </c>
      <c r="V47" s="204" t="s">
        <v>2935</v>
      </c>
      <c r="W47" s="204" t="s">
        <v>730</v>
      </c>
      <c r="X47" s="204" t="s">
        <v>297</v>
      </c>
      <c r="Y47" s="204" t="s">
        <v>729</v>
      </c>
      <c r="Z47" s="204" t="s">
        <v>1820</v>
      </c>
      <c r="AA47" s="204" t="s">
        <v>1819</v>
      </c>
      <c r="AB47" s="204" t="s">
        <v>329</v>
      </c>
      <c r="AC47" s="204" t="s">
        <v>297</v>
      </c>
      <c r="AD47" s="204" t="s">
        <v>599</v>
      </c>
      <c r="AE47" s="204" t="s">
        <v>1818</v>
      </c>
      <c r="AG47" s="204" t="s">
        <v>2917</v>
      </c>
      <c r="AH47" s="204" t="s">
        <v>2934</v>
      </c>
      <c r="AV47" s="204" t="s">
        <v>2933</v>
      </c>
      <c r="AX47" s="204">
        <v>1</v>
      </c>
      <c r="AY47" s="204">
        <v>0</v>
      </c>
      <c r="AZ47" s="204">
        <v>0.126</v>
      </c>
      <c r="BB47" s="204">
        <v>1105</v>
      </c>
      <c r="BH47" s="204">
        <v>0</v>
      </c>
      <c r="BI47" s="204">
        <v>50</v>
      </c>
      <c r="BJ47" s="204">
        <v>42956</v>
      </c>
      <c r="BK47" s="204">
        <v>42909.677866168997</v>
      </c>
      <c r="BL47" s="204" t="s">
        <v>293</v>
      </c>
      <c r="BM47" s="204" t="s">
        <v>2932</v>
      </c>
      <c r="BN47" s="269">
        <f t="shared" si="8"/>
        <v>1105</v>
      </c>
      <c r="BO47" s="269">
        <f t="shared" si="9"/>
        <v>50</v>
      </c>
      <c r="BP47" s="269">
        <f>INDEX('App Data Outliers'!$M:$M,MATCH($E47,'App Data Outliers'!$A:$A,0))</f>
        <v>1105</v>
      </c>
      <c r="BQ47" s="269">
        <f>INDEX('App Data Outliers'!$N:$N,MATCH($E47,'App Data Outliers'!$A:$A,0))</f>
        <v>0</v>
      </c>
      <c r="BR47" s="269">
        <f>INDEX('App Data Outliers'!$S:$S,MATCH($E47,'App Data Outliers'!$A:$A,0))</f>
        <v>50</v>
      </c>
      <c r="BS47" s="269">
        <f>INDEX('App Data Outliers'!$T:$T,MATCH($E47,'App Data Outliers'!$A:$A,0))</f>
        <v>0</v>
      </c>
    </row>
    <row r="48" spans="1:71" s="204" customFormat="1" hidden="1">
      <c r="A48" s="241">
        <v>44</v>
      </c>
      <c r="B48" s="241" t="str">
        <f t="shared" si="0"/>
        <v>Residential/Non-Residential - BHPSD - Appliance Recycling</v>
      </c>
      <c r="C48" s="241" t="b">
        <f t="shared" si="1"/>
        <v>1</v>
      </c>
      <c r="D48" s="241" t="str">
        <f t="shared" si="2"/>
        <v>Residential/Non-Residential - BHPSD - Appliance Recycling_Appliance Recycling :- Customer Incentives_Refrigerator Recycling - Residential</v>
      </c>
      <c r="E48" s="241" t="str">
        <f t="shared" si="3"/>
        <v>Residential_Appliance Recycling_Appliance Recycling_Refrigerator Recycle</v>
      </c>
      <c r="F48" s="241" t="str">
        <f>INDEX('VDSM MAPPING'!E:E,MATCH($D48,'VDSM MAPPING'!$A:$A,0))</f>
        <v>Residential</v>
      </c>
      <c r="G48" s="241" t="str">
        <f>INDEX('VDSM MAPPING'!F:F,MATCH($D48,'VDSM MAPPING'!$A:$A,0))</f>
        <v>Appliance Recycling</v>
      </c>
      <c r="H48" s="241" t="str">
        <f>INDEX('VDSM MAPPING'!G:G,MATCH($D48,'VDSM MAPPING'!$A:$A,0))</f>
        <v>Appliance Recycling</v>
      </c>
      <c r="I48" s="241" t="str">
        <f>INDEX('VDSM MAPPING'!H:H,MATCH($D48,'VDSM MAPPING'!$A:$A,0))</f>
        <v>Refrigerator Recycle</v>
      </c>
      <c r="J48" s="240" t="str">
        <f t="shared" si="4"/>
        <v/>
      </c>
      <c r="K48" s="240" t="str">
        <f t="shared" si="5"/>
        <v/>
      </c>
      <c r="L48" s="240" t="b">
        <f t="shared" si="6"/>
        <v>0</v>
      </c>
      <c r="M48" s="240" t="b">
        <f t="shared" si="7"/>
        <v>0</v>
      </c>
      <c r="N48" s="204" t="s">
        <v>289</v>
      </c>
      <c r="O48" s="204" t="s">
        <v>2931</v>
      </c>
      <c r="P48" s="350">
        <v>1</v>
      </c>
      <c r="Q48" s="204" t="s">
        <v>2931</v>
      </c>
      <c r="R48" s="204" t="s">
        <v>2930</v>
      </c>
      <c r="S48" s="204" t="s">
        <v>2929</v>
      </c>
      <c r="T48" s="204" t="s">
        <v>2928</v>
      </c>
      <c r="V48" s="204" t="s">
        <v>2927</v>
      </c>
      <c r="W48" s="204" t="s">
        <v>329</v>
      </c>
      <c r="X48" s="204" t="s">
        <v>297</v>
      </c>
      <c r="Y48" s="204" t="s">
        <v>328</v>
      </c>
      <c r="Z48" s="204" t="s">
        <v>2919</v>
      </c>
      <c r="AA48" s="204" t="s">
        <v>1819</v>
      </c>
      <c r="AB48" s="204" t="s">
        <v>329</v>
      </c>
      <c r="AC48" s="204" t="s">
        <v>297</v>
      </c>
      <c r="AD48" s="204" t="s">
        <v>599</v>
      </c>
      <c r="AE48" s="204" t="s">
        <v>1818</v>
      </c>
      <c r="AF48" s="204" t="s">
        <v>2918</v>
      </c>
      <c r="AG48" s="204" t="s">
        <v>2917</v>
      </c>
      <c r="AH48" s="204" t="s">
        <v>2916</v>
      </c>
      <c r="AV48" s="204" t="s">
        <v>2926</v>
      </c>
      <c r="AX48" s="204">
        <v>1</v>
      </c>
      <c r="AY48" s="204">
        <v>0</v>
      </c>
      <c r="AZ48" s="204">
        <v>0.14699999999999999</v>
      </c>
      <c r="BB48" s="204">
        <v>1289</v>
      </c>
      <c r="BH48" s="204">
        <v>0</v>
      </c>
      <c r="BI48" s="204">
        <v>50</v>
      </c>
      <c r="BJ48" s="204">
        <v>42956</v>
      </c>
      <c r="BK48" s="204">
        <v>42926.743472685201</v>
      </c>
      <c r="BL48" s="204" t="s">
        <v>293</v>
      </c>
      <c r="BM48" s="204" t="s">
        <v>2925</v>
      </c>
      <c r="BN48" s="269">
        <f t="shared" si="8"/>
        <v>1289</v>
      </c>
      <c r="BO48" s="269">
        <f t="shared" si="9"/>
        <v>50</v>
      </c>
      <c r="BP48" s="269">
        <f>INDEX('App Data Outliers'!$M:$M,MATCH($E48,'App Data Outliers'!$A:$A,0))</f>
        <v>1289</v>
      </c>
      <c r="BQ48" s="269">
        <f>INDEX('App Data Outliers'!$N:$N,MATCH($E48,'App Data Outliers'!$A:$A,0))</f>
        <v>0</v>
      </c>
      <c r="BR48" s="269">
        <f>INDEX('App Data Outliers'!$S:$S,MATCH($E48,'App Data Outliers'!$A:$A,0))</f>
        <v>50</v>
      </c>
      <c r="BS48" s="269">
        <f>INDEX('App Data Outliers'!$T:$T,MATCH($E48,'App Data Outliers'!$A:$A,0))</f>
        <v>0</v>
      </c>
    </row>
    <row r="49" spans="1:71" s="204" customFormat="1" hidden="1">
      <c r="A49" s="241">
        <v>45</v>
      </c>
      <c r="B49" s="241" t="str">
        <f t="shared" si="0"/>
        <v>Residential/Non-Residential - BHPSD - Appliance Recycling</v>
      </c>
      <c r="C49" s="241" t="b">
        <f t="shared" si="1"/>
        <v>1</v>
      </c>
      <c r="D49" s="241" t="str">
        <f t="shared" si="2"/>
        <v>Residential/Non-Residential - BHPSD - Appliance Recycling_Appliance Recycling :- Customer Incentives_Refrigerator Recycling - Residential</v>
      </c>
      <c r="E49" s="241" t="str">
        <f t="shared" si="3"/>
        <v>Residential_Appliance Recycling_Appliance Recycling_Refrigerator Recycle</v>
      </c>
      <c r="F49" s="241" t="str">
        <f>INDEX('VDSM MAPPING'!E:E,MATCH($D49,'VDSM MAPPING'!$A:$A,0))</f>
        <v>Residential</v>
      </c>
      <c r="G49" s="241" t="str">
        <f>INDEX('VDSM MAPPING'!F:F,MATCH($D49,'VDSM MAPPING'!$A:$A,0))</f>
        <v>Appliance Recycling</v>
      </c>
      <c r="H49" s="241" t="str">
        <f>INDEX('VDSM MAPPING'!G:G,MATCH($D49,'VDSM MAPPING'!$A:$A,0))</f>
        <v>Appliance Recycling</v>
      </c>
      <c r="I49" s="241" t="str">
        <f>INDEX('VDSM MAPPING'!H:H,MATCH($D49,'VDSM MAPPING'!$A:$A,0))</f>
        <v>Refrigerator Recycle</v>
      </c>
      <c r="J49" s="240" t="str">
        <f t="shared" si="4"/>
        <v/>
      </c>
      <c r="K49" s="240" t="str">
        <f t="shared" si="5"/>
        <v/>
      </c>
      <c r="L49" s="240" t="b">
        <f t="shared" si="6"/>
        <v>0</v>
      </c>
      <c r="M49" s="240" t="b">
        <f t="shared" si="7"/>
        <v>0</v>
      </c>
      <c r="N49" s="204" t="s">
        <v>289</v>
      </c>
      <c r="O49" s="204" t="s">
        <v>2924</v>
      </c>
      <c r="P49" s="350">
        <v>1</v>
      </c>
      <c r="Q49" s="204" t="s">
        <v>2924</v>
      </c>
      <c r="R49" s="204" t="s">
        <v>2923</v>
      </c>
      <c r="S49" s="204" t="s">
        <v>2922</v>
      </c>
      <c r="T49" s="204" t="s">
        <v>2921</v>
      </c>
      <c r="V49" s="204" t="s">
        <v>2920</v>
      </c>
      <c r="W49" s="204" t="s">
        <v>329</v>
      </c>
      <c r="X49" s="204" t="s">
        <v>297</v>
      </c>
      <c r="Y49" s="204" t="s">
        <v>328</v>
      </c>
      <c r="Z49" s="204" t="s">
        <v>2919</v>
      </c>
      <c r="AA49" s="204" t="s">
        <v>1819</v>
      </c>
      <c r="AB49" s="204" t="s">
        <v>329</v>
      </c>
      <c r="AC49" s="204" t="s">
        <v>297</v>
      </c>
      <c r="AD49" s="204" t="s">
        <v>599</v>
      </c>
      <c r="AE49" s="204" t="s">
        <v>1818</v>
      </c>
      <c r="AF49" s="204" t="s">
        <v>2918</v>
      </c>
      <c r="AG49" s="204" t="s">
        <v>2917</v>
      </c>
      <c r="AH49" s="204" t="s">
        <v>2916</v>
      </c>
      <c r="AV49" s="204" t="s">
        <v>2915</v>
      </c>
      <c r="AX49" s="204">
        <v>1</v>
      </c>
      <c r="AY49" s="204">
        <v>0</v>
      </c>
      <c r="AZ49" s="204">
        <v>0.14699999999999999</v>
      </c>
      <c r="BB49" s="204">
        <v>1289</v>
      </c>
      <c r="BH49" s="204">
        <v>0</v>
      </c>
      <c r="BI49" s="204">
        <v>50</v>
      </c>
      <c r="BJ49" s="204">
        <v>42956</v>
      </c>
      <c r="BK49" s="204">
        <v>42937.741820833297</v>
      </c>
      <c r="BL49" s="204" t="s">
        <v>293</v>
      </c>
      <c r="BM49" s="204" t="s">
        <v>2914</v>
      </c>
      <c r="BN49" s="269">
        <f t="shared" si="8"/>
        <v>1289</v>
      </c>
      <c r="BO49" s="269">
        <f t="shared" si="9"/>
        <v>50</v>
      </c>
      <c r="BP49" s="269">
        <f>INDEX('App Data Outliers'!$M:$M,MATCH($E49,'App Data Outliers'!$A:$A,0))</f>
        <v>1289</v>
      </c>
      <c r="BQ49" s="269">
        <f>INDEX('App Data Outliers'!$N:$N,MATCH($E49,'App Data Outliers'!$A:$A,0))</f>
        <v>0</v>
      </c>
      <c r="BR49" s="269">
        <f>INDEX('App Data Outliers'!$S:$S,MATCH($E49,'App Data Outliers'!$A:$A,0))</f>
        <v>50</v>
      </c>
      <c r="BS49" s="269">
        <f>INDEX('App Data Outliers'!$T:$T,MATCH($E49,'App Data Outliers'!$A:$A,0))</f>
        <v>0</v>
      </c>
    </row>
    <row r="50" spans="1:71" s="204" customFormat="1" hidden="1">
      <c r="A50" s="241">
        <v>46</v>
      </c>
      <c r="B50" s="241" t="str">
        <f t="shared" si="0"/>
        <v>Non-Residential - BHPSD - C/I Custom</v>
      </c>
      <c r="C50" s="241" t="b">
        <f t="shared" si="1"/>
        <v>0</v>
      </c>
      <c r="D50" s="241" t="str">
        <f t="shared" si="2"/>
        <v>Non-Residential - BHPSD - C/I Custom__</v>
      </c>
      <c r="E50" s="241">
        <f t="shared" si="3"/>
        <v>0</v>
      </c>
      <c r="F50" s="241" t="e">
        <f>INDEX('VDSM MAPPING'!E:E,MATCH($D50,'VDSM MAPPING'!$A:$A,0))</f>
        <v>#N/A</v>
      </c>
      <c r="G50" s="241" t="e">
        <f>INDEX('VDSM MAPPING'!F:F,MATCH($D50,'VDSM MAPPING'!$A:$A,0))</f>
        <v>#N/A</v>
      </c>
      <c r="H50" s="241" t="e">
        <f>INDEX('VDSM MAPPING'!G:G,MATCH($D50,'VDSM MAPPING'!$A:$A,0))</f>
        <v>#N/A</v>
      </c>
      <c r="I50" s="241" t="e">
        <f>INDEX('VDSM MAPPING'!H:H,MATCH($D50,'VDSM MAPPING'!$A:$A,0))</f>
        <v>#N/A</v>
      </c>
      <c r="J50" s="240" t="str">
        <f t="shared" si="4"/>
        <v/>
      </c>
      <c r="K50" s="240" t="str">
        <f t="shared" si="5"/>
        <v/>
      </c>
      <c r="L50" s="240" t="b">
        <f t="shared" si="6"/>
        <v>0</v>
      </c>
      <c r="M50" s="240" t="b">
        <f t="shared" si="7"/>
        <v>0</v>
      </c>
      <c r="N50" s="204" t="s">
        <v>2913</v>
      </c>
      <c r="O50" s="204">
        <v>48</v>
      </c>
      <c r="P50" s="350">
        <v>1</v>
      </c>
      <c r="Q50" s="204" t="s">
        <v>289</v>
      </c>
      <c r="R50" s="204" t="s">
        <v>289</v>
      </c>
      <c r="S50" s="204" t="s">
        <v>289</v>
      </c>
      <c r="T50" s="204" t="s">
        <v>289</v>
      </c>
      <c r="U50" s="204" t="s">
        <v>289</v>
      </c>
      <c r="V50" s="204" t="s">
        <v>289</v>
      </c>
      <c r="W50" s="204" t="s">
        <v>289</v>
      </c>
      <c r="X50" s="204" t="s">
        <v>289</v>
      </c>
      <c r="Y50" s="204" t="s">
        <v>289</v>
      </c>
      <c r="Z50" s="204" t="s">
        <v>289</v>
      </c>
      <c r="AA50" s="204" t="s">
        <v>289</v>
      </c>
      <c r="AB50" s="204" t="s">
        <v>289</v>
      </c>
      <c r="AC50" s="204" t="s">
        <v>289</v>
      </c>
      <c r="AD50" s="204" t="s">
        <v>289</v>
      </c>
      <c r="AE50" s="204" t="s">
        <v>289</v>
      </c>
      <c r="AF50" s="204" t="s">
        <v>289</v>
      </c>
      <c r="AG50" s="204" t="s">
        <v>289</v>
      </c>
      <c r="AH50" s="204" t="s">
        <v>289</v>
      </c>
      <c r="AI50" s="204" t="s">
        <v>289</v>
      </c>
      <c r="AJ50" s="204" t="s">
        <v>289</v>
      </c>
      <c r="AK50" s="204" t="s">
        <v>289</v>
      </c>
      <c r="AL50" s="204" t="s">
        <v>289</v>
      </c>
      <c r="AM50" s="204" t="s">
        <v>289</v>
      </c>
      <c r="AN50" s="204" t="s">
        <v>289</v>
      </c>
      <c r="AO50" s="204" t="s">
        <v>289</v>
      </c>
      <c r="AP50" s="204" t="s">
        <v>289</v>
      </c>
      <c r="AQ50" s="204" t="s">
        <v>289</v>
      </c>
      <c r="AR50" s="204" t="s">
        <v>289</v>
      </c>
      <c r="AS50" s="204" t="s">
        <v>289</v>
      </c>
      <c r="AT50" s="204" t="s">
        <v>289</v>
      </c>
      <c r="AU50" s="204" t="s">
        <v>289</v>
      </c>
      <c r="AV50" s="204" t="s">
        <v>289</v>
      </c>
      <c r="AW50" s="204" t="s">
        <v>289</v>
      </c>
      <c r="AX50" s="204">
        <v>1220</v>
      </c>
      <c r="AY50" s="204">
        <v>0</v>
      </c>
      <c r="AZ50" s="204">
        <v>493.85037</v>
      </c>
      <c r="BB50" s="204">
        <v>2011742.5374</v>
      </c>
      <c r="BH50" s="204">
        <v>0</v>
      </c>
      <c r="BI50" s="204">
        <v>212345.44996</v>
      </c>
      <c r="BJ50" s="204" t="s">
        <v>289</v>
      </c>
      <c r="BM50" s="204" t="s">
        <v>289</v>
      </c>
      <c r="BN50" s="269">
        <f t="shared" si="8"/>
        <v>1648.9692929508196</v>
      </c>
      <c r="BO50" s="269">
        <f t="shared" si="9"/>
        <v>174.05364750819672</v>
      </c>
      <c r="BP50" s="269" t="e">
        <f>INDEX('App Data Outliers'!$M:$M,MATCH($E50,'App Data Outliers'!$A:$A,0))</f>
        <v>#N/A</v>
      </c>
      <c r="BQ50" s="269" t="e">
        <f>INDEX('App Data Outliers'!$N:$N,MATCH($E50,'App Data Outliers'!$A:$A,0))</f>
        <v>#N/A</v>
      </c>
      <c r="BR50" s="269" t="e">
        <f>INDEX('App Data Outliers'!$S:$S,MATCH($E50,'App Data Outliers'!$A:$A,0))</f>
        <v>#N/A</v>
      </c>
      <c r="BS50" s="269" t="e">
        <f>INDEX('App Data Outliers'!$T:$T,MATCH($E50,'App Data Outliers'!$A:$A,0))</f>
        <v>#N/A</v>
      </c>
    </row>
    <row r="51" spans="1:71" s="204" customFormat="1" hidden="1">
      <c r="A51" s="241">
        <v>47</v>
      </c>
      <c r="B51" s="241" t="str">
        <f t="shared" si="0"/>
        <v>Non-Residential - BHPSD - C/I Custom</v>
      </c>
      <c r="C51" s="241" t="b">
        <f t="shared" si="1"/>
        <v>1</v>
      </c>
      <c r="D51" s="241" t="str">
        <f t="shared" si="2"/>
        <v>Non-Residential - BHPSD - C/I Custom_C&amp;I Custom Rebate :- Customer Incentives_Other Commercial</v>
      </c>
      <c r="E51" s="241" t="str">
        <f t="shared" si="3"/>
        <v>C&amp;I_C&amp;I Custom_Various_C&amp;I Custom</v>
      </c>
      <c r="F51" s="241" t="str">
        <f>INDEX('VDSM MAPPING'!E:E,MATCH($D51,'VDSM MAPPING'!$A:$A,0))</f>
        <v>C&amp;I</v>
      </c>
      <c r="G51" s="241" t="str">
        <f>INDEX('VDSM MAPPING'!F:F,MATCH($D51,'VDSM MAPPING'!$A:$A,0))</f>
        <v>C&amp;I Custom</v>
      </c>
      <c r="H51" s="241" t="str">
        <f>INDEX('VDSM MAPPING'!G:G,MATCH($D51,'VDSM MAPPING'!$A:$A,0))</f>
        <v>Various</v>
      </c>
      <c r="I51" s="241" t="str">
        <f>INDEX('VDSM MAPPING'!H:H,MATCH($D51,'VDSM MAPPING'!$A:$A,0))</f>
        <v>C&amp;I Custom</v>
      </c>
      <c r="J51" s="240">
        <f t="shared" si="4"/>
        <v>1.6376213499941922E-2</v>
      </c>
      <c r="K51" s="240">
        <f t="shared" si="5"/>
        <v>6.2660625395625114E-2</v>
      </c>
      <c r="L51" s="240" t="b">
        <f t="shared" si="6"/>
        <v>0</v>
      </c>
      <c r="M51" s="240" t="b">
        <f t="shared" si="7"/>
        <v>0</v>
      </c>
      <c r="N51" s="204" t="s">
        <v>289</v>
      </c>
      <c r="O51" s="204" t="s">
        <v>2912</v>
      </c>
      <c r="P51" s="350">
        <v>1</v>
      </c>
      <c r="Q51" s="204" t="s">
        <v>2912</v>
      </c>
      <c r="R51" s="204" t="s">
        <v>2911</v>
      </c>
      <c r="S51" s="204" t="s">
        <v>2910</v>
      </c>
      <c r="T51" s="204" t="s">
        <v>2910</v>
      </c>
      <c r="U51" s="204" t="s">
        <v>2910</v>
      </c>
      <c r="V51" s="204" t="s">
        <v>2909</v>
      </c>
      <c r="W51" s="204" t="s">
        <v>320</v>
      </c>
      <c r="X51" s="204" t="s">
        <v>297</v>
      </c>
      <c r="Y51" s="204" t="s">
        <v>319</v>
      </c>
      <c r="Z51" s="204" t="s">
        <v>2908</v>
      </c>
      <c r="AA51" s="204" t="s">
        <v>2907</v>
      </c>
      <c r="AB51" s="204" t="s">
        <v>320</v>
      </c>
      <c r="AC51" s="204" t="s">
        <v>297</v>
      </c>
      <c r="AD51" s="204" t="s">
        <v>319</v>
      </c>
      <c r="AE51" s="204" t="s">
        <v>2906</v>
      </c>
      <c r="AF51" s="204" t="s">
        <v>2905</v>
      </c>
      <c r="AG51" s="204" t="s">
        <v>2675</v>
      </c>
      <c r="AH51" s="204" t="s">
        <v>2674</v>
      </c>
      <c r="AI51" s="204" t="s">
        <v>2127</v>
      </c>
      <c r="AJ51" s="204" t="s">
        <v>2126</v>
      </c>
      <c r="AK51" s="204" t="s">
        <v>2885</v>
      </c>
      <c r="AL51" s="204" t="s">
        <v>2127</v>
      </c>
      <c r="AX51" s="204">
        <v>1</v>
      </c>
      <c r="AY51" s="204">
        <v>0</v>
      </c>
      <c r="AZ51" s="204">
        <v>1.34</v>
      </c>
      <c r="BB51" s="204">
        <v>2680</v>
      </c>
      <c r="BH51" s="204">
        <v>0</v>
      </c>
      <c r="BI51" s="204">
        <v>600</v>
      </c>
      <c r="BJ51" s="204">
        <v>42619</v>
      </c>
      <c r="BK51" s="204">
        <v>42619.763930752299</v>
      </c>
      <c r="BL51" s="204" t="s">
        <v>293</v>
      </c>
      <c r="BM51" s="204" t="s">
        <v>2904</v>
      </c>
      <c r="BN51" s="269">
        <f t="shared" si="8"/>
        <v>2680</v>
      </c>
      <c r="BO51" s="269">
        <f t="shared" si="9"/>
        <v>600</v>
      </c>
      <c r="BP51" s="269">
        <f>INDEX('App Data Outliers'!$M:$M,MATCH($E51,'App Data Outliers'!$A:$A,0))</f>
        <v>1648.9692929508194</v>
      </c>
      <c r="BQ51" s="269">
        <f>INDEX('App Data Outliers'!$N:$N,MATCH($E51,'App Data Outliers'!$A:$A,0))</f>
        <v>62959.041603410769</v>
      </c>
      <c r="BR51" s="269">
        <f>INDEX('App Data Outliers'!$S:$S,MATCH($E51,'App Data Outliers'!$A:$A,0))</f>
        <v>174.05364750819672</v>
      </c>
      <c r="BS51" s="269">
        <f>INDEX('App Data Outliers'!$T:$T,MATCH($E51,'App Data Outliers'!$A:$A,0))</f>
        <v>6797.6715808767258</v>
      </c>
    </row>
    <row r="52" spans="1:71" s="204" customFormat="1" hidden="1">
      <c r="A52" s="241">
        <v>48</v>
      </c>
      <c r="B52" s="241" t="str">
        <f t="shared" si="0"/>
        <v>Non-Residential - BHPSD - C/I Custom</v>
      </c>
      <c r="C52" s="241" t="b">
        <f t="shared" si="1"/>
        <v>1</v>
      </c>
      <c r="D52" s="241" t="str">
        <f t="shared" si="2"/>
        <v>Non-Residential - BHPSD - C/I Custom_C&amp;I Custom Rebate :- Customer Incentives_Other Commercial</v>
      </c>
      <c r="E52" s="241" t="str">
        <f t="shared" si="3"/>
        <v>C&amp;I_C&amp;I Custom_Various_C&amp;I Custom</v>
      </c>
      <c r="F52" s="241" t="str">
        <f>INDEX('VDSM MAPPING'!E:E,MATCH($D52,'VDSM MAPPING'!$A:$A,0))</f>
        <v>C&amp;I</v>
      </c>
      <c r="G52" s="241" t="str">
        <f>INDEX('VDSM MAPPING'!F:F,MATCH($D52,'VDSM MAPPING'!$A:$A,0))</f>
        <v>C&amp;I Custom</v>
      </c>
      <c r="H52" s="241" t="str">
        <f>INDEX('VDSM MAPPING'!G:G,MATCH($D52,'VDSM MAPPING'!$A:$A,0))</f>
        <v>Various</v>
      </c>
      <c r="I52" s="241" t="str">
        <f>INDEX('VDSM MAPPING'!H:H,MATCH($D52,'VDSM MAPPING'!$A:$A,0))</f>
        <v>C&amp;I Custom</v>
      </c>
      <c r="J52" s="240">
        <f t="shared" si="4"/>
        <v>0.38388498445217495</v>
      </c>
      <c r="K52" s="240">
        <f t="shared" si="5"/>
        <v>0.48927729339681358</v>
      </c>
      <c r="L52" s="240" t="b">
        <f t="shared" si="6"/>
        <v>0</v>
      </c>
      <c r="M52" s="240" t="b">
        <f t="shared" si="7"/>
        <v>0</v>
      </c>
      <c r="N52" s="204" t="s">
        <v>289</v>
      </c>
      <c r="O52" s="204" t="s">
        <v>2903</v>
      </c>
      <c r="P52" s="350">
        <v>1</v>
      </c>
      <c r="Q52" s="204" t="s">
        <v>2903</v>
      </c>
      <c r="R52" s="204" t="s">
        <v>2902</v>
      </c>
      <c r="S52" s="204" t="s">
        <v>2901</v>
      </c>
      <c r="T52" s="204" t="s">
        <v>2901</v>
      </c>
      <c r="U52" s="204" t="s">
        <v>2901</v>
      </c>
      <c r="V52" s="204" t="s">
        <v>2900</v>
      </c>
      <c r="W52" s="204" t="s">
        <v>531</v>
      </c>
      <c r="X52" s="204" t="s">
        <v>297</v>
      </c>
      <c r="Y52" s="204" t="s">
        <v>530</v>
      </c>
      <c r="Z52" s="204" t="s">
        <v>601</v>
      </c>
      <c r="AA52" s="204" t="s">
        <v>600</v>
      </c>
      <c r="AB52" s="204" t="s">
        <v>329</v>
      </c>
      <c r="AC52" s="204" t="s">
        <v>297</v>
      </c>
      <c r="AD52" s="204" t="s">
        <v>599</v>
      </c>
      <c r="AE52" s="204" t="s">
        <v>598</v>
      </c>
      <c r="AG52" s="204" t="s">
        <v>2675</v>
      </c>
      <c r="AH52" s="204" t="s">
        <v>2674</v>
      </c>
      <c r="AI52" s="204" t="s">
        <v>2127</v>
      </c>
      <c r="AJ52" s="204" t="s">
        <v>2126</v>
      </c>
      <c r="AK52" s="204" t="s">
        <v>2673</v>
      </c>
      <c r="AX52" s="204">
        <v>1</v>
      </c>
      <c r="AY52" s="204">
        <v>0</v>
      </c>
      <c r="AZ52" s="204">
        <v>0</v>
      </c>
      <c r="BB52" s="204">
        <v>25818</v>
      </c>
      <c r="BH52" s="204">
        <v>0</v>
      </c>
      <c r="BI52" s="204">
        <v>3500</v>
      </c>
      <c r="BJ52" s="204">
        <v>42629</v>
      </c>
      <c r="BK52" s="204">
        <v>42629.4936606134</v>
      </c>
      <c r="BL52" s="204" t="s">
        <v>293</v>
      </c>
      <c r="BM52" s="204" t="s">
        <v>2899</v>
      </c>
      <c r="BN52" s="269">
        <f t="shared" si="8"/>
        <v>25818</v>
      </c>
      <c r="BO52" s="269">
        <f t="shared" si="9"/>
        <v>3500</v>
      </c>
      <c r="BP52" s="269">
        <f>INDEX('App Data Outliers'!$M:$M,MATCH($E52,'App Data Outliers'!$A:$A,0))</f>
        <v>1648.9692929508194</v>
      </c>
      <c r="BQ52" s="269">
        <f>INDEX('App Data Outliers'!$N:$N,MATCH($E52,'App Data Outliers'!$A:$A,0))</f>
        <v>62959.041603410769</v>
      </c>
      <c r="BR52" s="269">
        <f>INDEX('App Data Outliers'!$S:$S,MATCH($E52,'App Data Outliers'!$A:$A,0))</f>
        <v>174.05364750819672</v>
      </c>
      <c r="BS52" s="269">
        <f>INDEX('App Data Outliers'!$T:$T,MATCH($E52,'App Data Outliers'!$A:$A,0))</f>
        <v>6797.6715808767258</v>
      </c>
    </row>
    <row r="53" spans="1:71" s="204" customFormat="1" hidden="1">
      <c r="A53" s="241">
        <v>49</v>
      </c>
      <c r="B53" s="241" t="str">
        <f t="shared" si="0"/>
        <v>Non-Residential - BHPSD - C/I Custom</v>
      </c>
      <c r="C53" s="241" t="b">
        <f t="shared" si="1"/>
        <v>1</v>
      </c>
      <c r="D53" s="241" t="str">
        <f t="shared" si="2"/>
        <v>Non-Residential - BHPSD - C/I Custom_C&amp;I Custom Rebate :- Customer Incentives_Other Commercial</v>
      </c>
      <c r="E53" s="241" t="str">
        <f t="shared" si="3"/>
        <v>C&amp;I_C&amp;I Custom_Various_C&amp;I Custom</v>
      </c>
      <c r="F53" s="241" t="str">
        <f>INDEX('VDSM MAPPING'!E:E,MATCH($D53,'VDSM MAPPING'!$A:$A,0))</f>
        <v>C&amp;I</v>
      </c>
      <c r="G53" s="241" t="str">
        <f>INDEX('VDSM MAPPING'!F:F,MATCH($D53,'VDSM MAPPING'!$A:$A,0))</f>
        <v>C&amp;I Custom</v>
      </c>
      <c r="H53" s="241" t="str">
        <f>INDEX('VDSM MAPPING'!G:G,MATCH($D53,'VDSM MAPPING'!$A:$A,0))</f>
        <v>Various</v>
      </c>
      <c r="I53" s="241" t="str">
        <f>INDEX('VDSM MAPPING'!H:H,MATCH($D53,'VDSM MAPPING'!$A:$A,0))</f>
        <v>C&amp;I Custom</v>
      </c>
      <c r="J53" s="240">
        <f t="shared" si="4"/>
        <v>-1.4723370453920654E-2</v>
      </c>
      <c r="K53" s="240">
        <f t="shared" si="5"/>
        <v>-6.1864782680149536E-3</v>
      </c>
      <c r="L53" s="240" t="b">
        <f t="shared" si="6"/>
        <v>0</v>
      </c>
      <c r="M53" s="240" t="b">
        <f t="shared" si="7"/>
        <v>0</v>
      </c>
      <c r="N53" s="204" t="s">
        <v>289</v>
      </c>
      <c r="O53" s="204" t="s">
        <v>2898</v>
      </c>
      <c r="P53" s="350">
        <v>1</v>
      </c>
      <c r="Q53" s="204" t="s">
        <v>2898</v>
      </c>
      <c r="R53" s="204" t="s">
        <v>2897</v>
      </c>
      <c r="S53" s="204" t="s">
        <v>2896</v>
      </c>
      <c r="T53" s="204" t="s">
        <v>2896</v>
      </c>
      <c r="U53" s="204" t="s">
        <v>2896</v>
      </c>
      <c r="V53" s="204" t="s">
        <v>2895</v>
      </c>
      <c r="W53" s="204" t="s">
        <v>382</v>
      </c>
      <c r="X53" s="204" t="s">
        <v>297</v>
      </c>
      <c r="Y53" s="204" t="s">
        <v>381</v>
      </c>
      <c r="Z53" s="204" t="s">
        <v>2211</v>
      </c>
      <c r="AA53" s="204" t="s">
        <v>2210</v>
      </c>
      <c r="AB53" s="204" t="s">
        <v>298</v>
      </c>
      <c r="AC53" s="204" t="s">
        <v>297</v>
      </c>
      <c r="AD53" s="204" t="s">
        <v>296</v>
      </c>
      <c r="AE53" s="204" t="s">
        <v>2209</v>
      </c>
      <c r="AF53" s="204" t="s">
        <v>2208</v>
      </c>
      <c r="AG53" s="204" t="s">
        <v>2675</v>
      </c>
      <c r="AH53" s="204" t="s">
        <v>2674</v>
      </c>
      <c r="AI53" s="204" t="s">
        <v>2202</v>
      </c>
      <c r="AJ53" s="204" t="s">
        <v>2126</v>
      </c>
      <c r="AK53" s="204" t="s">
        <v>2673</v>
      </c>
      <c r="AX53" s="204">
        <v>1</v>
      </c>
      <c r="AY53" s="204">
        <v>0</v>
      </c>
      <c r="AZ53" s="204">
        <v>0.39</v>
      </c>
      <c r="BB53" s="204">
        <v>722</v>
      </c>
      <c r="BH53" s="204">
        <v>0</v>
      </c>
      <c r="BI53" s="204">
        <v>132</v>
      </c>
      <c r="BJ53" s="204">
        <v>42651</v>
      </c>
      <c r="BK53" s="204">
        <v>42651.623066168999</v>
      </c>
      <c r="BL53" s="204" t="s">
        <v>293</v>
      </c>
      <c r="BM53" s="204" t="s">
        <v>2894</v>
      </c>
      <c r="BN53" s="269">
        <f t="shared" si="8"/>
        <v>722</v>
      </c>
      <c r="BO53" s="269">
        <f t="shared" si="9"/>
        <v>132</v>
      </c>
      <c r="BP53" s="269">
        <f>INDEX('App Data Outliers'!$M:$M,MATCH($E53,'App Data Outliers'!$A:$A,0))</f>
        <v>1648.9692929508194</v>
      </c>
      <c r="BQ53" s="269">
        <f>INDEX('App Data Outliers'!$N:$N,MATCH($E53,'App Data Outliers'!$A:$A,0))</f>
        <v>62959.041603410769</v>
      </c>
      <c r="BR53" s="269">
        <f>INDEX('App Data Outliers'!$S:$S,MATCH($E53,'App Data Outliers'!$A:$A,0))</f>
        <v>174.05364750819672</v>
      </c>
      <c r="BS53" s="269">
        <f>INDEX('App Data Outliers'!$T:$T,MATCH($E53,'App Data Outliers'!$A:$A,0))</f>
        <v>6797.6715808767258</v>
      </c>
    </row>
    <row r="54" spans="1:71" s="204" customFormat="1" hidden="1">
      <c r="A54" s="241">
        <v>50</v>
      </c>
      <c r="B54" s="241" t="str">
        <f t="shared" si="0"/>
        <v>Non-Residential - BHPSD - C/I Custom</v>
      </c>
      <c r="C54" s="241" t="b">
        <f t="shared" si="1"/>
        <v>1</v>
      </c>
      <c r="D54" s="241" t="str">
        <f t="shared" si="2"/>
        <v>Non-Residential - BHPSD - C/I Custom_C&amp;I Custom Rebate :- Customer Incentives_Other Commercial</v>
      </c>
      <c r="E54" s="241" t="str">
        <f t="shared" si="3"/>
        <v>C&amp;I_C&amp;I Custom_Various_C&amp;I Custom</v>
      </c>
      <c r="F54" s="241" t="str">
        <f>INDEX('VDSM MAPPING'!E:E,MATCH($D54,'VDSM MAPPING'!$A:$A,0))</f>
        <v>C&amp;I</v>
      </c>
      <c r="G54" s="241" t="str">
        <f>INDEX('VDSM MAPPING'!F:F,MATCH($D54,'VDSM MAPPING'!$A:$A,0))</f>
        <v>C&amp;I Custom</v>
      </c>
      <c r="H54" s="241" t="str">
        <f>INDEX('VDSM MAPPING'!G:G,MATCH($D54,'VDSM MAPPING'!$A:$A,0))</f>
        <v>Various</v>
      </c>
      <c r="I54" s="241" t="str">
        <f>INDEX('VDSM MAPPING'!H:H,MATCH($D54,'VDSM MAPPING'!$A:$A,0))</f>
        <v>C&amp;I Custom</v>
      </c>
      <c r="J54" s="240">
        <f t="shared" si="4"/>
        <v>4.3099612668238088</v>
      </c>
      <c r="K54" s="240">
        <f t="shared" si="5"/>
        <v>3.6521250044401072</v>
      </c>
      <c r="L54" s="240" t="b">
        <f t="shared" si="6"/>
        <v>1</v>
      </c>
      <c r="M54" s="240" t="b">
        <f t="shared" si="7"/>
        <v>1</v>
      </c>
      <c r="N54" s="204" t="s">
        <v>289</v>
      </c>
      <c r="O54" s="204" t="s">
        <v>2893</v>
      </c>
      <c r="P54" s="350">
        <v>1</v>
      </c>
      <c r="Q54" s="204" t="s">
        <v>2893</v>
      </c>
      <c r="R54" s="204" t="s">
        <v>2892</v>
      </c>
      <c r="S54" s="204" t="s">
        <v>2891</v>
      </c>
      <c r="T54" s="204" t="s">
        <v>2891</v>
      </c>
      <c r="U54" s="204" t="s">
        <v>2891</v>
      </c>
      <c r="V54" s="204" t="s">
        <v>849</v>
      </c>
      <c r="W54" s="204" t="s">
        <v>329</v>
      </c>
      <c r="X54" s="204" t="s">
        <v>297</v>
      </c>
      <c r="Y54" s="204" t="s">
        <v>848</v>
      </c>
      <c r="Z54" s="204" t="s">
        <v>601</v>
      </c>
      <c r="AA54" s="204" t="s">
        <v>600</v>
      </c>
      <c r="AB54" s="204" t="s">
        <v>329</v>
      </c>
      <c r="AC54" s="204" t="s">
        <v>297</v>
      </c>
      <c r="AD54" s="204" t="s">
        <v>599</v>
      </c>
      <c r="AE54" s="204" t="s">
        <v>598</v>
      </c>
      <c r="AG54" s="204" t="s">
        <v>2675</v>
      </c>
      <c r="AH54" s="204" t="s">
        <v>2674</v>
      </c>
      <c r="AI54" s="204" t="s">
        <v>2193</v>
      </c>
      <c r="AJ54" s="204" t="s">
        <v>2126</v>
      </c>
      <c r="AK54" s="204" t="s">
        <v>2673</v>
      </c>
      <c r="AX54" s="204">
        <v>1</v>
      </c>
      <c r="AY54" s="204">
        <v>0</v>
      </c>
      <c r="AZ54" s="204">
        <v>75</v>
      </c>
      <c r="BB54" s="204">
        <v>273000</v>
      </c>
      <c r="BH54" s="204">
        <v>0</v>
      </c>
      <c r="BI54" s="204">
        <v>25000</v>
      </c>
      <c r="BJ54" s="204">
        <v>42651</v>
      </c>
      <c r="BK54" s="204">
        <v>42651.672404317098</v>
      </c>
      <c r="BL54" s="204" t="s">
        <v>293</v>
      </c>
      <c r="BM54" s="204" t="s">
        <v>2890</v>
      </c>
      <c r="BN54" s="269">
        <f t="shared" si="8"/>
        <v>273000</v>
      </c>
      <c r="BO54" s="269">
        <f t="shared" si="9"/>
        <v>25000</v>
      </c>
      <c r="BP54" s="269">
        <f>INDEX('App Data Outliers'!$M:$M,MATCH($E54,'App Data Outliers'!$A:$A,0))</f>
        <v>1648.9692929508194</v>
      </c>
      <c r="BQ54" s="269">
        <f>INDEX('App Data Outliers'!$N:$N,MATCH($E54,'App Data Outliers'!$A:$A,0))</f>
        <v>62959.041603410769</v>
      </c>
      <c r="BR54" s="269">
        <f>INDEX('App Data Outliers'!$S:$S,MATCH($E54,'App Data Outliers'!$A:$A,0))</f>
        <v>174.05364750819672</v>
      </c>
      <c r="BS54" s="269">
        <f>INDEX('App Data Outliers'!$T:$T,MATCH($E54,'App Data Outliers'!$A:$A,0))</f>
        <v>6797.6715808767258</v>
      </c>
    </row>
    <row r="55" spans="1:71" s="204" customFormat="1" hidden="1">
      <c r="A55" s="241">
        <v>51</v>
      </c>
      <c r="B55" s="241" t="str">
        <f t="shared" si="0"/>
        <v>Non-Residential - BHPSD - C/I Custom</v>
      </c>
      <c r="C55" s="241" t="b">
        <f t="shared" si="1"/>
        <v>1</v>
      </c>
      <c r="D55" s="241" t="str">
        <f t="shared" si="2"/>
        <v>Non-Residential - BHPSD - C/I Custom_C&amp;I Custom Rebate :- Customer Incentives_Other Commercial</v>
      </c>
      <c r="E55" s="241" t="str">
        <f t="shared" si="3"/>
        <v>C&amp;I_C&amp;I Custom_Various_C&amp;I Custom</v>
      </c>
      <c r="F55" s="241" t="str">
        <f>INDEX('VDSM MAPPING'!E:E,MATCH($D55,'VDSM MAPPING'!$A:$A,0))</f>
        <v>C&amp;I</v>
      </c>
      <c r="G55" s="241" t="str">
        <f>INDEX('VDSM MAPPING'!F:F,MATCH($D55,'VDSM MAPPING'!$A:$A,0))</f>
        <v>C&amp;I Custom</v>
      </c>
      <c r="H55" s="241" t="str">
        <f>INDEX('VDSM MAPPING'!G:G,MATCH($D55,'VDSM MAPPING'!$A:$A,0))</f>
        <v>Various</v>
      </c>
      <c r="I55" s="241" t="str">
        <f>INDEX('VDSM MAPPING'!H:H,MATCH($D55,'VDSM MAPPING'!$A:$A,0))</f>
        <v>C&amp;I Custom</v>
      </c>
      <c r="J55" s="240">
        <f t="shared" si="4"/>
        <v>-1.7185288489083423E-2</v>
      </c>
      <c r="K55" s="240">
        <f t="shared" si="5"/>
        <v>-7.5840156287085023E-3</v>
      </c>
      <c r="L55" s="240" t="b">
        <f t="shared" si="6"/>
        <v>0</v>
      </c>
      <c r="M55" s="240" t="b">
        <f t="shared" si="7"/>
        <v>0</v>
      </c>
      <c r="N55" s="204" t="s">
        <v>289</v>
      </c>
      <c r="O55" s="204" t="s">
        <v>2889</v>
      </c>
      <c r="P55" s="350">
        <v>1</v>
      </c>
      <c r="Q55" s="204" t="s">
        <v>2889</v>
      </c>
      <c r="R55" s="204" t="s">
        <v>2888</v>
      </c>
      <c r="S55" s="204" t="s">
        <v>2887</v>
      </c>
      <c r="T55" s="204" t="s">
        <v>2887</v>
      </c>
      <c r="U55" s="204" t="s">
        <v>2887</v>
      </c>
      <c r="V55" s="204" t="s">
        <v>2886</v>
      </c>
      <c r="W55" s="204" t="s">
        <v>329</v>
      </c>
      <c r="X55" s="204" t="s">
        <v>297</v>
      </c>
      <c r="Y55" s="204" t="s">
        <v>328</v>
      </c>
      <c r="Z55" s="204" t="s">
        <v>2299</v>
      </c>
      <c r="AA55" s="204" t="s">
        <v>2298</v>
      </c>
      <c r="AB55" s="204" t="s">
        <v>329</v>
      </c>
      <c r="AC55" s="204" t="s">
        <v>297</v>
      </c>
      <c r="AD55" s="204" t="s">
        <v>397</v>
      </c>
      <c r="AE55" s="204" t="s">
        <v>2297</v>
      </c>
      <c r="AG55" s="204" t="s">
        <v>2675</v>
      </c>
      <c r="AH55" s="204" t="s">
        <v>2674</v>
      </c>
      <c r="AI55" s="204" t="s">
        <v>2127</v>
      </c>
      <c r="AJ55" s="204" t="s">
        <v>2126</v>
      </c>
      <c r="AK55" s="204" t="s">
        <v>2885</v>
      </c>
      <c r="AX55" s="204">
        <v>15</v>
      </c>
      <c r="AY55" s="204">
        <v>0</v>
      </c>
      <c r="AZ55" s="204">
        <v>3.3</v>
      </c>
      <c r="BB55" s="204">
        <v>8505</v>
      </c>
      <c r="BH55" s="204">
        <v>0</v>
      </c>
      <c r="BI55" s="204">
        <v>1837.5</v>
      </c>
      <c r="BJ55" s="204">
        <v>42663</v>
      </c>
      <c r="BK55" s="204">
        <v>42663.748231481499</v>
      </c>
      <c r="BL55" s="204" t="s">
        <v>293</v>
      </c>
      <c r="BM55" s="204" t="s">
        <v>2884</v>
      </c>
      <c r="BN55" s="269">
        <f t="shared" si="8"/>
        <v>567</v>
      </c>
      <c r="BO55" s="269">
        <f t="shared" si="9"/>
        <v>122.5</v>
      </c>
      <c r="BP55" s="269">
        <f>INDEX('App Data Outliers'!$M:$M,MATCH($E55,'App Data Outliers'!$A:$A,0))</f>
        <v>1648.9692929508194</v>
      </c>
      <c r="BQ55" s="269">
        <f>INDEX('App Data Outliers'!$N:$N,MATCH($E55,'App Data Outliers'!$A:$A,0))</f>
        <v>62959.041603410769</v>
      </c>
      <c r="BR55" s="269">
        <f>INDEX('App Data Outliers'!$S:$S,MATCH($E55,'App Data Outliers'!$A:$A,0))</f>
        <v>174.05364750819672</v>
      </c>
      <c r="BS55" s="269">
        <f>INDEX('App Data Outliers'!$T:$T,MATCH($E55,'App Data Outliers'!$A:$A,0))</f>
        <v>6797.6715808767258</v>
      </c>
    </row>
    <row r="56" spans="1:71" s="204" customFormat="1" hidden="1">
      <c r="A56" s="241">
        <v>52</v>
      </c>
      <c r="B56" s="241" t="str">
        <f t="shared" si="0"/>
        <v>Non-Residential - BHPSD - C/I Custom</v>
      </c>
      <c r="C56" s="241" t="b">
        <f t="shared" si="1"/>
        <v>1</v>
      </c>
      <c r="D56" s="241" t="str">
        <f t="shared" si="2"/>
        <v>Non-Residential - BHPSD - C/I Custom_C&amp;I Custom Rebate :- Customer Incentives_Other Commercial</v>
      </c>
      <c r="E56" s="241" t="str">
        <f t="shared" si="3"/>
        <v>C&amp;I_C&amp;I Custom_Various_C&amp;I Custom</v>
      </c>
      <c r="F56" s="241" t="str">
        <f>INDEX('VDSM MAPPING'!E:E,MATCH($D56,'VDSM MAPPING'!$A:$A,0))</f>
        <v>C&amp;I</v>
      </c>
      <c r="G56" s="241" t="str">
        <f>INDEX('VDSM MAPPING'!F:F,MATCH($D56,'VDSM MAPPING'!$A:$A,0))</f>
        <v>C&amp;I Custom</v>
      </c>
      <c r="H56" s="241" t="str">
        <f>INDEX('VDSM MAPPING'!G:G,MATCH($D56,'VDSM MAPPING'!$A:$A,0))</f>
        <v>Various</v>
      </c>
      <c r="I56" s="241" t="str">
        <f>INDEX('VDSM MAPPING'!H:H,MATCH($D56,'VDSM MAPPING'!$A:$A,0))</f>
        <v>C&amp;I Custom</v>
      </c>
      <c r="J56" s="240">
        <f t="shared" si="4"/>
        <v>1.9622762284925936</v>
      </c>
      <c r="K56" s="240">
        <f t="shared" si="5"/>
        <v>1.6293735613310241</v>
      </c>
      <c r="L56" s="240" t="b">
        <f t="shared" si="6"/>
        <v>0</v>
      </c>
      <c r="M56" s="240" t="b">
        <f t="shared" si="7"/>
        <v>0</v>
      </c>
      <c r="N56" s="204" t="s">
        <v>289</v>
      </c>
      <c r="O56" s="204" t="s">
        <v>2883</v>
      </c>
      <c r="P56" s="350">
        <v>1</v>
      </c>
      <c r="Q56" s="204" t="s">
        <v>2883</v>
      </c>
      <c r="R56" s="204" t="s">
        <v>2882</v>
      </c>
      <c r="S56" s="204" t="s">
        <v>2881</v>
      </c>
      <c r="T56" s="204" t="s">
        <v>2881</v>
      </c>
      <c r="U56" s="204" t="s">
        <v>2881</v>
      </c>
      <c r="V56" s="204" t="s">
        <v>2880</v>
      </c>
      <c r="W56" s="204" t="s">
        <v>480</v>
      </c>
      <c r="X56" s="204" t="s">
        <v>297</v>
      </c>
      <c r="Y56" s="204" t="s">
        <v>479</v>
      </c>
      <c r="Z56" s="204" t="s">
        <v>2237</v>
      </c>
      <c r="AA56" s="204" t="s">
        <v>2236</v>
      </c>
      <c r="AB56" s="204" t="s">
        <v>1252</v>
      </c>
      <c r="AC56" s="204" t="s">
        <v>297</v>
      </c>
      <c r="AD56" s="204" t="s">
        <v>1251</v>
      </c>
      <c r="AE56" s="204" t="s">
        <v>2235</v>
      </c>
      <c r="AG56" s="204" t="s">
        <v>2675</v>
      </c>
      <c r="AH56" s="204" t="s">
        <v>2674</v>
      </c>
      <c r="AI56" s="204" t="s">
        <v>2127</v>
      </c>
      <c r="AJ56" s="204" t="s">
        <v>2126</v>
      </c>
      <c r="AK56" s="204" t="s">
        <v>2706</v>
      </c>
      <c r="AX56" s="204">
        <v>1</v>
      </c>
      <c r="AY56" s="204">
        <v>0</v>
      </c>
      <c r="AZ56" s="204">
        <v>10.78</v>
      </c>
      <c r="BB56" s="204">
        <v>125192</v>
      </c>
      <c r="BH56" s="204">
        <v>0</v>
      </c>
      <c r="BI56" s="204">
        <v>11250</v>
      </c>
      <c r="BJ56" s="204">
        <v>42739</v>
      </c>
      <c r="BK56" s="204">
        <v>42678.650670289397</v>
      </c>
      <c r="BL56" s="204" t="s">
        <v>293</v>
      </c>
      <c r="BM56" s="204" t="s">
        <v>2879</v>
      </c>
      <c r="BN56" s="269">
        <f t="shared" si="8"/>
        <v>125192</v>
      </c>
      <c r="BO56" s="269">
        <f t="shared" si="9"/>
        <v>11250</v>
      </c>
      <c r="BP56" s="269">
        <f>INDEX('App Data Outliers'!$M:$M,MATCH($E56,'App Data Outliers'!$A:$A,0))</f>
        <v>1648.9692929508194</v>
      </c>
      <c r="BQ56" s="269">
        <f>INDEX('App Data Outliers'!$N:$N,MATCH($E56,'App Data Outliers'!$A:$A,0))</f>
        <v>62959.041603410769</v>
      </c>
      <c r="BR56" s="269">
        <f>INDEX('App Data Outliers'!$S:$S,MATCH($E56,'App Data Outliers'!$A:$A,0))</f>
        <v>174.05364750819672</v>
      </c>
      <c r="BS56" s="269">
        <f>INDEX('App Data Outliers'!$T:$T,MATCH($E56,'App Data Outliers'!$A:$A,0))</f>
        <v>6797.6715808767258</v>
      </c>
    </row>
    <row r="57" spans="1:71" s="204" customFormat="1" hidden="1">
      <c r="A57" s="241">
        <v>53</v>
      </c>
      <c r="B57" s="241" t="str">
        <f t="shared" si="0"/>
        <v>Non-Residential - BHPSD - C/I Custom</v>
      </c>
      <c r="C57" s="241" t="b">
        <f t="shared" si="1"/>
        <v>1</v>
      </c>
      <c r="D57" s="241" t="str">
        <f t="shared" si="2"/>
        <v>Non-Residential - BHPSD - C/I Custom_C&amp;I Custom Rebate :- Customer Incentives_Other Commercial</v>
      </c>
      <c r="E57" s="241" t="str">
        <f t="shared" si="3"/>
        <v>C&amp;I_C&amp;I Custom_Various_C&amp;I Custom</v>
      </c>
      <c r="F57" s="241" t="str">
        <f>INDEX('VDSM MAPPING'!E:E,MATCH($D57,'VDSM MAPPING'!$A:$A,0))</f>
        <v>C&amp;I</v>
      </c>
      <c r="G57" s="241" t="str">
        <f>INDEX('VDSM MAPPING'!F:F,MATCH($D57,'VDSM MAPPING'!$A:$A,0))</f>
        <v>C&amp;I Custom</v>
      </c>
      <c r="H57" s="241" t="str">
        <f>INDEX('VDSM MAPPING'!G:G,MATCH($D57,'VDSM MAPPING'!$A:$A,0))</f>
        <v>Various</v>
      </c>
      <c r="I57" s="241" t="str">
        <f>INDEX('VDSM MAPPING'!H:H,MATCH($D57,'VDSM MAPPING'!$A:$A,0))</f>
        <v>C&amp;I Custom</v>
      </c>
      <c r="J57" s="240">
        <f t="shared" si="4"/>
        <v>-1.8229141735992438E-2</v>
      </c>
      <c r="K57" s="240">
        <f t="shared" si="5"/>
        <v>-2.0539922508317009E-2</v>
      </c>
      <c r="L57" s="240" t="b">
        <f t="shared" si="6"/>
        <v>0</v>
      </c>
      <c r="M57" s="240" t="b">
        <f t="shared" si="7"/>
        <v>0</v>
      </c>
      <c r="N57" s="204" t="s">
        <v>289</v>
      </c>
      <c r="O57" s="204" t="s">
        <v>2877</v>
      </c>
      <c r="P57" s="350">
        <v>1</v>
      </c>
      <c r="Q57" s="204" t="s">
        <v>2877</v>
      </c>
      <c r="R57" s="204" t="s">
        <v>722</v>
      </c>
      <c r="S57" s="204" t="s">
        <v>2573</v>
      </c>
      <c r="T57" s="204" t="s">
        <v>2573</v>
      </c>
      <c r="U57" s="204" t="s">
        <v>658</v>
      </c>
      <c r="V57" s="204" t="s">
        <v>719</v>
      </c>
      <c r="W57" s="204" t="s">
        <v>298</v>
      </c>
      <c r="X57" s="204" t="s">
        <v>297</v>
      </c>
      <c r="Y57" s="204" t="s">
        <v>296</v>
      </c>
      <c r="Z57" s="204" t="s">
        <v>2340</v>
      </c>
      <c r="AA57" s="204" t="s">
        <v>2339</v>
      </c>
      <c r="AB57" s="204" t="s">
        <v>298</v>
      </c>
      <c r="AC57" s="204" t="s">
        <v>297</v>
      </c>
      <c r="AD57" s="204" t="s">
        <v>296</v>
      </c>
      <c r="AE57" s="204" t="s">
        <v>2338</v>
      </c>
      <c r="AG57" s="204" t="s">
        <v>2675</v>
      </c>
      <c r="AH57" s="204" t="s">
        <v>2674</v>
      </c>
      <c r="AI57" s="204" t="s">
        <v>2373</v>
      </c>
      <c r="AJ57" s="204" t="s">
        <v>2126</v>
      </c>
      <c r="AK57" s="204" t="s">
        <v>2673</v>
      </c>
      <c r="AX57" s="204">
        <v>25</v>
      </c>
      <c r="AY57" s="204">
        <v>0</v>
      </c>
      <c r="AZ57" s="204">
        <v>6.0250000000000004</v>
      </c>
      <c r="BB57" s="204">
        <v>12532</v>
      </c>
      <c r="BH57" s="204">
        <v>0</v>
      </c>
      <c r="BI57" s="204">
        <v>860.75</v>
      </c>
      <c r="BJ57" s="204">
        <v>42718</v>
      </c>
      <c r="BK57" s="204">
        <v>42682.559961192099</v>
      </c>
      <c r="BL57" s="204" t="s">
        <v>293</v>
      </c>
      <c r="BM57" s="204" t="s">
        <v>2876</v>
      </c>
      <c r="BN57" s="269">
        <f t="shared" si="8"/>
        <v>501.28</v>
      </c>
      <c r="BO57" s="269">
        <f t="shared" si="9"/>
        <v>34.43</v>
      </c>
      <c r="BP57" s="269">
        <f>INDEX('App Data Outliers'!$M:$M,MATCH($E57,'App Data Outliers'!$A:$A,0))</f>
        <v>1648.9692929508194</v>
      </c>
      <c r="BQ57" s="269">
        <f>INDEX('App Data Outliers'!$N:$N,MATCH($E57,'App Data Outliers'!$A:$A,0))</f>
        <v>62959.041603410769</v>
      </c>
      <c r="BR57" s="269">
        <f>INDEX('App Data Outliers'!$S:$S,MATCH($E57,'App Data Outliers'!$A:$A,0))</f>
        <v>174.05364750819672</v>
      </c>
      <c r="BS57" s="269">
        <f>INDEX('App Data Outliers'!$T:$T,MATCH($E57,'App Data Outliers'!$A:$A,0))</f>
        <v>6797.6715808767258</v>
      </c>
    </row>
    <row r="58" spans="1:71" s="204" customFormat="1" hidden="1">
      <c r="A58" s="241">
        <v>54</v>
      </c>
      <c r="B58" s="241" t="str">
        <f t="shared" si="0"/>
        <v>Non-Residential - BHPSD - C/I Custom</v>
      </c>
      <c r="C58" s="241" t="b">
        <f t="shared" si="1"/>
        <v>1</v>
      </c>
      <c r="D58" s="241" t="str">
        <f t="shared" si="2"/>
        <v>Non-Residential - BHPSD - C/I Custom_C&amp;I Custom Rebate :- Customer Incentives_Other Commercial</v>
      </c>
      <c r="E58" s="241" t="str">
        <f t="shared" si="3"/>
        <v>C&amp;I_C&amp;I Custom_Various_C&amp;I Custom</v>
      </c>
      <c r="F58" s="241" t="str">
        <f>INDEX('VDSM MAPPING'!E:E,MATCH($D58,'VDSM MAPPING'!$A:$A,0))</f>
        <v>C&amp;I</v>
      </c>
      <c r="G58" s="241" t="str">
        <f>INDEX('VDSM MAPPING'!F:F,MATCH($D58,'VDSM MAPPING'!$A:$A,0))</f>
        <v>C&amp;I Custom</v>
      </c>
      <c r="H58" s="241" t="str">
        <f>INDEX('VDSM MAPPING'!G:G,MATCH($D58,'VDSM MAPPING'!$A:$A,0))</f>
        <v>Various</v>
      </c>
      <c r="I58" s="241" t="str">
        <f>INDEX('VDSM MAPPING'!H:H,MATCH($D58,'VDSM MAPPING'!$A:$A,0))</f>
        <v>C&amp;I Custom</v>
      </c>
      <c r="J58" s="240">
        <f t="shared" si="4"/>
        <v>-1.8233589071797892E-2</v>
      </c>
      <c r="K58" s="240">
        <f t="shared" si="5"/>
        <v>-1.3836156452863849E-2</v>
      </c>
      <c r="L58" s="240" t="b">
        <f t="shared" si="6"/>
        <v>0</v>
      </c>
      <c r="M58" s="240" t="b">
        <f t="shared" si="7"/>
        <v>0</v>
      </c>
      <c r="N58" s="204" t="s">
        <v>289</v>
      </c>
      <c r="O58" s="204" t="s">
        <v>2877</v>
      </c>
      <c r="P58" s="350">
        <v>0</v>
      </c>
      <c r="Q58" s="204" t="s">
        <v>2877</v>
      </c>
      <c r="R58" s="204" t="s">
        <v>722</v>
      </c>
      <c r="S58" s="204" t="s">
        <v>2573</v>
      </c>
      <c r="T58" s="204" t="s">
        <v>2573</v>
      </c>
      <c r="U58" s="204" t="s">
        <v>658</v>
      </c>
      <c r="V58" s="204" t="s">
        <v>719</v>
      </c>
      <c r="W58" s="204" t="s">
        <v>298</v>
      </c>
      <c r="X58" s="204" t="s">
        <v>297</v>
      </c>
      <c r="Y58" s="204" t="s">
        <v>296</v>
      </c>
      <c r="Z58" s="204" t="s">
        <v>2340</v>
      </c>
      <c r="AA58" s="204" t="s">
        <v>2339</v>
      </c>
      <c r="AB58" s="204" t="s">
        <v>298</v>
      </c>
      <c r="AC58" s="204" t="s">
        <v>297</v>
      </c>
      <c r="AD58" s="204" t="s">
        <v>296</v>
      </c>
      <c r="AE58" s="204" t="s">
        <v>2338</v>
      </c>
      <c r="AG58" s="204" t="s">
        <v>2675</v>
      </c>
      <c r="AH58" s="204" t="s">
        <v>2674</v>
      </c>
      <c r="AI58" s="204" t="s">
        <v>2373</v>
      </c>
      <c r="AJ58" s="204" t="s">
        <v>2126</v>
      </c>
      <c r="AK58" s="204" t="s">
        <v>2673</v>
      </c>
      <c r="AX58" s="204">
        <v>12</v>
      </c>
      <c r="AY58" s="204">
        <v>0</v>
      </c>
      <c r="AZ58" s="204">
        <v>2.88</v>
      </c>
      <c r="BB58" s="204">
        <v>6012</v>
      </c>
      <c r="BH58" s="204">
        <v>0</v>
      </c>
      <c r="BI58" s="204">
        <v>960</v>
      </c>
      <c r="BJ58" s="204">
        <v>42718</v>
      </c>
      <c r="BK58" s="204">
        <v>42682.559961192099</v>
      </c>
      <c r="BL58" s="204" t="s">
        <v>293</v>
      </c>
      <c r="BM58" s="204" t="s">
        <v>2878</v>
      </c>
      <c r="BN58" s="269">
        <f t="shared" si="8"/>
        <v>501</v>
      </c>
      <c r="BO58" s="269">
        <f t="shared" si="9"/>
        <v>80</v>
      </c>
      <c r="BP58" s="269">
        <f>INDEX('App Data Outliers'!$M:$M,MATCH($E58,'App Data Outliers'!$A:$A,0))</f>
        <v>1648.9692929508194</v>
      </c>
      <c r="BQ58" s="269">
        <f>INDEX('App Data Outliers'!$N:$N,MATCH($E58,'App Data Outliers'!$A:$A,0))</f>
        <v>62959.041603410769</v>
      </c>
      <c r="BR58" s="269">
        <f>INDEX('App Data Outliers'!$S:$S,MATCH($E58,'App Data Outliers'!$A:$A,0))</f>
        <v>174.05364750819672</v>
      </c>
      <c r="BS58" s="269">
        <f>INDEX('App Data Outliers'!$T:$T,MATCH($E58,'App Data Outliers'!$A:$A,0))</f>
        <v>6797.6715808767258</v>
      </c>
    </row>
    <row r="59" spans="1:71" s="204" customFormat="1" hidden="1">
      <c r="A59" s="241">
        <v>55</v>
      </c>
      <c r="B59" s="241" t="str">
        <f t="shared" si="0"/>
        <v>Non-Residential - BHPSD - C/I Custom</v>
      </c>
      <c r="C59" s="241" t="b">
        <f t="shared" si="1"/>
        <v>1</v>
      </c>
      <c r="D59" s="241" t="str">
        <f t="shared" si="2"/>
        <v>Non-Residential - BHPSD - C/I Custom_C&amp;I Custom Rebate :- Customer Incentives_Other Commercial</v>
      </c>
      <c r="E59" s="241" t="str">
        <f t="shared" si="3"/>
        <v>C&amp;I_C&amp;I Custom_Various_C&amp;I Custom</v>
      </c>
      <c r="F59" s="241" t="str">
        <f>INDEX('VDSM MAPPING'!E:E,MATCH($D59,'VDSM MAPPING'!$A:$A,0))</f>
        <v>C&amp;I</v>
      </c>
      <c r="G59" s="241" t="str">
        <f>INDEX('VDSM MAPPING'!F:F,MATCH($D59,'VDSM MAPPING'!$A:$A,0))</f>
        <v>C&amp;I Custom</v>
      </c>
      <c r="H59" s="241" t="str">
        <f>INDEX('VDSM MAPPING'!G:G,MATCH($D59,'VDSM MAPPING'!$A:$A,0))</f>
        <v>Various</v>
      </c>
      <c r="I59" s="241" t="str">
        <f>INDEX('VDSM MAPPING'!H:H,MATCH($D59,'VDSM MAPPING'!$A:$A,0))</f>
        <v>C&amp;I Custom</v>
      </c>
      <c r="J59" s="240">
        <f t="shared" si="4"/>
        <v>-1.4469236979323208E-2</v>
      </c>
      <c r="K59" s="240">
        <f t="shared" si="5"/>
        <v>-2.3030481194268773E-2</v>
      </c>
      <c r="L59" s="240" t="b">
        <f t="shared" si="6"/>
        <v>0</v>
      </c>
      <c r="M59" s="240" t="b">
        <f t="shared" si="7"/>
        <v>0</v>
      </c>
      <c r="N59" s="204" t="s">
        <v>289</v>
      </c>
      <c r="O59" s="204" t="s">
        <v>2875</v>
      </c>
      <c r="P59" s="350">
        <v>1</v>
      </c>
      <c r="Q59" s="204" t="s">
        <v>2875</v>
      </c>
      <c r="R59" s="204" t="s">
        <v>2568</v>
      </c>
      <c r="S59" s="204" t="s">
        <v>2567</v>
      </c>
      <c r="T59" s="204" t="s">
        <v>2567</v>
      </c>
      <c r="U59" s="204" t="s">
        <v>2567</v>
      </c>
      <c r="V59" s="204" t="s">
        <v>2566</v>
      </c>
      <c r="W59" s="204" t="s">
        <v>329</v>
      </c>
      <c r="X59" s="204" t="s">
        <v>297</v>
      </c>
      <c r="Y59" s="204" t="s">
        <v>397</v>
      </c>
      <c r="Z59" s="204" t="s">
        <v>2565</v>
      </c>
      <c r="AA59" s="204" t="s">
        <v>2564</v>
      </c>
      <c r="AB59" s="204" t="s">
        <v>2563</v>
      </c>
      <c r="AC59" s="204" t="s">
        <v>2562</v>
      </c>
      <c r="AD59" s="204" t="s">
        <v>2561</v>
      </c>
      <c r="AE59" s="204" t="s">
        <v>2560</v>
      </c>
      <c r="AG59" s="204" t="s">
        <v>2675</v>
      </c>
      <c r="AH59" s="204" t="s">
        <v>2674</v>
      </c>
      <c r="AI59" s="204" t="s">
        <v>2193</v>
      </c>
      <c r="AJ59" s="204" t="s">
        <v>2126</v>
      </c>
      <c r="AK59" s="204" t="s">
        <v>2673</v>
      </c>
      <c r="AX59" s="204">
        <v>302</v>
      </c>
      <c r="AY59" s="204">
        <v>0</v>
      </c>
      <c r="AZ59" s="204">
        <v>51.34</v>
      </c>
      <c r="BB59" s="204">
        <v>222876</v>
      </c>
      <c r="BH59" s="204">
        <v>0</v>
      </c>
      <c r="BI59" s="204">
        <v>5285</v>
      </c>
      <c r="BJ59" s="204">
        <v>42772</v>
      </c>
      <c r="BK59" s="204">
        <v>42683.777487650499</v>
      </c>
      <c r="BL59" s="204" t="s">
        <v>293</v>
      </c>
      <c r="BM59" s="204" t="s">
        <v>2874</v>
      </c>
      <c r="BN59" s="269">
        <f t="shared" si="8"/>
        <v>738</v>
      </c>
      <c r="BO59" s="269">
        <f t="shared" si="9"/>
        <v>17.5</v>
      </c>
      <c r="BP59" s="269">
        <f>INDEX('App Data Outliers'!$M:$M,MATCH($E59,'App Data Outliers'!$A:$A,0))</f>
        <v>1648.9692929508194</v>
      </c>
      <c r="BQ59" s="269">
        <f>INDEX('App Data Outliers'!$N:$N,MATCH($E59,'App Data Outliers'!$A:$A,0))</f>
        <v>62959.041603410769</v>
      </c>
      <c r="BR59" s="269">
        <f>INDEX('App Data Outliers'!$S:$S,MATCH($E59,'App Data Outliers'!$A:$A,0))</f>
        <v>174.05364750819672</v>
      </c>
      <c r="BS59" s="269">
        <f>INDEX('App Data Outliers'!$T:$T,MATCH($E59,'App Data Outliers'!$A:$A,0))</f>
        <v>6797.6715808767258</v>
      </c>
    </row>
    <row r="60" spans="1:71" s="204" customFormat="1" hidden="1">
      <c r="A60" s="241">
        <v>56</v>
      </c>
      <c r="B60" s="241" t="str">
        <f t="shared" si="0"/>
        <v>Non-Residential - BHPSD - C/I Custom</v>
      </c>
      <c r="C60" s="241" t="b">
        <f t="shared" si="1"/>
        <v>1</v>
      </c>
      <c r="D60" s="241" t="str">
        <f t="shared" si="2"/>
        <v>Non-Residential - BHPSD - C/I Custom_C&amp;I Custom Rebate :- Customer Incentives_Other Commercial</v>
      </c>
      <c r="E60" s="241" t="str">
        <f t="shared" si="3"/>
        <v>C&amp;I_C&amp;I Custom_Various_C&amp;I Custom</v>
      </c>
      <c r="F60" s="241" t="str">
        <f>INDEX('VDSM MAPPING'!E:E,MATCH($D60,'VDSM MAPPING'!$A:$A,0))</f>
        <v>C&amp;I</v>
      </c>
      <c r="G60" s="241" t="str">
        <f>INDEX('VDSM MAPPING'!F:F,MATCH($D60,'VDSM MAPPING'!$A:$A,0))</f>
        <v>C&amp;I Custom</v>
      </c>
      <c r="H60" s="241" t="str">
        <f>INDEX('VDSM MAPPING'!G:G,MATCH($D60,'VDSM MAPPING'!$A:$A,0))</f>
        <v>Various</v>
      </c>
      <c r="I60" s="241" t="str">
        <f>INDEX('VDSM MAPPING'!H:H,MATCH($D60,'VDSM MAPPING'!$A:$A,0))</f>
        <v>C&amp;I Custom</v>
      </c>
      <c r="J60" s="240">
        <f t="shared" si="4"/>
        <v>-5.3839652624644773E-3</v>
      </c>
      <c r="K60" s="240">
        <f t="shared" si="5"/>
        <v>-3.5385127424903354E-3</v>
      </c>
      <c r="L60" s="240" t="b">
        <f t="shared" si="6"/>
        <v>0</v>
      </c>
      <c r="M60" s="240" t="b">
        <f t="shared" si="7"/>
        <v>0</v>
      </c>
      <c r="N60" s="204" t="s">
        <v>289</v>
      </c>
      <c r="O60" s="204" t="s">
        <v>2873</v>
      </c>
      <c r="P60" s="350">
        <v>1</v>
      </c>
      <c r="Q60" s="204" t="s">
        <v>2873</v>
      </c>
      <c r="R60" s="204" t="s">
        <v>2872</v>
      </c>
      <c r="S60" s="204" t="s">
        <v>2871</v>
      </c>
      <c r="T60" s="204" t="s">
        <v>2719</v>
      </c>
      <c r="U60" s="204" t="s">
        <v>2719</v>
      </c>
      <c r="V60" s="204" t="s">
        <v>2870</v>
      </c>
      <c r="W60" s="204" t="s">
        <v>329</v>
      </c>
      <c r="X60" s="204" t="s">
        <v>297</v>
      </c>
      <c r="Y60" s="204" t="s">
        <v>397</v>
      </c>
      <c r="Z60" s="204" t="s">
        <v>2389</v>
      </c>
      <c r="AA60" s="204" t="s">
        <v>2388</v>
      </c>
      <c r="AB60" s="204" t="s">
        <v>329</v>
      </c>
      <c r="AC60" s="204" t="s">
        <v>297</v>
      </c>
      <c r="AD60" s="204" t="s">
        <v>397</v>
      </c>
      <c r="AE60" s="204" t="s">
        <v>2387</v>
      </c>
      <c r="AF60" s="204" t="s">
        <v>2386</v>
      </c>
      <c r="AG60" s="204" t="s">
        <v>2675</v>
      </c>
      <c r="AH60" s="204" t="s">
        <v>2674</v>
      </c>
      <c r="AI60" s="204" t="s">
        <v>2127</v>
      </c>
      <c r="AJ60" s="204" t="s">
        <v>2126</v>
      </c>
      <c r="AK60" s="204" t="s">
        <v>2673</v>
      </c>
      <c r="AX60" s="204">
        <v>16</v>
      </c>
      <c r="AY60" s="204">
        <v>0</v>
      </c>
      <c r="AZ60" s="204">
        <v>5.76</v>
      </c>
      <c r="BB60" s="204">
        <v>20960</v>
      </c>
      <c r="BH60" s="204">
        <v>0</v>
      </c>
      <c r="BI60" s="204">
        <v>2400</v>
      </c>
      <c r="BJ60" s="204">
        <v>42685</v>
      </c>
      <c r="BK60" s="204">
        <v>42685.562243055603</v>
      </c>
      <c r="BL60" s="204" t="s">
        <v>293</v>
      </c>
      <c r="BM60" s="204" t="s">
        <v>2869</v>
      </c>
      <c r="BN60" s="269">
        <f t="shared" si="8"/>
        <v>1310</v>
      </c>
      <c r="BO60" s="269">
        <f t="shared" si="9"/>
        <v>150</v>
      </c>
      <c r="BP60" s="269">
        <f>INDEX('App Data Outliers'!$M:$M,MATCH($E60,'App Data Outliers'!$A:$A,0))</f>
        <v>1648.9692929508194</v>
      </c>
      <c r="BQ60" s="269">
        <f>INDEX('App Data Outliers'!$N:$N,MATCH($E60,'App Data Outliers'!$A:$A,0))</f>
        <v>62959.041603410769</v>
      </c>
      <c r="BR60" s="269">
        <f>INDEX('App Data Outliers'!$S:$S,MATCH($E60,'App Data Outliers'!$A:$A,0))</f>
        <v>174.05364750819672</v>
      </c>
      <c r="BS60" s="269">
        <f>INDEX('App Data Outliers'!$T:$T,MATCH($E60,'App Data Outliers'!$A:$A,0))</f>
        <v>6797.6715808767258</v>
      </c>
    </row>
    <row r="61" spans="1:71" s="204" customFormat="1" hidden="1">
      <c r="A61" s="241">
        <v>57</v>
      </c>
      <c r="B61" s="241" t="str">
        <f t="shared" si="0"/>
        <v>Non-Residential - BHPSD - C/I Custom</v>
      </c>
      <c r="C61" s="241" t="b">
        <f t="shared" si="1"/>
        <v>1</v>
      </c>
      <c r="D61" s="241" t="str">
        <f t="shared" si="2"/>
        <v>Non-Residential - BHPSD - C/I Custom_C&amp;I Custom Rebate :- Customer Incentives_Other Commercial</v>
      </c>
      <c r="E61" s="241" t="str">
        <f t="shared" si="3"/>
        <v>C&amp;I_C&amp;I Custom_Various_C&amp;I Custom</v>
      </c>
      <c r="F61" s="241" t="str">
        <f>INDEX('VDSM MAPPING'!E:E,MATCH($D61,'VDSM MAPPING'!$A:$A,0))</f>
        <v>C&amp;I</v>
      </c>
      <c r="G61" s="241" t="str">
        <f>INDEX('VDSM MAPPING'!F:F,MATCH($D61,'VDSM MAPPING'!$A:$A,0))</f>
        <v>C&amp;I Custom</v>
      </c>
      <c r="H61" s="241" t="str">
        <f>INDEX('VDSM MAPPING'!G:G,MATCH($D61,'VDSM MAPPING'!$A:$A,0))</f>
        <v>Various</v>
      </c>
      <c r="I61" s="241" t="str">
        <f>INDEX('VDSM MAPPING'!H:H,MATCH($D61,'VDSM MAPPING'!$A:$A,0))</f>
        <v>C&amp;I Custom</v>
      </c>
      <c r="J61" s="240">
        <f t="shared" si="4"/>
        <v>-8.9418339068287351E-3</v>
      </c>
      <c r="K61" s="240">
        <f t="shared" si="5"/>
        <v>-2.0088297277019197E-2</v>
      </c>
      <c r="L61" s="240" t="b">
        <f t="shared" si="6"/>
        <v>0</v>
      </c>
      <c r="M61" s="240" t="b">
        <f t="shared" si="7"/>
        <v>0</v>
      </c>
      <c r="N61" s="204" t="s">
        <v>289</v>
      </c>
      <c r="O61" s="204" t="s">
        <v>2866</v>
      </c>
      <c r="P61" s="350">
        <v>1</v>
      </c>
      <c r="Q61" s="204" t="s">
        <v>2866</v>
      </c>
      <c r="R61" s="204" t="s">
        <v>2865</v>
      </c>
      <c r="S61" s="204" t="s">
        <v>2864</v>
      </c>
      <c r="T61" s="204" t="s">
        <v>2864</v>
      </c>
      <c r="U61" s="204" t="s">
        <v>2864</v>
      </c>
      <c r="V61" s="204" t="s">
        <v>2863</v>
      </c>
      <c r="W61" s="204" t="s">
        <v>298</v>
      </c>
      <c r="X61" s="204" t="s">
        <v>297</v>
      </c>
      <c r="Y61" s="204" t="s">
        <v>296</v>
      </c>
      <c r="Z61" s="204" t="s">
        <v>1017</v>
      </c>
      <c r="AA61" s="204" t="s">
        <v>1016</v>
      </c>
      <c r="AB61" s="204" t="s">
        <v>329</v>
      </c>
      <c r="AC61" s="204" t="s">
        <v>297</v>
      </c>
      <c r="AD61" s="204" t="s">
        <v>848</v>
      </c>
      <c r="AE61" s="204" t="s">
        <v>1015</v>
      </c>
      <c r="AF61" s="204" t="s">
        <v>1014</v>
      </c>
      <c r="AG61" s="204" t="s">
        <v>2675</v>
      </c>
      <c r="AH61" s="204" t="s">
        <v>2674</v>
      </c>
      <c r="AI61" s="204" t="s">
        <v>2127</v>
      </c>
      <c r="AJ61" s="204" t="s">
        <v>2459</v>
      </c>
      <c r="AK61" s="204" t="s">
        <v>2673</v>
      </c>
      <c r="AX61" s="204">
        <v>11</v>
      </c>
      <c r="AY61" s="204">
        <v>0</v>
      </c>
      <c r="AZ61" s="204">
        <v>0</v>
      </c>
      <c r="BB61" s="204">
        <v>11946</v>
      </c>
      <c r="BH61" s="204">
        <v>0</v>
      </c>
      <c r="BI61" s="204">
        <v>412.5</v>
      </c>
      <c r="BJ61" s="204">
        <v>42685</v>
      </c>
      <c r="BK61" s="204">
        <v>42685.718518831003</v>
      </c>
      <c r="BL61" s="204" t="s">
        <v>293</v>
      </c>
      <c r="BM61" s="204" t="s">
        <v>2868</v>
      </c>
      <c r="BN61" s="269">
        <f t="shared" si="8"/>
        <v>1086</v>
      </c>
      <c r="BO61" s="269">
        <f t="shared" si="9"/>
        <v>37.5</v>
      </c>
      <c r="BP61" s="269">
        <f>INDEX('App Data Outliers'!$M:$M,MATCH($E61,'App Data Outliers'!$A:$A,0))</f>
        <v>1648.9692929508194</v>
      </c>
      <c r="BQ61" s="269">
        <f>INDEX('App Data Outliers'!$N:$N,MATCH($E61,'App Data Outliers'!$A:$A,0))</f>
        <v>62959.041603410769</v>
      </c>
      <c r="BR61" s="269">
        <f>INDEX('App Data Outliers'!$S:$S,MATCH($E61,'App Data Outliers'!$A:$A,0))</f>
        <v>174.05364750819672</v>
      </c>
      <c r="BS61" s="269">
        <f>INDEX('App Data Outliers'!$T:$T,MATCH($E61,'App Data Outliers'!$A:$A,0))</f>
        <v>6797.6715808767258</v>
      </c>
    </row>
    <row r="62" spans="1:71" s="204" customFormat="1" hidden="1">
      <c r="A62" s="241">
        <v>58</v>
      </c>
      <c r="B62" s="241" t="str">
        <f t="shared" si="0"/>
        <v>Non-Residential - BHPSD - C/I Custom</v>
      </c>
      <c r="C62" s="241" t="b">
        <f t="shared" si="1"/>
        <v>1</v>
      </c>
      <c r="D62" s="241" t="str">
        <f t="shared" si="2"/>
        <v>Non-Residential - BHPSD - C/I Custom_C&amp;I Custom Rebate :- Customer Incentives_Other Commercial</v>
      </c>
      <c r="E62" s="241" t="str">
        <f t="shared" si="3"/>
        <v>C&amp;I_C&amp;I Custom_Various_C&amp;I Custom</v>
      </c>
      <c r="F62" s="241" t="str">
        <f>INDEX('VDSM MAPPING'!E:E,MATCH($D62,'VDSM MAPPING'!$A:$A,0))</f>
        <v>C&amp;I</v>
      </c>
      <c r="G62" s="241" t="str">
        <f>INDEX('VDSM MAPPING'!F:F,MATCH($D62,'VDSM MAPPING'!$A:$A,0))</f>
        <v>C&amp;I Custom</v>
      </c>
      <c r="H62" s="241" t="str">
        <f>INDEX('VDSM MAPPING'!G:G,MATCH($D62,'VDSM MAPPING'!$A:$A,0))</f>
        <v>Various</v>
      </c>
      <c r="I62" s="241" t="str">
        <f>INDEX('VDSM MAPPING'!H:H,MATCH($D62,'VDSM MAPPING'!$A:$A,0))</f>
        <v>C&amp;I Custom</v>
      </c>
      <c r="J62" s="240">
        <f t="shared" si="4"/>
        <v>-2.4571042594571726E-2</v>
      </c>
      <c r="K62" s="240">
        <f t="shared" si="5"/>
        <v>-2.2920149297371916E-2</v>
      </c>
      <c r="L62" s="240" t="b">
        <f t="shared" si="6"/>
        <v>0</v>
      </c>
      <c r="M62" s="240" t="b">
        <f t="shared" si="7"/>
        <v>0</v>
      </c>
      <c r="N62" s="204" t="s">
        <v>289</v>
      </c>
      <c r="O62" s="204" t="s">
        <v>2866</v>
      </c>
      <c r="P62" s="350">
        <v>0</v>
      </c>
      <c r="Q62" s="204" t="s">
        <v>2866</v>
      </c>
      <c r="R62" s="204" t="s">
        <v>2865</v>
      </c>
      <c r="S62" s="204" t="s">
        <v>2864</v>
      </c>
      <c r="T62" s="204" t="s">
        <v>2864</v>
      </c>
      <c r="U62" s="204" t="s">
        <v>2864</v>
      </c>
      <c r="V62" s="204" t="s">
        <v>2863</v>
      </c>
      <c r="W62" s="204" t="s">
        <v>298</v>
      </c>
      <c r="X62" s="204" t="s">
        <v>297</v>
      </c>
      <c r="Y62" s="204" t="s">
        <v>296</v>
      </c>
      <c r="Z62" s="204" t="s">
        <v>1017</v>
      </c>
      <c r="AA62" s="204" t="s">
        <v>1016</v>
      </c>
      <c r="AB62" s="204" t="s">
        <v>329</v>
      </c>
      <c r="AC62" s="204" t="s">
        <v>297</v>
      </c>
      <c r="AD62" s="204" t="s">
        <v>848</v>
      </c>
      <c r="AE62" s="204" t="s">
        <v>1015</v>
      </c>
      <c r="AF62" s="204" t="s">
        <v>1014</v>
      </c>
      <c r="AG62" s="204" t="s">
        <v>2675</v>
      </c>
      <c r="AH62" s="204" t="s">
        <v>2674</v>
      </c>
      <c r="AI62" s="204" t="s">
        <v>2127</v>
      </c>
      <c r="AJ62" s="204" t="s">
        <v>2459</v>
      </c>
      <c r="AK62" s="204" t="s">
        <v>2673</v>
      </c>
      <c r="AX62" s="204">
        <v>15</v>
      </c>
      <c r="AY62" s="204">
        <v>0</v>
      </c>
      <c r="AZ62" s="204">
        <v>0.75</v>
      </c>
      <c r="BB62" s="204">
        <v>1530</v>
      </c>
      <c r="BH62" s="204">
        <v>0</v>
      </c>
      <c r="BI62" s="204">
        <v>273.75</v>
      </c>
      <c r="BJ62" s="204">
        <v>42685</v>
      </c>
      <c r="BK62" s="204">
        <v>42685.718518831003</v>
      </c>
      <c r="BL62" s="204" t="s">
        <v>293</v>
      </c>
      <c r="BM62" s="204" t="s">
        <v>2862</v>
      </c>
      <c r="BN62" s="269">
        <f t="shared" si="8"/>
        <v>102</v>
      </c>
      <c r="BO62" s="269">
        <f t="shared" si="9"/>
        <v>18.25</v>
      </c>
      <c r="BP62" s="269">
        <f>INDEX('App Data Outliers'!$M:$M,MATCH($E62,'App Data Outliers'!$A:$A,0))</f>
        <v>1648.9692929508194</v>
      </c>
      <c r="BQ62" s="269">
        <f>INDEX('App Data Outliers'!$N:$N,MATCH($E62,'App Data Outliers'!$A:$A,0))</f>
        <v>62959.041603410769</v>
      </c>
      <c r="BR62" s="269">
        <f>INDEX('App Data Outliers'!$S:$S,MATCH($E62,'App Data Outliers'!$A:$A,0))</f>
        <v>174.05364750819672</v>
      </c>
      <c r="BS62" s="269">
        <f>INDEX('App Data Outliers'!$T:$T,MATCH($E62,'App Data Outliers'!$A:$A,0))</f>
        <v>6797.6715808767258</v>
      </c>
    </row>
    <row r="63" spans="1:71" s="204" customFormat="1" hidden="1">
      <c r="A63" s="241">
        <v>59</v>
      </c>
      <c r="B63" s="241" t="str">
        <f t="shared" si="0"/>
        <v>Non-Residential - BHPSD - C/I Custom</v>
      </c>
      <c r="C63" s="241" t="b">
        <f t="shared" si="1"/>
        <v>1</v>
      </c>
      <c r="D63" s="241" t="str">
        <f t="shared" si="2"/>
        <v>Non-Residential - BHPSD - C/I Custom_C&amp;I Custom Rebate :- Customer Incentives_Other Commercial</v>
      </c>
      <c r="E63" s="241" t="str">
        <f t="shared" si="3"/>
        <v>C&amp;I_C&amp;I Custom_Various_C&amp;I Custom</v>
      </c>
      <c r="F63" s="241" t="str">
        <f>INDEX('VDSM MAPPING'!E:E,MATCH($D63,'VDSM MAPPING'!$A:$A,0))</f>
        <v>C&amp;I</v>
      </c>
      <c r="G63" s="241" t="str">
        <f>INDEX('VDSM MAPPING'!F:F,MATCH($D63,'VDSM MAPPING'!$A:$A,0))</f>
        <v>C&amp;I Custom</v>
      </c>
      <c r="H63" s="241" t="str">
        <f>INDEX('VDSM MAPPING'!G:G,MATCH($D63,'VDSM MAPPING'!$A:$A,0))</f>
        <v>Various</v>
      </c>
      <c r="I63" s="241" t="str">
        <f>INDEX('VDSM MAPPING'!H:H,MATCH($D63,'VDSM MAPPING'!$A:$A,0))</f>
        <v>C&amp;I Custom</v>
      </c>
      <c r="J63" s="240">
        <f t="shared" si="4"/>
        <v>-2.5428743071338109E-2</v>
      </c>
      <c r="K63" s="240">
        <f t="shared" si="5"/>
        <v>-2.4339753037444834E-2</v>
      </c>
      <c r="L63" s="240" t="b">
        <f t="shared" si="6"/>
        <v>0</v>
      </c>
      <c r="M63" s="240" t="b">
        <f t="shared" si="7"/>
        <v>0</v>
      </c>
      <c r="N63" s="204" t="s">
        <v>289</v>
      </c>
      <c r="O63" s="204" t="s">
        <v>2866</v>
      </c>
      <c r="P63" s="350">
        <v>0</v>
      </c>
      <c r="Q63" s="204" t="s">
        <v>2866</v>
      </c>
      <c r="R63" s="204" t="s">
        <v>2865</v>
      </c>
      <c r="S63" s="204" t="s">
        <v>2864</v>
      </c>
      <c r="T63" s="204" t="s">
        <v>2864</v>
      </c>
      <c r="U63" s="204" t="s">
        <v>2864</v>
      </c>
      <c r="V63" s="204" t="s">
        <v>2863</v>
      </c>
      <c r="W63" s="204" t="s">
        <v>298</v>
      </c>
      <c r="X63" s="204" t="s">
        <v>297</v>
      </c>
      <c r="Y63" s="204" t="s">
        <v>296</v>
      </c>
      <c r="Z63" s="204" t="s">
        <v>1017</v>
      </c>
      <c r="AA63" s="204" t="s">
        <v>1016</v>
      </c>
      <c r="AB63" s="204" t="s">
        <v>329</v>
      </c>
      <c r="AC63" s="204" t="s">
        <v>297</v>
      </c>
      <c r="AD63" s="204" t="s">
        <v>848</v>
      </c>
      <c r="AE63" s="204" t="s">
        <v>1015</v>
      </c>
      <c r="AF63" s="204" t="s">
        <v>1014</v>
      </c>
      <c r="AG63" s="204" t="s">
        <v>2675</v>
      </c>
      <c r="AH63" s="204" t="s">
        <v>2674</v>
      </c>
      <c r="AI63" s="204" t="s">
        <v>2127</v>
      </c>
      <c r="AJ63" s="204" t="s">
        <v>2459</v>
      </c>
      <c r="AK63" s="204" t="s">
        <v>2673</v>
      </c>
      <c r="AX63" s="204">
        <v>44</v>
      </c>
      <c r="AY63" s="204">
        <v>0</v>
      </c>
      <c r="AZ63" s="204">
        <v>0.88</v>
      </c>
      <c r="BB63" s="204">
        <v>2112</v>
      </c>
      <c r="BH63" s="204">
        <v>0</v>
      </c>
      <c r="BI63" s="204">
        <v>378.4</v>
      </c>
      <c r="BJ63" s="204">
        <v>42685</v>
      </c>
      <c r="BK63" s="204">
        <v>42685.718518831003</v>
      </c>
      <c r="BL63" s="204" t="s">
        <v>293</v>
      </c>
      <c r="BM63" s="204" t="s">
        <v>2867</v>
      </c>
      <c r="BN63" s="269">
        <f t="shared" si="8"/>
        <v>48</v>
      </c>
      <c r="BO63" s="269">
        <f t="shared" si="9"/>
        <v>8.6</v>
      </c>
      <c r="BP63" s="269">
        <f>INDEX('App Data Outliers'!$M:$M,MATCH($E63,'App Data Outliers'!$A:$A,0))</f>
        <v>1648.9692929508194</v>
      </c>
      <c r="BQ63" s="269">
        <f>INDEX('App Data Outliers'!$N:$N,MATCH($E63,'App Data Outliers'!$A:$A,0))</f>
        <v>62959.041603410769</v>
      </c>
      <c r="BR63" s="269">
        <f>INDEX('App Data Outliers'!$S:$S,MATCH($E63,'App Data Outliers'!$A:$A,0))</f>
        <v>174.05364750819672</v>
      </c>
      <c r="BS63" s="269">
        <f>INDEX('App Data Outliers'!$T:$T,MATCH($E63,'App Data Outliers'!$A:$A,0))</f>
        <v>6797.6715808767258</v>
      </c>
    </row>
    <row r="64" spans="1:71" s="204" customFormat="1" hidden="1">
      <c r="A64" s="241">
        <v>60</v>
      </c>
      <c r="B64" s="241" t="str">
        <f t="shared" si="0"/>
        <v>Non-Residential - BHPSD - C/I Custom</v>
      </c>
      <c r="C64" s="241" t="b">
        <f t="shared" si="1"/>
        <v>1</v>
      </c>
      <c r="D64" s="241" t="str">
        <f t="shared" si="2"/>
        <v>Non-Residential - BHPSD - C/I Custom_C&amp;I Custom Rebate :- Customer Incentives_Other Commercial</v>
      </c>
      <c r="E64" s="241" t="str">
        <f t="shared" si="3"/>
        <v>C&amp;I_C&amp;I Custom_Various_C&amp;I Custom</v>
      </c>
      <c r="F64" s="241" t="str">
        <f>INDEX('VDSM MAPPING'!E:E,MATCH($D64,'VDSM MAPPING'!$A:$A,0))</f>
        <v>C&amp;I</v>
      </c>
      <c r="G64" s="241" t="str">
        <f>INDEX('VDSM MAPPING'!F:F,MATCH($D64,'VDSM MAPPING'!$A:$A,0))</f>
        <v>C&amp;I Custom</v>
      </c>
      <c r="H64" s="241" t="str">
        <f>INDEX('VDSM MAPPING'!G:G,MATCH($D64,'VDSM MAPPING'!$A:$A,0))</f>
        <v>Various</v>
      </c>
      <c r="I64" s="241" t="str">
        <f>INDEX('VDSM MAPPING'!H:H,MATCH($D64,'VDSM MAPPING'!$A:$A,0))</f>
        <v>C&amp;I Custom</v>
      </c>
      <c r="J64" s="240">
        <f t="shared" si="4"/>
        <v>0.52160944434182899</v>
      </c>
      <c r="K64" s="240">
        <f t="shared" si="5"/>
        <v>0.13542966022095887</v>
      </c>
      <c r="L64" s="240" t="b">
        <f t="shared" si="6"/>
        <v>0</v>
      </c>
      <c r="M64" s="240" t="b">
        <f t="shared" si="7"/>
        <v>0</v>
      </c>
      <c r="N64" s="204" t="s">
        <v>289</v>
      </c>
      <c r="O64" s="204" t="s">
        <v>2861</v>
      </c>
      <c r="P64" s="350">
        <v>1</v>
      </c>
      <c r="Q64" s="204" t="s">
        <v>2861</v>
      </c>
      <c r="R64" s="204" t="s">
        <v>2546</v>
      </c>
      <c r="S64" s="204" t="s">
        <v>2545</v>
      </c>
      <c r="T64" s="204" t="s">
        <v>2545</v>
      </c>
      <c r="U64" s="204" t="s">
        <v>2544</v>
      </c>
      <c r="V64" s="204" t="s">
        <v>2543</v>
      </c>
      <c r="W64" s="204" t="s">
        <v>329</v>
      </c>
      <c r="X64" s="204" t="s">
        <v>297</v>
      </c>
      <c r="Y64" s="204" t="s">
        <v>397</v>
      </c>
      <c r="Z64" s="204" t="s">
        <v>601</v>
      </c>
      <c r="AA64" s="204" t="s">
        <v>600</v>
      </c>
      <c r="AB64" s="204" t="s">
        <v>329</v>
      </c>
      <c r="AC64" s="204" t="s">
        <v>297</v>
      </c>
      <c r="AD64" s="204" t="s">
        <v>599</v>
      </c>
      <c r="AE64" s="204" t="s">
        <v>598</v>
      </c>
      <c r="AG64" s="204" t="s">
        <v>2675</v>
      </c>
      <c r="AH64" s="204" t="s">
        <v>2674</v>
      </c>
      <c r="AI64" s="204" t="s">
        <v>2193</v>
      </c>
      <c r="AJ64" s="204" t="s">
        <v>2126</v>
      </c>
      <c r="AK64" s="204" t="s">
        <v>2673</v>
      </c>
      <c r="AX64" s="204">
        <v>1</v>
      </c>
      <c r="AY64" s="204">
        <v>0</v>
      </c>
      <c r="AZ64" s="204">
        <v>10.199999999999999</v>
      </c>
      <c r="BB64" s="204">
        <v>34489</v>
      </c>
      <c r="BH64" s="204">
        <v>0</v>
      </c>
      <c r="BI64" s="204">
        <v>1094.6600000000001</v>
      </c>
      <c r="BJ64" s="204">
        <v>42705</v>
      </c>
      <c r="BK64" s="204">
        <v>42705.441600231497</v>
      </c>
      <c r="BL64" s="204" t="s">
        <v>293</v>
      </c>
      <c r="BM64" s="204" t="s">
        <v>2860</v>
      </c>
      <c r="BN64" s="269">
        <f t="shared" si="8"/>
        <v>34489</v>
      </c>
      <c r="BO64" s="269">
        <f t="shared" si="9"/>
        <v>1094.6600000000001</v>
      </c>
      <c r="BP64" s="269">
        <f>INDEX('App Data Outliers'!$M:$M,MATCH($E64,'App Data Outliers'!$A:$A,0))</f>
        <v>1648.9692929508194</v>
      </c>
      <c r="BQ64" s="269">
        <f>INDEX('App Data Outliers'!$N:$N,MATCH($E64,'App Data Outliers'!$A:$A,0))</f>
        <v>62959.041603410769</v>
      </c>
      <c r="BR64" s="269">
        <f>INDEX('App Data Outliers'!$S:$S,MATCH($E64,'App Data Outliers'!$A:$A,0))</f>
        <v>174.05364750819672</v>
      </c>
      <c r="BS64" s="269">
        <f>INDEX('App Data Outliers'!$T:$T,MATCH($E64,'App Data Outliers'!$A:$A,0))</f>
        <v>6797.6715808767258</v>
      </c>
    </row>
    <row r="65" spans="1:71" s="204" customFormat="1" hidden="1">
      <c r="A65" s="241">
        <v>61</v>
      </c>
      <c r="B65" s="241" t="str">
        <f t="shared" si="0"/>
        <v>Non-Residential - BHPSD - C/I Custom</v>
      </c>
      <c r="C65" s="241" t="b">
        <f t="shared" si="1"/>
        <v>1</v>
      </c>
      <c r="D65" s="241" t="str">
        <f t="shared" si="2"/>
        <v>Non-Residential - BHPSD - C/I Custom_C&amp;I Custom Rebate :- Customer Incentives_Other Commercial</v>
      </c>
      <c r="E65" s="241" t="str">
        <f t="shared" si="3"/>
        <v>C&amp;I_C&amp;I Custom_Various_C&amp;I Custom</v>
      </c>
      <c r="F65" s="241" t="str">
        <f>INDEX('VDSM MAPPING'!E:E,MATCH($D65,'VDSM MAPPING'!$A:$A,0))</f>
        <v>C&amp;I</v>
      </c>
      <c r="G65" s="241" t="str">
        <f>INDEX('VDSM MAPPING'!F:F,MATCH($D65,'VDSM MAPPING'!$A:$A,0))</f>
        <v>C&amp;I Custom</v>
      </c>
      <c r="H65" s="241" t="str">
        <f>INDEX('VDSM MAPPING'!G:G,MATCH($D65,'VDSM MAPPING'!$A:$A,0))</f>
        <v>Various</v>
      </c>
      <c r="I65" s="241" t="str">
        <f>INDEX('VDSM MAPPING'!H:H,MATCH($D65,'VDSM MAPPING'!$A:$A,0))</f>
        <v>C&amp;I Custom</v>
      </c>
      <c r="J65" s="240">
        <f t="shared" si="4"/>
        <v>-2.147379087291534E-2</v>
      </c>
      <c r="K65" s="240">
        <f t="shared" si="5"/>
        <v>-2.3030481194268773E-2</v>
      </c>
      <c r="L65" s="240" t="b">
        <f t="shared" si="6"/>
        <v>0</v>
      </c>
      <c r="M65" s="240" t="b">
        <f t="shared" si="7"/>
        <v>0</v>
      </c>
      <c r="N65" s="204" t="s">
        <v>289</v>
      </c>
      <c r="O65" s="204" t="s">
        <v>2859</v>
      </c>
      <c r="P65" s="350">
        <v>1</v>
      </c>
      <c r="Q65" s="204" t="s">
        <v>2859</v>
      </c>
      <c r="R65" s="204" t="s">
        <v>2858</v>
      </c>
      <c r="S65" s="204" t="s">
        <v>2277</v>
      </c>
      <c r="T65" s="204" t="s">
        <v>2277</v>
      </c>
      <c r="U65" s="204" t="s">
        <v>2277</v>
      </c>
      <c r="V65" s="204" t="s">
        <v>2857</v>
      </c>
      <c r="W65" s="204" t="s">
        <v>345</v>
      </c>
      <c r="X65" s="204" t="s">
        <v>297</v>
      </c>
      <c r="Y65" s="204" t="s">
        <v>344</v>
      </c>
      <c r="Z65" s="204" t="s">
        <v>1017</v>
      </c>
      <c r="AA65" s="204" t="s">
        <v>1016</v>
      </c>
      <c r="AB65" s="204" t="s">
        <v>329</v>
      </c>
      <c r="AC65" s="204" t="s">
        <v>297</v>
      </c>
      <c r="AD65" s="204" t="s">
        <v>848</v>
      </c>
      <c r="AE65" s="204" t="s">
        <v>1015</v>
      </c>
      <c r="AF65" s="204" t="s">
        <v>1014</v>
      </c>
      <c r="AG65" s="204" t="s">
        <v>2675</v>
      </c>
      <c r="AH65" s="204" t="s">
        <v>2674</v>
      </c>
      <c r="AI65" s="204" t="s">
        <v>2127</v>
      </c>
      <c r="AJ65" s="204" t="s">
        <v>2126</v>
      </c>
      <c r="AK65" s="204" t="s">
        <v>2673</v>
      </c>
      <c r="AX65" s="204">
        <v>16</v>
      </c>
      <c r="AY65" s="204">
        <v>0</v>
      </c>
      <c r="AZ65" s="204">
        <v>0</v>
      </c>
      <c r="BB65" s="204">
        <v>4752</v>
      </c>
      <c r="BH65" s="204">
        <v>0</v>
      </c>
      <c r="BI65" s="204">
        <v>280</v>
      </c>
      <c r="BJ65" s="204">
        <v>42705</v>
      </c>
      <c r="BK65" s="204">
        <v>42705.516738460603</v>
      </c>
      <c r="BL65" s="204" t="s">
        <v>293</v>
      </c>
      <c r="BM65" s="204" t="s">
        <v>2856</v>
      </c>
      <c r="BN65" s="269">
        <f t="shared" si="8"/>
        <v>297</v>
      </c>
      <c r="BO65" s="269">
        <f t="shared" si="9"/>
        <v>17.5</v>
      </c>
      <c r="BP65" s="269">
        <f>INDEX('App Data Outliers'!$M:$M,MATCH($E65,'App Data Outliers'!$A:$A,0))</f>
        <v>1648.9692929508194</v>
      </c>
      <c r="BQ65" s="269">
        <f>INDEX('App Data Outliers'!$N:$N,MATCH($E65,'App Data Outliers'!$A:$A,0))</f>
        <v>62959.041603410769</v>
      </c>
      <c r="BR65" s="269">
        <f>INDEX('App Data Outliers'!$S:$S,MATCH($E65,'App Data Outliers'!$A:$A,0))</f>
        <v>174.05364750819672</v>
      </c>
      <c r="BS65" s="269">
        <f>INDEX('App Data Outliers'!$T:$T,MATCH($E65,'App Data Outliers'!$A:$A,0))</f>
        <v>6797.6715808767258</v>
      </c>
    </row>
    <row r="66" spans="1:71" s="204" customFormat="1" hidden="1">
      <c r="A66" s="241">
        <v>62</v>
      </c>
      <c r="B66" s="241" t="str">
        <f t="shared" si="0"/>
        <v>Non-Residential - BHPSD - C/I Custom</v>
      </c>
      <c r="C66" s="241" t="b">
        <f t="shared" si="1"/>
        <v>1</v>
      </c>
      <c r="D66" s="241" t="str">
        <f t="shared" si="2"/>
        <v>Non-Residential - BHPSD - C/I Custom_C&amp;I Custom Rebate :- Customer Incentives_Other Commercial</v>
      </c>
      <c r="E66" s="241" t="str">
        <f t="shared" si="3"/>
        <v>C&amp;I_C&amp;I Custom_Various_C&amp;I Custom</v>
      </c>
      <c r="F66" s="241" t="str">
        <f>INDEX('VDSM MAPPING'!E:E,MATCH($D66,'VDSM MAPPING'!$A:$A,0))</f>
        <v>C&amp;I</v>
      </c>
      <c r="G66" s="241" t="str">
        <f>INDEX('VDSM MAPPING'!F:F,MATCH($D66,'VDSM MAPPING'!$A:$A,0))</f>
        <v>C&amp;I Custom</v>
      </c>
      <c r="H66" s="241" t="str">
        <f>INDEX('VDSM MAPPING'!G:G,MATCH($D66,'VDSM MAPPING'!$A:$A,0))</f>
        <v>Various</v>
      </c>
      <c r="I66" s="241" t="str">
        <f>INDEX('VDSM MAPPING'!H:H,MATCH($D66,'VDSM MAPPING'!$A:$A,0))</f>
        <v>C&amp;I Custom</v>
      </c>
      <c r="J66" s="240">
        <f t="shared" si="4"/>
        <v>0.8374020532134816</v>
      </c>
      <c r="K66" s="240">
        <f t="shared" si="5"/>
        <v>0.78173037477142127</v>
      </c>
      <c r="L66" s="240" t="b">
        <f t="shared" si="6"/>
        <v>0</v>
      </c>
      <c r="M66" s="240" t="b">
        <f t="shared" si="7"/>
        <v>0</v>
      </c>
      <c r="N66" s="204" t="s">
        <v>289</v>
      </c>
      <c r="O66" s="204" t="s">
        <v>2855</v>
      </c>
      <c r="P66" s="350">
        <v>1</v>
      </c>
      <c r="Q66" s="204" t="s">
        <v>2855</v>
      </c>
      <c r="R66" s="204" t="s">
        <v>2539</v>
      </c>
      <c r="S66" s="204" t="s">
        <v>2538</v>
      </c>
      <c r="T66" s="204" t="s">
        <v>2538</v>
      </c>
      <c r="U66" s="204" t="s">
        <v>2538</v>
      </c>
      <c r="V66" s="204" t="s">
        <v>2537</v>
      </c>
      <c r="W66" s="204" t="s">
        <v>329</v>
      </c>
      <c r="X66" s="204" t="s">
        <v>297</v>
      </c>
      <c r="Y66" s="204" t="s">
        <v>397</v>
      </c>
      <c r="Z66" s="204" t="s">
        <v>1017</v>
      </c>
      <c r="AA66" s="204" t="s">
        <v>1016</v>
      </c>
      <c r="AB66" s="204" t="s">
        <v>329</v>
      </c>
      <c r="AC66" s="204" t="s">
        <v>297</v>
      </c>
      <c r="AD66" s="204" t="s">
        <v>848</v>
      </c>
      <c r="AE66" s="204" t="s">
        <v>1015</v>
      </c>
      <c r="AF66" s="204" t="s">
        <v>1014</v>
      </c>
      <c r="AG66" s="204" t="s">
        <v>2675</v>
      </c>
      <c r="AH66" s="204" t="s">
        <v>2674</v>
      </c>
      <c r="AI66" s="204" t="s">
        <v>2127</v>
      </c>
      <c r="AJ66" s="204" t="s">
        <v>2126</v>
      </c>
      <c r="AK66" s="204" t="s">
        <v>2673</v>
      </c>
      <c r="AX66" s="204">
        <v>1</v>
      </c>
      <c r="AY66" s="204">
        <v>0</v>
      </c>
      <c r="AZ66" s="204">
        <v>17.79</v>
      </c>
      <c r="BB66" s="204">
        <v>54371</v>
      </c>
      <c r="BH66" s="204">
        <v>0</v>
      </c>
      <c r="BI66" s="204">
        <v>5488</v>
      </c>
      <c r="BJ66" s="204">
        <v>42705</v>
      </c>
      <c r="BK66" s="204">
        <v>42705.814410266197</v>
      </c>
      <c r="BL66" s="204" t="s">
        <v>293</v>
      </c>
      <c r="BM66" s="204" t="s">
        <v>2854</v>
      </c>
      <c r="BN66" s="269">
        <f t="shared" si="8"/>
        <v>54371</v>
      </c>
      <c r="BO66" s="269">
        <f t="shared" si="9"/>
        <v>5488</v>
      </c>
      <c r="BP66" s="269">
        <f>INDEX('App Data Outliers'!$M:$M,MATCH($E66,'App Data Outliers'!$A:$A,0))</f>
        <v>1648.9692929508194</v>
      </c>
      <c r="BQ66" s="269">
        <f>INDEX('App Data Outliers'!$N:$N,MATCH($E66,'App Data Outliers'!$A:$A,0))</f>
        <v>62959.041603410769</v>
      </c>
      <c r="BR66" s="269">
        <f>INDEX('App Data Outliers'!$S:$S,MATCH($E66,'App Data Outliers'!$A:$A,0))</f>
        <v>174.05364750819672</v>
      </c>
      <c r="BS66" s="269">
        <f>INDEX('App Data Outliers'!$T:$T,MATCH($E66,'App Data Outliers'!$A:$A,0))</f>
        <v>6797.6715808767258</v>
      </c>
    </row>
    <row r="67" spans="1:71" s="204" customFormat="1" hidden="1">
      <c r="A67" s="241">
        <v>63</v>
      </c>
      <c r="B67" s="241" t="str">
        <f t="shared" si="0"/>
        <v>Non-Residential - BHPSD - C/I Custom</v>
      </c>
      <c r="C67" s="241" t="b">
        <f t="shared" si="1"/>
        <v>1</v>
      </c>
      <c r="D67" s="241" t="str">
        <f t="shared" si="2"/>
        <v>Non-Residential - BHPSD - C/I Custom_C&amp;I Custom Rebate :- Customer Incentives_Other Commercial</v>
      </c>
      <c r="E67" s="241" t="str">
        <f t="shared" si="3"/>
        <v>C&amp;I_C&amp;I Custom_Various_C&amp;I Custom</v>
      </c>
      <c r="F67" s="241" t="str">
        <f>INDEX('VDSM MAPPING'!E:E,MATCH($D67,'VDSM MAPPING'!$A:$A,0))</f>
        <v>C&amp;I</v>
      </c>
      <c r="G67" s="241" t="str">
        <f>INDEX('VDSM MAPPING'!F:F,MATCH($D67,'VDSM MAPPING'!$A:$A,0))</f>
        <v>C&amp;I Custom</v>
      </c>
      <c r="H67" s="241" t="str">
        <f>INDEX('VDSM MAPPING'!G:G,MATCH($D67,'VDSM MAPPING'!$A:$A,0))</f>
        <v>Various</v>
      </c>
      <c r="I67" s="241" t="str">
        <f>INDEX('VDSM MAPPING'!H:H,MATCH($D67,'VDSM MAPPING'!$A:$A,0))</f>
        <v>C&amp;I Custom</v>
      </c>
      <c r="J67" s="240">
        <f t="shared" si="4"/>
        <v>1.3848214408385446</v>
      </c>
      <c r="K67" s="240">
        <f t="shared" si="5"/>
        <v>1.4454870665029256</v>
      </c>
      <c r="L67" s="240" t="b">
        <f t="shared" si="6"/>
        <v>0</v>
      </c>
      <c r="M67" s="240" t="b">
        <f t="shared" si="7"/>
        <v>0</v>
      </c>
      <c r="N67" s="204" t="s">
        <v>289</v>
      </c>
      <c r="O67" s="204" t="s">
        <v>2853</v>
      </c>
      <c r="P67" s="350">
        <v>1</v>
      </c>
      <c r="Q67" s="204" t="s">
        <v>2853</v>
      </c>
      <c r="R67" s="204" t="s">
        <v>2852</v>
      </c>
      <c r="S67" s="204" t="s">
        <v>2499</v>
      </c>
      <c r="T67" s="204" t="s">
        <v>2499</v>
      </c>
      <c r="U67" s="204" t="s">
        <v>2499</v>
      </c>
      <c r="V67" s="204" t="s">
        <v>2851</v>
      </c>
      <c r="W67" s="204" t="s">
        <v>1252</v>
      </c>
      <c r="X67" s="204" t="s">
        <v>297</v>
      </c>
      <c r="Y67" s="204" t="s">
        <v>1251</v>
      </c>
      <c r="Z67" s="204" t="s">
        <v>601</v>
      </c>
      <c r="AA67" s="204" t="s">
        <v>600</v>
      </c>
      <c r="AB67" s="204" t="s">
        <v>329</v>
      </c>
      <c r="AC67" s="204" t="s">
        <v>297</v>
      </c>
      <c r="AD67" s="204" t="s">
        <v>599</v>
      </c>
      <c r="AE67" s="204" t="s">
        <v>598</v>
      </c>
      <c r="AG67" s="204" t="s">
        <v>2675</v>
      </c>
      <c r="AH67" s="204" t="s">
        <v>2674</v>
      </c>
      <c r="AI67" s="204" t="s">
        <v>2193</v>
      </c>
      <c r="AJ67" s="204" t="s">
        <v>2459</v>
      </c>
      <c r="AK67" s="204" t="s">
        <v>2673</v>
      </c>
      <c r="AX67" s="204">
        <v>1</v>
      </c>
      <c r="AY67" s="204">
        <v>0</v>
      </c>
      <c r="AZ67" s="204">
        <v>19.399999999999999</v>
      </c>
      <c r="BB67" s="204">
        <v>88836</v>
      </c>
      <c r="BH67" s="204">
        <v>0</v>
      </c>
      <c r="BI67" s="204">
        <v>10000</v>
      </c>
      <c r="BJ67" s="204">
        <v>42709</v>
      </c>
      <c r="BK67" s="204">
        <v>42709.703605324103</v>
      </c>
      <c r="BL67" s="204" t="s">
        <v>293</v>
      </c>
      <c r="BM67" s="204" t="s">
        <v>2850</v>
      </c>
      <c r="BN67" s="269">
        <f t="shared" si="8"/>
        <v>88836</v>
      </c>
      <c r="BO67" s="269">
        <f t="shared" si="9"/>
        <v>10000</v>
      </c>
      <c r="BP67" s="269">
        <f>INDEX('App Data Outliers'!$M:$M,MATCH($E67,'App Data Outliers'!$A:$A,0))</f>
        <v>1648.9692929508194</v>
      </c>
      <c r="BQ67" s="269">
        <f>INDEX('App Data Outliers'!$N:$N,MATCH($E67,'App Data Outliers'!$A:$A,0))</f>
        <v>62959.041603410769</v>
      </c>
      <c r="BR67" s="269">
        <f>INDEX('App Data Outliers'!$S:$S,MATCH($E67,'App Data Outliers'!$A:$A,0))</f>
        <v>174.05364750819672</v>
      </c>
      <c r="BS67" s="269">
        <f>INDEX('App Data Outliers'!$T:$T,MATCH($E67,'App Data Outliers'!$A:$A,0))</f>
        <v>6797.6715808767258</v>
      </c>
    </row>
    <row r="68" spans="1:71" s="204" customFormat="1" hidden="1">
      <c r="A68" s="241">
        <v>64</v>
      </c>
      <c r="B68" s="241" t="str">
        <f t="shared" si="0"/>
        <v>Non-Residential - BHPSD - C/I Custom</v>
      </c>
      <c r="C68" s="241" t="b">
        <f t="shared" si="1"/>
        <v>1</v>
      </c>
      <c r="D68" s="241" t="str">
        <f t="shared" si="2"/>
        <v>Non-Residential - BHPSD - C/I Custom_C&amp;I Custom Rebate :- Customer Incentives_Other Commercial</v>
      </c>
      <c r="E68" s="241" t="str">
        <f t="shared" si="3"/>
        <v>C&amp;I_C&amp;I Custom_Various_C&amp;I Custom</v>
      </c>
      <c r="F68" s="241" t="str">
        <f>INDEX('VDSM MAPPING'!E:E,MATCH($D68,'VDSM MAPPING'!$A:$A,0))</f>
        <v>C&amp;I</v>
      </c>
      <c r="G68" s="241" t="str">
        <f>INDEX('VDSM MAPPING'!F:F,MATCH($D68,'VDSM MAPPING'!$A:$A,0))</f>
        <v>C&amp;I Custom</v>
      </c>
      <c r="H68" s="241" t="str">
        <f>INDEX('VDSM MAPPING'!G:G,MATCH($D68,'VDSM MAPPING'!$A:$A,0))</f>
        <v>Various</v>
      </c>
      <c r="I68" s="241" t="str">
        <f>INDEX('VDSM MAPPING'!H:H,MATCH($D68,'VDSM MAPPING'!$A:$A,0))</f>
        <v>C&amp;I Custom</v>
      </c>
      <c r="J68" s="240">
        <f t="shared" si="4"/>
        <v>-2.0250773526415126E-2</v>
      </c>
      <c r="K68" s="240">
        <f t="shared" si="5"/>
        <v>-2.0563459979655002E-2</v>
      </c>
      <c r="L68" s="240" t="b">
        <f t="shared" si="6"/>
        <v>0</v>
      </c>
      <c r="M68" s="240" t="b">
        <f t="shared" si="7"/>
        <v>0</v>
      </c>
      <c r="N68" s="204" t="s">
        <v>289</v>
      </c>
      <c r="O68" s="204" t="s">
        <v>2849</v>
      </c>
      <c r="P68" s="350">
        <v>1</v>
      </c>
      <c r="Q68" s="204" t="s">
        <v>2849</v>
      </c>
      <c r="R68" s="204" t="s">
        <v>2533</v>
      </c>
      <c r="S68" s="204" t="s">
        <v>2532</v>
      </c>
      <c r="T68" s="204" t="s">
        <v>2532</v>
      </c>
      <c r="U68" s="204" t="s">
        <v>2532</v>
      </c>
      <c r="V68" s="204" t="s">
        <v>2531</v>
      </c>
      <c r="W68" s="204" t="s">
        <v>329</v>
      </c>
      <c r="X68" s="204" t="s">
        <v>297</v>
      </c>
      <c r="Y68" s="204" t="s">
        <v>328</v>
      </c>
      <c r="Z68" s="204" t="s">
        <v>1017</v>
      </c>
      <c r="AA68" s="204" t="s">
        <v>1016</v>
      </c>
      <c r="AB68" s="204" t="s">
        <v>329</v>
      </c>
      <c r="AC68" s="204" t="s">
        <v>297</v>
      </c>
      <c r="AD68" s="204" t="s">
        <v>848</v>
      </c>
      <c r="AE68" s="204" t="s">
        <v>1015</v>
      </c>
      <c r="AF68" s="204" t="s">
        <v>1014</v>
      </c>
      <c r="AG68" s="204" t="s">
        <v>2675</v>
      </c>
      <c r="AH68" s="204" t="s">
        <v>2674</v>
      </c>
      <c r="AI68" s="204" t="s">
        <v>2127</v>
      </c>
      <c r="AJ68" s="204" t="s">
        <v>2126</v>
      </c>
      <c r="AK68" s="204" t="s">
        <v>2673</v>
      </c>
      <c r="AX68" s="204">
        <v>16</v>
      </c>
      <c r="AY68" s="204">
        <v>0</v>
      </c>
      <c r="AZ68" s="204">
        <v>3.68</v>
      </c>
      <c r="BB68" s="204">
        <v>5984</v>
      </c>
      <c r="BH68" s="204">
        <v>0</v>
      </c>
      <c r="BI68" s="204">
        <v>548.32000000000005</v>
      </c>
      <c r="BJ68" s="204">
        <v>42710</v>
      </c>
      <c r="BK68" s="204">
        <v>42710.779431215298</v>
      </c>
      <c r="BL68" s="204" t="s">
        <v>293</v>
      </c>
      <c r="BM68" s="204" t="s">
        <v>2848</v>
      </c>
      <c r="BN68" s="269">
        <f t="shared" si="8"/>
        <v>374</v>
      </c>
      <c r="BO68" s="269">
        <f t="shared" si="9"/>
        <v>34.270000000000003</v>
      </c>
      <c r="BP68" s="269">
        <f>INDEX('App Data Outliers'!$M:$M,MATCH($E68,'App Data Outliers'!$A:$A,0))</f>
        <v>1648.9692929508194</v>
      </c>
      <c r="BQ68" s="269">
        <f>INDEX('App Data Outliers'!$N:$N,MATCH($E68,'App Data Outliers'!$A:$A,0))</f>
        <v>62959.041603410769</v>
      </c>
      <c r="BR68" s="269">
        <f>INDEX('App Data Outliers'!$S:$S,MATCH($E68,'App Data Outliers'!$A:$A,0))</f>
        <v>174.05364750819672</v>
      </c>
      <c r="BS68" s="269">
        <f>INDEX('App Data Outliers'!$T:$T,MATCH($E68,'App Data Outliers'!$A:$A,0))</f>
        <v>6797.6715808767258</v>
      </c>
    </row>
    <row r="69" spans="1:71" s="204" customFormat="1" hidden="1">
      <c r="A69" s="241">
        <v>65</v>
      </c>
      <c r="B69" s="241" t="str">
        <f t="shared" ref="B69:B132" si="10">IF(N69="",B68,N69)</f>
        <v>Non-Residential - BHPSD - C/I Custom</v>
      </c>
      <c r="C69" s="241" t="b">
        <f t="shared" ref="C69:C132" si="11">(N69="")</f>
        <v>1</v>
      </c>
      <c r="D69" s="241" t="str">
        <f t="shared" ref="D69:D132" si="12">B69&amp;"_"&amp;AG69&amp;"_"&amp;AH69</f>
        <v>Non-Residential - BHPSD - C/I Custom_C&amp;I Custom Rebate :- Customer Incentives_Other Commercial</v>
      </c>
      <c r="E69" s="241" t="str">
        <f t="shared" ref="E69:E132" si="13">IFERROR(F69&amp;"_"&amp;G69&amp;"_"&amp;H69&amp;"_"&amp;I69,0)</f>
        <v>C&amp;I_C&amp;I Custom_Various_C&amp;I Custom</v>
      </c>
      <c r="F69" s="241" t="str">
        <f>INDEX('VDSM MAPPING'!E:E,MATCH($D69,'VDSM MAPPING'!$A:$A,0))</f>
        <v>C&amp;I</v>
      </c>
      <c r="G69" s="241" t="str">
        <f>INDEX('VDSM MAPPING'!F:F,MATCH($D69,'VDSM MAPPING'!$A:$A,0))</f>
        <v>C&amp;I Custom</v>
      </c>
      <c r="H69" s="241" t="str">
        <f>INDEX('VDSM MAPPING'!G:G,MATCH($D69,'VDSM MAPPING'!$A:$A,0))</f>
        <v>Various</v>
      </c>
      <c r="I69" s="241" t="str">
        <f>INDEX('VDSM MAPPING'!H:H,MATCH($D69,'VDSM MAPPING'!$A:$A,0))</f>
        <v>C&amp;I Custom</v>
      </c>
      <c r="J69" s="240">
        <f t="shared" si="4"/>
        <v>-2.0266656868577468E-2</v>
      </c>
      <c r="K69" s="240">
        <f t="shared" si="5"/>
        <v>-1.671214123197531E-2</v>
      </c>
      <c r="L69" s="240" t="b">
        <f t="shared" si="6"/>
        <v>0</v>
      </c>
      <c r="M69" s="240" t="b">
        <f t="shared" si="7"/>
        <v>0</v>
      </c>
      <c r="N69" s="204" t="s">
        <v>289</v>
      </c>
      <c r="O69" s="204" t="s">
        <v>2847</v>
      </c>
      <c r="P69" s="350">
        <v>1</v>
      </c>
      <c r="Q69" s="204" t="s">
        <v>2847</v>
      </c>
      <c r="R69" s="204" t="s">
        <v>2846</v>
      </c>
      <c r="S69" s="204" t="s">
        <v>2841</v>
      </c>
      <c r="T69" s="204" t="s">
        <v>2841</v>
      </c>
      <c r="U69" s="204" t="s">
        <v>2841</v>
      </c>
      <c r="V69" s="204" t="s">
        <v>2845</v>
      </c>
      <c r="W69" s="204" t="s">
        <v>337</v>
      </c>
      <c r="X69" s="204" t="s">
        <v>297</v>
      </c>
      <c r="Y69" s="204" t="s">
        <v>336</v>
      </c>
      <c r="Z69" s="204" t="s">
        <v>2257</v>
      </c>
      <c r="AA69" s="204" t="s">
        <v>2256</v>
      </c>
      <c r="AB69" s="204" t="s">
        <v>337</v>
      </c>
      <c r="AC69" s="204" t="s">
        <v>297</v>
      </c>
      <c r="AD69" s="204" t="s">
        <v>336</v>
      </c>
      <c r="AE69" s="204" t="s">
        <v>2255</v>
      </c>
      <c r="AF69" s="204" t="s">
        <v>2254</v>
      </c>
      <c r="AG69" s="204" t="s">
        <v>2675</v>
      </c>
      <c r="AH69" s="204" t="s">
        <v>2674</v>
      </c>
      <c r="AI69" s="204" t="s">
        <v>2378</v>
      </c>
      <c r="AJ69" s="204" t="s">
        <v>2126</v>
      </c>
      <c r="AK69" s="204" t="s">
        <v>2673</v>
      </c>
      <c r="AL69" s="204" t="s">
        <v>2731</v>
      </c>
      <c r="AX69" s="204">
        <v>11</v>
      </c>
      <c r="AY69" s="204">
        <v>0</v>
      </c>
      <c r="AZ69" s="204">
        <v>0.77</v>
      </c>
      <c r="BB69" s="204">
        <v>4103</v>
      </c>
      <c r="BH69" s="204">
        <v>0</v>
      </c>
      <c r="BI69" s="204">
        <v>664.95</v>
      </c>
      <c r="BJ69" s="204">
        <v>42716</v>
      </c>
      <c r="BK69" s="204">
        <v>42716.659610532399</v>
      </c>
      <c r="BL69" s="204" t="s">
        <v>293</v>
      </c>
      <c r="BM69" s="204" t="s">
        <v>2844</v>
      </c>
      <c r="BN69" s="269">
        <f t="shared" si="8"/>
        <v>373</v>
      </c>
      <c r="BO69" s="269">
        <f t="shared" si="9"/>
        <v>60.45</v>
      </c>
      <c r="BP69" s="269">
        <f>INDEX('App Data Outliers'!$M:$M,MATCH($E69,'App Data Outliers'!$A:$A,0))</f>
        <v>1648.9692929508194</v>
      </c>
      <c r="BQ69" s="269">
        <f>INDEX('App Data Outliers'!$N:$N,MATCH($E69,'App Data Outliers'!$A:$A,0))</f>
        <v>62959.041603410769</v>
      </c>
      <c r="BR69" s="269">
        <f>INDEX('App Data Outliers'!$S:$S,MATCH($E69,'App Data Outliers'!$A:$A,0))</f>
        <v>174.05364750819672</v>
      </c>
      <c r="BS69" s="269">
        <f>INDEX('App Data Outliers'!$T:$T,MATCH($E69,'App Data Outliers'!$A:$A,0))</f>
        <v>6797.6715808767258</v>
      </c>
    </row>
    <row r="70" spans="1:71" s="204" customFormat="1" hidden="1">
      <c r="A70" s="241">
        <v>66</v>
      </c>
      <c r="B70" s="241" t="str">
        <f t="shared" si="10"/>
        <v>Non-Residential - BHPSD - C/I Custom</v>
      </c>
      <c r="C70" s="241" t="b">
        <f t="shared" si="11"/>
        <v>1</v>
      </c>
      <c r="D70" s="241" t="str">
        <f t="shared" si="12"/>
        <v>Non-Residential - BHPSD - C/I Custom_C&amp;I Custom Rebate :- Customer Incentives_Other Commercial</v>
      </c>
      <c r="E70" s="241" t="str">
        <f t="shared" si="13"/>
        <v>C&amp;I_C&amp;I Custom_Various_C&amp;I Custom</v>
      </c>
      <c r="F70" s="241" t="str">
        <f>INDEX('VDSM MAPPING'!E:E,MATCH($D70,'VDSM MAPPING'!$A:$A,0))</f>
        <v>C&amp;I</v>
      </c>
      <c r="G70" s="241" t="str">
        <f>INDEX('VDSM MAPPING'!F:F,MATCH($D70,'VDSM MAPPING'!$A:$A,0))</f>
        <v>C&amp;I Custom</v>
      </c>
      <c r="H70" s="241" t="str">
        <f>INDEX('VDSM MAPPING'!G:G,MATCH($D70,'VDSM MAPPING'!$A:$A,0))</f>
        <v>Various</v>
      </c>
      <c r="I70" s="241" t="str">
        <f>INDEX('VDSM MAPPING'!H:H,MATCH($D70,'VDSM MAPPING'!$A:$A,0))</f>
        <v>C&amp;I Custom</v>
      </c>
      <c r="J70" s="240">
        <f t="shared" ref="J70:J133" si="14">IFERROR(STANDARDIZE(BN70,BP70,BQ70),"")</f>
        <v>-2.0266656868577468E-2</v>
      </c>
      <c r="K70" s="240">
        <f t="shared" ref="K70:K133" si="15">IFERROR(STANDARDIZE($BO70,$BR70,$BS70),"")</f>
        <v>-1.671214123197531E-2</v>
      </c>
      <c r="L70" s="240" t="b">
        <f t="shared" ref="L70:L133" si="16">AND(ISNUMBER(J70),OR(J70&gt;=L$1,J70&lt;=-L$1))</f>
        <v>0</v>
      </c>
      <c r="M70" s="240" t="b">
        <f t="shared" ref="M70:M133" si="17">AND(ISNUMBER(K70),OR(K70&gt;=M$1,K70&lt;=-M$1))</f>
        <v>0</v>
      </c>
      <c r="N70" s="204" t="s">
        <v>289</v>
      </c>
      <c r="O70" s="204" t="s">
        <v>2843</v>
      </c>
      <c r="P70" s="350">
        <v>1</v>
      </c>
      <c r="Q70" s="204" t="s">
        <v>2843</v>
      </c>
      <c r="R70" s="204" t="s">
        <v>2842</v>
      </c>
      <c r="S70" s="204" t="s">
        <v>2841</v>
      </c>
      <c r="T70" s="204" t="s">
        <v>2841</v>
      </c>
      <c r="U70" s="204" t="s">
        <v>2841</v>
      </c>
      <c r="V70" s="204" t="s">
        <v>2840</v>
      </c>
      <c r="W70" s="204" t="s">
        <v>1252</v>
      </c>
      <c r="X70" s="204" t="s">
        <v>297</v>
      </c>
      <c r="Y70" s="204" t="s">
        <v>1251</v>
      </c>
      <c r="Z70" s="204" t="s">
        <v>2257</v>
      </c>
      <c r="AA70" s="204" t="s">
        <v>2256</v>
      </c>
      <c r="AB70" s="204" t="s">
        <v>337</v>
      </c>
      <c r="AC70" s="204" t="s">
        <v>297</v>
      </c>
      <c r="AD70" s="204" t="s">
        <v>336</v>
      </c>
      <c r="AE70" s="204" t="s">
        <v>2255</v>
      </c>
      <c r="AF70" s="204" t="s">
        <v>2254</v>
      </c>
      <c r="AG70" s="204" t="s">
        <v>2675</v>
      </c>
      <c r="AH70" s="204" t="s">
        <v>2674</v>
      </c>
      <c r="AI70" s="204" t="s">
        <v>2378</v>
      </c>
      <c r="AJ70" s="204" t="s">
        <v>2126</v>
      </c>
      <c r="AK70" s="204" t="s">
        <v>2673</v>
      </c>
      <c r="AX70" s="204">
        <v>23</v>
      </c>
      <c r="AY70" s="204">
        <v>0</v>
      </c>
      <c r="AZ70" s="204">
        <v>1.61</v>
      </c>
      <c r="BB70" s="204">
        <v>8579</v>
      </c>
      <c r="BH70" s="204">
        <v>0</v>
      </c>
      <c r="BI70" s="204">
        <v>1390.35</v>
      </c>
      <c r="BJ70" s="204">
        <v>42716</v>
      </c>
      <c r="BK70" s="204">
        <v>42716.668909259301</v>
      </c>
      <c r="BL70" s="204" t="s">
        <v>293</v>
      </c>
      <c r="BM70" s="204" t="s">
        <v>2839</v>
      </c>
      <c r="BN70" s="269">
        <f t="shared" ref="BN70:BN133" si="18">IFERROR(BB70/$AX70,"")</f>
        <v>373</v>
      </c>
      <c r="BO70" s="269">
        <f t="shared" ref="BO70:BO133" si="19">BI70/$AX70</f>
        <v>60.449999999999996</v>
      </c>
      <c r="BP70" s="269">
        <f>INDEX('App Data Outliers'!$M:$M,MATCH($E70,'App Data Outliers'!$A:$A,0))</f>
        <v>1648.9692929508194</v>
      </c>
      <c r="BQ70" s="269">
        <f>INDEX('App Data Outliers'!$N:$N,MATCH($E70,'App Data Outliers'!$A:$A,0))</f>
        <v>62959.041603410769</v>
      </c>
      <c r="BR70" s="269">
        <f>INDEX('App Data Outliers'!$S:$S,MATCH($E70,'App Data Outliers'!$A:$A,0))</f>
        <v>174.05364750819672</v>
      </c>
      <c r="BS70" s="269">
        <f>INDEX('App Data Outliers'!$T:$T,MATCH($E70,'App Data Outliers'!$A:$A,0))</f>
        <v>6797.6715808767258</v>
      </c>
    </row>
    <row r="71" spans="1:71" s="204" customFormat="1" hidden="1">
      <c r="A71" s="241">
        <v>67</v>
      </c>
      <c r="B71" s="241" t="str">
        <f t="shared" si="10"/>
        <v>Non-Residential - BHPSD - C/I Custom</v>
      </c>
      <c r="C71" s="241" t="b">
        <f t="shared" si="11"/>
        <v>1</v>
      </c>
      <c r="D71" s="241" t="str">
        <f t="shared" si="12"/>
        <v>Non-Residential - BHPSD - C/I Custom_C&amp;I Custom Rebate :- Customer Incentives_Other Commercial</v>
      </c>
      <c r="E71" s="241" t="str">
        <f t="shared" si="13"/>
        <v>C&amp;I_C&amp;I Custom_Various_C&amp;I Custom</v>
      </c>
      <c r="F71" s="241" t="str">
        <f>INDEX('VDSM MAPPING'!E:E,MATCH($D71,'VDSM MAPPING'!$A:$A,0))</f>
        <v>C&amp;I</v>
      </c>
      <c r="G71" s="241" t="str">
        <f>INDEX('VDSM MAPPING'!F:F,MATCH($D71,'VDSM MAPPING'!$A:$A,0))</f>
        <v>C&amp;I Custom</v>
      </c>
      <c r="H71" s="241" t="str">
        <f>INDEX('VDSM MAPPING'!G:G,MATCH($D71,'VDSM MAPPING'!$A:$A,0))</f>
        <v>Various</v>
      </c>
      <c r="I71" s="241" t="str">
        <f>INDEX('VDSM MAPPING'!H:H,MATCH($D71,'VDSM MAPPING'!$A:$A,0))</f>
        <v>C&amp;I Custom</v>
      </c>
      <c r="J71" s="240">
        <f t="shared" si="14"/>
        <v>4.9302381802473656E-2</v>
      </c>
      <c r="K71" s="240">
        <f t="shared" si="15"/>
        <v>0.12030683488629605</v>
      </c>
      <c r="L71" s="240" t="b">
        <f t="shared" si="16"/>
        <v>0</v>
      </c>
      <c r="M71" s="240" t="b">
        <f t="shared" si="17"/>
        <v>0</v>
      </c>
      <c r="N71" s="204" t="s">
        <v>289</v>
      </c>
      <c r="O71" s="204" t="s">
        <v>2838</v>
      </c>
      <c r="P71" s="350">
        <v>1</v>
      </c>
      <c r="Q71" s="204" t="s">
        <v>2838</v>
      </c>
      <c r="R71" s="204" t="s">
        <v>2837</v>
      </c>
      <c r="S71" s="204" t="s">
        <v>2836</v>
      </c>
      <c r="T71" s="204" t="s">
        <v>2836</v>
      </c>
      <c r="U71" s="204" t="s">
        <v>2836</v>
      </c>
      <c r="V71" s="204" t="s">
        <v>2835</v>
      </c>
      <c r="W71" s="204" t="s">
        <v>2832</v>
      </c>
      <c r="X71" s="204" t="s">
        <v>297</v>
      </c>
      <c r="Y71" s="204" t="s">
        <v>2831</v>
      </c>
      <c r="Z71" s="204" t="s">
        <v>2834</v>
      </c>
      <c r="AA71" s="204" t="s">
        <v>2833</v>
      </c>
      <c r="AB71" s="204" t="s">
        <v>2832</v>
      </c>
      <c r="AC71" s="204" t="s">
        <v>297</v>
      </c>
      <c r="AD71" s="204" t="s">
        <v>2831</v>
      </c>
      <c r="AE71" s="204" t="s">
        <v>2830</v>
      </c>
      <c r="AF71" s="204" t="s">
        <v>2829</v>
      </c>
      <c r="AG71" s="204" t="s">
        <v>2675</v>
      </c>
      <c r="AH71" s="204" t="s">
        <v>2674</v>
      </c>
      <c r="AI71" s="204" t="s">
        <v>2127</v>
      </c>
      <c r="AJ71" s="204" t="s">
        <v>2126</v>
      </c>
      <c r="AK71" s="204" t="s">
        <v>2673</v>
      </c>
      <c r="AX71" s="204">
        <v>1</v>
      </c>
      <c r="AY71" s="204">
        <v>0</v>
      </c>
      <c r="AZ71" s="204">
        <v>5.2</v>
      </c>
      <c r="BB71" s="204">
        <v>4753</v>
      </c>
      <c r="BH71" s="204">
        <v>0</v>
      </c>
      <c r="BI71" s="204">
        <v>991.86</v>
      </c>
      <c r="BJ71" s="204">
        <v>42739</v>
      </c>
      <c r="BK71" s="204">
        <v>42739.569581134303</v>
      </c>
      <c r="BL71" s="204" t="s">
        <v>293</v>
      </c>
      <c r="BM71" s="204" t="s">
        <v>2828</v>
      </c>
      <c r="BN71" s="269">
        <f t="shared" si="18"/>
        <v>4753</v>
      </c>
      <c r="BO71" s="269">
        <f t="shared" si="19"/>
        <v>991.86</v>
      </c>
      <c r="BP71" s="269">
        <f>INDEX('App Data Outliers'!$M:$M,MATCH($E71,'App Data Outliers'!$A:$A,0))</f>
        <v>1648.9692929508194</v>
      </c>
      <c r="BQ71" s="269">
        <f>INDEX('App Data Outliers'!$N:$N,MATCH($E71,'App Data Outliers'!$A:$A,0))</f>
        <v>62959.041603410769</v>
      </c>
      <c r="BR71" s="269">
        <f>INDEX('App Data Outliers'!$S:$S,MATCH($E71,'App Data Outliers'!$A:$A,0))</f>
        <v>174.05364750819672</v>
      </c>
      <c r="BS71" s="269">
        <f>INDEX('App Data Outliers'!$T:$T,MATCH($E71,'App Data Outliers'!$A:$A,0))</f>
        <v>6797.6715808767258</v>
      </c>
    </row>
    <row r="72" spans="1:71" s="204" customFormat="1" hidden="1">
      <c r="A72" s="241">
        <v>68</v>
      </c>
      <c r="B72" s="241" t="str">
        <f t="shared" si="10"/>
        <v>Non-Residential - BHPSD - C/I Custom</v>
      </c>
      <c r="C72" s="241" t="b">
        <f t="shared" si="11"/>
        <v>1</v>
      </c>
      <c r="D72" s="241" t="str">
        <f t="shared" si="12"/>
        <v>Non-Residential - BHPSD - C/I Custom_C&amp;I Custom Rebate :- Customer Incentives_Other Commercial</v>
      </c>
      <c r="E72" s="241" t="str">
        <f t="shared" si="13"/>
        <v>C&amp;I_C&amp;I Custom_Various_C&amp;I Custom</v>
      </c>
      <c r="F72" s="241" t="str">
        <f>INDEX('VDSM MAPPING'!E:E,MATCH($D72,'VDSM MAPPING'!$A:$A,0))</f>
        <v>C&amp;I</v>
      </c>
      <c r="G72" s="241" t="str">
        <f>INDEX('VDSM MAPPING'!F:F,MATCH($D72,'VDSM MAPPING'!$A:$A,0))</f>
        <v>C&amp;I Custom</v>
      </c>
      <c r="H72" s="241" t="str">
        <f>INDEX('VDSM MAPPING'!G:G,MATCH($D72,'VDSM MAPPING'!$A:$A,0))</f>
        <v>Various</v>
      </c>
      <c r="I72" s="241" t="str">
        <f>INDEX('VDSM MAPPING'!H:H,MATCH($D72,'VDSM MAPPING'!$A:$A,0))</f>
        <v>C&amp;I Custom</v>
      </c>
      <c r="J72" s="240">
        <f t="shared" si="14"/>
        <v>-1.782062217557704E-2</v>
      </c>
      <c r="K72" s="240">
        <f t="shared" si="15"/>
        <v>-1.2070846102514105E-2</v>
      </c>
      <c r="L72" s="240" t="b">
        <f t="shared" si="16"/>
        <v>0</v>
      </c>
      <c r="M72" s="240" t="b">
        <f t="shared" si="17"/>
        <v>0</v>
      </c>
      <c r="N72" s="204" t="s">
        <v>289</v>
      </c>
      <c r="O72" s="204" t="s">
        <v>2827</v>
      </c>
      <c r="P72" s="350">
        <v>1</v>
      </c>
      <c r="Q72" s="204" t="s">
        <v>2827</v>
      </c>
      <c r="R72" s="204" t="s">
        <v>2826</v>
      </c>
      <c r="S72" s="204" t="s">
        <v>2825</v>
      </c>
      <c r="T72" s="204" t="s">
        <v>2825</v>
      </c>
      <c r="U72" s="204" t="s">
        <v>2825</v>
      </c>
      <c r="V72" s="204" t="s">
        <v>2824</v>
      </c>
      <c r="W72" s="204" t="s">
        <v>568</v>
      </c>
      <c r="X72" s="204" t="s">
        <v>297</v>
      </c>
      <c r="Y72" s="204" t="s">
        <v>567</v>
      </c>
      <c r="Z72" s="204" t="s">
        <v>2823</v>
      </c>
      <c r="AA72" s="204" t="s">
        <v>2822</v>
      </c>
      <c r="AB72" s="204" t="s">
        <v>531</v>
      </c>
      <c r="AC72" s="204" t="s">
        <v>297</v>
      </c>
      <c r="AD72" s="204" t="s">
        <v>530</v>
      </c>
      <c r="AE72" s="204" t="s">
        <v>2821</v>
      </c>
      <c r="AG72" s="204" t="s">
        <v>2675</v>
      </c>
      <c r="AH72" s="204" t="s">
        <v>2674</v>
      </c>
      <c r="AI72" s="204" t="s">
        <v>2127</v>
      </c>
      <c r="AJ72" s="204" t="s">
        <v>2126</v>
      </c>
      <c r="AK72" s="204" t="s">
        <v>2673</v>
      </c>
      <c r="AX72" s="204">
        <v>18</v>
      </c>
      <c r="AY72" s="204">
        <v>0</v>
      </c>
      <c r="AZ72" s="204">
        <v>4.1399999999999997</v>
      </c>
      <c r="BB72" s="204">
        <v>9486</v>
      </c>
      <c r="BH72" s="204">
        <v>0</v>
      </c>
      <c r="BI72" s="204">
        <v>1656</v>
      </c>
      <c r="BJ72" s="204">
        <v>42739</v>
      </c>
      <c r="BK72" s="204">
        <v>42739.8135223032</v>
      </c>
      <c r="BL72" s="204" t="s">
        <v>293</v>
      </c>
      <c r="BM72" s="204" t="s">
        <v>2820</v>
      </c>
      <c r="BN72" s="269">
        <f t="shared" si="18"/>
        <v>527</v>
      </c>
      <c r="BO72" s="269">
        <f t="shared" si="19"/>
        <v>92</v>
      </c>
      <c r="BP72" s="269">
        <f>INDEX('App Data Outliers'!$M:$M,MATCH($E72,'App Data Outliers'!$A:$A,0))</f>
        <v>1648.9692929508194</v>
      </c>
      <c r="BQ72" s="269">
        <f>INDEX('App Data Outliers'!$N:$N,MATCH($E72,'App Data Outliers'!$A:$A,0))</f>
        <v>62959.041603410769</v>
      </c>
      <c r="BR72" s="269">
        <f>INDEX('App Data Outliers'!$S:$S,MATCH($E72,'App Data Outliers'!$A:$A,0))</f>
        <v>174.05364750819672</v>
      </c>
      <c r="BS72" s="269">
        <f>INDEX('App Data Outliers'!$T:$T,MATCH($E72,'App Data Outliers'!$A:$A,0))</f>
        <v>6797.6715808767258</v>
      </c>
    </row>
    <row r="73" spans="1:71" s="204" customFormat="1" hidden="1">
      <c r="A73" s="241">
        <v>69</v>
      </c>
      <c r="B73" s="241" t="str">
        <f t="shared" si="10"/>
        <v>Non-Residential - BHPSD - C/I Custom</v>
      </c>
      <c r="C73" s="241" t="b">
        <f t="shared" si="11"/>
        <v>1</v>
      </c>
      <c r="D73" s="241" t="str">
        <f t="shared" si="12"/>
        <v>Non-Residential - BHPSD - C/I Custom_C&amp;I Custom Rebate :- Customer Incentives_Other Commercial</v>
      </c>
      <c r="E73" s="241" t="str">
        <f t="shared" si="13"/>
        <v>C&amp;I_C&amp;I Custom_Various_C&amp;I Custom</v>
      </c>
      <c r="F73" s="241" t="str">
        <f>INDEX('VDSM MAPPING'!E:E,MATCH($D73,'VDSM MAPPING'!$A:$A,0))</f>
        <v>C&amp;I</v>
      </c>
      <c r="G73" s="241" t="str">
        <f>INDEX('VDSM MAPPING'!F:F,MATCH($D73,'VDSM MAPPING'!$A:$A,0))</f>
        <v>C&amp;I Custom</v>
      </c>
      <c r="H73" s="241" t="str">
        <f>INDEX('VDSM MAPPING'!G:G,MATCH($D73,'VDSM MAPPING'!$A:$A,0))</f>
        <v>Various</v>
      </c>
      <c r="I73" s="241" t="str">
        <f>INDEX('VDSM MAPPING'!H:H,MATCH($D73,'VDSM MAPPING'!$A:$A,0))</f>
        <v>C&amp;I Custom</v>
      </c>
      <c r="J73" s="240">
        <f t="shared" si="14"/>
        <v>-1.7910680725637507E-2</v>
      </c>
      <c r="K73" s="240">
        <f t="shared" si="15"/>
        <v>-1.0893972535614275E-2</v>
      </c>
      <c r="L73" s="240" t="b">
        <f t="shared" si="16"/>
        <v>0</v>
      </c>
      <c r="M73" s="240" t="b">
        <f t="shared" si="17"/>
        <v>0</v>
      </c>
      <c r="N73" s="204" t="s">
        <v>289</v>
      </c>
      <c r="O73" s="204" t="s">
        <v>2819</v>
      </c>
      <c r="P73" s="350">
        <v>1</v>
      </c>
      <c r="Q73" s="204" t="s">
        <v>2819</v>
      </c>
      <c r="R73" s="204" t="s">
        <v>2818</v>
      </c>
      <c r="S73" s="204" t="s">
        <v>2817</v>
      </c>
      <c r="T73" s="204" t="s">
        <v>2817</v>
      </c>
      <c r="U73" s="204" t="s">
        <v>2816</v>
      </c>
      <c r="V73" s="204" t="s">
        <v>2815</v>
      </c>
      <c r="W73" s="204" t="s">
        <v>382</v>
      </c>
      <c r="X73" s="204" t="s">
        <v>297</v>
      </c>
      <c r="Y73" s="204" t="s">
        <v>381</v>
      </c>
      <c r="Z73" s="204" t="s">
        <v>2237</v>
      </c>
      <c r="AA73" s="204" t="s">
        <v>2236</v>
      </c>
      <c r="AB73" s="204" t="s">
        <v>1252</v>
      </c>
      <c r="AC73" s="204" t="s">
        <v>297</v>
      </c>
      <c r="AD73" s="204" t="s">
        <v>1251</v>
      </c>
      <c r="AE73" s="204" t="s">
        <v>2235</v>
      </c>
      <c r="AG73" s="204" t="s">
        <v>2675</v>
      </c>
      <c r="AH73" s="204" t="s">
        <v>2674</v>
      </c>
      <c r="AI73" s="204" t="s">
        <v>2373</v>
      </c>
      <c r="AJ73" s="204" t="s">
        <v>2126</v>
      </c>
      <c r="AK73" s="204" t="s">
        <v>2673</v>
      </c>
      <c r="AX73" s="204">
        <v>36</v>
      </c>
      <c r="AY73" s="204">
        <v>0</v>
      </c>
      <c r="AZ73" s="204">
        <v>9.9</v>
      </c>
      <c r="BB73" s="204">
        <v>18767.88</v>
      </c>
      <c r="BH73" s="204">
        <v>0</v>
      </c>
      <c r="BI73" s="204">
        <v>3600</v>
      </c>
      <c r="BJ73" s="204">
        <v>42865</v>
      </c>
      <c r="BK73" s="204">
        <v>42744.691814849502</v>
      </c>
      <c r="BL73" s="204" t="s">
        <v>293</v>
      </c>
      <c r="BM73" s="204" t="s">
        <v>2814</v>
      </c>
      <c r="BN73" s="269">
        <f t="shared" si="18"/>
        <v>521.33000000000004</v>
      </c>
      <c r="BO73" s="269">
        <f t="shared" si="19"/>
        <v>100</v>
      </c>
      <c r="BP73" s="269">
        <f>INDEX('App Data Outliers'!$M:$M,MATCH($E73,'App Data Outliers'!$A:$A,0))</f>
        <v>1648.9692929508194</v>
      </c>
      <c r="BQ73" s="269">
        <f>INDEX('App Data Outliers'!$N:$N,MATCH($E73,'App Data Outliers'!$A:$A,0))</f>
        <v>62959.041603410769</v>
      </c>
      <c r="BR73" s="269">
        <f>INDEX('App Data Outliers'!$S:$S,MATCH($E73,'App Data Outliers'!$A:$A,0))</f>
        <v>174.05364750819672</v>
      </c>
      <c r="BS73" s="269">
        <f>INDEX('App Data Outliers'!$T:$T,MATCH($E73,'App Data Outliers'!$A:$A,0))</f>
        <v>6797.6715808767258</v>
      </c>
    </row>
    <row r="74" spans="1:71" s="204" customFormat="1" hidden="1">
      <c r="A74" s="241">
        <v>70</v>
      </c>
      <c r="B74" s="241" t="str">
        <f t="shared" si="10"/>
        <v>Non-Residential - BHPSD - C/I Custom</v>
      </c>
      <c r="C74" s="241" t="b">
        <f t="shared" si="11"/>
        <v>1</v>
      </c>
      <c r="D74" s="241" t="str">
        <f t="shared" si="12"/>
        <v>Non-Residential - BHPSD - C/I Custom_C&amp;I Custom Rebate :- Customer Incentives_Other Commercial</v>
      </c>
      <c r="E74" s="241" t="str">
        <f t="shared" si="13"/>
        <v>C&amp;I_C&amp;I Custom_Various_C&amp;I Custom</v>
      </c>
      <c r="F74" s="241" t="str">
        <f>INDEX('VDSM MAPPING'!E:E,MATCH($D74,'VDSM MAPPING'!$A:$A,0))</f>
        <v>C&amp;I</v>
      </c>
      <c r="G74" s="241" t="str">
        <f>INDEX('VDSM MAPPING'!F:F,MATCH($D74,'VDSM MAPPING'!$A:$A,0))</f>
        <v>C&amp;I Custom</v>
      </c>
      <c r="H74" s="241" t="str">
        <f>INDEX('VDSM MAPPING'!G:G,MATCH($D74,'VDSM MAPPING'!$A:$A,0))</f>
        <v>Various</v>
      </c>
      <c r="I74" s="241" t="str">
        <f>INDEX('VDSM MAPPING'!H:H,MATCH($D74,'VDSM MAPPING'!$A:$A,0))</f>
        <v>C&amp;I Custom</v>
      </c>
      <c r="J74" s="240">
        <f t="shared" si="14"/>
        <v>-1.5295170771764911E-2</v>
      </c>
      <c r="K74" s="240">
        <f t="shared" si="15"/>
        <v>-5.0096047011151234E-3</v>
      </c>
      <c r="L74" s="240" t="b">
        <f t="shared" si="16"/>
        <v>0</v>
      </c>
      <c r="M74" s="240" t="b">
        <f t="shared" si="17"/>
        <v>0</v>
      </c>
      <c r="N74" s="204" t="s">
        <v>289</v>
      </c>
      <c r="O74" s="204" t="s">
        <v>2812</v>
      </c>
      <c r="P74" s="350">
        <v>1</v>
      </c>
      <c r="Q74" s="204" t="s">
        <v>2812</v>
      </c>
      <c r="R74" s="204" t="s">
        <v>2487</v>
      </c>
      <c r="S74" s="204" t="s">
        <v>2486</v>
      </c>
      <c r="T74" s="204" t="s">
        <v>2485</v>
      </c>
      <c r="U74" s="204" t="s">
        <v>2442</v>
      </c>
      <c r="V74" s="204" t="s">
        <v>2484</v>
      </c>
      <c r="W74" s="204" t="s">
        <v>329</v>
      </c>
      <c r="X74" s="204" t="s">
        <v>297</v>
      </c>
      <c r="Y74" s="204" t="s">
        <v>397</v>
      </c>
      <c r="Z74" s="204" t="s">
        <v>2132</v>
      </c>
      <c r="AA74" s="204" t="s">
        <v>2131</v>
      </c>
      <c r="AB74" s="204" t="s">
        <v>329</v>
      </c>
      <c r="AC74" s="204" t="s">
        <v>297</v>
      </c>
      <c r="AD74" s="204" t="s">
        <v>599</v>
      </c>
      <c r="AE74" s="204" t="s">
        <v>2130</v>
      </c>
      <c r="AG74" s="204" t="s">
        <v>2675</v>
      </c>
      <c r="AH74" s="204" t="s">
        <v>2674</v>
      </c>
      <c r="AI74" s="204" t="s">
        <v>2127</v>
      </c>
      <c r="AJ74" s="204" t="s">
        <v>2126</v>
      </c>
      <c r="AK74" s="204" t="s">
        <v>2673</v>
      </c>
      <c r="AX74" s="204">
        <v>16</v>
      </c>
      <c r="AY74" s="204">
        <v>0</v>
      </c>
      <c r="AZ74" s="204">
        <v>4</v>
      </c>
      <c r="BB74" s="204">
        <v>10976</v>
      </c>
      <c r="BH74" s="204">
        <v>0</v>
      </c>
      <c r="BI74" s="204">
        <v>2240</v>
      </c>
      <c r="BJ74" s="204">
        <v>42752</v>
      </c>
      <c r="BK74" s="204">
        <v>42752.572395949101</v>
      </c>
      <c r="BL74" s="204" t="s">
        <v>293</v>
      </c>
      <c r="BM74" s="204" t="s">
        <v>2813</v>
      </c>
      <c r="BN74" s="269">
        <f t="shared" si="18"/>
        <v>686</v>
      </c>
      <c r="BO74" s="269">
        <f t="shared" si="19"/>
        <v>140</v>
      </c>
      <c r="BP74" s="269">
        <f>INDEX('App Data Outliers'!$M:$M,MATCH($E74,'App Data Outliers'!$A:$A,0))</f>
        <v>1648.9692929508194</v>
      </c>
      <c r="BQ74" s="269">
        <f>INDEX('App Data Outliers'!$N:$N,MATCH($E74,'App Data Outliers'!$A:$A,0))</f>
        <v>62959.041603410769</v>
      </c>
      <c r="BR74" s="269">
        <f>INDEX('App Data Outliers'!$S:$S,MATCH($E74,'App Data Outliers'!$A:$A,0))</f>
        <v>174.05364750819672</v>
      </c>
      <c r="BS74" s="269">
        <f>INDEX('App Data Outliers'!$T:$T,MATCH($E74,'App Data Outliers'!$A:$A,0))</f>
        <v>6797.6715808767258</v>
      </c>
    </row>
    <row r="75" spans="1:71" s="204" customFormat="1" hidden="1">
      <c r="A75" s="241">
        <v>71</v>
      </c>
      <c r="B75" s="241" t="str">
        <f t="shared" si="10"/>
        <v>Non-Residential - BHPSD - C/I Custom</v>
      </c>
      <c r="C75" s="241" t="b">
        <f t="shared" si="11"/>
        <v>1</v>
      </c>
      <c r="D75" s="241" t="str">
        <f t="shared" si="12"/>
        <v>Non-Residential - BHPSD - C/I Custom_C&amp;I Custom Rebate :- Customer Incentives_Other Commercial</v>
      </c>
      <c r="E75" s="241" t="str">
        <f t="shared" si="13"/>
        <v>C&amp;I_C&amp;I Custom_Various_C&amp;I Custom</v>
      </c>
      <c r="F75" s="241" t="str">
        <f>INDEX('VDSM MAPPING'!E:E,MATCH($D75,'VDSM MAPPING'!$A:$A,0))</f>
        <v>C&amp;I</v>
      </c>
      <c r="G75" s="241" t="str">
        <f>INDEX('VDSM MAPPING'!F:F,MATCH($D75,'VDSM MAPPING'!$A:$A,0))</f>
        <v>C&amp;I Custom</v>
      </c>
      <c r="H75" s="241" t="str">
        <f>INDEX('VDSM MAPPING'!G:G,MATCH($D75,'VDSM MAPPING'!$A:$A,0))</f>
        <v>Various</v>
      </c>
      <c r="I75" s="241" t="str">
        <f>INDEX('VDSM MAPPING'!H:H,MATCH($D75,'VDSM MAPPING'!$A:$A,0))</f>
        <v>C&amp;I Custom</v>
      </c>
      <c r="J75" s="240">
        <f t="shared" si="14"/>
        <v>2.2729550364878098E-2</v>
      </c>
      <c r="K75" s="240">
        <f t="shared" si="15"/>
        <v>6.2660625395625114E-2</v>
      </c>
      <c r="L75" s="240" t="b">
        <f t="shared" si="16"/>
        <v>0</v>
      </c>
      <c r="M75" s="240" t="b">
        <f t="shared" si="17"/>
        <v>0</v>
      </c>
      <c r="N75" s="204" t="s">
        <v>289</v>
      </c>
      <c r="O75" s="204" t="s">
        <v>2812</v>
      </c>
      <c r="P75" s="350">
        <v>0</v>
      </c>
      <c r="Q75" s="204" t="s">
        <v>2812</v>
      </c>
      <c r="R75" s="204" t="s">
        <v>2487</v>
      </c>
      <c r="S75" s="204" t="s">
        <v>2486</v>
      </c>
      <c r="T75" s="204" t="s">
        <v>2485</v>
      </c>
      <c r="U75" s="204" t="s">
        <v>2442</v>
      </c>
      <c r="V75" s="204" t="s">
        <v>2484</v>
      </c>
      <c r="W75" s="204" t="s">
        <v>329</v>
      </c>
      <c r="X75" s="204" t="s">
        <v>297</v>
      </c>
      <c r="Y75" s="204" t="s">
        <v>397</v>
      </c>
      <c r="Z75" s="204" t="s">
        <v>2132</v>
      </c>
      <c r="AA75" s="204" t="s">
        <v>2131</v>
      </c>
      <c r="AB75" s="204" t="s">
        <v>329</v>
      </c>
      <c r="AC75" s="204" t="s">
        <v>297</v>
      </c>
      <c r="AD75" s="204" t="s">
        <v>599</v>
      </c>
      <c r="AE75" s="204" t="s">
        <v>2130</v>
      </c>
      <c r="AG75" s="204" t="s">
        <v>2675</v>
      </c>
      <c r="AH75" s="204" t="s">
        <v>2674</v>
      </c>
      <c r="AI75" s="204" t="s">
        <v>2127</v>
      </c>
      <c r="AJ75" s="204" t="s">
        <v>2126</v>
      </c>
      <c r="AK75" s="204" t="s">
        <v>2673</v>
      </c>
      <c r="AX75" s="204">
        <v>1</v>
      </c>
      <c r="AY75" s="204">
        <v>0</v>
      </c>
      <c r="AZ75" s="204">
        <v>1.1000000000000001</v>
      </c>
      <c r="BB75" s="204">
        <v>3080</v>
      </c>
      <c r="BH75" s="204">
        <v>0</v>
      </c>
      <c r="BI75" s="204">
        <v>600</v>
      </c>
      <c r="BJ75" s="204">
        <v>42752</v>
      </c>
      <c r="BK75" s="204">
        <v>42752.572395949101</v>
      </c>
      <c r="BL75" s="204" t="s">
        <v>293</v>
      </c>
      <c r="BM75" s="204" t="s">
        <v>2811</v>
      </c>
      <c r="BN75" s="269">
        <f t="shared" si="18"/>
        <v>3080</v>
      </c>
      <c r="BO75" s="269">
        <f t="shared" si="19"/>
        <v>600</v>
      </c>
      <c r="BP75" s="269">
        <f>INDEX('App Data Outliers'!$M:$M,MATCH($E75,'App Data Outliers'!$A:$A,0))</f>
        <v>1648.9692929508194</v>
      </c>
      <c r="BQ75" s="269">
        <f>INDEX('App Data Outliers'!$N:$N,MATCH($E75,'App Data Outliers'!$A:$A,0))</f>
        <v>62959.041603410769</v>
      </c>
      <c r="BR75" s="269">
        <f>INDEX('App Data Outliers'!$S:$S,MATCH($E75,'App Data Outliers'!$A:$A,0))</f>
        <v>174.05364750819672</v>
      </c>
      <c r="BS75" s="269">
        <f>INDEX('App Data Outliers'!$T:$T,MATCH($E75,'App Data Outliers'!$A:$A,0))</f>
        <v>6797.6715808767258</v>
      </c>
    </row>
    <row r="76" spans="1:71" s="204" customFormat="1" hidden="1">
      <c r="A76" s="241">
        <v>72</v>
      </c>
      <c r="B76" s="241" t="str">
        <f t="shared" si="10"/>
        <v>Non-Residential - BHPSD - C/I Custom</v>
      </c>
      <c r="C76" s="241" t="b">
        <f t="shared" si="11"/>
        <v>1</v>
      </c>
      <c r="D76" s="241" t="str">
        <f t="shared" si="12"/>
        <v>Non-Residential - BHPSD - C/I Custom_C&amp;I Custom Rebate :- Customer Incentives_Other Commercial</v>
      </c>
      <c r="E76" s="241" t="str">
        <f t="shared" si="13"/>
        <v>C&amp;I_C&amp;I Custom_Various_C&amp;I Custom</v>
      </c>
      <c r="F76" s="241" t="str">
        <f>INDEX('VDSM MAPPING'!E:E,MATCH($D76,'VDSM MAPPING'!$A:$A,0))</f>
        <v>C&amp;I</v>
      </c>
      <c r="G76" s="241" t="str">
        <f>INDEX('VDSM MAPPING'!F:F,MATCH($D76,'VDSM MAPPING'!$A:$A,0))</f>
        <v>C&amp;I Custom</v>
      </c>
      <c r="H76" s="241" t="str">
        <f>INDEX('VDSM MAPPING'!G:G,MATCH($D76,'VDSM MAPPING'!$A:$A,0))</f>
        <v>Various</v>
      </c>
      <c r="I76" s="241" t="str">
        <f>INDEX('VDSM MAPPING'!H:H,MATCH($D76,'VDSM MAPPING'!$A:$A,0))</f>
        <v>C&amp;I Custom</v>
      </c>
      <c r="J76" s="240">
        <f t="shared" si="14"/>
        <v>3.9446443970899789</v>
      </c>
      <c r="K76" s="240">
        <f t="shared" si="15"/>
        <v>6.1912297250264912</v>
      </c>
      <c r="L76" s="240" t="b">
        <f t="shared" si="16"/>
        <v>1</v>
      </c>
      <c r="M76" s="240" t="b">
        <f t="shared" si="17"/>
        <v>1</v>
      </c>
      <c r="N76" s="204" t="s">
        <v>289</v>
      </c>
      <c r="O76" s="204" t="s">
        <v>2810</v>
      </c>
      <c r="P76" s="350">
        <v>1</v>
      </c>
      <c r="Q76" s="204" t="s">
        <v>2810</v>
      </c>
      <c r="R76" s="204" t="s">
        <v>697</v>
      </c>
      <c r="S76" s="204" t="s">
        <v>695</v>
      </c>
      <c r="T76" s="204" t="s">
        <v>695</v>
      </c>
      <c r="U76" s="204" t="s">
        <v>695</v>
      </c>
      <c r="V76" s="204" t="s">
        <v>694</v>
      </c>
      <c r="W76" s="204" t="s">
        <v>320</v>
      </c>
      <c r="X76" s="204" t="s">
        <v>297</v>
      </c>
      <c r="Y76" s="204" t="s">
        <v>319</v>
      </c>
      <c r="Z76" s="204" t="s">
        <v>2211</v>
      </c>
      <c r="AA76" s="204" t="s">
        <v>2210</v>
      </c>
      <c r="AB76" s="204" t="s">
        <v>298</v>
      </c>
      <c r="AC76" s="204" t="s">
        <v>297</v>
      </c>
      <c r="AD76" s="204" t="s">
        <v>296</v>
      </c>
      <c r="AE76" s="204" t="s">
        <v>2209</v>
      </c>
      <c r="AF76" s="204" t="s">
        <v>2208</v>
      </c>
      <c r="AG76" s="204" t="s">
        <v>2675</v>
      </c>
      <c r="AH76" s="204" t="s">
        <v>2674</v>
      </c>
      <c r="AI76" s="204" t="s">
        <v>2373</v>
      </c>
      <c r="AJ76" s="204" t="s">
        <v>2126</v>
      </c>
      <c r="AK76" s="204" t="s">
        <v>2673</v>
      </c>
      <c r="AX76" s="204">
        <v>1</v>
      </c>
      <c r="AY76" s="204">
        <v>0</v>
      </c>
      <c r="AZ76" s="204">
        <v>75</v>
      </c>
      <c r="BB76" s="204">
        <v>250000</v>
      </c>
      <c r="BH76" s="204">
        <v>0</v>
      </c>
      <c r="BI76" s="204">
        <v>42260</v>
      </c>
      <c r="BJ76" s="204">
        <v>42822</v>
      </c>
      <c r="BK76" s="204">
        <v>42762.671858796297</v>
      </c>
      <c r="BL76" s="204" t="s">
        <v>293</v>
      </c>
      <c r="BM76" s="204" t="s">
        <v>2809</v>
      </c>
      <c r="BN76" s="269">
        <f t="shared" si="18"/>
        <v>250000</v>
      </c>
      <c r="BO76" s="269">
        <f t="shared" si="19"/>
        <v>42260</v>
      </c>
      <c r="BP76" s="269">
        <f>INDEX('App Data Outliers'!$M:$M,MATCH($E76,'App Data Outliers'!$A:$A,0))</f>
        <v>1648.9692929508194</v>
      </c>
      <c r="BQ76" s="269">
        <f>INDEX('App Data Outliers'!$N:$N,MATCH($E76,'App Data Outliers'!$A:$A,0))</f>
        <v>62959.041603410769</v>
      </c>
      <c r="BR76" s="269">
        <f>INDEX('App Data Outliers'!$S:$S,MATCH($E76,'App Data Outliers'!$A:$A,0))</f>
        <v>174.05364750819672</v>
      </c>
      <c r="BS76" s="269">
        <f>INDEX('App Data Outliers'!$T:$T,MATCH($E76,'App Data Outliers'!$A:$A,0))</f>
        <v>6797.6715808767258</v>
      </c>
    </row>
    <row r="77" spans="1:71" s="204" customFormat="1" hidden="1">
      <c r="A77" s="241">
        <v>73</v>
      </c>
      <c r="B77" s="241" t="str">
        <f t="shared" si="10"/>
        <v>Non-Residential - BHPSD - C/I Custom</v>
      </c>
      <c r="C77" s="241" t="b">
        <f t="shared" si="11"/>
        <v>1</v>
      </c>
      <c r="D77" s="241" t="str">
        <f t="shared" si="12"/>
        <v>Non-Residential - BHPSD - C/I Custom_C&amp;I Custom Rebate :- Customer Incentives_Other Commercial</v>
      </c>
      <c r="E77" s="241" t="str">
        <f t="shared" si="13"/>
        <v>C&amp;I_C&amp;I Custom_Various_C&amp;I Custom</v>
      </c>
      <c r="F77" s="241" t="str">
        <f>INDEX('VDSM MAPPING'!E:E,MATCH($D77,'VDSM MAPPING'!$A:$A,0))</f>
        <v>C&amp;I</v>
      </c>
      <c r="G77" s="241" t="str">
        <f>INDEX('VDSM MAPPING'!F:F,MATCH($D77,'VDSM MAPPING'!$A:$A,0))</f>
        <v>C&amp;I Custom</v>
      </c>
      <c r="H77" s="241" t="str">
        <f>INDEX('VDSM MAPPING'!G:G,MATCH($D77,'VDSM MAPPING'!$A:$A,0))</f>
        <v>Various</v>
      </c>
      <c r="I77" s="241" t="str">
        <f>INDEX('VDSM MAPPING'!H:H,MATCH($D77,'VDSM MAPPING'!$A:$A,0))</f>
        <v>C&amp;I Custom</v>
      </c>
      <c r="J77" s="240">
        <f t="shared" si="14"/>
        <v>0.2175228586438212</v>
      </c>
      <c r="K77" s="240">
        <f t="shared" si="15"/>
        <v>0.47456637381056571</v>
      </c>
      <c r="L77" s="240" t="b">
        <f t="shared" si="16"/>
        <v>0</v>
      </c>
      <c r="M77" s="240" t="b">
        <f t="shared" si="17"/>
        <v>0</v>
      </c>
      <c r="N77" s="204" t="s">
        <v>289</v>
      </c>
      <c r="O77" s="204" t="s">
        <v>2808</v>
      </c>
      <c r="P77" s="350">
        <v>1</v>
      </c>
      <c r="Q77" s="204" t="s">
        <v>2808</v>
      </c>
      <c r="R77" s="204" t="s">
        <v>2807</v>
      </c>
      <c r="S77" s="204" t="s">
        <v>2806</v>
      </c>
      <c r="T77" s="204" t="s">
        <v>2806</v>
      </c>
      <c r="U77" s="204" t="s">
        <v>2805</v>
      </c>
      <c r="V77" s="204" t="s">
        <v>2804</v>
      </c>
      <c r="W77" s="204" t="s">
        <v>337</v>
      </c>
      <c r="X77" s="204" t="s">
        <v>297</v>
      </c>
      <c r="Y77" s="204" t="s">
        <v>336</v>
      </c>
      <c r="Z77" s="204" t="s">
        <v>2803</v>
      </c>
      <c r="AA77" s="204" t="s">
        <v>2802</v>
      </c>
      <c r="AB77" s="204" t="s">
        <v>337</v>
      </c>
      <c r="AC77" s="204" t="s">
        <v>297</v>
      </c>
      <c r="AD77" s="204" t="s">
        <v>336</v>
      </c>
      <c r="AE77" s="204" t="s">
        <v>2801</v>
      </c>
      <c r="AF77" s="204" t="s">
        <v>2800</v>
      </c>
      <c r="AG77" s="204" t="s">
        <v>2675</v>
      </c>
      <c r="AH77" s="204" t="s">
        <v>2674</v>
      </c>
      <c r="AI77" s="204" t="s">
        <v>2202</v>
      </c>
      <c r="AJ77" s="204" t="s">
        <v>2459</v>
      </c>
      <c r="AK77" s="204" t="s">
        <v>2673</v>
      </c>
      <c r="AX77" s="204">
        <v>1</v>
      </c>
      <c r="AY77" s="204">
        <v>0</v>
      </c>
      <c r="AZ77" s="204">
        <v>7.4</v>
      </c>
      <c r="BB77" s="204">
        <v>15344</v>
      </c>
      <c r="BH77" s="204">
        <v>0</v>
      </c>
      <c r="BI77" s="204">
        <v>3400</v>
      </c>
      <c r="BJ77" s="204">
        <v>42773</v>
      </c>
      <c r="BK77" s="204">
        <v>42773.624298113398</v>
      </c>
      <c r="BL77" s="204" t="s">
        <v>293</v>
      </c>
      <c r="BM77" s="204" t="s">
        <v>2799</v>
      </c>
      <c r="BN77" s="269">
        <f t="shared" si="18"/>
        <v>15344</v>
      </c>
      <c r="BO77" s="269">
        <f t="shared" si="19"/>
        <v>3400</v>
      </c>
      <c r="BP77" s="269">
        <f>INDEX('App Data Outliers'!$M:$M,MATCH($E77,'App Data Outliers'!$A:$A,0))</f>
        <v>1648.9692929508194</v>
      </c>
      <c r="BQ77" s="269">
        <f>INDEX('App Data Outliers'!$N:$N,MATCH($E77,'App Data Outliers'!$A:$A,0))</f>
        <v>62959.041603410769</v>
      </c>
      <c r="BR77" s="269">
        <f>INDEX('App Data Outliers'!$S:$S,MATCH($E77,'App Data Outliers'!$A:$A,0))</f>
        <v>174.05364750819672</v>
      </c>
      <c r="BS77" s="269">
        <f>INDEX('App Data Outliers'!$T:$T,MATCH($E77,'App Data Outliers'!$A:$A,0))</f>
        <v>6797.6715808767258</v>
      </c>
    </row>
    <row r="78" spans="1:71" s="204" customFormat="1" hidden="1">
      <c r="A78" s="241">
        <v>74</v>
      </c>
      <c r="B78" s="241" t="str">
        <f t="shared" si="10"/>
        <v>Non-Residential - BHPSD - C/I Custom</v>
      </c>
      <c r="C78" s="241" t="b">
        <f t="shared" si="11"/>
        <v>1</v>
      </c>
      <c r="D78" s="241" t="str">
        <f t="shared" si="12"/>
        <v>Non-Residential - BHPSD - C/I Custom_C&amp;I Custom Rebate :- Customer Incentives_Other Commercial</v>
      </c>
      <c r="E78" s="241" t="str">
        <f t="shared" si="13"/>
        <v>C&amp;I_C&amp;I Custom_Various_C&amp;I Custom</v>
      </c>
      <c r="F78" s="241" t="str">
        <f>INDEX('VDSM MAPPING'!E:E,MATCH($D78,'VDSM MAPPING'!$A:$A,0))</f>
        <v>C&amp;I</v>
      </c>
      <c r="G78" s="241" t="str">
        <f>INDEX('VDSM MAPPING'!F:F,MATCH($D78,'VDSM MAPPING'!$A:$A,0))</f>
        <v>C&amp;I Custom</v>
      </c>
      <c r="H78" s="241" t="str">
        <f>INDEX('VDSM MAPPING'!G:G,MATCH($D78,'VDSM MAPPING'!$A:$A,0))</f>
        <v>Various</v>
      </c>
      <c r="I78" s="241" t="str">
        <f>INDEX('VDSM MAPPING'!H:H,MATCH($D78,'VDSM MAPPING'!$A:$A,0))</f>
        <v>C&amp;I Custom</v>
      </c>
      <c r="J78" s="240">
        <f t="shared" si="14"/>
        <v>-2.2156774585895978E-2</v>
      </c>
      <c r="K78" s="240">
        <f t="shared" si="15"/>
        <v>-1.9941188081156719E-2</v>
      </c>
      <c r="L78" s="240" t="b">
        <f t="shared" si="16"/>
        <v>0</v>
      </c>
      <c r="M78" s="240" t="b">
        <f t="shared" si="17"/>
        <v>0</v>
      </c>
      <c r="N78" s="204" t="s">
        <v>289</v>
      </c>
      <c r="O78" s="204" t="s">
        <v>2798</v>
      </c>
      <c r="P78" s="350">
        <v>1</v>
      </c>
      <c r="Q78" s="204" t="s">
        <v>2798</v>
      </c>
      <c r="R78" s="204" t="s">
        <v>2797</v>
      </c>
      <c r="S78" s="204" t="s">
        <v>2796</v>
      </c>
      <c r="T78" s="204" t="s">
        <v>2796</v>
      </c>
      <c r="U78" s="204" t="s">
        <v>2796</v>
      </c>
      <c r="V78" s="204" t="s">
        <v>2795</v>
      </c>
      <c r="W78" s="204" t="s">
        <v>329</v>
      </c>
      <c r="X78" s="204" t="s">
        <v>297</v>
      </c>
      <c r="Y78" s="204" t="s">
        <v>328</v>
      </c>
      <c r="Z78" s="204" t="s">
        <v>2132</v>
      </c>
      <c r="AA78" s="204" t="s">
        <v>2131</v>
      </c>
      <c r="AB78" s="204" t="s">
        <v>329</v>
      </c>
      <c r="AC78" s="204" t="s">
        <v>297</v>
      </c>
      <c r="AD78" s="204" t="s">
        <v>599</v>
      </c>
      <c r="AE78" s="204" t="s">
        <v>2130</v>
      </c>
      <c r="AG78" s="204" t="s">
        <v>2675</v>
      </c>
      <c r="AH78" s="204" t="s">
        <v>2674</v>
      </c>
      <c r="AI78" s="204" t="s">
        <v>2127</v>
      </c>
      <c r="AJ78" s="204" t="s">
        <v>2126</v>
      </c>
      <c r="AK78" s="204" t="s">
        <v>2673</v>
      </c>
      <c r="AX78" s="204">
        <v>2</v>
      </c>
      <c r="AY78" s="204">
        <v>0</v>
      </c>
      <c r="AZ78" s="204">
        <v>0</v>
      </c>
      <c r="BB78" s="204">
        <v>508</v>
      </c>
      <c r="BH78" s="204">
        <v>0</v>
      </c>
      <c r="BI78" s="204">
        <v>77</v>
      </c>
      <c r="BJ78" s="204">
        <v>42773</v>
      </c>
      <c r="BK78" s="204">
        <v>42773.6456201736</v>
      </c>
      <c r="BL78" s="204" t="s">
        <v>293</v>
      </c>
      <c r="BM78" s="204" t="s">
        <v>2794</v>
      </c>
      <c r="BN78" s="269">
        <f t="shared" si="18"/>
        <v>254</v>
      </c>
      <c r="BO78" s="269">
        <f t="shared" si="19"/>
        <v>38.5</v>
      </c>
      <c r="BP78" s="269">
        <f>INDEX('App Data Outliers'!$M:$M,MATCH($E78,'App Data Outliers'!$A:$A,0))</f>
        <v>1648.9692929508194</v>
      </c>
      <c r="BQ78" s="269">
        <f>INDEX('App Data Outliers'!$N:$N,MATCH($E78,'App Data Outliers'!$A:$A,0))</f>
        <v>62959.041603410769</v>
      </c>
      <c r="BR78" s="269">
        <f>INDEX('App Data Outliers'!$S:$S,MATCH($E78,'App Data Outliers'!$A:$A,0))</f>
        <v>174.05364750819672</v>
      </c>
      <c r="BS78" s="269">
        <f>INDEX('App Data Outliers'!$T:$T,MATCH($E78,'App Data Outliers'!$A:$A,0))</f>
        <v>6797.6715808767258</v>
      </c>
    </row>
    <row r="79" spans="1:71" s="204" customFormat="1" hidden="1">
      <c r="A79" s="241">
        <v>75</v>
      </c>
      <c r="B79" s="241" t="str">
        <f t="shared" si="10"/>
        <v>Non-Residential - BHPSD - C/I Custom</v>
      </c>
      <c r="C79" s="241" t="b">
        <f t="shared" si="11"/>
        <v>1</v>
      </c>
      <c r="D79" s="241" t="str">
        <f t="shared" si="12"/>
        <v>Non-Residential - BHPSD - C/I Custom_C&amp;I Custom Rebate :- Customer Incentives_Other Commercial</v>
      </c>
      <c r="E79" s="241" t="str">
        <f t="shared" si="13"/>
        <v>C&amp;I_C&amp;I Custom_Various_C&amp;I Custom</v>
      </c>
      <c r="F79" s="241" t="str">
        <f>INDEX('VDSM MAPPING'!E:E,MATCH($D79,'VDSM MAPPING'!$A:$A,0))</f>
        <v>C&amp;I</v>
      </c>
      <c r="G79" s="241" t="str">
        <f>INDEX('VDSM MAPPING'!F:F,MATCH($D79,'VDSM MAPPING'!$A:$A,0))</f>
        <v>C&amp;I Custom</v>
      </c>
      <c r="H79" s="241" t="str">
        <f>INDEX('VDSM MAPPING'!G:G,MATCH($D79,'VDSM MAPPING'!$A:$A,0))</f>
        <v>Various</v>
      </c>
      <c r="I79" s="241" t="str">
        <f>INDEX('VDSM MAPPING'!H:H,MATCH($D79,'VDSM MAPPING'!$A:$A,0))</f>
        <v>C&amp;I Custom</v>
      </c>
      <c r="J79" s="240">
        <f t="shared" si="14"/>
        <v>-2.1060823976694489E-2</v>
      </c>
      <c r="K79" s="240">
        <f t="shared" si="15"/>
        <v>-1.7955213937013256E-2</v>
      </c>
      <c r="L79" s="240" t="b">
        <f t="shared" si="16"/>
        <v>0</v>
      </c>
      <c r="M79" s="240" t="b">
        <f t="shared" si="17"/>
        <v>0</v>
      </c>
      <c r="N79" s="204" t="s">
        <v>289</v>
      </c>
      <c r="O79" s="204" t="s">
        <v>2787</v>
      </c>
      <c r="P79" s="350">
        <v>1</v>
      </c>
      <c r="Q79" s="204" t="s">
        <v>2787</v>
      </c>
      <c r="R79" s="204" t="s">
        <v>2431</v>
      </c>
      <c r="S79" s="204" t="s">
        <v>2429</v>
      </c>
      <c r="T79" s="204" t="s">
        <v>2430</v>
      </c>
      <c r="U79" s="204" t="s">
        <v>2429</v>
      </c>
      <c r="V79" s="204" t="s">
        <v>2428</v>
      </c>
      <c r="W79" s="204" t="s">
        <v>329</v>
      </c>
      <c r="X79" s="204" t="s">
        <v>297</v>
      </c>
      <c r="Y79" s="204" t="s">
        <v>397</v>
      </c>
      <c r="Z79" s="204" t="s">
        <v>2427</v>
      </c>
      <c r="AA79" s="204" t="s">
        <v>2426</v>
      </c>
      <c r="AB79" s="204" t="s">
        <v>329</v>
      </c>
      <c r="AC79" s="204" t="s">
        <v>297</v>
      </c>
      <c r="AD79" s="204" t="s">
        <v>328</v>
      </c>
      <c r="AE79" s="204" t="s">
        <v>2425</v>
      </c>
      <c r="AF79" s="204" t="s">
        <v>2424</v>
      </c>
      <c r="AG79" s="204" t="s">
        <v>2675</v>
      </c>
      <c r="AH79" s="204" t="s">
        <v>2674</v>
      </c>
      <c r="AI79" s="204" t="s">
        <v>2378</v>
      </c>
      <c r="AJ79" s="204" t="s">
        <v>2126</v>
      </c>
      <c r="AK79" s="204" t="s">
        <v>2673</v>
      </c>
      <c r="AX79" s="204">
        <v>8</v>
      </c>
      <c r="AY79" s="204">
        <v>0</v>
      </c>
      <c r="AZ79" s="204">
        <v>0.48</v>
      </c>
      <c r="BB79" s="204">
        <v>2584</v>
      </c>
      <c r="BH79" s="204">
        <v>0</v>
      </c>
      <c r="BI79" s="204">
        <v>416</v>
      </c>
      <c r="BJ79" s="204">
        <v>42796</v>
      </c>
      <c r="BK79" s="204">
        <v>42796.441803043999</v>
      </c>
      <c r="BL79" s="204" t="s">
        <v>293</v>
      </c>
      <c r="BM79" s="204" t="s">
        <v>2793</v>
      </c>
      <c r="BN79" s="269">
        <f t="shared" si="18"/>
        <v>323</v>
      </c>
      <c r="BO79" s="269">
        <f t="shared" si="19"/>
        <v>52</v>
      </c>
      <c r="BP79" s="269">
        <f>INDEX('App Data Outliers'!$M:$M,MATCH($E79,'App Data Outliers'!$A:$A,0))</f>
        <v>1648.9692929508194</v>
      </c>
      <c r="BQ79" s="269">
        <f>INDEX('App Data Outliers'!$N:$N,MATCH($E79,'App Data Outliers'!$A:$A,0))</f>
        <v>62959.041603410769</v>
      </c>
      <c r="BR79" s="269">
        <f>INDEX('App Data Outliers'!$S:$S,MATCH($E79,'App Data Outliers'!$A:$A,0))</f>
        <v>174.05364750819672</v>
      </c>
      <c r="BS79" s="269">
        <f>INDEX('App Data Outliers'!$T:$T,MATCH($E79,'App Data Outliers'!$A:$A,0))</f>
        <v>6797.6715808767258</v>
      </c>
    </row>
    <row r="80" spans="1:71" s="204" customFormat="1" hidden="1">
      <c r="A80" s="241">
        <v>76</v>
      </c>
      <c r="B80" s="241" t="str">
        <f t="shared" si="10"/>
        <v>Non-Residential - BHPSD - C/I Custom</v>
      </c>
      <c r="C80" s="241" t="b">
        <f t="shared" si="11"/>
        <v>1</v>
      </c>
      <c r="D80" s="241" t="str">
        <f t="shared" si="12"/>
        <v>Non-Residential - BHPSD - C/I Custom_C&amp;I Custom Rebate :- Customer Incentives_Other Commercial</v>
      </c>
      <c r="E80" s="241" t="str">
        <f t="shared" si="13"/>
        <v>C&amp;I_C&amp;I Custom_Various_C&amp;I Custom</v>
      </c>
      <c r="F80" s="241" t="str">
        <f>INDEX('VDSM MAPPING'!E:E,MATCH($D80,'VDSM MAPPING'!$A:$A,0))</f>
        <v>C&amp;I</v>
      </c>
      <c r="G80" s="241" t="str">
        <f>INDEX('VDSM MAPPING'!F:F,MATCH($D80,'VDSM MAPPING'!$A:$A,0))</f>
        <v>C&amp;I Custom</v>
      </c>
      <c r="H80" s="241" t="str">
        <f>INDEX('VDSM MAPPING'!G:G,MATCH($D80,'VDSM MAPPING'!$A:$A,0))</f>
        <v>Various</v>
      </c>
      <c r="I80" s="241" t="str">
        <f>INDEX('VDSM MAPPING'!H:H,MATCH($D80,'VDSM MAPPING'!$A:$A,0))</f>
        <v>C&amp;I Custom</v>
      </c>
      <c r="J80" s="240">
        <f t="shared" si="14"/>
        <v>-2.512695957025364E-2</v>
      </c>
      <c r="K80" s="240">
        <f t="shared" si="15"/>
        <v>-2.4023468266340504E-2</v>
      </c>
      <c r="L80" s="240" t="b">
        <f t="shared" si="16"/>
        <v>0</v>
      </c>
      <c r="M80" s="240" t="b">
        <f t="shared" si="17"/>
        <v>0</v>
      </c>
      <c r="N80" s="204" t="s">
        <v>289</v>
      </c>
      <c r="O80" s="204" t="s">
        <v>2787</v>
      </c>
      <c r="P80" s="350">
        <v>0</v>
      </c>
      <c r="Q80" s="204" t="s">
        <v>2787</v>
      </c>
      <c r="R80" s="204" t="s">
        <v>2431</v>
      </c>
      <c r="S80" s="204" t="s">
        <v>2429</v>
      </c>
      <c r="T80" s="204" t="s">
        <v>2430</v>
      </c>
      <c r="U80" s="204" t="s">
        <v>2429</v>
      </c>
      <c r="V80" s="204" t="s">
        <v>2428</v>
      </c>
      <c r="W80" s="204" t="s">
        <v>329</v>
      </c>
      <c r="X80" s="204" t="s">
        <v>297</v>
      </c>
      <c r="Y80" s="204" t="s">
        <v>397</v>
      </c>
      <c r="Z80" s="204" t="s">
        <v>2427</v>
      </c>
      <c r="AA80" s="204" t="s">
        <v>2426</v>
      </c>
      <c r="AB80" s="204" t="s">
        <v>329</v>
      </c>
      <c r="AC80" s="204" t="s">
        <v>297</v>
      </c>
      <c r="AD80" s="204" t="s">
        <v>328</v>
      </c>
      <c r="AE80" s="204" t="s">
        <v>2425</v>
      </c>
      <c r="AF80" s="204" t="s">
        <v>2424</v>
      </c>
      <c r="AG80" s="204" t="s">
        <v>2675</v>
      </c>
      <c r="AH80" s="204" t="s">
        <v>2674</v>
      </c>
      <c r="AI80" s="204" t="s">
        <v>2378</v>
      </c>
      <c r="AJ80" s="204" t="s">
        <v>2126</v>
      </c>
      <c r="AK80" s="204" t="s">
        <v>2673</v>
      </c>
      <c r="AX80" s="204">
        <v>2</v>
      </c>
      <c r="AY80" s="204">
        <v>0</v>
      </c>
      <c r="AZ80" s="204">
        <v>0.02</v>
      </c>
      <c r="BB80" s="204">
        <v>134</v>
      </c>
      <c r="BH80" s="204">
        <v>0</v>
      </c>
      <c r="BI80" s="204">
        <v>21.5</v>
      </c>
      <c r="BJ80" s="204">
        <v>42796</v>
      </c>
      <c r="BK80" s="204">
        <v>42796.441803043999</v>
      </c>
      <c r="BL80" s="204" t="s">
        <v>293</v>
      </c>
      <c r="BM80" s="204" t="s">
        <v>2788</v>
      </c>
      <c r="BN80" s="269">
        <f t="shared" si="18"/>
        <v>67</v>
      </c>
      <c r="BO80" s="269">
        <f t="shared" si="19"/>
        <v>10.75</v>
      </c>
      <c r="BP80" s="269">
        <f>INDEX('App Data Outliers'!$M:$M,MATCH($E80,'App Data Outliers'!$A:$A,0))</f>
        <v>1648.9692929508194</v>
      </c>
      <c r="BQ80" s="269">
        <f>INDEX('App Data Outliers'!$N:$N,MATCH($E80,'App Data Outliers'!$A:$A,0))</f>
        <v>62959.041603410769</v>
      </c>
      <c r="BR80" s="269">
        <f>INDEX('App Data Outliers'!$S:$S,MATCH($E80,'App Data Outliers'!$A:$A,0))</f>
        <v>174.05364750819672</v>
      </c>
      <c r="BS80" s="269">
        <f>INDEX('App Data Outliers'!$T:$T,MATCH($E80,'App Data Outliers'!$A:$A,0))</f>
        <v>6797.6715808767258</v>
      </c>
    </row>
    <row r="81" spans="1:71" s="204" customFormat="1" hidden="1">
      <c r="A81" s="241">
        <v>77</v>
      </c>
      <c r="B81" s="241" t="str">
        <f t="shared" si="10"/>
        <v>Non-Residential - BHPSD - C/I Custom</v>
      </c>
      <c r="C81" s="241" t="b">
        <f t="shared" si="11"/>
        <v>1</v>
      </c>
      <c r="D81" s="241" t="str">
        <f t="shared" si="12"/>
        <v>Non-Residential - BHPSD - C/I Custom_C&amp;I Custom Rebate :- Customer Incentives_Other Commercial</v>
      </c>
      <c r="E81" s="241" t="str">
        <f t="shared" si="13"/>
        <v>C&amp;I_C&amp;I Custom_Various_C&amp;I Custom</v>
      </c>
      <c r="F81" s="241" t="str">
        <f>INDEX('VDSM MAPPING'!E:E,MATCH($D81,'VDSM MAPPING'!$A:$A,0))</f>
        <v>C&amp;I</v>
      </c>
      <c r="G81" s="241" t="str">
        <f>INDEX('VDSM MAPPING'!F:F,MATCH($D81,'VDSM MAPPING'!$A:$A,0))</f>
        <v>C&amp;I Custom</v>
      </c>
      <c r="H81" s="241" t="str">
        <f>INDEX('VDSM MAPPING'!G:G,MATCH($D81,'VDSM MAPPING'!$A:$A,0))</f>
        <v>Various</v>
      </c>
      <c r="I81" s="241" t="str">
        <f>INDEX('VDSM MAPPING'!H:H,MATCH($D81,'VDSM MAPPING'!$A:$A,0))</f>
        <v>C&amp;I Custom</v>
      </c>
      <c r="J81" s="240">
        <f t="shared" si="14"/>
        <v>-1.8853039416129168E-2</v>
      </c>
      <c r="K81" s="240">
        <f t="shared" si="15"/>
        <v>-2.276568464171631E-2</v>
      </c>
      <c r="L81" s="240" t="b">
        <f t="shared" si="16"/>
        <v>0</v>
      </c>
      <c r="M81" s="240" t="b">
        <f t="shared" si="17"/>
        <v>0</v>
      </c>
      <c r="N81" s="204" t="s">
        <v>289</v>
      </c>
      <c r="O81" s="204" t="s">
        <v>2787</v>
      </c>
      <c r="P81" s="350">
        <v>0</v>
      </c>
      <c r="Q81" s="204" t="s">
        <v>2787</v>
      </c>
      <c r="R81" s="204" t="s">
        <v>2431</v>
      </c>
      <c r="S81" s="204" t="s">
        <v>2429</v>
      </c>
      <c r="T81" s="204" t="s">
        <v>2430</v>
      </c>
      <c r="U81" s="204" t="s">
        <v>2429</v>
      </c>
      <c r="V81" s="204" t="s">
        <v>2428</v>
      </c>
      <c r="W81" s="204" t="s">
        <v>329</v>
      </c>
      <c r="X81" s="204" t="s">
        <v>297</v>
      </c>
      <c r="Y81" s="204" t="s">
        <v>397</v>
      </c>
      <c r="Z81" s="204" t="s">
        <v>2427</v>
      </c>
      <c r="AA81" s="204" t="s">
        <v>2426</v>
      </c>
      <c r="AB81" s="204" t="s">
        <v>329</v>
      </c>
      <c r="AC81" s="204" t="s">
        <v>297</v>
      </c>
      <c r="AD81" s="204" t="s">
        <v>328</v>
      </c>
      <c r="AE81" s="204" t="s">
        <v>2425</v>
      </c>
      <c r="AF81" s="204" t="s">
        <v>2424</v>
      </c>
      <c r="AG81" s="204" t="s">
        <v>2675</v>
      </c>
      <c r="AH81" s="204" t="s">
        <v>2674</v>
      </c>
      <c r="AI81" s="204" t="s">
        <v>2378</v>
      </c>
      <c r="AJ81" s="204" t="s">
        <v>2126</v>
      </c>
      <c r="AK81" s="204" t="s">
        <v>2673</v>
      </c>
      <c r="AX81" s="204">
        <v>4</v>
      </c>
      <c r="AY81" s="204">
        <v>0</v>
      </c>
      <c r="AZ81" s="204">
        <v>0.32</v>
      </c>
      <c r="BB81" s="204">
        <v>1848</v>
      </c>
      <c r="BH81" s="204">
        <v>0</v>
      </c>
      <c r="BI81" s="204">
        <v>77.2</v>
      </c>
      <c r="BJ81" s="204">
        <v>42796</v>
      </c>
      <c r="BK81" s="204">
        <v>42796.441803043999</v>
      </c>
      <c r="BL81" s="204" t="s">
        <v>293</v>
      </c>
      <c r="BM81" s="204" t="s">
        <v>2791</v>
      </c>
      <c r="BN81" s="269">
        <f t="shared" si="18"/>
        <v>462</v>
      </c>
      <c r="BO81" s="269">
        <f t="shared" si="19"/>
        <v>19.3</v>
      </c>
      <c r="BP81" s="269">
        <f>INDEX('App Data Outliers'!$M:$M,MATCH($E81,'App Data Outliers'!$A:$A,0))</f>
        <v>1648.9692929508194</v>
      </c>
      <c r="BQ81" s="269">
        <f>INDEX('App Data Outliers'!$N:$N,MATCH($E81,'App Data Outliers'!$A:$A,0))</f>
        <v>62959.041603410769</v>
      </c>
      <c r="BR81" s="269">
        <f>INDEX('App Data Outliers'!$S:$S,MATCH($E81,'App Data Outliers'!$A:$A,0))</f>
        <v>174.05364750819672</v>
      </c>
      <c r="BS81" s="269">
        <f>INDEX('App Data Outliers'!$T:$T,MATCH($E81,'App Data Outliers'!$A:$A,0))</f>
        <v>6797.6715808767258</v>
      </c>
    </row>
    <row r="82" spans="1:71" s="204" customFormat="1" hidden="1">
      <c r="A82" s="241">
        <v>78</v>
      </c>
      <c r="B82" s="241" t="str">
        <f t="shared" si="10"/>
        <v>Non-Residential - BHPSD - C/I Custom</v>
      </c>
      <c r="C82" s="241" t="b">
        <f t="shared" si="11"/>
        <v>1</v>
      </c>
      <c r="D82" s="241" t="str">
        <f t="shared" si="12"/>
        <v>Non-Residential - BHPSD - C/I Custom_C&amp;I Custom Rebate :- Customer Incentives_Other Commercial</v>
      </c>
      <c r="E82" s="241" t="str">
        <f t="shared" si="13"/>
        <v>C&amp;I_C&amp;I Custom_Various_C&amp;I Custom</v>
      </c>
      <c r="F82" s="241" t="str">
        <f>INDEX('VDSM MAPPING'!E:E,MATCH($D82,'VDSM MAPPING'!$A:$A,0))</f>
        <v>C&amp;I</v>
      </c>
      <c r="G82" s="241" t="str">
        <f>INDEX('VDSM MAPPING'!F:F,MATCH($D82,'VDSM MAPPING'!$A:$A,0))</f>
        <v>C&amp;I Custom</v>
      </c>
      <c r="H82" s="241" t="str">
        <f>INDEX('VDSM MAPPING'!G:G,MATCH($D82,'VDSM MAPPING'!$A:$A,0))</f>
        <v>Various</v>
      </c>
      <c r="I82" s="241" t="str">
        <f>INDEX('VDSM MAPPING'!H:H,MATCH($D82,'VDSM MAPPING'!$A:$A,0))</f>
        <v>C&amp;I Custom</v>
      </c>
      <c r="J82" s="240">
        <f t="shared" si="14"/>
        <v>-2.3808642170779385E-2</v>
      </c>
      <c r="K82" s="240">
        <f t="shared" si="15"/>
        <v>-2.2000716823231421E-2</v>
      </c>
      <c r="L82" s="240" t="b">
        <f t="shared" si="16"/>
        <v>0</v>
      </c>
      <c r="M82" s="240" t="b">
        <f t="shared" si="17"/>
        <v>0</v>
      </c>
      <c r="N82" s="204" t="s">
        <v>289</v>
      </c>
      <c r="O82" s="204" t="s">
        <v>2787</v>
      </c>
      <c r="P82" s="350">
        <v>0</v>
      </c>
      <c r="Q82" s="204" t="s">
        <v>2787</v>
      </c>
      <c r="R82" s="204" t="s">
        <v>2431</v>
      </c>
      <c r="S82" s="204" t="s">
        <v>2429</v>
      </c>
      <c r="T82" s="204" t="s">
        <v>2430</v>
      </c>
      <c r="U82" s="204" t="s">
        <v>2429</v>
      </c>
      <c r="V82" s="204" t="s">
        <v>2428</v>
      </c>
      <c r="W82" s="204" t="s">
        <v>329</v>
      </c>
      <c r="X82" s="204" t="s">
        <v>297</v>
      </c>
      <c r="Y82" s="204" t="s">
        <v>397</v>
      </c>
      <c r="Z82" s="204" t="s">
        <v>2427</v>
      </c>
      <c r="AA82" s="204" t="s">
        <v>2426</v>
      </c>
      <c r="AB82" s="204" t="s">
        <v>329</v>
      </c>
      <c r="AC82" s="204" t="s">
        <v>297</v>
      </c>
      <c r="AD82" s="204" t="s">
        <v>328</v>
      </c>
      <c r="AE82" s="204" t="s">
        <v>2425</v>
      </c>
      <c r="AF82" s="204" t="s">
        <v>2424</v>
      </c>
      <c r="AG82" s="204" t="s">
        <v>2675</v>
      </c>
      <c r="AH82" s="204" t="s">
        <v>2674</v>
      </c>
      <c r="AI82" s="204" t="s">
        <v>2378</v>
      </c>
      <c r="AJ82" s="204" t="s">
        <v>2126</v>
      </c>
      <c r="AK82" s="204" t="s">
        <v>2673</v>
      </c>
      <c r="AX82" s="204">
        <v>3</v>
      </c>
      <c r="AY82" s="204">
        <v>0</v>
      </c>
      <c r="AZ82" s="204">
        <v>0.09</v>
      </c>
      <c r="BB82" s="204">
        <v>450</v>
      </c>
      <c r="BH82" s="204">
        <v>0</v>
      </c>
      <c r="BI82" s="204">
        <v>73.5</v>
      </c>
      <c r="BJ82" s="204">
        <v>42796</v>
      </c>
      <c r="BK82" s="204">
        <v>42796.441803043999</v>
      </c>
      <c r="BL82" s="204" t="s">
        <v>293</v>
      </c>
      <c r="BM82" s="204" t="s">
        <v>2792</v>
      </c>
      <c r="BN82" s="269">
        <f t="shared" si="18"/>
        <v>150</v>
      </c>
      <c r="BO82" s="269">
        <f t="shared" si="19"/>
        <v>24.5</v>
      </c>
      <c r="BP82" s="269">
        <f>INDEX('App Data Outliers'!$M:$M,MATCH($E82,'App Data Outliers'!$A:$A,0))</f>
        <v>1648.9692929508194</v>
      </c>
      <c r="BQ82" s="269">
        <f>INDEX('App Data Outliers'!$N:$N,MATCH($E82,'App Data Outliers'!$A:$A,0))</f>
        <v>62959.041603410769</v>
      </c>
      <c r="BR82" s="269">
        <f>INDEX('App Data Outliers'!$S:$S,MATCH($E82,'App Data Outliers'!$A:$A,0))</f>
        <v>174.05364750819672</v>
      </c>
      <c r="BS82" s="269">
        <f>INDEX('App Data Outliers'!$T:$T,MATCH($E82,'App Data Outliers'!$A:$A,0))</f>
        <v>6797.6715808767258</v>
      </c>
    </row>
    <row r="83" spans="1:71" s="204" customFormat="1" hidden="1">
      <c r="A83" s="241">
        <v>79</v>
      </c>
      <c r="B83" s="241" t="str">
        <f t="shared" si="10"/>
        <v>Non-Residential - BHPSD - C/I Custom</v>
      </c>
      <c r="C83" s="241" t="b">
        <f t="shared" si="11"/>
        <v>1</v>
      </c>
      <c r="D83" s="241" t="str">
        <f t="shared" si="12"/>
        <v>Non-Residential - BHPSD - C/I Custom_C&amp;I Custom Rebate :- Customer Incentives_Other Commercial</v>
      </c>
      <c r="E83" s="241" t="str">
        <f t="shared" si="13"/>
        <v>C&amp;I_C&amp;I Custom_Various_C&amp;I Custom</v>
      </c>
      <c r="F83" s="241" t="str">
        <f>INDEX('VDSM MAPPING'!E:E,MATCH($D83,'VDSM MAPPING'!$A:$A,0))</f>
        <v>C&amp;I</v>
      </c>
      <c r="G83" s="241" t="str">
        <f>INDEX('VDSM MAPPING'!F:F,MATCH($D83,'VDSM MAPPING'!$A:$A,0))</f>
        <v>C&amp;I Custom</v>
      </c>
      <c r="H83" s="241" t="str">
        <f>INDEX('VDSM MAPPING'!G:G,MATCH($D83,'VDSM MAPPING'!$A:$A,0))</f>
        <v>Various</v>
      </c>
      <c r="I83" s="241" t="str">
        <f>INDEX('VDSM MAPPING'!H:H,MATCH($D83,'VDSM MAPPING'!$A:$A,0))</f>
        <v>C&amp;I Custom</v>
      </c>
      <c r="J83" s="240">
        <f t="shared" si="14"/>
        <v>-2.4428092515110661E-2</v>
      </c>
      <c r="K83" s="240">
        <f t="shared" si="15"/>
        <v>-2.2956926596337534E-2</v>
      </c>
      <c r="L83" s="240" t="b">
        <f t="shared" si="16"/>
        <v>0</v>
      </c>
      <c r="M83" s="240" t="b">
        <f t="shared" si="17"/>
        <v>0</v>
      </c>
      <c r="N83" s="204" t="s">
        <v>289</v>
      </c>
      <c r="O83" s="204" t="s">
        <v>2787</v>
      </c>
      <c r="P83" s="350">
        <v>0</v>
      </c>
      <c r="Q83" s="204" t="s">
        <v>2787</v>
      </c>
      <c r="R83" s="204" t="s">
        <v>2431</v>
      </c>
      <c r="S83" s="204" t="s">
        <v>2429</v>
      </c>
      <c r="T83" s="204" t="s">
        <v>2430</v>
      </c>
      <c r="U83" s="204" t="s">
        <v>2429</v>
      </c>
      <c r="V83" s="204" t="s">
        <v>2428</v>
      </c>
      <c r="W83" s="204" t="s">
        <v>329</v>
      </c>
      <c r="X83" s="204" t="s">
        <v>297</v>
      </c>
      <c r="Y83" s="204" t="s">
        <v>397</v>
      </c>
      <c r="Z83" s="204" t="s">
        <v>2427</v>
      </c>
      <c r="AA83" s="204" t="s">
        <v>2426</v>
      </c>
      <c r="AB83" s="204" t="s">
        <v>329</v>
      </c>
      <c r="AC83" s="204" t="s">
        <v>297</v>
      </c>
      <c r="AD83" s="204" t="s">
        <v>328</v>
      </c>
      <c r="AE83" s="204" t="s">
        <v>2425</v>
      </c>
      <c r="AF83" s="204" t="s">
        <v>2424</v>
      </c>
      <c r="AG83" s="204" t="s">
        <v>2675</v>
      </c>
      <c r="AH83" s="204" t="s">
        <v>2674</v>
      </c>
      <c r="AI83" s="204" t="s">
        <v>2378</v>
      </c>
      <c r="AJ83" s="204" t="s">
        <v>2126</v>
      </c>
      <c r="AK83" s="204" t="s">
        <v>2673</v>
      </c>
      <c r="AX83" s="204">
        <v>6</v>
      </c>
      <c r="AY83" s="204">
        <v>0</v>
      </c>
      <c r="AZ83" s="204">
        <v>0.12</v>
      </c>
      <c r="BB83" s="204">
        <v>666</v>
      </c>
      <c r="BH83" s="204">
        <v>0</v>
      </c>
      <c r="BI83" s="204">
        <v>108</v>
      </c>
      <c r="BJ83" s="204">
        <v>42796</v>
      </c>
      <c r="BK83" s="204">
        <v>42796.441803043999</v>
      </c>
      <c r="BL83" s="204" t="s">
        <v>293</v>
      </c>
      <c r="BM83" s="204" t="s">
        <v>2786</v>
      </c>
      <c r="BN83" s="269">
        <f t="shared" si="18"/>
        <v>111</v>
      </c>
      <c r="BO83" s="269">
        <f t="shared" si="19"/>
        <v>18</v>
      </c>
      <c r="BP83" s="269">
        <f>INDEX('App Data Outliers'!$M:$M,MATCH($E83,'App Data Outliers'!$A:$A,0))</f>
        <v>1648.9692929508194</v>
      </c>
      <c r="BQ83" s="269">
        <f>INDEX('App Data Outliers'!$N:$N,MATCH($E83,'App Data Outliers'!$A:$A,0))</f>
        <v>62959.041603410769</v>
      </c>
      <c r="BR83" s="269">
        <f>INDEX('App Data Outliers'!$S:$S,MATCH($E83,'App Data Outliers'!$A:$A,0))</f>
        <v>174.05364750819672</v>
      </c>
      <c r="BS83" s="269">
        <f>INDEX('App Data Outliers'!$T:$T,MATCH($E83,'App Data Outliers'!$A:$A,0))</f>
        <v>6797.6715808767258</v>
      </c>
    </row>
    <row r="84" spans="1:71" s="204" customFormat="1" hidden="1">
      <c r="A84" s="241">
        <v>80</v>
      </c>
      <c r="B84" s="241" t="str">
        <f t="shared" si="10"/>
        <v>Non-Residential - BHPSD - C/I Custom</v>
      </c>
      <c r="C84" s="241" t="b">
        <f t="shared" si="11"/>
        <v>1</v>
      </c>
      <c r="D84" s="241" t="str">
        <f t="shared" si="12"/>
        <v>Non-Residential - BHPSD - C/I Custom_C&amp;I Custom Rebate :- Customer Incentives_Other Commercial</v>
      </c>
      <c r="E84" s="241" t="str">
        <f t="shared" si="13"/>
        <v>C&amp;I_C&amp;I Custom_Various_C&amp;I Custom</v>
      </c>
      <c r="F84" s="241" t="str">
        <f>INDEX('VDSM MAPPING'!E:E,MATCH($D84,'VDSM MAPPING'!$A:$A,0))</f>
        <v>C&amp;I</v>
      </c>
      <c r="G84" s="241" t="str">
        <f>INDEX('VDSM MAPPING'!F:F,MATCH($D84,'VDSM MAPPING'!$A:$A,0))</f>
        <v>C&amp;I Custom</v>
      </c>
      <c r="H84" s="241" t="str">
        <f>INDEX('VDSM MAPPING'!G:G,MATCH($D84,'VDSM MAPPING'!$A:$A,0))</f>
        <v>Various</v>
      </c>
      <c r="I84" s="241" t="str">
        <f>INDEX('VDSM MAPPING'!H:H,MATCH($D84,'VDSM MAPPING'!$A:$A,0))</f>
        <v>C&amp;I Custom</v>
      </c>
      <c r="J84" s="240">
        <f t="shared" si="14"/>
        <v>-2.3538625354019599E-2</v>
      </c>
      <c r="K84" s="240">
        <f t="shared" si="15"/>
        <v>-2.1632943833575224E-2</v>
      </c>
      <c r="L84" s="240" t="b">
        <f t="shared" si="16"/>
        <v>0</v>
      </c>
      <c r="M84" s="240" t="b">
        <f t="shared" si="17"/>
        <v>0</v>
      </c>
      <c r="N84" s="204" t="s">
        <v>289</v>
      </c>
      <c r="O84" s="204" t="s">
        <v>2787</v>
      </c>
      <c r="P84" s="350">
        <v>0</v>
      </c>
      <c r="Q84" s="204" t="s">
        <v>2787</v>
      </c>
      <c r="R84" s="204" t="s">
        <v>2431</v>
      </c>
      <c r="S84" s="204" t="s">
        <v>2429</v>
      </c>
      <c r="T84" s="204" t="s">
        <v>2430</v>
      </c>
      <c r="U84" s="204" t="s">
        <v>2429</v>
      </c>
      <c r="V84" s="204" t="s">
        <v>2428</v>
      </c>
      <c r="W84" s="204" t="s">
        <v>329</v>
      </c>
      <c r="X84" s="204" t="s">
        <v>297</v>
      </c>
      <c r="Y84" s="204" t="s">
        <v>397</v>
      </c>
      <c r="Z84" s="204" t="s">
        <v>2427</v>
      </c>
      <c r="AA84" s="204" t="s">
        <v>2426</v>
      </c>
      <c r="AB84" s="204" t="s">
        <v>329</v>
      </c>
      <c r="AC84" s="204" t="s">
        <v>297</v>
      </c>
      <c r="AD84" s="204" t="s">
        <v>328</v>
      </c>
      <c r="AE84" s="204" t="s">
        <v>2425</v>
      </c>
      <c r="AF84" s="204" t="s">
        <v>2424</v>
      </c>
      <c r="AG84" s="204" t="s">
        <v>2675</v>
      </c>
      <c r="AH84" s="204" t="s">
        <v>2674</v>
      </c>
      <c r="AI84" s="204" t="s">
        <v>2378</v>
      </c>
      <c r="AJ84" s="204" t="s">
        <v>2126</v>
      </c>
      <c r="AK84" s="204" t="s">
        <v>2673</v>
      </c>
      <c r="AX84" s="204">
        <v>6</v>
      </c>
      <c r="AY84" s="204">
        <v>0</v>
      </c>
      <c r="AZ84" s="204">
        <v>0.18</v>
      </c>
      <c r="BB84" s="204">
        <v>1002</v>
      </c>
      <c r="BH84" s="204">
        <v>0</v>
      </c>
      <c r="BI84" s="204">
        <v>162</v>
      </c>
      <c r="BJ84" s="204">
        <v>42796</v>
      </c>
      <c r="BK84" s="204">
        <v>42796.441803043999</v>
      </c>
      <c r="BL84" s="204" t="s">
        <v>293</v>
      </c>
      <c r="BM84" s="204" t="s">
        <v>2790</v>
      </c>
      <c r="BN84" s="269">
        <f t="shared" si="18"/>
        <v>167</v>
      </c>
      <c r="BO84" s="269">
        <f t="shared" si="19"/>
        <v>27</v>
      </c>
      <c r="BP84" s="269">
        <f>INDEX('App Data Outliers'!$M:$M,MATCH($E84,'App Data Outliers'!$A:$A,0))</f>
        <v>1648.9692929508194</v>
      </c>
      <c r="BQ84" s="269">
        <f>INDEX('App Data Outliers'!$N:$N,MATCH($E84,'App Data Outliers'!$A:$A,0))</f>
        <v>62959.041603410769</v>
      </c>
      <c r="BR84" s="269">
        <f>INDEX('App Data Outliers'!$S:$S,MATCH($E84,'App Data Outliers'!$A:$A,0))</f>
        <v>174.05364750819672</v>
      </c>
      <c r="BS84" s="269">
        <f>INDEX('App Data Outliers'!$T:$T,MATCH($E84,'App Data Outliers'!$A:$A,0))</f>
        <v>6797.6715808767258</v>
      </c>
    </row>
    <row r="85" spans="1:71" s="204" customFormat="1" hidden="1">
      <c r="A85" s="241">
        <v>81</v>
      </c>
      <c r="B85" s="241" t="str">
        <f t="shared" si="10"/>
        <v>Non-Residential - BHPSD - C/I Custom</v>
      </c>
      <c r="C85" s="241" t="b">
        <f t="shared" si="11"/>
        <v>1</v>
      </c>
      <c r="D85" s="241" t="str">
        <f t="shared" si="12"/>
        <v>Non-Residential - BHPSD - C/I Custom_C&amp;I Custom Rebate :- Customer Incentives_Other Commercial</v>
      </c>
      <c r="E85" s="241" t="str">
        <f t="shared" si="13"/>
        <v>C&amp;I_C&amp;I Custom_Various_C&amp;I Custom</v>
      </c>
      <c r="F85" s="241" t="str">
        <f>INDEX('VDSM MAPPING'!E:E,MATCH($D85,'VDSM MAPPING'!$A:$A,0))</f>
        <v>C&amp;I</v>
      </c>
      <c r="G85" s="241" t="str">
        <f>INDEX('VDSM MAPPING'!F:F,MATCH($D85,'VDSM MAPPING'!$A:$A,0))</f>
        <v>C&amp;I Custom</v>
      </c>
      <c r="H85" s="241" t="str">
        <f>INDEX('VDSM MAPPING'!G:G,MATCH($D85,'VDSM MAPPING'!$A:$A,0))</f>
        <v>Various</v>
      </c>
      <c r="I85" s="241" t="str">
        <f>INDEX('VDSM MAPPING'!H:H,MATCH($D85,'VDSM MAPPING'!$A:$A,0))</f>
        <v>C&amp;I Custom</v>
      </c>
      <c r="J85" s="240">
        <f t="shared" si="14"/>
        <v>-2.4062775645376833E-2</v>
      </c>
      <c r="K85" s="240">
        <f t="shared" si="15"/>
        <v>-2.2442044410818859E-2</v>
      </c>
      <c r="L85" s="240" t="b">
        <f t="shared" si="16"/>
        <v>0</v>
      </c>
      <c r="M85" s="240" t="b">
        <f t="shared" si="17"/>
        <v>0</v>
      </c>
      <c r="N85" s="204" t="s">
        <v>289</v>
      </c>
      <c r="O85" s="204" t="s">
        <v>2787</v>
      </c>
      <c r="P85" s="350">
        <v>0</v>
      </c>
      <c r="Q85" s="204" t="s">
        <v>2787</v>
      </c>
      <c r="R85" s="204" t="s">
        <v>2431</v>
      </c>
      <c r="S85" s="204" t="s">
        <v>2429</v>
      </c>
      <c r="T85" s="204" t="s">
        <v>2430</v>
      </c>
      <c r="U85" s="204" t="s">
        <v>2429</v>
      </c>
      <c r="V85" s="204" t="s">
        <v>2428</v>
      </c>
      <c r="W85" s="204" t="s">
        <v>329</v>
      </c>
      <c r="X85" s="204" t="s">
        <v>297</v>
      </c>
      <c r="Y85" s="204" t="s">
        <v>397</v>
      </c>
      <c r="Z85" s="204" t="s">
        <v>2427</v>
      </c>
      <c r="AA85" s="204" t="s">
        <v>2426</v>
      </c>
      <c r="AB85" s="204" t="s">
        <v>329</v>
      </c>
      <c r="AC85" s="204" t="s">
        <v>297</v>
      </c>
      <c r="AD85" s="204" t="s">
        <v>328</v>
      </c>
      <c r="AE85" s="204" t="s">
        <v>2425</v>
      </c>
      <c r="AF85" s="204" t="s">
        <v>2424</v>
      </c>
      <c r="AG85" s="204" t="s">
        <v>2675</v>
      </c>
      <c r="AH85" s="204" t="s">
        <v>2674</v>
      </c>
      <c r="AI85" s="204" t="s">
        <v>2378</v>
      </c>
      <c r="AJ85" s="204" t="s">
        <v>2126</v>
      </c>
      <c r="AK85" s="204" t="s">
        <v>2673</v>
      </c>
      <c r="AX85" s="204">
        <v>2</v>
      </c>
      <c r="AY85" s="204">
        <v>0</v>
      </c>
      <c r="AZ85" s="204">
        <v>0.04</v>
      </c>
      <c r="BB85" s="204">
        <v>268</v>
      </c>
      <c r="BH85" s="204">
        <v>0</v>
      </c>
      <c r="BI85" s="204">
        <v>43</v>
      </c>
      <c r="BJ85" s="204">
        <v>42796</v>
      </c>
      <c r="BK85" s="204">
        <v>42796.441803043999</v>
      </c>
      <c r="BL85" s="204" t="s">
        <v>293</v>
      </c>
      <c r="BM85" s="204" t="s">
        <v>2789</v>
      </c>
      <c r="BN85" s="269">
        <f t="shared" si="18"/>
        <v>134</v>
      </c>
      <c r="BO85" s="269">
        <f t="shared" si="19"/>
        <v>21.5</v>
      </c>
      <c r="BP85" s="269">
        <f>INDEX('App Data Outliers'!$M:$M,MATCH($E85,'App Data Outliers'!$A:$A,0))</f>
        <v>1648.9692929508194</v>
      </c>
      <c r="BQ85" s="269">
        <f>INDEX('App Data Outliers'!$N:$N,MATCH($E85,'App Data Outliers'!$A:$A,0))</f>
        <v>62959.041603410769</v>
      </c>
      <c r="BR85" s="269">
        <f>INDEX('App Data Outliers'!$S:$S,MATCH($E85,'App Data Outliers'!$A:$A,0))</f>
        <v>174.05364750819672</v>
      </c>
      <c r="BS85" s="269">
        <f>INDEX('App Data Outliers'!$T:$T,MATCH($E85,'App Data Outliers'!$A:$A,0))</f>
        <v>6797.6715808767258</v>
      </c>
    </row>
    <row r="86" spans="1:71" s="204" customFormat="1" hidden="1">
      <c r="A86" s="241">
        <v>82</v>
      </c>
      <c r="B86" s="241" t="str">
        <f t="shared" si="10"/>
        <v>Non-Residential - BHPSD - C/I Custom</v>
      </c>
      <c r="C86" s="241" t="b">
        <f t="shared" si="11"/>
        <v>1</v>
      </c>
      <c r="D86" s="241" t="str">
        <f t="shared" si="12"/>
        <v>Non-Residential - BHPSD - C/I Custom_C&amp;I Custom Rebate :- Customer Incentives_Other Commercial</v>
      </c>
      <c r="E86" s="241" t="str">
        <f t="shared" si="13"/>
        <v>C&amp;I_C&amp;I Custom_Various_C&amp;I Custom</v>
      </c>
      <c r="F86" s="241" t="str">
        <f>INDEX('VDSM MAPPING'!E:E,MATCH($D86,'VDSM MAPPING'!$A:$A,0))</f>
        <v>C&amp;I</v>
      </c>
      <c r="G86" s="241" t="str">
        <f>INDEX('VDSM MAPPING'!F:F,MATCH($D86,'VDSM MAPPING'!$A:$A,0))</f>
        <v>C&amp;I Custom</v>
      </c>
      <c r="H86" s="241" t="str">
        <f>INDEX('VDSM MAPPING'!G:G,MATCH($D86,'VDSM MAPPING'!$A:$A,0))</f>
        <v>Various</v>
      </c>
      <c r="I86" s="241" t="str">
        <f>INDEX('VDSM MAPPING'!H:H,MATCH($D86,'VDSM MAPPING'!$A:$A,0))</f>
        <v>C&amp;I Custom</v>
      </c>
      <c r="J86" s="240">
        <f t="shared" si="14"/>
        <v>-2.4412209172948323E-2</v>
      </c>
      <c r="K86" s="240">
        <f t="shared" si="15"/>
        <v>-2.3104035792200012E-2</v>
      </c>
      <c r="L86" s="240" t="b">
        <f t="shared" si="16"/>
        <v>0</v>
      </c>
      <c r="M86" s="240" t="b">
        <f t="shared" si="17"/>
        <v>0</v>
      </c>
      <c r="N86" s="204" t="s">
        <v>289</v>
      </c>
      <c r="O86" s="204" t="s">
        <v>2785</v>
      </c>
      <c r="P86" s="350">
        <v>1</v>
      </c>
      <c r="Q86" s="204" t="s">
        <v>2785</v>
      </c>
      <c r="R86" s="204" t="s">
        <v>2405</v>
      </c>
      <c r="S86" s="204" t="s">
        <v>2052</v>
      </c>
      <c r="T86" s="204" t="s">
        <v>2052</v>
      </c>
      <c r="U86" s="204" t="s">
        <v>2052</v>
      </c>
      <c r="V86" s="204" t="s">
        <v>2051</v>
      </c>
      <c r="W86" s="204" t="s">
        <v>928</v>
      </c>
      <c r="X86" s="204" t="s">
        <v>297</v>
      </c>
      <c r="Y86" s="204" t="s">
        <v>412</v>
      </c>
      <c r="Z86" s="204" t="s">
        <v>2270</v>
      </c>
      <c r="AA86" s="204" t="s">
        <v>2269</v>
      </c>
      <c r="AB86" s="204" t="s">
        <v>329</v>
      </c>
      <c r="AC86" s="204" t="s">
        <v>297</v>
      </c>
      <c r="AD86" s="204" t="s">
        <v>328</v>
      </c>
      <c r="AE86" s="204" t="s">
        <v>2268</v>
      </c>
      <c r="AG86" s="204" t="s">
        <v>2675</v>
      </c>
      <c r="AH86" s="204" t="s">
        <v>2674</v>
      </c>
      <c r="AI86" s="204" t="s">
        <v>2404</v>
      </c>
      <c r="AJ86" s="204" t="s">
        <v>2126</v>
      </c>
      <c r="AK86" s="204" t="s">
        <v>2673</v>
      </c>
      <c r="AX86" s="204">
        <v>3</v>
      </c>
      <c r="AY86" s="204">
        <v>0</v>
      </c>
      <c r="AZ86" s="204">
        <v>0</v>
      </c>
      <c r="BB86" s="204">
        <v>336</v>
      </c>
      <c r="BH86" s="204">
        <v>0</v>
      </c>
      <c r="BI86" s="204">
        <v>51</v>
      </c>
      <c r="BJ86" s="204">
        <v>42796</v>
      </c>
      <c r="BK86" s="204">
        <v>42796.749864664402</v>
      </c>
      <c r="BL86" s="204" t="s">
        <v>293</v>
      </c>
      <c r="BM86" s="204" t="s">
        <v>2784</v>
      </c>
      <c r="BN86" s="269">
        <f t="shared" si="18"/>
        <v>112</v>
      </c>
      <c r="BO86" s="269">
        <f t="shared" si="19"/>
        <v>17</v>
      </c>
      <c r="BP86" s="269">
        <f>INDEX('App Data Outliers'!$M:$M,MATCH($E86,'App Data Outliers'!$A:$A,0))</f>
        <v>1648.9692929508194</v>
      </c>
      <c r="BQ86" s="269">
        <f>INDEX('App Data Outliers'!$N:$N,MATCH($E86,'App Data Outliers'!$A:$A,0))</f>
        <v>62959.041603410769</v>
      </c>
      <c r="BR86" s="269">
        <f>INDEX('App Data Outliers'!$S:$S,MATCH($E86,'App Data Outliers'!$A:$A,0))</f>
        <v>174.05364750819672</v>
      </c>
      <c r="BS86" s="269">
        <f>INDEX('App Data Outliers'!$T:$T,MATCH($E86,'App Data Outliers'!$A:$A,0))</f>
        <v>6797.6715808767258</v>
      </c>
    </row>
    <row r="87" spans="1:71" s="204" customFormat="1" hidden="1">
      <c r="A87" s="241">
        <v>83</v>
      </c>
      <c r="B87" s="241" t="str">
        <f t="shared" si="10"/>
        <v>Non-Residential - BHPSD - C/I Custom</v>
      </c>
      <c r="C87" s="241" t="b">
        <f t="shared" si="11"/>
        <v>1</v>
      </c>
      <c r="D87" s="241" t="str">
        <f t="shared" si="12"/>
        <v>Non-Residential - BHPSD - C/I Custom_C&amp;I Custom Rebate :- Customer Incentives_Other Commercial</v>
      </c>
      <c r="E87" s="241" t="str">
        <f t="shared" si="13"/>
        <v>C&amp;I_C&amp;I Custom_Various_C&amp;I Custom</v>
      </c>
      <c r="F87" s="241" t="str">
        <f>INDEX('VDSM MAPPING'!E:E,MATCH($D87,'VDSM MAPPING'!$A:$A,0))</f>
        <v>C&amp;I</v>
      </c>
      <c r="G87" s="241" t="str">
        <f>INDEX('VDSM MAPPING'!F:F,MATCH($D87,'VDSM MAPPING'!$A:$A,0))</f>
        <v>C&amp;I Custom</v>
      </c>
      <c r="H87" s="241" t="str">
        <f>INDEX('VDSM MAPPING'!G:G,MATCH($D87,'VDSM MAPPING'!$A:$A,0))</f>
        <v>Various</v>
      </c>
      <c r="I87" s="241" t="str">
        <f>INDEX('VDSM MAPPING'!H:H,MATCH($D87,'VDSM MAPPING'!$A:$A,0))</f>
        <v>C&amp;I Custom</v>
      </c>
      <c r="J87" s="240">
        <f t="shared" si="14"/>
        <v>-1.1467285310640864E-2</v>
      </c>
      <c r="K87" s="240">
        <f t="shared" si="15"/>
        <v>-1.0326551771885272E-2</v>
      </c>
      <c r="L87" s="240" t="b">
        <f t="shared" si="16"/>
        <v>0</v>
      </c>
      <c r="M87" s="240" t="b">
        <f t="shared" si="17"/>
        <v>0</v>
      </c>
      <c r="N87" s="204" t="s">
        <v>289</v>
      </c>
      <c r="O87" s="204" t="s">
        <v>2783</v>
      </c>
      <c r="P87" s="350">
        <v>1</v>
      </c>
      <c r="Q87" s="204" t="s">
        <v>2783</v>
      </c>
      <c r="R87" s="204" t="s">
        <v>2397</v>
      </c>
      <c r="S87" s="204" t="s">
        <v>2396</v>
      </c>
      <c r="T87" s="204" t="s">
        <v>2396</v>
      </c>
      <c r="U87" s="204" t="s">
        <v>2396</v>
      </c>
      <c r="V87" s="204" t="s">
        <v>2395</v>
      </c>
      <c r="W87" s="204" t="s">
        <v>568</v>
      </c>
      <c r="X87" s="204" t="s">
        <v>297</v>
      </c>
      <c r="Y87" s="204" t="s">
        <v>567</v>
      </c>
      <c r="Z87" s="204" t="s">
        <v>2211</v>
      </c>
      <c r="AA87" s="204" t="s">
        <v>2210</v>
      </c>
      <c r="AB87" s="204" t="s">
        <v>298</v>
      </c>
      <c r="AC87" s="204" t="s">
        <v>297</v>
      </c>
      <c r="AD87" s="204" t="s">
        <v>296</v>
      </c>
      <c r="AE87" s="204" t="s">
        <v>2209</v>
      </c>
      <c r="AF87" s="204" t="s">
        <v>2208</v>
      </c>
      <c r="AG87" s="204" t="s">
        <v>2675</v>
      </c>
      <c r="AH87" s="204" t="s">
        <v>2674</v>
      </c>
      <c r="AI87" s="204" t="s">
        <v>2373</v>
      </c>
      <c r="AJ87" s="204" t="s">
        <v>2126</v>
      </c>
      <c r="AK87" s="204" t="s">
        <v>2673</v>
      </c>
      <c r="AX87" s="204">
        <v>14</v>
      </c>
      <c r="AY87" s="204">
        <v>0</v>
      </c>
      <c r="AZ87" s="204">
        <v>4.34</v>
      </c>
      <c r="BB87" s="204">
        <v>12978</v>
      </c>
      <c r="BH87" s="204">
        <v>0</v>
      </c>
      <c r="BI87" s="204">
        <v>1453.9999600000001</v>
      </c>
      <c r="BJ87" s="204">
        <v>42796</v>
      </c>
      <c r="BK87" s="204">
        <v>42796.792681828701</v>
      </c>
      <c r="BL87" s="204" t="s">
        <v>293</v>
      </c>
      <c r="BM87" s="204" t="s">
        <v>2782</v>
      </c>
      <c r="BN87" s="269">
        <f t="shared" si="18"/>
        <v>927</v>
      </c>
      <c r="BO87" s="269">
        <f t="shared" si="19"/>
        <v>103.85714</v>
      </c>
      <c r="BP87" s="269">
        <f>INDEX('App Data Outliers'!$M:$M,MATCH($E87,'App Data Outliers'!$A:$A,0))</f>
        <v>1648.9692929508194</v>
      </c>
      <c r="BQ87" s="269">
        <f>INDEX('App Data Outliers'!$N:$N,MATCH($E87,'App Data Outliers'!$A:$A,0))</f>
        <v>62959.041603410769</v>
      </c>
      <c r="BR87" s="269">
        <f>INDEX('App Data Outliers'!$S:$S,MATCH($E87,'App Data Outliers'!$A:$A,0))</f>
        <v>174.05364750819672</v>
      </c>
      <c r="BS87" s="269">
        <f>INDEX('App Data Outliers'!$T:$T,MATCH($E87,'App Data Outliers'!$A:$A,0))</f>
        <v>6797.6715808767258</v>
      </c>
    </row>
    <row r="88" spans="1:71" s="204" customFormat="1" hidden="1">
      <c r="A88" s="241">
        <v>84</v>
      </c>
      <c r="B88" s="241" t="str">
        <f t="shared" si="10"/>
        <v>Non-Residential - BHPSD - C/I Custom</v>
      </c>
      <c r="C88" s="241" t="b">
        <f t="shared" si="11"/>
        <v>1</v>
      </c>
      <c r="D88" s="241" t="str">
        <f t="shared" si="12"/>
        <v>Non-Residential - BHPSD - C/I Custom_C&amp;I Custom Rebate :- Customer Incentives_Other Commercial</v>
      </c>
      <c r="E88" s="241" t="str">
        <f t="shared" si="13"/>
        <v>C&amp;I_C&amp;I Custom_Various_C&amp;I Custom</v>
      </c>
      <c r="F88" s="241" t="str">
        <f>INDEX('VDSM MAPPING'!E:E,MATCH($D88,'VDSM MAPPING'!$A:$A,0))</f>
        <v>C&amp;I</v>
      </c>
      <c r="G88" s="241" t="str">
        <f>INDEX('VDSM MAPPING'!F:F,MATCH($D88,'VDSM MAPPING'!$A:$A,0))</f>
        <v>C&amp;I Custom</v>
      </c>
      <c r="H88" s="241" t="str">
        <f>INDEX('VDSM MAPPING'!G:G,MATCH($D88,'VDSM MAPPING'!$A:$A,0))</f>
        <v>Various</v>
      </c>
      <c r="I88" s="241" t="str">
        <f>INDEX('VDSM MAPPING'!H:H,MATCH($D88,'VDSM MAPPING'!$A:$A,0))</f>
        <v>C&amp;I Custom</v>
      </c>
      <c r="J88" s="240">
        <f t="shared" si="14"/>
        <v>0.11378875098157583</v>
      </c>
      <c r="K88" s="240">
        <f t="shared" si="15"/>
        <v>0.17961243610629574</v>
      </c>
      <c r="L88" s="240" t="b">
        <f t="shared" si="16"/>
        <v>0</v>
      </c>
      <c r="M88" s="240" t="b">
        <f t="shared" si="17"/>
        <v>0</v>
      </c>
      <c r="N88" s="204" t="s">
        <v>289</v>
      </c>
      <c r="O88" s="204" t="s">
        <v>2781</v>
      </c>
      <c r="P88" s="350">
        <v>1</v>
      </c>
      <c r="Q88" s="204" t="s">
        <v>2781</v>
      </c>
      <c r="R88" s="204" t="s">
        <v>2251</v>
      </c>
      <c r="S88" s="204" t="s">
        <v>2780</v>
      </c>
      <c r="T88" s="204" t="s">
        <v>2250</v>
      </c>
      <c r="U88" s="204" t="s">
        <v>2250</v>
      </c>
      <c r="V88" s="204" t="s">
        <v>2249</v>
      </c>
      <c r="W88" s="204" t="s">
        <v>480</v>
      </c>
      <c r="X88" s="204" t="s">
        <v>297</v>
      </c>
      <c r="Y88" s="204" t="s">
        <v>479</v>
      </c>
      <c r="Z88" s="204" t="s">
        <v>2779</v>
      </c>
      <c r="AA88" s="204" t="s">
        <v>2778</v>
      </c>
      <c r="AB88" s="204" t="s">
        <v>329</v>
      </c>
      <c r="AC88" s="204" t="s">
        <v>297</v>
      </c>
      <c r="AD88" s="204" t="s">
        <v>328</v>
      </c>
      <c r="AE88" s="204" t="s">
        <v>2777</v>
      </c>
      <c r="AF88" s="204" t="s">
        <v>2776</v>
      </c>
      <c r="AG88" s="204" t="s">
        <v>2675</v>
      </c>
      <c r="AH88" s="204" t="s">
        <v>2674</v>
      </c>
      <c r="AI88" s="204" t="s">
        <v>2244</v>
      </c>
      <c r="AJ88" s="204" t="s">
        <v>2126</v>
      </c>
      <c r="AK88" s="204" t="s">
        <v>2673</v>
      </c>
      <c r="AX88" s="204">
        <v>1</v>
      </c>
      <c r="AY88" s="204">
        <v>0</v>
      </c>
      <c r="AZ88" s="204">
        <v>1</v>
      </c>
      <c r="BB88" s="204">
        <v>8813</v>
      </c>
      <c r="BH88" s="204">
        <v>0</v>
      </c>
      <c r="BI88" s="204">
        <v>1395</v>
      </c>
      <c r="BJ88" s="204">
        <v>42802</v>
      </c>
      <c r="BK88" s="204">
        <v>42802.659724687503</v>
      </c>
      <c r="BL88" s="204" t="s">
        <v>293</v>
      </c>
      <c r="BM88" s="204" t="s">
        <v>2775</v>
      </c>
      <c r="BN88" s="269">
        <f t="shared" si="18"/>
        <v>8813</v>
      </c>
      <c r="BO88" s="269">
        <f t="shared" si="19"/>
        <v>1395</v>
      </c>
      <c r="BP88" s="269">
        <f>INDEX('App Data Outliers'!$M:$M,MATCH($E88,'App Data Outliers'!$A:$A,0))</f>
        <v>1648.9692929508194</v>
      </c>
      <c r="BQ88" s="269">
        <f>INDEX('App Data Outliers'!$N:$N,MATCH($E88,'App Data Outliers'!$A:$A,0))</f>
        <v>62959.041603410769</v>
      </c>
      <c r="BR88" s="269">
        <f>INDEX('App Data Outliers'!$S:$S,MATCH($E88,'App Data Outliers'!$A:$A,0))</f>
        <v>174.05364750819672</v>
      </c>
      <c r="BS88" s="269">
        <f>INDEX('App Data Outliers'!$T:$T,MATCH($E88,'App Data Outliers'!$A:$A,0))</f>
        <v>6797.6715808767258</v>
      </c>
    </row>
    <row r="89" spans="1:71" s="204" customFormat="1" hidden="1">
      <c r="A89" s="241">
        <v>85</v>
      </c>
      <c r="B89" s="241" t="str">
        <f t="shared" si="10"/>
        <v>Non-Residential - BHPSD - C/I Custom</v>
      </c>
      <c r="C89" s="241" t="b">
        <f t="shared" si="11"/>
        <v>1</v>
      </c>
      <c r="D89" s="241" t="str">
        <f t="shared" si="12"/>
        <v>Non-Residential - BHPSD - C/I Custom_C&amp;I Custom Rebate :- Customer Incentives_Other Commercial</v>
      </c>
      <c r="E89" s="241" t="str">
        <f t="shared" si="13"/>
        <v>C&amp;I_C&amp;I Custom_Various_C&amp;I Custom</v>
      </c>
      <c r="F89" s="241" t="str">
        <f>INDEX('VDSM MAPPING'!E:E,MATCH($D89,'VDSM MAPPING'!$A:$A,0))</f>
        <v>C&amp;I</v>
      </c>
      <c r="G89" s="241" t="str">
        <f>INDEX('VDSM MAPPING'!F:F,MATCH($D89,'VDSM MAPPING'!$A:$A,0))</f>
        <v>C&amp;I Custom</v>
      </c>
      <c r="H89" s="241" t="str">
        <f>INDEX('VDSM MAPPING'!G:G,MATCH($D89,'VDSM MAPPING'!$A:$A,0))</f>
        <v>Various</v>
      </c>
      <c r="I89" s="241" t="str">
        <f>INDEX('VDSM MAPPING'!H:H,MATCH($D89,'VDSM MAPPING'!$A:$A,0))</f>
        <v>C&amp;I Custom</v>
      </c>
      <c r="J89" s="240">
        <f t="shared" si="14"/>
        <v>-2.2641280055216012E-2</v>
      </c>
      <c r="K89" s="240">
        <f t="shared" si="15"/>
        <v>-2.3030481194268773E-2</v>
      </c>
      <c r="L89" s="240" t="b">
        <f t="shared" si="16"/>
        <v>0</v>
      </c>
      <c r="M89" s="240" t="b">
        <f t="shared" si="17"/>
        <v>0</v>
      </c>
      <c r="N89" s="204" t="s">
        <v>289</v>
      </c>
      <c r="O89" s="204" t="s">
        <v>2772</v>
      </c>
      <c r="P89" s="350">
        <v>1</v>
      </c>
      <c r="Q89" s="204" t="s">
        <v>2772</v>
      </c>
      <c r="R89" s="204" t="s">
        <v>660</v>
      </c>
      <c r="S89" s="204" t="s">
        <v>2771</v>
      </c>
      <c r="T89" s="204" t="s">
        <v>658</v>
      </c>
      <c r="U89" s="204" t="s">
        <v>710</v>
      </c>
      <c r="V89" s="204" t="s">
        <v>657</v>
      </c>
      <c r="W89" s="204" t="s">
        <v>531</v>
      </c>
      <c r="X89" s="204" t="s">
        <v>297</v>
      </c>
      <c r="Y89" s="204" t="s">
        <v>530</v>
      </c>
      <c r="Z89" s="204" t="s">
        <v>2340</v>
      </c>
      <c r="AA89" s="204" t="s">
        <v>2339</v>
      </c>
      <c r="AB89" s="204" t="s">
        <v>298</v>
      </c>
      <c r="AC89" s="204" t="s">
        <v>297</v>
      </c>
      <c r="AD89" s="204" t="s">
        <v>296</v>
      </c>
      <c r="AE89" s="204" t="s">
        <v>2338</v>
      </c>
      <c r="AG89" s="204" t="s">
        <v>2675</v>
      </c>
      <c r="AH89" s="204" t="s">
        <v>2674</v>
      </c>
      <c r="AI89" s="204" t="s">
        <v>2373</v>
      </c>
      <c r="AJ89" s="204" t="s">
        <v>2126</v>
      </c>
      <c r="AK89" s="204" t="s">
        <v>2673</v>
      </c>
      <c r="AX89" s="204">
        <v>6</v>
      </c>
      <c r="AY89" s="204">
        <v>0</v>
      </c>
      <c r="AZ89" s="204">
        <v>0</v>
      </c>
      <c r="BB89" s="204">
        <v>1340.9760000000001</v>
      </c>
      <c r="BH89" s="204">
        <v>0</v>
      </c>
      <c r="BI89" s="204">
        <v>105</v>
      </c>
      <c r="BJ89" s="204">
        <v>42803</v>
      </c>
      <c r="BK89" s="204">
        <v>42803.488046493097</v>
      </c>
      <c r="BL89" s="204" t="s">
        <v>293</v>
      </c>
      <c r="BM89" s="204" t="s">
        <v>2770</v>
      </c>
      <c r="BN89" s="269">
        <f t="shared" si="18"/>
        <v>223.49600000000001</v>
      </c>
      <c r="BO89" s="269">
        <f t="shared" si="19"/>
        <v>17.5</v>
      </c>
      <c r="BP89" s="269">
        <f>INDEX('App Data Outliers'!$M:$M,MATCH($E89,'App Data Outliers'!$A:$A,0))</f>
        <v>1648.9692929508194</v>
      </c>
      <c r="BQ89" s="269">
        <f>INDEX('App Data Outliers'!$N:$N,MATCH($E89,'App Data Outliers'!$A:$A,0))</f>
        <v>62959.041603410769</v>
      </c>
      <c r="BR89" s="269">
        <f>INDEX('App Data Outliers'!$S:$S,MATCH($E89,'App Data Outliers'!$A:$A,0))</f>
        <v>174.05364750819672</v>
      </c>
      <c r="BS89" s="269">
        <f>INDEX('App Data Outliers'!$T:$T,MATCH($E89,'App Data Outliers'!$A:$A,0))</f>
        <v>6797.6715808767258</v>
      </c>
    </row>
    <row r="90" spans="1:71" s="204" customFormat="1" hidden="1">
      <c r="A90" s="241">
        <v>86</v>
      </c>
      <c r="B90" s="241" t="str">
        <f t="shared" si="10"/>
        <v>Non-Residential - BHPSD - C/I Custom</v>
      </c>
      <c r="C90" s="241" t="b">
        <f t="shared" si="11"/>
        <v>1</v>
      </c>
      <c r="D90" s="241" t="str">
        <f t="shared" si="12"/>
        <v>Non-Residential - BHPSD - C/I Custom_C&amp;I Custom Rebate :- Customer Incentives_Other Commercial</v>
      </c>
      <c r="E90" s="241" t="str">
        <f t="shared" si="13"/>
        <v>C&amp;I_C&amp;I Custom_Various_C&amp;I Custom</v>
      </c>
      <c r="F90" s="241" t="str">
        <f>INDEX('VDSM MAPPING'!E:E,MATCH($D90,'VDSM MAPPING'!$A:$A,0))</f>
        <v>C&amp;I</v>
      </c>
      <c r="G90" s="241" t="str">
        <f>INDEX('VDSM MAPPING'!F:F,MATCH($D90,'VDSM MAPPING'!$A:$A,0))</f>
        <v>C&amp;I Custom</v>
      </c>
      <c r="H90" s="241" t="str">
        <f>INDEX('VDSM MAPPING'!G:G,MATCH($D90,'VDSM MAPPING'!$A:$A,0))</f>
        <v>Various</v>
      </c>
      <c r="I90" s="241" t="str">
        <f>INDEX('VDSM MAPPING'!H:H,MATCH($D90,'VDSM MAPPING'!$A:$A,0))</f>
        <v>C&amp;I Custom</v>
      </c>
      <c r="J90" s="240">
        <f t="shared" si="14"/>
        <v>0.10972261538801668</v>
      </c>
      <c r="K90" s="240">
        <f t="shared" si="15"/>
        <v>0.18770344187873209</v>
      </c>
      <c r="L90" s="240" t="b">
        <f t="shared" si="16"/>
        <v>0</v>
      </c>
      <c r="M90" s="240" t="b">
        <f t="shared" si="17"/>
        <v>0</v>
      </c>
      <c r="N90" s="204" t="s">
        <v>289</v>
      </c>
      <c r="O90" s="204" t="s">
        <v>2772</v>
      </c>
      <c r="P90" s="350">
        <v>0</v>
      </c>
      <c r="Q90" s="204" t="s">
        <v>2772</v>
      </c>
      <c r="R90" s="204" t="s">
        <v>660</v>
      </c>
      <c r="S90" s="204" t="s">
        <v>2771</v>
      </c>
      <c r="T90" s="204" t="s">
        <v>658</v>
      </c>
      <c r="U90" s="204" t="s">
        <v>710</v>
      </c>
      <c r="V90" s="204" t="s">
        <v>657</v>
      </c>
      <c r="W90" s="204" t="s">
        <v>531</v>
      </c>
      <c r="X90" s="204" t="s">
        <v>297</v>
      </c>
      <c r="Y90" s="204" t="s">
        <v>530</v>
      </c>
      <c r="Z90" s="204" t="s">
        <v>2340</v>
      </c>
      <c r="AA90" s="204" t="s">
        <v>2339</v>
      </c>
      <c r="AB90" s="204" t="s">
        <v>298</v>
      </c>
      <c r="AC90" s="204" t="s">
        <v>297</v>
      </c>
      <c r="AD90" s="204" t="s">
        <v>296</v>
      </c>
      <c r="AE90" s="204" t="s">
        <v>2338</v>
      </c>
      <c r="AG90" s="204" t="s">
        <v>2675</v>
      </c>
      <c r="AH90" s="204" t="s">
        <v>2674</v>
      </c>
      <c r="AI90" s="204" t="s">
        <v>2373</v>
      </c>
      <c r="AJ90" s="204" t="s">
        <v>2126</v>
      </c>
      <c r="AK90" s="204" t="s">
        <v>2673</v>
      </c>
      <c r="AX90" s="204">
        <v>1</v>
      </c>
      <c r="AY90" s="204">
        <v>0</v>
      </c>
      <c r="AZ90" s="204">
        <v>2.73</v>
      </c>
      <c r="BB90" s="204">
        <v>8557</v>
      </c>
      <c r="BH90" s="204">
        <v>0</v>
      </c>
      <c r="BI90" s="204">
        <v>1450</v>
      </c>
      <c r="BJ90" s="204">
        <v>42803</v>
      </c>
      <c r="BK90" s="204">
        <v>42803.488046493097</v>
      </c>
      <c r="BL90" s="204" t="s">
        <v>293</v>
      </c>
      <c r="BM90" s="204" t="s">
        <v>2773</v>
      </c>
      <c r="BN90" s="269">
        <f t="shared" si="18"/>
        <v>8557</v>
      </c>
      <c r="BO90" s="269">
        <f t="shared" si="19"/>
        <v>1450</v>
      </c>
      <c r="BP90" s="269">
        <f>INDEX('App Data Outliers'!$M:$M,MATCH($E90,'App Data Outliers'!$A:$A,0))</f>
        <v>1648.9692929508194</v>
      </c>
      <c r="BQ90" s="269">
        <f>INDEX('App Data Outliers'!$N:$N,MATCH($E90,'App Data Outliers'!$A:$A,0))</f>
        <v>62959.041603410769</v>
      </c>
      <c r="BR90" s="269">
        <f>INDEX('App Data Outliers'!$S:$S,MATCH($E90,'App Data Outliers'!$A:$A,0))</f>
        <v>174.05364750819672</v>
      </c>
      <c r="BS90" s="269">
        <f>INDEX('App Data Outliers'!$T:$T,MATCH($E90,'App Data Outliers'!$A:$A,0))</f>
        <v>6797.6715808767258</v>
      </c>
    </row>
    <row r="91" spans="1:71" s="204" customFormat="1" hidden="1">
      <c r="A91" s="241">
        <v>87</v>
      </c>
      <c r="B91" s="241" t="str">
        <f t="shared" si="10"/>
        <v>Non-Residential - BHPSD - C/I Custom</v>
      </c>
      <c r="C91" s="241" t="b">
        <f t="shared" si="11"/>
        <v>1</v>
      </c>
      <c r="D91" s="241" t="str">
        <f t="shared" si="12"/>
        <v>Non-Residential - BHPSD - C/I Custom_C&amp;I Custom Rebate :- Customer Incentives_Other Commercial</v>
      </c>
      <c r="E91" s="241" t="str">
        <f t="shared" si="13"/>
        <v>C&amp;I_C&amp;I Custom_Various_C&amp;I Custom</v>
      </c>
      <c r="F91" s="241" t="str">
        <f>INDEX('VDSM MAPPING'!E:E,MATCH($D91,'VDSM MAPPING'!$A:$A,0))</f>
        <v>C&amp;I</v>
      </c>
      <c r="G91" s="241" t="str">
        <f>INDEX('VDSM MAPPING'!F:F,MATCH($D91,'VDSM MAPPING'!$A:$A,0))</f>
        <v>C&amp;I Custom</v>
      </c>
      <c r="H91" s="241" t="str">
        <f>INDEX('VDSM MAPPING'!G:G,MATCH($D91,'VDSM MAPPING'!$A:$A,0))</f>
        <v>Various</v>
      </c>
      <c r="I91" s="241" t="str">
        <f>INDEX('VDSM MAPPING'!H:H,MATCH($D91,'VDSM MAPPING'!$A:$A,0))</f>
        <v>C&amp;I Custom</v>
      </c>
      <c r="J91" s="240">
        <f t="shared" si="14"/>
        <v>-1.751762576780465E-3</v>
      </c>
      <c r="K91" s="240">
        <f t="shared" si="15"/>
        <v>-1.8249432328738213E-2</v>
      </c>
      <c r="L91" s="240" t="b">
        <f t="shared" si="16"/>
        <v>0</v>
      </c>
      <c r="M91" s="240" t="b">
        <f t="shared" si="17"/>
        <v>0</v>
      </c>
      <c r="N91" s="204" t="s">
        <v>289</v>
      </c>
      <c r="O91" s="204" t="s">
        <v>2772</v>
      </c>
      <c r="P91" s="350">
        <v>0</v>
      </c>
      <c r="Q91" s="204" t="s">
        <v>2772</v>
      </c>
      <c r="R91" s="204" t="s">
        <v>660</v>
      </c>
      <c r="S91" s="204" t="s">
        <v>2771</v>
      </c>
      <c r="T91" s="204" t="s">
        <v>658</v>
      </c>
      <c r="U91" s="204" t="s">
        <v>710</v>
      </c>
      <c r="V91" s="204" t="s">
        <v>657</v>
      </c>
      <c r="W91" s="204" t="s">
        <v>531</v>
      </c>
      <c r="X91" s="204" t="s">
        <v>297</v>
      </c>
      <c r="Y91" s="204" t="s">
        <v>530</v>
      </c>
      <c r="Z91" s="204" t="s">
        <v>2340</v>
      </c>
      <c r="AA91" s="204" t="s">
        <v>2339</v>
      </c>
      <c r="AB91" s="204" t="s">
        <v>298</v>
      </c>
      <c r="AC91" s="204" t="s">
        <v>297</v>
      </c>
      <c r="AD91" s="204" t="s">
        <v>296</v>
      </c>
      <c r="AE91" s="204" t="s">
        <v>2338</v>
      </c>
      <c r="AG91" s="204" t="s">
        <v>2675</v>
      </c>
      <c r="AH91" s="204" t="s">
        <v>2674</v>
      </c>
      <c r="AI91" s="204" t="s">
        <v>2373</v>
      </c>
      <c r="AJ91" s="204" t="s">
        <v>2126</v>
      </c>
      <c r="AK91" s="204" t="s">
        <v>2673</v>
      </c>
      <c r="AX91" s="204">
        <v>11</v>
      </c>
      <c r="AY91" s="204">
        <v>0</v>
      </c>
      <c r="AZ91" s="204">
        <v>0</v>
      </c>
      <c r="BB91" s="204">
        <v>16925.48</v>
      </c>
      <c r="BH91" s="204">
        <v>0</v>
      </c>
      <c r="BI91" s="204">
        <v>550</v>
      </c>
      <c r="BJ91" s="204">
        <v>42803</v>
      </c>
      <c r="BK91" s="204">
        <v>42803.488046493097</v>
      </c>
      <c r="BL91" s="204" t="s">
        <v>293</v>
      </c>
      <c r="BM91" s="204" t="s">
        <v>2774</v>
      </c>
      <c r="BN91" s="269">
        <f t="shared" si="18"/>
        <v>1538.68</v>
      </c>
      <c r="BO91" s="269">
        <f t="shared" si="19"/>
        <v>50</v>
      </c>
      <c r="BP91" s="269">
        <f>INDEX('App Data Outliers'!$M:$M,MATCH($E91,'App Data Outliers'!$A:$A,0))</f>
        <v>1648.9692929508194</v>
      </c>
      <c r="BQ91" s="269">
        <f>INDEX('App Data Outliers'!$N:$N,MATCH($E91,'App Data Outliers'!$A:$A,0))</f>
        <v>62959.041603410769</v>
      </c>
      <c r="BR91" s="269">
        <f>INDEX('App Data Outliers'!$S:$S,MATCH($E91,'App Data Outliers'!$A:$A,0))</f>
        <v>174.05364750819672</v>
      </c>
      <c r="BS91" s="269">
        <f>INDEX('App Data Outliers'!$T:$T,MATCH($E91,'App Data Outliers'!$A:$A,0))</f>
        <v>6797.6715808767258</v>
      </c>
    </row>
    <row r="92" spans="1:71" s="204" customFormat="1" hidden="1">
      <c r="A92" s="241">
        <v>88</v>
      </c>
      <c r="B92" s="241" t="str">
        <f t="shared" si="10"/>
        <v>Non-Residential - BHPSD - C/I Custom</v>
      </c>
      <c r="C92" s="241" t="b">
        <f t="shared" si="11"/>
        <v>1</v>
      </c>
      <c r="D92" s="241" t="str">
        <f t="shared" si="12"/>
        <v>Non-Residential - BHPSD - C/I Custom_C&amp;I Custom Rebate :- Customer Incentives_Other Industrial</v>
      </c>
      <c r="E92" s="241" t="str">
        <f t="shared" si="13"/>
        <v>C&amp;I_C&amp;I Custom_Various_C&amp;I Custom</v>
      </c>
      <c r="F92" s="241" t="str">
        <f>INDEX('VDSM MAPPING'!E:E,MATCH($D92,'VDSM MAPPING'!$A:$A,0))</f>
        <v>C&amp;I</v>
      </c>
      <c r="G92" s="241" t="str">
        <f>INDEX('VDSM MAPPING'!F:F,MATCH($D92,'VDSM MAPPING'!$A:$A,0))</f>
        <v>C&amp;I Custom</v>
      </c>
      <c r="H92" s="241" t="str">
        <f>INDEX('VDSM MAPPING'!G:G,MATCH($D92,'VDSM MAPPING'!$A:$A,0))</f>
        <v>Various</v>
      </c>
      <c r="I92" s="241" t="str">
        <f>INDEX('VDSM MAPPING'!H:H,MATCH($D92,'VDSM MAPPING'!$A:$A,0))</f>
        <v>C&amp;I Custom</v>
      </c>
      <c r="J92" s="240">
        <f t="shared" si="14"/>
        <v>-1.1324335231179801E-2</v>
      </c>
      <c r="K92" s="240">
        <f t="shared" si="15"/>
        <v>-3.5385127424903354E-3</v>
      </c>
      <c r="L92" s="240" t="b">
        <f t="shared" si="16"/>
        <v>0</v>
      </c>
      <c r="M92" s="240" t="b">
        <f t="shared" si="17"/>
        <v>0</v>
      </c>
      <c r="N92" s="204" t="s">
        <v>289</v>
      </c>
      <c r="O92" s="204" t="s">
        <v>2769</v>
      </c>
      <c r="P92" s="350">
        <v>1</v>
      </c>
      <c r="Q92" s="204" t="s">
        <v>2769</v>
      </c>
      <c r="R92" s="204" t="s">
        <v>2754</v>
      </c>
      <c r="S92" s="204" t="s">
        <v>2753</v>
      </c>
      <c r="T92" s="204" t="s">
        <v>2753</v>
      </c>
      <c r="U92" s="204" t="s">
        <v>2753</v>
      </c>
      <c r="V92" s="204" t="s">
        <v>2752</v>
      </c>
      <c r="W92" s="204" t="s">
        <v>329</v>
      </c>
      <c r="X92" s="204" t="s">
        <v>297</v>
      </c>
      <c r="Y92" s="204" t="s">
        <v>397</v>
      </c>
      <c r="Z92" s="204" t="s">
        <v>1017</v>
      </c>
      <c r="AA92" s="204" t="s">
        <v>1016</v>
      </c>
      <c r="AB92" s="204" t="s">
        <v>329</v>
      </c>
      <c r="AC92" s="204" t="s">
        <v>297</v>
      </c>
      <c r="AD92" s="204" t="s">
        <v>848</v>
      </c>
      <c r="AE92" s="204" t="s">
        <v>1015</v>
      </c>
      <c r="AF92" s="204" t="s">
        <v>1014</v>
      </c>
      <c r="AG92" s="204" t="s">
        <v>2675</v>
      </c>
      <c r="AH92" s="204" t="s">
        <v>2751</v>
      </c>
      <c r="AI92" s="204" t="s">
        <v>2750</v>
      </c>
      <c r="AJ92" s="204" t="s">
        <v>2126</v>
      </c>
      <c r="AK92" s="204" t="s">
        <v>2673</v>
      </c>
      <c r="AX92" s="204">
        <v>26</v>
      </c>
      <c r="AY92" s="204">
        <v>0</v>
      </c>
      <c r="AZ92" s="204">
        <v>7.8</v>
      </c>
      <c r="BB92" s="204">
        <v>24336</v>
      </c>
      <c r="BH92" s="204">
        <v>0</v>
      </c>
      <c r="BI92" s="204">
        <v>3900</v>
      </c>
      <c r="BJ92" s="204">
        <v>42815</v>
      </c>
      <c r="BK92" s="204">
        <v>42815.730486145803</v>
      </c>
      <c r="BL92" s="204" t="s">
        <v>293</v>
      </c>
      <c r="BM92" s="204" t="s">
        <v>2768</v>
      </c>
      <c r="BN92" s="269">
        <f t="shared" si="18"/>
        <v>936</v>
      </c>
      <c r="BO92" s="269">
        <f t="shared" si="19"/>
        <v>150</v>
      </c>
      <c r="BP92" s="269">
        <f>INDEX('App Data Outliers'!$M:$M,MATCH($E92,'App Data Outliers'!$A:$A,0))</f>
        <v>1648.9692929508194</v>
      </c>
      <c r="BQ92" s="269">
        <f>INDEX('App Data Outliers'!$N:$N,MATCH($E92,'App Data Outliers'!$A:$A,0))</f>
        <v>62959.041603410769</v>
      </c>
      <c r="BR92" s="269">
        <f>INDEX('App Data Outliers'!$S:$S,MATCH($E92,'App Data Outliers'!$A:$A,0))</f>
        <v>174.05364750819672</v>
      </c>
      <c r="BS92" s="269">
        <f>INDEX('App Data Outliers'!$T:$T,MATCH($E92,'App Data Outliers'!$A:$A,0))</f>
        <v>6797.6715808767258</v>
      </c>
    </row>
    <row r="93" spans="1:71" s="204" customFormat="1" hidden="1">
      <c r="A93" s="241">
        <v>89</v>
      </c>
      <c r="B93" s="241" t="str">
        <f t="shared" si="10"/>
        <v>Non-Residential - BHPSD - C/I Custom</v>
      </c>
      <c r="C93" s="241" t="b">
        <f t="shared" si="11"/>
        <v>1</v>
      </c>
      <c r="D93" s="241" t="str">
        <f t="shared" si="12"/>
        <v>Non-Residential - BHPSD - C/I Custom_C&amp;I Custom Rebate :- Customer Incentives_Other Commercial</v>
      </c>
      <c r="E93" s="241" t="str">
        <f t="shared" si="13"/>
        <v>C&amp;I_C&amp;I Custom_Various_C&amp;I Custom</v>
      </c>
      <c r="F93" s="241" t="str">
        <f>INDEX('VDSM MAPPING'!E:E,MATCH($D93,'VDSM MAPPING'!$A:$A,0))</f>
        <v>C&amp;I</v>
      </c>
      <c r="G93" s="241" t="str">
        <f>INDEX('VDSM MAPPING'!F:F,MATCH($D93,'VDSM MAPPING'!$A:$A,0))</f>
        <v>C&amp;I Custom</v>
      </c>
      <c r="H93" s="241" t="str">
        <f>INDEX('VDSM MAPPING'!G:G,MATCH($D93,'VDSM MAPPING'!$A:$A,0))</f>
        <v>Various</v>
      </c>
      <c r="I93" s="241" t="str">
        <f>INDEX('VDSM MAPPING'!H:H,MATCH($D93,'VDSM MAPPING'!$A:$A,0))</f>
        <v>C&amp;I Custom</v>
      </c>
      <c r="J93" s="240">
        <f t="shared" si="14"/>
        <v>-1.486632053338172E-2</v>
      </c>
      <c r="K93" s="240">
        <f t="shared" si="15"/>
        <v>-1.4424593236313765E-2</v>
      </c>
      <c r="L93" s="240" t="b">
        <f t="shared" si="16"/>
        <v>0</v>
      </c>
      <c r="M93" s="240" t="b">
        <f t="shared" si="17"/>
        <v>0</v>
      </c>
      <c r="N93" s="204" t="s">
        <v>289</v>
      </c>
      <c r="O93" s="204" t="s">
        <v>2767</v>
      </c>
      <c r="P93" s="350">
        <v>1</v>
      </c>
      <c r="Q93" s="204" t="s">
        <v>2767</v>
      </c>
      <c r="R93" s="204" t="s">
        <v>2766</v>
      </c>
      <c r="S93" s="204" t="s">
        <v>2765</v>
      </c>
      <c r="T93" s="204" t="s">
        <v>2765</v>
      </c>
      <c r="U93" s="204" t="s">
        <v>2765</v>
      </c>
      <c r="V93" s="204" t="s">
        <v>2764</v>
      </c>
      <c r="W93" s="204" t="s">
        <v>329</v>
      </c>
      <c r="X93" s="204" t="s">
        <v>297</v>
      </c>
      <c r="Y93" s="204" t="s">
        <v>328</v>
      </c>
      <c r="Z93" s="204" t="s">
        <v>2763</v>
      </c>
      <c r="AA93" s="204" t="s">
        <v>2762</v>
      </c>
      <c r="AB93" s="204" t="s">
        <v>329</v>
      </c>
      <c r="AC93" s="204" t="s">
        <v>297</v>
      </c>
      <c r="AD93" s="204" t="s">
        <v>599</v>
      </c>
      <c r="AE93" s="204" t="s">
        <v>2761</v>
      </c>
      <c r="AF93" s="204" t="s">
        <v>2760</v>
      </c>
      <c r="AG93" s="204" t="s">
        <v>2675</v>
      </c>
      <c r="AH93" s="204" t="s">
        <v>2674</v>
      </c>
      <c r="AI93" s="204" t="s">
        <v>2202</v>
      </c>
      <c r="AJ93" s="204" t="s">
        <v>2126</v>
      </c>
      <c r="AK93" s="204" t="s">
        <v>2673</v>
      </c>
      <c r="AX93" s="204">
        <v>8</v>
      </c>
      <c r="AY93" s="204">
        <v>0</v>
      </c>
      <c r="AZ93" s="204">
        <v>0</v>
      </c>
      <c r="BB93" s="204">
        <v>5704</v>
      </c>
      <c r="BH93" s="204">
        <v>0</v>
      </c>
      <c r="BI93" s="204">
        <v>608</v>
      </c>
      <c r="BJ93" s="204">
        <v>42822</v>
      </c>
      <c r="BK93" s="204">
        <v>42822.454243321801</v>
      </c>
      <c r="BL93" s="204" t="s">
        <v>293</v>
      </c>
      <c r="BM93" s="204" t="s">
        <v>2759</v>
      </c>
      <c r="BN93" s="269">
        <f t="shared" si="18"/>
        <v>713</v>
      </c>
      <c r="BO93" s="269">
        <f t="shared" si="19"/>
        <v>76</v>
      </c>
      <c r="BP93" s="269">
        <f>INDEX('App Data Outliers'!$M:$M,MATCH($E93,'App Data Outliers'!$A:$A,0))</f>
        <v>1648.9692929508194</v>
      </c>
      <c r="BQ93" s="269">
        <f>INDEX('App Data Outliers'!$N:$N,MATCH($E93,'App Data Outliers'!$A:$A,0))</f>
        <v>62959.041603410769</v>
      </c>
      <c r="BR93" s="269">
        <f>INDEX('App Data Outliers'!$S:$S,MATCH($E93,'App Data Outliers'!$A:$A,0))</f>
        <v>174.05364750819672</v>
      </c>
      <c r="BS93" s="269">
        <f>INDEX('App Data Outliers'!$T:$T,MATCH($E93,'App Data Outliers'!$A:$A,0))</f>
        <v>6797.6715808767258</v>
      </c>
    </row>
    <row r="94" spans="1:71" s="204" customFormat="1" hidden="1">
      <c r="A94" s="241">
        <v>90</v>
      </c>
      <c r="B94" s="241" t="str">
        <f t="shared" si="10"/>
        <v>Non-Residential - BHPSD - C/I Custom</v>
      </c>
      <c r="C94" s="241" t="b">
        <f t="shared" si="11"/>
        <v>1</v>
      </c>
      <c r="D94" s="241" t="str">
        <f t="shared" si="12"/>
        <v>Non-Residential - BHPSD - C/I Custom_C&amp;I Custom Rebate :- Customer Incentives_Other Commercial</v>
      </c>
      <c r="E94" s="241" t="str">
        <f t="shared" si="13"/>
        <v>C&amp;I_C&amp;I Custom_Various_C&amp;I Custom</v>
      </c>
      <c r="F94" s="241" t="str">
        <f>INDEX('VDSM MAPPING'!E:E,MATCH($D94,'VDSM MAPPING'!$A:$A,0))</f>
        <v>C&amp;I</v>
      </c>
      <c r="G94" s="241" t="str">
        <f>INDEX('VDSM MAPPING'!F:F,MATCH($D94,'VDSM MAPPING'!$A:$A,0))</f>
        <v>C&amp;I Custom</v>
      </c>
      <c r="H94" s="241" t="str">
        <f>INDEX('VDSM MAPPING'!G:G,MATCH($D94,'VDSM MAPPING'!$A:$A,0))</f>
        <v>Various</v>
      </c>
      <c r="I94" s="241" t="str">
        <f>INDEX('VDSM MAPPING'!H:H,MATCH($D94,'VDSM MAPPING'!$A:$A,0))</f>
        <v>C&amp;I Custom</v>
      </c>
      <c r="J94" s="240">
        <f t="shared" si="14"/>
        <v>-1.8281239098284913E-2</v>
      </c>
      <c r="K94" s="240">
        <f t="shared" si="15"/>
        <v>-1.4390758121265395E-2</v>
      </c>
      <c r="L94" s="240" t="b">
        <f t="shared" si="16"/>
        <v>0</v>
      </c>
      <c r="M94" s="240" t="b">
        <f t="shared" si="17"/>
        <v>0</v>
      </c>
      <c r="N94" s="204" t="s">
        <v>289</v>
      </c>
      <c r="O94" s="204" t="s">
        <v>2757</v>
      </c>
      <c r="P94" s="350">
        <v>1</v>
      </c>
      <c r="Q94" s="204" t="s">
        <v>2757</v>
      </c>
      <c r="R94" s="204" t="s">
        <v>2343</v>
      </c>
      <c r="S94" s="204" t="s">
        <v>2342</v>
      </c>
      <c r="T94" s="204" t="s">
        <v>2342</v>
      </c>
      <c r="U94" s="204" t="s">
        <v>2342</v>
      </c>
      <c r="V94" s="204" t="s">
        <v>2341</v>
      </c>
      <c r="W94" s="204" t="s">
        <v>413</v>
      </c>
      <c r="X94" s="204" t="s">
        <v>297</v>
      </c>
      <c r="Y94" s="204" t="s">
        <v>412</v>
      </c>
      <c r="Z94" s="204" t="s">
        <v>2340</v>
      </c>
      <c r="AA94" s="204" t="s">
        <v>2339</v>
      </c>
      <c r="AB94" s="204" t="s">
        <v>298</v>
      </c>
      <c r="AC94" s="204" t="s">
        <v>297</v>
      </c>
      <c r="AD94" s="204" t="s">
        <v>296</v>
      </c>
      <c r="AE94" s="204" t="s">
        <v>2338</v>
      </c>
      <c r="AG94" s="204" t="s">
        <v>2675</v>
      </c>
      <c r="AH94" s="204" t="s">
        <v>2674</v>
      </c>
      <c r="AI94" s="204" t="s">
        <v>2127</v>
      </c>
      <c r="AJ94" s="204" t="s">
        <v>2126</v>
      </c>
      <c r="AK94" s="204" t="s">
        <v>2673</v>
      </c>
      <c r="AX94" s="204">
        <v>7</v>
      </c>
      <c r="AY94" s="204">
        <v>0</v>
      </c>
      <c r="BB94" s="204">
        <v>3486</v>
      </c>
      <c r="BH94" s="204">
        <v>0</v>
      </c>
      <c r="BI94" s="204">
        <v>533.61</v>
      </c>
      <c r="BJ94" s="204">
        <v>42828</v>
      </c>
      <c r="BK94" s="204">
        <v>42825.446017557901</v>
      </c>
      <c r="BL94" s="204" t="s">
        <v>293</v>
      </c>
      <c r="BM94" s="204" t="s">
        <v>2756</v>
      </c>
      <c r="BN94" s="269">
        <f t="shared" si="18"/>
        <v>498</v>
      </c>
      <c r="BO94" s="269">
        <f t="shared" si="19"/>
        <v>76.23</v>
      </c>
      <c r="BP94" s="269">
        <f>INDEX('App Data Outliers'!$M:$M,MATCH($E94,'App Data Outliers'!$A:$A,0))</f>
        <v>1648.9692929508194</v>
      </c>
      <c r="BQ94" s="269">
        <f>INDEX('App Data Outliers'!$N:$N,MATCH($E94,'App Data Outliers'!$A:$A,0))</f>
        <v>62959.041603410769</v>
      </c>
      <c r="BR94" s="269">
        <f>INDEX('App Data Outliers'!$S:$S,MATCH($E94,'App Data Outliers'!$A:$A,0))</f>
        <v>174.05364750819672</v>
      </c>
      <c r="BS94" s="269">
        <f>INDEX('App Data Outliers'!$T:$T,MATCH($E94,'App Data Outliers'!$A:$A,0))</f>
        <v>6797.6715808767258</v>
      </c>
    </row>
    <row r="95" spans="1:71" s="204" customFormat="1" hidden="1">
      <c r="A95" s="241">
        <v>91</v>
      </c>
      <c r="B95" s="241" t="str">
        <f t="shared" si="10"/>
        <v>Non-Residential - BHPSD - C/I Custom</v>
      </c>
      <c r="C95" s="241" t="b">
        <f t="shared" si="11"/>
        <v>1</v>
      </c>
      <c r="D95" s="241" t="str">
        <f t="shared" si="12"/>
        <v>Non-Residential - BHPSD - C/I Custom_C&amp;I Custom Rebate :- Customer Incentives_Other Commercial</v>
      </c>
      <c r="E95" s="241" t="str">
        <f t="shared" si="13"/>
        <v>C&amp;I_C&amp;I Custom_Various_C&amp;I Custom</v>
      </c>
      <c r="F95" s="241" t="str">
        <f>INDEX('VDSM MAPPING'!E:E,MATCH($D95,'VDSM MAPPING'!$A:$A,0))</f>
        <v>C&amp;I</v>
      </c>
      <c r="G95" s="241" t="str">
        <f>INDEX('VDSM MAPPING'!F:F,MATCH($D95,'VDSM MAPPING'!$A:$A,0))</f>
        <v>C&amp;I Custom</v>
      </c>
      <c r="H95" s="241" t="str">
        <f>INDEX('VDSM MAPPING'!G:G,MATCH($D95,'VDSM MAPPING'!$A:$A,0))</f>
        <v>Various</v>
      </c>
      <c r="I95" s="241" t="str">
        <f>INDEX('VDSM MAPPING'!H:H,MATCH($D95,'VDSM MAPPING'!$A:$A,0))</f>
        <v>C&amp;I Custom</v>
      </c>
      <c r="J95" s="240">
        <f t="shared" si="14"/>
        <v>-1.4818670506894697E-2</v>
      </c>
      <c r="K95" s="240">
        <f t="shared" si="15"/>
        <v>-7.3633518349147838E-3</v>
      </c>
      <c r="L95" s="240" t="b">
        <f t="shared" si="16"/>
        <v>0</v>
      </c>
      <c r="M95" s="240" t="b">
        <f t="shared" si="17"/>
        <v>0</v>
      </c>
      <c r="N95" s="204" t="s">
        <v>289</v>
      </c>
      <c r="O95" s="204" t="s">
        <v>2757</v>
      </c>
      <c r="P95" s="350">
        <v>0</v>
      </c>
      <c r="Q95" s="204" t="s">
        <v>2757</v>
      </c>
      <c r="R95" s="204" t="s">
        <v>2343</v>
      </c>
      <c r="S95" s="204" t="s">
        <v>2342</v>
      </c>
      <c r="T95" s="204" t="s">
        <v>2342</v>
      </c>
      <c r="U95" s="204" t="s">
        <v>2342</v>
      </c>
      <c r="V95" s="204" t="s">
        <v>2341</v>
      </c>
      <c r="W95" s="204" t="s">
        <v>413</v>
      </c>
      <c r="X95" s="204" t="s">
        <v>297</v>
      </c>
      <c r="Y95" s="204" t="s">
        <v>412</v>
      </c>
      <c r="Z95" s="204" t="s">
        <v>2340</v>
      </c>
      <c r="AA95" s="204" t="s">
        <v>2339</v>
      </c>
      <c r="AB95" s="204" t="s">
        <v>298</v>
      </c>
      <c r="AC95" s="204" t="s">
        <v>297</v>
      </c>
      <c r="AD95" s="204" t="s">
        <v>296</v>
      </c>
      <c r="AE95" s="204" t="s">
        <v>2338</v>
      </c>
      <c r="AG95" s="204" t="s">
        <v>2675</v>
      </c>
      <c r="AH95" s="204" t="s">
        <v>2674</v>
      </c>
      <c r="AI95" s="204" t="s">
        <v>2127</v>
      </c>
      <c r="AJ95" s="204" t="s">
        <v>2126</v>
      </c>
      <c r="AK95" s="204" t="s">
        <v>2673</v>
      </c>
      <c r="AX95" s="204">
        <v>43</v>
      </c>
      <c r="AY95" s="204">
        <v>0</v>
      </c>
      <c r="AZ95" s="204">
        <v>15.48</v>
      </c>
      <c r="BB95" s="204">
        <v>30788</v>
      </c>
      <c r="BH95" s="204">
        <v>0</v>
      </c>
      <c r="BI95" s="204">
        <v>5332</v>
      </c>
      <c r="BJ95" s="204">
        <v>42828</v>
      </c>
      <c r="BK95" s="204">
        <v>42825.446017557901</v>
      </c>
      <c r="BL95" s="204" t="s">
        <v>293</v>
      </c>
      <c r="BM95" s="204" t="s">
        <v>2758</v>
      </c>
      <c r="BN95" s="269">
        <f t="shared" si="18"/>
        <v>716</v>
      </c>
      <c r="BO95" s="269">
        <f t="shared" si="19"/>
        <v>124</v>
      </c>
      <c r="BP95" s="269">
        <f>INDEX('App Data Outliers'!$M:$M,MATCH($E95,'App Data Outliers'!$A:$A,0))</f>
        <v>1648.9692929508194</v>
      </c>
      <c r="BQ95" s="269">
        <f>INDEX('App Data Outliers'!$N:$N,MATCH($E95,'App Data Outliers'!$A:$A,0))</f>
        <v>62959.041603410769</v>
      </c>
      <c r="BR95" s="269">
        <f>INDEX('App Data Outliers'!$S:$S,MATCH($E95,'App Data Outliers'!$A:$A,0))</f>
        <v>174.05364750819672</v>
      </c>
      <c r="BS95" s="269">
        <f>INDEX('App Data Outliers'!$T:$T,MATCH($E95,'App Data Outliers'!$A:$A,0))</f>
        <v>6797.6715808767258</v>
      </c>
    </row>
    <row r="96" spans="1:71" s="204" customFormat="1" hidden="1">
      <c r="A96" s="241">
        <v>92</v>
      </c>
      <c r="B96" s="241" t="str">
        <f t="shared" si="10"/>
        <v>Non-Residential - BHPSD - C/I Custom</v>
      </c>
      <c r="C96" s="241" t="b">
        <f t="shared" si="11"/>
        <v>1</v>
      </c>
      <c r="D96" s="241" t="str">
        <f t="shared" si="12"/>
        <v>Non-Residential - BHPSD - C/I Custom_C&amp;I Custom Rebate :- Customer Incentives_Other Industrial</v>
      </c>
      <c r="E96" s="241" t="str">
        <f t="shared" si="13"/>
        <v>C&amp;I_C&amp;I Custom_Various_C&amp;I Custom</v>
      </c>
      <c r="F96" s="241" t="str">
        <f>INDEX('VDSM MAPPING'!E:E,MATCH($D96,'VDSM MAPPING'!$A:$A,0))</f>
        <v>C&amp;I</v>
      </c>
      <c r="G96" s="241" t="str">
        <f>INDEX('VDSM MAPPING'!F:F,MATCH($D96,'VDSM MAPPING'!$A:$A,0))</f>
        <v>C&amp;I Custom</v>
      </c>
      <c r="H96" s="241" t="str">
        <f>INDEX('VDSM MAPPING'!G:G,MATCH($D96,'VDSM MAPPING'!$A:$A,0))</f>
        <v>Various</v>
      </c>
      <c r="I96" s="241" t="str">
        <f>INDEX('VDSM MAPPING'!H:H,MATCH($D96,'VDSM MAPPING'!$A:$A,0))</f>
        <v>C&amp;I Custom</v>
      </c>
      <c r="J96" s="240">
        <f t="shared" si="14"/>
        <v>-1.6772321592862571E-2</v>
      </c>
      <c r="K96" s="240">
        <f t="shared" si="15"/>
        <v>-1.3394828865276414E-2</v>
      </c>
      <c r="L96" s="240" t="b">
        <f t="shared" si="16"/>
        <v>0</v>
      </c>
      <c r="M96" s="240" t="b">
        <f t="shared" si="17"/>
        <v>0</v>
      </c>
      <c r="N96" s="204" t="s">
        <v>289</v>
      </c>
      <c r="O96" s="204" t="s">
        <v>2755</v>
      </c>
      <c r="P96" s="350">
        <v>1</v>
      </c>
      <c r="Q96" s="204" t="s">
        <v>2755</v>
      </c>
      <c r="R96" s="204" t="s">
        <v>2754</v>
      </c>
      <c r="S96" s="204" t="s">
        <v>2753</v>
      </c>
      <c r="T96" s="204" t="s">
        <v>2753</v>
      </c>
      <c r="U96" s="204" t="s">
        <v>2753</v>
      </c>
      <c r="V96" s="204" t="s">
        <v>2752</v>
      </c>
      <c r="W96" s="204" t="s">
        <v>329</v>
      </c>
      <c r="X96" s="204" t="s">
        <v>297</v>
      </c>
      <c r="Y96" s="204" t="s">
        <v>397</v>
      </c>
      <c r="Z96" s="204" t="s">
        <v>1017</v>
      </c>
      <c r="AA96" s="204" t="s">
        <v>1016</v>
      </c>
      <c r="AB96" s="204" t="s">
        <v>329</v>
      </c>
      <c r="AC96" s="204" t="s">
        <v>297</v>
      </c>
      <c r="AD96" s="204" t="s">
        <v>848</v>
      </c>
      <c r="AE96" s="204" t="s">
        <v>1015</v>
      </c>
      <c r="AF96" s="204" t="s">
        <v>1014</v>
      </c>
      <c r="AG96" s="204" t="s">
        <v>2675</v>
      </c>
      <c r="AH96" s="204" t="s">
        <v>2751</v>
      </c>
      <c r="AI96" s="204" t="s">
        <v>2750</v>
      </c>
      <c r="AJ96" s="204" t="s">
        <v>2126</v>
      </c>
      <c r="AK96" s="204" t="s">
        <v>2673</v>
      </c>
      <c r="AX96" s="204">
        <v>5</v>
      </c>
      <c r="AY96" s="204">
        <v>0</v>
      </c>
      <c r="AZ96" s="204">
        <v>0.95</v>
      </c>
      <c r="BB96" s="204">
        <v>2965</v>
      </c>
      <c r="BH96" s="204">
        <v>0</v>
      </c>
      <c r="BI96" s="204">
        <v>415</v>
      </c>
      <c r="BJ96" s="204">
        <v>42830</v>
      </c>
      <c r="BK96" s="204">
        <v>42830.672180555601</v>
      </c>
      <c r="BL96" s="204" t="s">
        <v>293</v>
      </c>
      <c r="BM96" s="204" t="s">
        <v>2749</v>
      </c>
      <c r="BN96" s="269">
        <f t="shared" si="18"/>
        <v>593</v>
      </c>
      <c r="BO96" s="269">
        <f t="shared" si="19"/>
        <v>83</v>
      </c>
      <c r="BP96" s="269">
        <f>INDEX('App Data Outliers'!$M:$M,MATCH($E96,'App Data Outliers'!$A:$A,0))</f>
        <v>1648.9692929508194</v>
      </c>
      <c r="BQ96" s="269">
        <f>INDEX('App Data Outliers'!$N:$N,MATCH($E96,'App Data Outliers'!$A:$A,0))</f>
        <v>62959.041603410769</v>
      </c>
      <c r="BR96" s="269">
        <f>INDEX('App Data Outliers'!$S:$S,MATCH($E96,'App Data Outliers'!$A:$A,0))</f>
        <v>174.05364750819672</v>
      </c>
      <c r="BS96" s="269">
        <f>INDEX('App Data Outliers'!$T:$T,MATCH($E96,'App Data Outliers'!$A:$A,0))</f>
        <v>6797.6715808767258</v>
      </c>
    </row>
    <row r="97" spans="1:71" s="204" customFormat="1" hidden="1">
      <c r="A97" s="241">
        <v>93</v>
      </c>
      <c r="B97" s="241" t="str">
        <f t="shared" si="10"/>
        <v>Non-Residential - BHPSD - C/I Custom</v>
      </c>
      <c r="C97" s="241" t="b">
        <f t="shared" si="11"/>
        <v>1</v>
      </c>
      <c r="D97" s="241" t="str">
        <f t="shared" si="12"/>
        <v>Non-Residential - BHPSD - C/I Custom_C&amp;I Custom Rebate :- Customer Incentives_Other Commercial</v>
      </c>
      <c r="E97" s="241" t="str">
        <f t="shared" si="13"/>
        <v>C&amp;I_C&amp;I Custom_Various_C&amp;I Custom</v>
      </c>
      <c r="F97" s="241" t="str">
        <f>INDEX('VDSM MAPPING'!E:E,MATCH($D97,'VDSM MAPPING'!$A:$A,0))</f>
        <v>C&amp;I</v>
      </c>
      <c r="G97" s="241" t="str">
        <f>INDEX('VDSM MAPPING'!F:F,MATCH($D97,'VDSM MAPPING'!$A:$A,0))</f>
        <v>C&amp;I Custom</v>
      </c>
      <c r="H97" s="241" t="str">
        <f>INDEX('VDSM MAPPING'!G:G,MATCH($D97,'VDSM MAPPING'!$A:$A,0))</f>
        <v>Various</v>
      </c>
      <c r="I97" s="241" t="str">
        <f>INDEX('VDSM MAPPING'!H:H,MATCH($D97,'VDSM MAPPING'!$A:$A,0))</f>
        <v>C&amp;I Custom</v>
      </c>
      <c r="J97" s="240">
        <f t="shared" si="14"/>
        <v>-1.167376875875129E-2</v>
      </c>
      <c r="K97" s="240">
        <f t="shared" si="15"/>
        <v>3.0814010713212095E-3</v>
      </c>
      <c r="L97" s="240" t="b">
        <f t="shared" si="16"/>
        <v>0</v>
      </c>
      <c r="M97" s="240" t="b">
        <f t="shared" si="17"/>
        <v>0</v>
      </c>
      <c r="N97" s="204" t="s">
        <v>289</v>
      </c>
      <c r="O97" s="204" t="s">
        <v>2748</v>
      </c>
      <c r="P97" s="350">
        <v>1</v>
      </c>
      <c r="Q97" s="204" t="s">
        <v>2748</v>
      </c>
      <c r="R97" s="204" t="s">
        <v>2747</v>
      </c>
      <c r="S97" s="204" t="s">
        <v>2746</v>
      </c>
      <c r="T97" s="204" t="s">
        <v>2746</v>
      </c>
      <c r="U97" s="204" t="s">
        <v>2746</v>
      </c>
      <c r="V97" s="204" t="s">
        <v>2745</v>
      </c>
      <c r="W97" s="204" t="s">
        <v>329</v>
      </c>
      <c r="X97" s="204" t="s">
        <v>297</v>
      </c>
      <c r="Y97" s="204" t="s">
        <v>848</v>
      </c>
      <c r="Z97" s="204" t="s">
        <v>914</v>
      </c>
      <c r="AA97" s="204" t="s">
        <v>913</v>
      </c>
      <c r="AB97" s="204" t="s">
        <v>329</v>
      </c>
      <c r="AC97" s="204" t="s">
        <v>297</v>
      </c>
      <c r="AD97" s="204" t="s">
        <v>397</v>
      </c>
      <c r="AE97" s="204" t="s">
        <v>912</v>
      </c>
      <c r="AG97" s="204" t="s">
        <v>2675</v>
      </c>
      <c r="AH97" s="204" t="s">
        <v>2674</v>
      </c>
      <c r="AI97" s="204" t="s">
        <v>2127</v>
      </c>
      <c r="AJ97" s="204" t="s">
        <v>2126</v>
      </c>
      <c r="AK97" s="204" t="s">
        <v>2673</v>
      </c>
      <c r="AX97" s="204">
        <v>9</v>
      </c>
      <c r="AY97" s="204">
        <v>0</v>
      </c>
      <c r="AZ97" s="204">
        <v>2.61</v>
      </c>
      <c r="BB97" s="204">
        <v>8226</v>
      </c>
      <c r="BH97" s="204">
        <v>0</v>
      </c>
      <c r="BI97" s="204">
        <v>1755</v>
      </c>
      <c r="BJ97" s="204">
        <v>42831</v>
      </c>
      <c r="BK97" s="204">
        <v>42831.775187615698</v>
      </c>
      <c r="BL97" s="204" t="s">
        <v>293</v>
      </c>
      <c r="BM97" s="204" t="s">
        <v>2744</v>
      </c>
      <c r="BN97" s="269">
        <f t="shared" si="18"/>
        <v>914</v>
      </c>
      <c r="BO97" s="269">
        <f t="shared" si="19"/>
        <v>195</v>
      </c>
      <c r="BP97" s="269">
        <f>INDEX('App Data Outliers'!$M:$M,MATCH($E97,'App Data Outliers'!$A:$A,0))</f>
        <v>1648.9692929508194</v>
      </c>
      <c r="BQ97" s="269">
        <f>INDEX('App Data Outliers'!$N:$N,MATCH($E97,'App Data Outliers'!$A:$A,0))</f>
        <v>62959.041603410769</v>
      </c>
      <c r="BR97" s="269">
        <f>INDEX('App Data Outliers'!$S:$S,MATCH($E97,'App Data Outliers'!$A:$A,0))</f>
        <v>174.05364750819672</v>
      </c>
      <c r="BS97" s="269">
        <f>INDEX('App Data Outliers'!$T:$T,MATCH($E97,'App Data Outliers'!$A:$A,0))</f>
        <v>6797.6715808767258</v>
      </c>
    </row>
    <row r="98" spans="1:71" s="204" customFormat="1" hidden="1">
      <c r="A98" s="241">
        <v>94</v>
      </c>
      <c r="B98" s="241" t="str">
        <f t="shared" si="10"/>
        <v>Non-Residential - BHPSD - C/I Custom</v>
      </c>
      <c r="C98" s="241" t="b">
        <f t="shared" si="11"/>
        <v>1</v>
      </c>
      <c r="D98" s="241" t="str">
        <f t="shared" si="12"/>
        <v>Non-Residential - BHPSD - C/I Custom_C&amp;I Custom Rebate :- Customer Incentives_Other Commercial</v>
      </c>
      <c r="E98" s="241" t="str">
        <f t="shared" si="13"/>
        <v>C&amp;I_C&amp;I Custom_Various_C&amp;I Custom</v>
      </c>
      <c r="F98" s="241" t="str">
        <f>INDEX('VDSM MAPPING'!E:E,MATCH($D98,'VDSM MAPPING'!$A:$A,0))</f>
        <v>C&amp;I</v>
      </c>
      <c r="G98" s="241" t="str">
        <f>INDEX('VDSM MAPPING'!F:F,MATCH($D98,'VDSM MAPPING'!$A:$A,0))</f>
        <v>C&amp;I Custom</v>
      </c>
      <c r="H98" s="241" t="str">
        <f>INDEX('VDSM MAPPING'!G:G,MATCH($D98,'VDSM MAPPING'!$A:$A,0))</f>
        <v>Various</v>
      </c>
      <c r="I98" s="241" t="str">
        <f>INDEX('VDSM MAPPING'!H:H,MATCH($D98,'VDSM MAPPING'!$A:$A,0))</f>
        <v>C&amp;I Custom</v>
      </c>
      <c r="J98" s="240">
        <f t="shared" si="14"/>
        <v>-2.3618042064831299E-2</v>
      </c>
      <c r="K98" s="240">
        <f t="shared" si="15"/>
        <v>-2.1927162225300181E-2</v>
      </c>
      <c r="L98" s="240" t="b">
        <f t="shared" si="16"/>
        <v>0</v>
      </c>
      <c r="M98" s="240" t="b">
        <f t="shared" si="17"/>
        <v>0</v>
      </c>
      <c r="N98" s="204" t="s">
        <v>289</v>
      </c>
      <c r="O98" s="204" t="s">
        <v>2743</v>
      </c>
      <c r="P98" s="350">
        <v>1</v>
      </c>
      <c r="Q98" s="204" t="s">
        <v>2743</v>
      </c>
      <c r="R98" s="204" t="s">
        <v>2742</v>
      </c>
      <c r="S98" s="204" t="s">
        <v>2740</v>
      </c>
      <c r="T98" s="204" t="s">
        <v>2741</v>
      </c>
      <c r="U98" s="204" t="s">
        <v>2740</v>
      </c>
      <c r="V98" s="204" t="s">
        <v>2739</v>
      </c>
      <c r="W98" s="204" t="s">
        <v>320</v>
      </c>
      <c r="X98" s="204" t="s">
        <v>297</v>
      </c>
      <c r="Y98" s="204" t="s">
        <v>319</v>
      </c>
      <c r="Z98" s="204" t="s">
        <v>1017</v>
      </c>
      <c r="AA98" s="204" t="s">
        <v>1016</v>
      </c>
      <c r="AB98" s="204" t="s">
        <v>329</v>
      </c>
      <c r="AC98" s="204" t="s">
        <v>297</v>
      </c>
      <c r="AD98" s="204" t="s">
        <v>848</v>
      </c>
      <c r="AE98" s="204" t="s">
        <v>1015</v>
      </c>
      <c r="AF98" s="204" t="s">
        <v>1014</v>
      </c>
      <c r="AG98" s="204" t="s">
        <v>2675</v>
      </c>
      <c r="AH98" s="204" t="s">
        <v>2674</v>
      </c>
      <c r="AI98" s="204" t="s">
        <v>2127</v>
      </c>
      <c r="AJ98" s="204" t="s">
        <v>2126</v>
      </c>
      <c r="AK98" s="204" t="s">
        <v>2673</v>
      </c>
      <c r="AX98" s="204">
        <v>26</v>
      </c>
      <c r="AY98" s="204">
        <v>0</v>
      </c>
      <c r="AZ98" s="204">
        <v>1.508</v>
      </c>
      <c r="BB98" s="204">
        <v>4212</v>
      </c>
      <c r="BH98" s="204">
        <v>0</v>
      </c>
      <c r="BI98" s="204">
        <v>650</v>
      </c>
      <c r="BJ98" s="204">
        <v>42832</v>
      </c>
      <c r="BK98" s="204">
        <v>42832.6431449421</v>
      </c>
      <c r="BL98" s="204" t="s">
        <v>293</v>
      </c>
      <c r="BM98" s="204" t="s">
        <v>2738</v>
      </c>
      <c r="BN98" s="269">
        <f t="shared" si="18"/>
        <v>162</v>
      </c>
      <c r="BO98" s="269">
        <f t="shared" si="19"/>
        <v>25</v>
      </c>
      <c r="BP98" s="269">
        <f>INDEX('App Data Outliers'!$M:$M,MATCH($E98,'App Data Outliers'!$A:$A,0))</f>
        <v>1648.9692929508194</v>
      </c>
      <c r="BQ98" s="269">
        <f>INDEX('App Data Outliers'!$N:$N,MATCH($E98,'App Data Outliers'!$A:$A,0))</f>
        <v>62959.041603410769</v>
      </c>
      <c r="BR98" s="269">
        <f>INDEX('App Data Outliers'!$S:$S,MATCH($E98,'App Data Outliers'!$A:$A,0))</f>
        <v>174.05364750819672</v>
      </c>
      <c r="BS98" s="269">
        <f>INDEX('App Data Outliers'!$T:$T,MATCH($E98,'App Data Outliers'!$A:$A,0))</f>
        <v>6797.6715808767258</v>
      </c>
    </row>
    <row r="99" spans="1:71" s="204" customFormat="1" hidden="1">
      <c r="A99" s="241">
        <v>95</v>
      </c>
      <c r="B99" s="241" t="str">
        <f t="shared" si="10"/>
        <v>Non-Residential - BHPSD - C/I Custom</v>
      </c>
      <c r="C99" s="241" t="b">
        <f t="shared" si="11"/>
        <v>1</v>
      </c>
      <c r="D99" s="241" t="str">
        <f t="shared" si="12"/>
        <v>Non-Residential - BHPSD - C/I Custom_C&amp;I Custom Rebate :- Customer Incentives_Other Commercial</v>
      </c>
      <c r="E99" s="241" t="str">
        <f t="shared" si="13"/>
        <v>C&amp;I_C&amp;I Custom_Various_C&amp;I Custom</v>
      </c>
      <c r="F99" s="241" t="str">
        <f>INDEX('VDSM MAPPING'!E:E,MATCH($D99,'VDSM MAPPING'!$A:$A,0))</f>
        <v>C&amp;I</v>
      </c>
      <c r="G99" s="241" t="str">
        <f>INDEX('VDSM MAPPING'!F:F,MATCH($D99,'VDSM MAPPING'!$A:$A,0))</f>
        <v>C&amp;I Custom</v>
      </c>
      <c r="H99" s="241" t="str">
        <f>INDEX('VDSM MAPPING'!G:G,MATCH($D99,'VDSM MAPPING'!$A:$A,0))</f>
        <v>Various</v>
      </c>
      <c r="I99" s="241" t="str">
        <f>INDEX('VDSM MAPPING'!H:H,MATCH($D99,'VDSM MAPPING'!$A:$A,0))</f>
        <v>C&amp;I Custom</v>
      </c>
      <c r="J99" s="240">
        <f t="shared" si="14"/>
        <v>-2.1413291222618987E-2</v>
      </c>
      <c r="K99" s="240">
        <f t="shared" si="15"/>
        <v>-1.9426305895638044E-2</v>
      </c>
      <c r="L99" s="240" t="b">
        <f t="shared" si="16"/>
        <v>0</v>
      </c>
      <c r="M99" s="240" t="b">
        <f t="shared" si="17"/>
        <v>0</v>
      </c>
      <c r="N99" s="204" t="s">
        <v>289</v>
      </c>
      <c r="O99" s="204" t="s">
        <v>2737</v>
      </c>
      <c r="P99" s="350">
        <v>1</v>
      </c>
      <c r="Q99" s="204" t="s">
        <v>2737</v>
      </c>
      <c r="R99" s="204" t="s">
        <v>2303</v>
      </c>
      <c r="S99" s="204" t="s">
        <v>2301</v>
      </c>
      <c r="T99" s="204" t="s">
        <v>2302</v>
      </c>
      <c r="U99" s="204" t="s">
        <v>2301</v>
      </c>
      <c r="V99" s="204" t="s">
        <v>2300</v>
      </c>
      <c r="W99" s="204" t="s">
        <v>329</v>
      </c>
      <c r="X99" s="204" t="s">
        <v>297</v>
      </c>
      <c r="Y99" s="204" t="s">
        <v>397</v>
      </c>
      <c r="Z99" s="204" t="s">
        <v>2299</v>
      </c>
      <c r="AA99" s="204" t="s">
        <v>2298</v>
      </c>
      <c r="AB99" s="204" t="s">
        <v>329</v>
      </c>
      <c r="AC99" s="204" t="s">
        <v>297</v>
      </c>
      <c r="AD99" s="204" t="s">
        <v>397</v>
      </c>
      <c r="AE99" s="204" t="s">
        <v>2297</v>
      </c>
      <c r="AG99" s="204" t="s">
        <v>2675</v>
      </c>
      <c r="AH99" s="204" t="s">
        <v>2674</v>
      </c>
      <c r="AI99" s="204" t="s">
        <v>2244</v>
      </c>
      <c r="AJ99" s="204" t="s">
        <v>2126</v>
      </c>
      <c r="AK99" s="204" t="s">
        <v>2673</v>
      </c>
      <c r="AX99" s="204">
        <v>341</v>
      </c>
      <c r="AY99" s="204">
        <v>0</v>
      </c>
      <c r="AZ99" s="204">
        <v>35.317369999999997</v>
      </c>
      <c r="BB99" s="204">
        <v>102575.86900000001</v>
      </c>
      <c r="BH99" s="204">
        <v>0</v>
      </c>
      <c r="BI99" s="204">
        <v>14322</v>
      </c>
      <c r="BJ99" s="204">
        <v>42837</v>
      </c>
      <c r="BK99" s="204">
        <v>42837.5739428241</v>
      </c>
      <c r="BL99" s="204" t="s">
        <v>293</v>
      </c>
      <c r="BM99" s="204" t="s">
        <v>2736</v>
      </c>
      <c r="BN99" s="269">
        <f t="shared" si="18"/>
        <v>300.80900000000003</v>
      </c>
      <c r="BO99" s="269">
        <f t="shared" si="19"/>
        <v>42</v>
      </c>
      <c r="BP99" s="269">
        <f>INDEX('App Data Outliers'!$M:$M,MATCH($E99,'App Data Outliers'!$A:$A,0))</f>
        <v>1648.9692929508194</v>
      </c>
      <c r="BQ99" s="269">
        <f>INDEX('App Data Outliers'!$N:$N,MATCH($E99,'App Data Outliers'!$A:$A,0))</f>
        <v>62959.041603410769</v>
      </c>
      <c r="BR99" s="269">
        <f>INDEX('App Data Outliers'!$S:$S,MATCH($E99,'App Data Outliers'!$A:$A,0))</f>
        <v>174.05364750819672</v>
      </c>
      <c r="BS99" s="269">
        <f>INDEX('App Data Outliers'!$T:$T,MATCH($E99,'App Data Outliers'!$A:$A,0))</f>
        <v>6797.6715808767258</v>
      </c>
    </row>
    <row r="100" spans="1:71" s="204" customFormat="1" hidden="1">
      <c r="A100" s="241">
        <v>96</v>
      </c>
      <c r="B100" s="241" t="str">
        <f t="shared" si="10"/>
        <v>Non-Residential - BHPSD - C/I Custom</v>
      </c>
      <c r="C100" s="241" t="b">
        <f t="shared" si="11"/>
        <v>1</v>
      </c>
      <c r="D100" s="241" t="str">
        <f t="shared" si="12"/>
        <v>Non-Residential - BHPSD - C/I Custom_C&amp;I Custom Rebate :- Customer Incentives_Other Commercial</v>
      </c>
      <c r="E100" s="241" t="str">
        <f t="shared" si="13"/>
        <v>C&amp;I_C&amp;I Custom_Various_C&amp;I Custom</v>
      </c>
      <c r="F100" s="241" t="str">
        <f>INDEX('VDSM MAPPING'!E:E,MATCH($D100,'VDSM MAPPING'!$A:$A,0))</f>
        <v>C&amp;I</v>
      </c>
      <c r="G100" s="241" t="str">
        <f>INDEX('VDSM MAPPING'!F:F,MATCH($D100,'VDSM MAPPING'!$A:$A,0))</f>
        <v>C&amp;I Custom</v>
      </c>
      <c r="H100" s="241" t="str">
        <f>INDEX('VDSM MAPPING'!G:G,MATCH($D100,'VDSM MAPPING'!$A:$A,0))</f>
        <v>Various</v>
      </c>
      <c r="I100" s="241" t="str">
        <f>INDEX('VDSM MAPPING'!H:H,MATCH($D100,'VDSM MAPPING'!$A:$A,0))</f>
        <v>C&amp;I Custom</v>
      </c>
      <c r="J100" s="240">
        <f t="shared" si="14"/>
        <v>0.35486611832157899</v>
      </c>
      <c r="K100" s="240">
        <f t="shared" si="15"/>
        <v>0.39365631608620238</v>
      </c>
      <c r="L100" s="240" t="b">
        <f t="shared" si="16"/>
        <v>0</v>
      </c>
      <c r="M100" s="240" t="b">
        <f t="shared" si="17"/>
        <v>0</v>
      </c>
      <c r="N100" s="204" t="s">
        <v>289</v>
      </c>
      <c r="O100" s="204" t="s">
        <v>2735</v>
      </c>
      <c r="P100" s="350">
        <v>1</v>
      </c>
      <c r="Q100" s="204" t="s">
        <v>2735</v>
      </c>
      <c r="R100" s="204" t="s">
        <v>2734</v>
      </c>
      <c r="S100" s="204" t="s">
        <v>2733</v>
      </c>
      <c r="T100" s="204" t="s">
        <v>2733</v>
      </c>
      <c r="U100" s="204" t="s">
        <v>2733</v>
      </c>
      <c r="V100" s="204" t="s">
        <v>2732</v>
      </c>
      <c r="W100" s="204" t="s">
        <v>329</v>
      </c>
      <c r="X100" s="204" t="s">
        <v>297</v>
      </c>
      <c r="Y100" s="204" t="s">
        <v>397</v>
      </c>
      <c r="Z100" s="204" t="s">
        <v>2132</v>
      </c>
      <c r="AA100" s="204" t="s">
        <v>2131</v>
      </c>
      <c r="AB100" s="204" t="s">
        <v>329</v>
      </c>
      <c r="AC100" s="204" t="s">
        <v>297</v>
      </c>
      <c r="AD100" s="204" t="s">
        <v>599</v>
      </c>
      <c r="AE100" s="204" t="s">
        <v>2130</v>
      </c>
      <c r="AG100" s="204" t="s">
        <v>2675</v>
      </c>
      <c r="AH100" s="204" t="s">
        <v>2674</v>
      </c>
      <c r="AI100" s="204" t="s">
        <v>2202</v>
      </c>
      <c r="AJ100" s="204" t="s">
        <v>2126</v>
      </c>
      <c r="AK100" s="204" t="s">
        <v>2706</v>
      </c>
      <c r="AL100" s="204" t="s">
        <v>2731</v>
      </c>
      <c r="AX100" s="204">
        <v>1</v>
      </c>
      <c r="AY100" s="204">
        <v>0</v>
      </c>
      <c r="AZ100" s="204">
        <v>0</v>
      </c>
      <c r="BB100" s="204">
        <v>23991</v>
      </c>
      <c r="BH100" s="204">
        <v>0</v>
      </c>
      <c r="BI100" s="204">
        <v>2850</v>
      </c>
      <c r="BJ100" s="204">
        <v>42839</v>
      </c>
      <c r="BK100" s="204">
        <v>42839.495634571802</v>
      </c>
      <c r="BL100" s="204" t="s">
        <v>293</v>
      </c>
      <c r="BM100" s="204" t="s">
        <v>2730</v>
      </c>
      <c r="BN100" s="269">
        <f t="shared" si="18"/>
        <v>23991</v>
      </c>
      <c r="BO100" s="269">
        <f t="shared" si="19"/>
        <v>2850</v>
      </c>
      <c r="BP100" s="269">
        <f>INDEX('App Data Outliers'!$M:$M,MATCH($E100,'App Data Outliers'!$A:$A,0))</f>
        <v>1648.9692929508194</v>
      </c>
      <c r="BQ100" s="269">
        <f>INDEX('App Data Outliers'!$N:$N,MATCH($E100,'App Data Outliers'!$A:$A,0))</f>
        <v>62959.041603410769</v>
      </c>
      <c r="BR100" s="269">
        <f>INDEX('App Data Outliers'!$S:$S,MATCH($E100,'App Data Outliers'!$A:$A,0))</f>
        <v>174.05364750819672</v>
      </c>
      <c r="BS100" s="269">
        <f>INDEX('App Data Outliers'!$T:$T,MATCH($E100,'App Data Outliers'!$A:$A,0))</f>
        <v>6797.6715808767258</v>
      </c>
    </row>
    <row r="101" spans="1:71" s="204" customFormat="1" hidden="1">
      <c r="A101" s="241">
        <v>97</v>
      </c>
      <c r="B101" s="241" t="str">
        <f t="shared" si="10"/>
        <v>Non-Residential - BHPSD - C/I Custom</v>
      </c>
      <c r="C101" s="241" t="b">
        <f t="shared" si="11"/>
        <v>1</v>
      </c>
      <c r="D101" s="241" t="str">
        <f t="shared" si="12"/>
        <v>Non-Residential - BHPSD - C/I Custom_C&amp;I Custom Rebate :- Customer Incentives_Other Commercial</v>
      </c>
      <c r="E101" s="241" t="str">
        <f t="shared" si="13"/>
        <v>C&amp;I_C&amp;I Custom_Various_C&amp;I Custom</v>
      </c>
      <c r="F101" s="241" t="str">
        <f>INDEX('VDSM MAPPING'!E:E,MATCH($D101,'VDSM MAPPING'!$A:$A,0))</f>
        <v>C&amp;I</v>
      </c>
      <c r="G101" s="241" t="str">
        <f>INDEX('VDSM MAPPING'!F:F,MATCH($D101,'VDSM MAPPING'!$A:$A,0))</f>
        <v>C&amp;I Custom</v>
      </c>
      <c r="H101" s="241" t="str">
        <f>INDEX('VDSM MAPPING'!G:G,MATCH($D101,'VDSM MAPPING'!$A:$A,0))</f>
        <v>Various</v>
      </c>
      <c r="I101" s="241" t="str">
        <f>INDEX('VDSM MAPPING'!H:H,MATCH($D101,'VDSM MAPPING'!$A:$A,0))</f>
        <v>C&amp;I Custom</v>
      </c>
      <c r="J101" s="240">
        <f t="shared" si="14"/>
        <v>5.3400284080357484E-2</v>
      </c>
      <c r="K101" s="240">
        <f t="shared" si="15"/>
        <v>3.0296602305879782E-2</v>
      </c>
      <c r="L101" s="240" t="b">
        <f t="shared" si="16"/>
        <v>0</v>
      </c>
      <c r="M101" s="240" t="b">
        <f t="shared" si="17"/>
        <v>0</v>
      </c>
      <c r="N101" s="204" t="s">
        <v>289</v>
      </c>
      <c r="O101" s="204" t="s">
        <v>2729</v>
      </c>
      <c r="P101" s="350">
        <v>1</v>
      </c>
      <c r="Q101" s="204" t="s">
        <v>2729</v>
      </c>
      <c r="R101" s="204" t="s">
        <v>2283</v>
      </c>
      <c r="S101" s="204" t="s">
        <v>2282</v>
      </c>
      <c r="T101" s="204" t="s">
        <v>2282</v>
      </c>
      <c r="U101" s="204" t="s">
        <v>2282</v>
      </c>
      <c r="V101" s="204" t="s">
        <v>2281</v>
      </c>
      <c r="W101" s="204" t="s">
        <v>329</v>
      </c>
      <c r="X101" s="204" t="s">
        <v>297</v>
      </c>
      <c r="Y101" s="204" t="s">
        <v>397</v>
      </c>
      <c r="Z101" s="204" t="s">
        <v>1017</v>
      </c>
      <c r="AA101" s="204" t="s">
        <v>1016</v>
      </c>
      <c r="AB101" s="204" t="s">
        <v>329</v>
      </c>
      <c r="AC101" s="204" t="s">
        <v>297</v>
      </c>
      <c r="AD101" s="204" t="s">
        <v>848</v>
      </c>
      <c r="AE101" s="204" t="s">
        <v>1015</v>
      </c>
      <c r="AF101" s="204" t="s">
        <v>1014</v>
      </c>
      <c r="AG101" s="204" t="s">
        <v>2675</v>
      </c>
      <c r="AH101" s="204" t="s">
        <v>2674</v>
      </c>
      <c r="AI101" s="204" t="s">
        <v>2244</v>
      </c>
      <c r="AJ101" s="204" t="s">
        <v>2126</v>
      </c>
      <c r="AK101" s="204" t="s">
        <v>2673</v>
      </c>
      <c r="AX101" s="204">
        <v>1</v>
      </c>
      <c r="AY101" s="204">
        <v>0</v>
      </c>
      <c r="AZ101" s="204">
        <v>0</v>
      </c>
      <c r="BB101" s="204">
        <v>5011</v>
      </c>
      <c r="BH101" s="204">
        <v>0</v>
      </c>
      <c r="BI101" s="204">
        <v>380</v>
      </c>
      <c r="BJ101" s="204">
        <v>42839</v>
      </c>
      <c r="BK101" s="204">
        <v>42839.650260844901</v>
      </c>
      <c r="BL101" s="204" t="s">
        <v>293</v>
      </c>
      <c r="BM101" s="204" t="s">
        <v>2728</v>
      </c>
      <c r="BN101" s="269">
        <f t="shared" si="18"/>
        <v>5011</v>
      </c>
      <c r="BO101" s="269">
        <f t="shared" si="19"/>
        <v>380</v>
      </c>
      <c r="BP101" s="269">
        <f>INDEX('App Data Outliers'!$M:$M,MATCH($E101,'App Data Outliers'!$A:$A,0))</f>
        <v>1648.9692929508194</v>
      </c>
      <c r="BQ101" s="269">
        <f>INDEX('App Data Outliers'!$N:$N,MATCH($E101,'App Data Outliers'!$A:$A,0))</f>
        <v>62959.041603410769</v>
      </c>
      <c r="BR101" s="269">
        <f>INDEX('App Data Outliers'!$S:$S,MATCH($E101,'App Data Outliers'!$A:$A,0))</f>
        <v>174.05364750819672</v>
      </c>
      <c r="BS101" s="269">
        <f>INDEX('App Data Outliers'!$T:$T,MATCH($E101,'App Data Outliers'!$A:$A,0))</f>
        <v>6797.6715808767258</v>
      </c>
    </row>
    <row r="102" spans="1:71" s="204" customFormat="1" hidden="1">
      <c r="A102" s="241">
        <v>98</v>
      </c>
      <c r="B102" s="241" t="str">
        <f t="shared" si="10"/>
        <v>Non-Residential - BHPSD - C/I Custom</v>
      </c>
      <c r="C102" s="241" t="b">
        <f t="shared" si="11"/>
        <v>1</v>
      </c>
      <c r="D102" s="241" t="str">
        <f t="shared" si="12"/>
        <v>Non-Residential - BHPSD - C/I Custom_C&amp;I Custom Rebate :- Customer Incentives_Other Commercial</v>
      </c>
      <c r="E102" s="241" t="str">
        <f t="shared" si="13"/>
        <v>C&amp;I_C&amp;I Custom_Various_C&amp;I Custom</v>
      </c>
      <c r="F102" s="241" t="str">
        <f>INDEX('VDSM MAPPING'!E:E,MATCH($D102,'VDSM MAPPING'!$A:$A,0))</f>
        <v>C&amp;I</v>
      </c>
      <c r="G102" s="241" t="str">
        <f>INDEX('VDSM MAPPING'!F:F,MATCH($D102,'VDSM MAPPING'!$A:$A,0))</f>
        <v>C&amp;I Custom</v>
      </c>
      <c r="H102" s="241" t="str">
        <f>INDEX('VDSM MAPPING'!G:G,MATCH($D102,'VDSM MAPPING'!$A:$A,0))</f>
        <v>Various</v>
      </c>
      <c r="I102" s="241" t="str">
        <f>INDEX('VDSM MAPPING'!H:H,MATCH($D102,'VDSM MAPPING'!$A:$A,0))</f>
        <v>C&amp;I Custom</v>
      </c>
      <c r="J102" s="240">
        <f t="shared" si="14"/>
        <v>0.15927864293451882</v>
      </c>
      <c r="K102" s="240">
        <f t="shared" si="15"/>
        <v>0.17299252229248419</v>
      </c>
      <c r="L102" s="240" t="b">
        <f t="shared" si="16"/>
        <v>0</v>
      </c>
      <c r="M102" s="240" t="b">
        <f t="shared" si="17"/>
        <v>0</v>
      </c>
      <c r="N102" s="204" t="s">
        <v>289</v>
      </c>
      <c r="O102" s="204" t="s">
        <v>2726</v>
      </c>
      <c r="P102" s="350">
        <v>1</v>
      </c>
      <c r="Q102" s="204" t="s">
        <v>2726</v>
      </c>
      <c r="R102" s="204" t="s">
        <v>2725</v>
      </c>
      <c r="S102" s="204" t="s">
        <v>2724</v>
      </c>
      <c r="T102" s="204" t="s">
        <v>2724</v>
      </c>
      <c r="U102" s="204" t="s">
        <v>2724</v>
      </c>
      <c r="V102" s="204" t="s">
        <v>2723</v>
      </c>
      <c r="W102" s="204" t="s">
        <v>329</v>
      </c>
      <c r="X102" s="204" t="s">
        <v>297</v>
      </c>
      <c r="Y102" s="204" t="s">
        <v>397</v>
      </c>
      <c r="Z102" s="204" t="s">
        <v>1017</v>
      </c>
      <c r="AA102" s="204" t="s">
        <v>1016</v>
      </c>
      <c r="AB102" s="204" t="s">
        <v>329</v>
      </c>
      <c r="AC102" s="204" t="s">
        <v>297</v>
      </c>
      <c r="AD102" s="204" t="s">
        <v>848</v>
      </c>
      <c r="AE102" s="204" t="s">
        <v>1015</v>
      </c>
      <c r="AF102" s="204" t="s">
        <v>1014</v>
      </c>
      <c r="AG102" s="204" t="s">
        <v>2675</v>
      </c>
      <c r="AH102" s="204" t="s">
        <v>2674</v>
      </c>
      <c r="AI102" s="204" t="s">
        <v>2202</v>
      </c>
      <c r="AJ102" s="204" t="s">
        <v>2459</v>
      </c>
      <c r="AK102" s="204" t="s">
        <v>2673</v>
      </c>
      <c r="AX102" s="204">
        <v>1</v>
      </c>
      <c r="AY102" s="204">
        <v>0</v>
      </c>
      <c r="AZ102" s="204">
        <v>0</v>
      </c>
      <c r="BB102" s="204">
        <v>11677</v>
      </c>
      <c r="BH102" s="204">
        <v>0</v>
      </c>
      <c r="BI102" s="204">
        <v>1350</v>
      </c>
      <c r="BJ102" s="204">
        <v>42850</v>
      </c>
      <c r="BK102" s="204">
        <v>42850.765667013897</v>
      </c>
      <c r="BL102" s="204" t="s">
        <v>293</v>
      </c>
      <c r="BM102" s="204" t="s">
        <v>2722</v>
      </c>
      <c r="BN102" s="269">
        <f t="shared" si="18"/>
        <v>11677</v>
      </c>
      <c r="BO102" s="269">
        <f t="shared" si="19"/>
        <v>1350</v>
      </c>
      <c r="BP102" s="269">
        <f>INDEX('App Data Outliers'!$M:$M,MATCH($E102,'App Data Outliers'!$A:$A,0))</f>
        <v>1648.9692929508194</v>
      </c>
      <c r="BQ102" s="269">
        <f>INDEX('App Data Outliers'!$N:$N,MATCH($E102,'App Data Outliers'!$A:$A,0))</f>
        <v>62959.041603410769</v>
      </c>
      <c r="BR102" s="269">
        <f>INDEX('App Data Outliers'!$S:$S,MATCH($E102,'App Data Outliers'!$A:$A,0))</f>
        <v>174.05364750819672</v>
      </c>
      <c r="BS102" s="269">
        <f>INDEX('App Data Outliers'!$T:$T,MATCH($E102,'App Data Outliers'!$A:$A,0))</f>
        <v>6797.6715808767258</v>
      </c>
    </row>
    <row r="103" spans="1:71" s="204" customFormat="1" hidden="1">
      <c r="A103" s="241">
        <v>99</v>
      </c>
      <c r="B103" s="241" t="str">
        <f t="shared" si="10"/>
        <v>Non-Residential - BHPSD - C/I Custom</v>
      </c>
      <c r="C103" s="241" t="b">
        <f t="shared" si="11"/>
        <v>1</v>
      </c>
      <c r="D103" s="241" t="str">
        <f t="shared" si="12"/>
        <v>Non-Residential - BHPSD - C/I Custom_C&amp;I Custom Rebate :- Customer Incentives_Other Commercial</v>
      </c>
      <c r="E103" s="241" t="str">
        <f t="shared" si="13"/>
        <v>C&amp;I_C&amp;I Custom_Various_C&amp;I Custom</v>
      </c>
      <c r="F103" s="241" t="str">
        <f>INDEX('VDSM MAPPING'!E:E,MATCH($D103,'VDSM MAPPING'!$A:$A,0))</f>
        <v>C&amp;I</v>
      </c>
      <c r="G103" s="241" t="str">
        <f>INDEX('VDSM MAPPING'!F:F,MATCH($D103,'VDSM MAPPING'!$A:$A,0))</f>
        <v>C&amp;I Custom</v>
      </c>
      <c r="H103" s="241" t="str">
        <f>INDEX('VDSM MAPPING'!G:G,MATCH($D103,'VDSM MAPPING'!$A:$A,0))</f>
        <v>Various</v>
      </c>
      <c r="I103" s="241" t="str">
        <f>INDEX('VDSM MAPPING'!H:H,MATCH($D103,'VDSM MAPPING'!$A:$A,0))</f>
        <v>C&amp;I Custom</v>
      </c>
      <c r="J103" s="240">
        <f t="shared" si="14"/>
        <v>0.24793945888470315</v>
      </c>
      <c r="K103" s="240">
        <f t="shared" si="15"/>
        <v>0.32010171815496297</v>
      </c>
      <c r="L103" s="240" t="b">
        <f t="shared" si="16"/>
        <v>0</v>
      </c>
      <c r="M103" s="240" t="b">
        <f t="shared" si="17"/>
        <v>0</v>
      </c>
      <c r="N103" s="204" t="s">
        <v>289</v>
      </c>
      <c r="O103" s="204" t="s">
        <v>2726</v>
      </c>
      <c r="P103" s="350">
        <v>0</v>
      </c>
      <c r="Q103" s="204" t="s">
        <v>2726</v>
      </c>
      <c r="R103" s="204" t="s">
        <v>2725</v>
      </c>
      <c r="S103" s="204" t="s">
        <v>2724</v>
      </c>
      <c r="T103" s="204" t="s">
        <v>2724</v>
      </c>
      <c r="U103" s="204" t="s">
        <v>2724</v>
      </c>
      <c r="V103" s="204" t="s">
        <v>2723</v>
      </c>
      <c r="W103" s="204" t="s">
        <v>329</v>
      </c>
      <c r="X103" s="204" t="s">
        <v>297</v>
      </c>
      <c r="Y103" s="204" t="s">
        <v>397</v>
      </c>
      <c r="Z103" s="204" t="s">
        <v>1017</v>
      </c>
      <c r="AA103" s="204" t="s">
        <v>1016</v>
      </c>
      <c r="AB103" s="204" t="s">
        <v>329</v>
      </c>
      <c r="AC103" s="204" t="s">
        <v>297</v>
      </c>
      <c r="AD103" s="204" t="s">
        <v>848</v>
      </c>
      <c r="AE103" s="204" t="s">
        <v>1015</v>
      </c>
      <c r="AF103" s="204" t="s">
        <v>1014</v>
      </c>
      <c r="AG103" s="204" t="s">
        <v>2675</v>
      </c>
      <c r="AH103" s="204" t="s">
        <v>2674</v>
      </c>
      <c r="AI103" s="204" t="s">
        <v>2202</v>
      </c>
      <c r="AJ103" s="204" t="s">
        <v>2459</v>
      </c>
      <c r="AK103" s="204" t="s">
        <v>2673</v>
      </c>
      <c r="AX103" s="204">
        <v>1</v>
      </c>
      <c r="AY103" s="204">
        <v>0</v>
      </c>
      <c r="AZ103" s="204">
        <v>6.6</v>
      </c>
      <c r="BB103" s="204">
        <v>17259</v>
      </c>
      <c r="BH103" s="204">
        <v>0</v>
      </c>
      <c r="BI103" s="204">
        <v>2350</v>
      </c>
      <c r="BJ103" s="204">
        <v>42850</v>
      </c>
      <c r="BK103" s="204">
        <v>42850.765667013897</v>
      </c>
      <c r="BL103" s="204" t="s">
        <v>293</v>
      </c>
      <c r="BM103" s="204" t="s">
        <v>2727</v>
      </c>
      <c r="BN103" s="269">
        <f t="shared" si="18"/>
        <v>17259</v>
      </c>
      <c r="BO103" s="269">
        <f t="shared" si="19"/>
        <v>2350</v>
      </c>
      <c r="BP103" s="269">
        <f>INDEX('App Data Outliers'!$M:$M,MATCH($E103,'App Data Outliers'!$A:$A,0))</f>
        <v>1648.9692929508194</v>
      </c>
      <c r="BQ103" s="269">
        <f>INDEX('App Data Outliers'!$N:$N,MATCH($E103,'App Data Outliers'!$A:$A,0))</f>
        <v>62959.041603410769</v>
      </c>
      <c r="BR103" s="269">
        <f>INDEX('App Data Outliers'!$S:$S,MATCH($E103,'App Data Outliers'!$A:$A,0))</f>
        <v>174.05364750819672</v>
      </c>
      <c r="BS103" s="269">
        <f>INDEX('App Data Outliers'!$T:$T,MATCH($E103,'App Data Outliers'!$A:$A,0))</f>
        <v>6797.6715808767258</v>
      </c>
    </row>
    <row r="104" spans="1:71" s="204" customFormat="1" hidden="1">
      <c r="A104" s="241">
        <v>100</v>
      </c>
      <c r="B104" s="241" t="str">
        <f t="shared" si="10"/>
        <v>Non-Residential - BHPSD - C/I Custom</v>
      </c>
      <c r="C104" s="241" t="b">
        <f t="shared" si="11"/>
        <v>1</v>
      </c>
      <c r="D104" s="241" t="str">
        <f t="shared" si="12"/>
        <v>Non-Residential - BHPSD - C/I Custom_C&amp;I Custom Rebate :- Customer Incentives_Other Commercial</v>
      </c>
      <c r="E104" s="241" t="str">
        <f t="shared" si="13"/>
        <v>C&amp;I_C&amp;I Custom_Various_C&amp;I Custom</v>
      </c>
      <c r="F104" s="241" t="str">
        <f>INDEX('VDSM MAPPING'!E:E,MATCH($D104,'VDSM MAPPING'!$A:$A,0))</f>
        <v>C&amp;I</v>
      </c>
      <c r="G104" s="241" t="str">
        <f>INDEX('VDSM MAPPING'!F:F,MATCH($D104,'VDSM MAPPING'!$A:$A,0))</f>
        <v>C&amp;I Custom</v>
      </c>
      <c r="H104" s="241" t="str">
        <f>INDEX('VDSM MAPPING'!G:G,MATCH($D104,'VDSM MAPPING'!$A:$A,0))</f>
        <v>Various</v>
      </c>
      <c r="I104" s="241" t="str">
        <f>INDEX('VDSM MAPPING'!H:H,MATCH($D104,'VDSM MAPPING'!$A:$A,0))</f>
        <v>C&amp;I Custom</v>
      </c>
      <c r="J104" s="240">
        <f t="shared" si="14"/>
        <v>0.58512692964902835</v>
      </c>
      <c r="K104" s="240">
        <f t="shared" si="15"/>
        <v>0.85705028305301045</v>
      </c>
      <c r="L104" s="240" t="b">
        <f t="shared" si="16"/>
        <v>0</v>
      </c>
      <c r="M104" s="240" t="b">
        <f t="shared" si="17"/>
        <v>0</v>
      </c>
      <c r="N104" s="204" t="s">
        <v>289</v>
      </c>
      <c r="O104" s="204" t="s">
        <v>2721</v>
      </c>
      <c r="P104" s="350">
        <v>1</v>
      </c>
      <c r="Q104" s="204" t="s">
        <v>2721</v>
      </c>
      <c r="R104" s="204" t="s">
        <v>2720</v>
      </c>
      <c r="S104" s="204" t="s">
        <v>2718</v>
      </c>
      <c r="T104" s="204" t="s">
        <v>2719</v>
      </c>
      <c r="U104" s="204" t="s">
        <v>2718</v>
      </c>
      <c r="V104" s="204" t="s">
        <v>2717</v>
      </c>
      <c r="W104" s="204" t="s">
        <v>329</v>
      </c>
      <c r="X104" s="204" t="s">
        <v>297</v>
      </c>
      <c r="Y104" s="204" t="s">
        <v>397</v>
      </c>
      <c r="Z104" s="204" t="s">
        <v>601</v>
      </c>
      <c r="AA104" s="204" t="s">
        <v>600</v>
      </c>
      <c r="AB104" s="204" t="s">
        <v>329</v>
      </c>
      <c r="AC104" s="204" t="s">
        <v>297</v>
      </c>
      <c r="AD104" s="204" t="s">
        <v>599</v>
      </c>
      <c r="AE104" s="204" t="s">
        <v>598</v>
      </c>
      <c r="AG104" s="204" t="s">
        <v>2675</v>
      </c>
      <c r="AH104" s="204" t="s">
        <v>2674</v>
      </c>
      <c r="AI104" s="204" t="s">
        <v>2127</v>
      </c>
      <c r="AJ104" s="204" t="s">
        <v>2126</v>
      </c>
      <c r="AK104" s="204" t="s">
        <v>2673</v>
      </c>
      <c r="AX104" s="204">
        <v>1</v>
      </c>
      <c r="AY104" s="204">
        <v>0</v>
      </c>
      <c r="AZ104" s="204">
        <v>4.0999999999999996</v>
      </c>
      <c r="BB104" s="204">
        <v>38488</v>
      </c>
      <c r="BH104" s="204">
        <v>0</v>
      </c>
      <c r="BI104" s="204">
        <v>6000</v>
      </c>
      <c r="BJ104" s="204">
        <v>42852</v>
      </c>
      <c r="BK104" s="204">
        <v>42852.635758877303</v>
      </c>
      <c r="BL104" s="204" t="s">
        <v>293</v>
      </c>
      <c r="BM104" s="204" t="s">
        <v>2716</v>
      </c>
      <c r="BN104" s="269">
        <f t="shared" si="18"/>
        <v>38488</v>
      </c>
      <c r="BO104" s="269">
        <f t="shared" si="19"/>
        <v>6000</v>
      </c>
      <c r="BP104" s="269">
        <f>INDEX('App Data Outliers'!$M:$M,MATCH($E104,'App Data Outliers'!$A:$A,0))</f>
        <v>1648.9692929508194</v>
      </c>
      <c r="BQ104" s="269">
        <f>INDEX('App Data Outliers'!$N:$N,MATCH($E104,'App Data Outliers'!$A:$A,0))</f>
        <v>62959.041603410769</v>
      </c>
      <c r="BR104" s="269">
        <f>INDEX('App Data Outliers'!$S:$S,MATCH($E104,'App Data Outliers'!$A:$A,0))</f>
        <v>174.05364750819672</v>
      </c>
      <c r="BS104" s="269">
        <f>INDEX('App Data Outliers'!$T:$T,MATCH($E104,'App Data Outliers'!$A:$A,0))</f>
        <v>6797.6715808767258</v>
      </c>
    </row>
    <row r="105" spans="1:71" s="204" customFormat="1" hidden="1">
      <c r="A105" s="241">
        <v>101</v>
      </c>
      <c r="B105" s="241" t="str">
        <f t="shared" si="10"/>
        <v>Non-Residential - BHPSD - C/I Custom</v>
      </c>
      <c r="C105" s="241" t="b">
        <f t="shared" si="11"/>
        <v>1</v>
      </c>
      <c r="D105" s="241" t="str">
        <f t="shared" si="12"/>
        <v>Non-Residential - BHPSD - C/I Custom_C&amp;I Custom Rebate :- Customer Incentives_Other Commercial</v>
      </c>
      <c r="E105" s="241" t="str">
        <f t="shared" si="13"/>
        <v>C&amp;I_C&amp;I Custom_Various_C&amp;I Custom</v>
      </c>
      <c r="F105" s="241" t="str">
        <f>INDEX('VDSM MAPPING'!E:E,MATCH($D105,'VDSM MAPPING'!$A:$A,0))</f>
        <v>C&amp;I</v>
      </c>
      <c r="G105" s="241" t="str">
        <f>INDEX('VDSM MAPPING'!F:F,MATCH($D105,'VDSM MAPPING'!$A:$A,0))</f>
        <v>C&amp;I Custom</v>
      </c>
      <c r="H105" s="241" t="str">
        <f>INDEX('VDSM MAPPING'!G:G,MATCH($D105,'VDSM MAPPING'!$A:$A,0))</f>
        <v>Various</v>
      </c>
      <c r="I105" s="241" t="str">
        <f>INDEX('VDSM MAPPING'!H:H,MATCH($D105,'VDSM MAPPING'!$A:$A,0))</f>
        <v>C&amp;I Custom</v>
      </c>
      <c r="J105" s="240">
        <f t="shared" si="14"/>
        <v>5.3328485020785337</v>
      </c>
      <c r="K105" s="240">
        <f t="shared" si="15"/>
        <v>3.25051689973554</v>
      </c>
      <c r="L105" s="240" t="b">
        <f t="shared" si="16"/>
        <v>1</v>
      </c>
      <c r="M105" s="240" t="b">
        <f t="shared" si="17"/>
        <v>1</v>
      </c>
      <c r="N105" s="204" t="s">
        <v>289</v>
      </c>
      <c r="O105" s="204" t="s">
        <v>2715</v>
      </c>
      <c r="P105" s="350">
        <v>1</v>
      </c>
      <c r="Q105" s="204" t="s">
        <v>2715</v>
      </c>
      <c r="R105" s="204" t="s">
        <v>2714</v>
      </c>
      <c r="S105" s="204" t="s">
        <v>2713</v>
      </c>
      <c r="T105" s="204" t="s">
        <v>2713</v>
      </c>
      <c r="U105" s="204" t="s">
        <v>2713</v>
      </c>
      <c r="V105" s="204" t="s">
        <v>2712</v>
      </c>
      <c r="W105" s="204" t="s">
        <v>531</v>
      </c>
      <c r="X105" s="204" t="s">
        <v>297</v>
      </c>
      <c r="Y105" s="204" t="s">
        <v>530</v>
      </c>
      <c r="Z105" s="204" t="s">
        <v>2315</v>
      </c>
      <c r="AA105" s="204" t="s">
        <v>2314</v>
      </c>
      <c r="AB105" s="204" t="s">
        <v>2313</v>
      </c>
      <c r="AC105" s="204" t="s">
        <v>2312</v>
      </c>
      <c r="AD105" s="204" t="s">
        <v>2311</v>
      </c>
      <c r="AE105" s="204" t="s">
        <v>2310</v>
      </c>
      <c r="AG105" s="204" t="s">
        <v>2675</v>
      </c>
      <c r="AH105" s="204" t="s">
        <v>2674</v>
      </c>
      <c r="AI105" s="204" t="s">
        <v>2172</v>
      </c>
      <c r="AJ105" s="204" t="s">
        <v>2126</v>
      </c>
      <c r="AK105" s="204" t="s">
        <v>2673</v>
      </c>
      <c r="AX105" s="204">
        <v>1</v>
      </c>
      <c r="AY105" s="204">
        <v>0</v>
      </c>
      <c r="AZ105" s="204">
        <v>38.520000000000003</v>
      </c>
      <c r="BB105" s="204">
        <v>337400</v>
      </c>
      <c r="BH105" s="204">
        <v>0</v>
      </c>
      <c r="BI105" s="204">
        <v>22270</v>
      </c>
      <c r="BJ105" s="204">
        <v>42856</v>
      </c>
      <c r="BK105" s="204">
        <v>42853.637417858801</v>
      </c>
      <c r="BL105" s="204" t="s">
        <v>293</v>
      </c>
      <c r="BM105" s="204" t="s">
        <v>2711</v>
      </c>
      <c r="BN105" s="269">
        <f t="shared" si="18"/>
        <v>337400</v>
      </c>
      <c r="BO105" s="269">
        <f t="shared" si="19"/>
        <v>22270</v>
      </c>
      <c r="BP105" s="269">
        <f>INDEX('App Data Outliers'!$M:$M,MATCH($E105,'App Data Outliers'!$A:$A,0))</f>
        <v>1648.9692929508194</v>
      </c>
      <c r="BQ105" s="269">
        <f>INDEX('App Data Outliers'!$N:$N,MATCH($E105,'App Data Outliers'!$A:$A,0))</f>
        <v>62959.041603410769</v>
      </c>
      <c r="BR105" s="269">
        <f>INDEX('App Data Outliers'!$S:$S,MATCH($E105,'App Data Outliers'!$A:$A,0))</f>
        <v>174.05364750819672</v>
      </c>
      <c r="BS105" s="269">
        <f>INDEX('App Data Outliers'!$T:$T,MATCH($E105,'App Data Outliers'!$A:$A,0))</f>
        <v>6797.6715808767258</v>
      </c>
    </row>
    <row r="106" spans="1:71" s="204" customFormat="1" hidden="1">
      <c r="A106" s="241">
        <v>102</v>
      </c>
      <c r="B106" s="241" t="str">
        <f t="shared" si="10"/>
        <v>Non-Residential - BHPSD - C/I Custom</v>
      </c>
      <c r="C106" s="241" t="b">
        <f t="shared" si="11"/>
        <v>1</v>
      </c>
      <c r="D106" s="241" t="str">
        <f t="shared" si="12"/>
        <v>Non-Residential - BHPSD - C/I Custom_C&amp;I Custom Rebate :- Customer Incentives_Other Commercial</v>
      </c>
      <c r="E106" s="241" t="str">
        <f t="shared" si="13"/>
        <v>C&amp;I_C&amp;I Custom_Various_C&amp;I Custom</v>
      </c>
      <c r="F106" s="241" t="str">
        <f>INDEX('VDSM MAPPING'!E:E,MATCH($D106,'VDSM MAPPING'!$A:$A,0))</f>
        <v>C&amp;I</v>
      </c>
      <c r="G106" s="241" t="str">
        <f>INDEX('VDSM MAPPING'!F:F,MATCH($D106,'VDSM MAPPING'!$A:$A,0))</f>
        <v>C&amp;I Custom</v>
      </c>
      <c r="H106" s="241" t="str">
        <f>INDEX('VDSM MAPPING'!G:G,MATCH($D106,'VDSM MAPPING'!$A:$A,0))</f>
        <v>Various</v>
      </c>
      <c r="I106" s="241" t="str">
        <f>INDEX('VDSM MAPPING'!H:H,MATCH($D106,'VDSM MAPPING'!$A:$A,0))</f>
        <v>C&amp;I Custom</v>
      </c>
      <c r="J106" s="240">
        <f t="shared" si="14"/>
        <v>0.13489771271532625</v>
      </c>
      <c r="K106" s="240">
        <f t="shared" si="15"/>
        <v>0.24213384434784924</v>
      </c>
      <c r="L106" s="240" t="b">
        <f t="shared" si="16"/>
        <v>0</v>
      </c>
      <c r="M106" s="240" t="b">
        <f t="shared" si="17"/>
        <v>0</v>
      </c>
      <c r="N106" s="204" t="s">
        <v>289</v>
      </c>
      <c r="O106" s="204" t="s">
        <v>2710</v>
      </c>
      <c r="P106" s="350">
        <v>1</v>
      </c>
      <c r="Q106" s="204" t="s">
        <v>2710</v>
      </c>
      <c r="R106" s="204" t="s">
        <v>2709</v>
      </c>
      <c r="S106" s="204" t="s">
        <v>2708</v>
      </c>
      <c r="T106" s="204" t="s">
        <v>2708</v>
      </c>
      <c r="U106" s="204" t="s">
        <v>2708</v>
      </c>
      <c r="V106" s="204" t="s">
        <v>2707</v>
      </c>
      <c r="W106" s="204" t="s">
        <v>320</v>
      </c>
      <c r="X106" s="204" t="s">
        <v>297</v>
      </c>
      <c r="Y106" s="204" t="s">
        <v>319</v>
      </c>
      <c r="Z106" s="204" t="s">
        <v>2211</v>
      </c>
      <c r="AA106" s="204" t="s">
        <v>2210</v>
      </c>
      <c r="AB106" s="204" t="s">
        <v>298</v>
      </c>
      <c r="AC106" s="204" t="s">
        <v>297</v>
      </c>
      <c r="AD106" s="204" t="s">
        <v>296</v>
      </c>
      <c r="AE106" s="204" t="s">
        <v>2209</v>
      </c>
      <c r="AF106" s="204" t="s">
        <v>2208</v>
      </c>
      <c r="AG106" s="204" t="s">
        <v>2675</v>
      </c>
      <c r="AH106" s="204" t="s">
        <v>2674</v>
      </c>
      <c r="AI106" s="204" t="s">
        <v>2127</v>
      </c>
      <c r="AJ106" s="204" t="s">
        <v>2126</v>
      </c>
      <c r="AK106" s="204" t="s">
        <v>2706</v>
      </c>
      <c r="AX106" s="204">
        <v>1</v>
      </c>
      <c r="AY106" s="204">
        <v>0</v>
      </c>
      <c r="AZ106" s="204">
        <v>4.88</v>
      </c>
      <c r="BB106" s="204">
        <v>10142</v>
      </c>
      <c r="BH106" s="204">
        <v>0</v>
      </c>
      <c r="BI106" s="204">
        <v>1820</v>
      </c>
      <c r="BJ106" s="204">
        <v>42857</v>
      </c>
      <c r="BK106" s="204">
        <v>42857.704060914402</v>
      </c>
      <c r="BL106" s="204" t="s">
        <v>293</v>
      </c>
      <c r="BM106" s="204" t="s">
        <v>2705</v>
      </c>
      <c r="BN106" s="269">
        <f t="shared" si="18"/>
        <v>10142</v>
      </c>
      <c r="BO106" s="269">
        <f t="shared" si="19"/>
        <v>1820</v>
      </c>
      <c r="BP106" s="269">
        <f>INDEX('App Data Outliers'!$M:$M,MATCH($E106,'App Data Outliers'!$A:$A,0))</f>
        <v>1648.9692929508194</v>
      </c>
      <c r="BQ106" s="269">
        <f>INDEX('App Data Outliers'!$N:$N,MATCH($E106,'App Data Outliers'!$A:$A,0))</f>
        <v>62959.041603410769</v>
      </c>
      <c r="BR106" s="269">
        <f>INDEX('App Data Outliers'!$S:$S,MATCH($E106,'App Data Outliers'!$A:$A,0))</f>
        <v>174.05364750819672</v>
      </c>
      <c r="BS106" s="269">
        <f>INDEX('App Data Outliers'!$T:$T,MATCH($E106,'App Data Outliers'!$A:$A,0))</f>
        <v>6797.6715808767258</v>
      </c>
    </row>
    <row r="107" spans="1:71" s="204" customFormat="1" hidden="1">
      <c r="A107" s="241">
        <v>103</v>
      </c>
      <c r="B107" s="241" t="str">
        <f t="shared" si="10"/>
        <v>Non-Residential - BHPSD - C/I Custom</v>
      </c>
      <c r="C107" s="241" t="b">
        <f t="shared" si="11"/>
        <v>1</v>
      </c>
      <c r="D107" s="241" t="str">
        <f t="shared" si="12"/>
        <v>Non-Residential - BHPSD - C/I Custom_C&amp;I Custom Rebate :- Customer Incentives_Other Commercial</v>
      </c>
      <c r="E107" s="241" t="str">
        <f t="shared" si="13"/>
        <v>C&amp;I_C&amp;I Custom_Various_C&amp;I Custom</v>
      </c>
      <c r="F107" s="241" t="str">
        <f>INDEX('VDSM MAPPING'!E:E,MATCH($D107,'VDSM MAPPING'!$A:$A,0))</f>
        <v>C&amp;I</v>
      </c>
      <c r="G107" s="241" t="str">
        <f>INDEX('VDSM MAPPING'!F:F,MATCH($D107,'VDSM MAPPING'!$A:$A,0))</f>
        <v>C&amp;I Custom</v>
      </c>
      <c r="H107" s="241" t="str">
        <f>INDEX('VDSM MAPPING'!G:G,MATCH($D107,'VDSM MAPPING'!$A:$A,0))</f>
        <v>Various</v>
      </c>
      <c r="I107" s="241" t="str">
        <f>INDEX('VDSM MAPPING'!H:H,MATCH($D107,'VDSM MAPPING'!$A:$A,0))</f>
        <v>C&amp;I Custom</v>
      </c>
      <c r="J107" s="240">
        <f t="shared" si="14"/>
        <v>0.8070172196569243</v>
      </c>
      <c r="K107" s="240">
        <f t="shared" si="15"/>
        <v>1.3903211180544961</v>
      </c>
      <c r="L107" s="240" t="b">
        <f t="shared" si="16"/>
        <v>0</v>
      </c>
      <c r="M107" s="240" t="b">
        <f t="shared" si="17"/>
        <v>0</v>
      </c>
      <c r="N107" s="204" t="s">
        <v>289</v>
      </c>
      <c r="O107" s="204" t="s">
        <v>2704</v>
      </c>
      <c r="P107" s="350">
        <v>1</v>
      </c>
      <c r="Q107" s="204" t="s">
        <v>2704</v>
      </c>
      <c r="R107" s="204" t="s">
        <v>2703</v>
      </c>
      <c r="S107" s="204" t="s">
        <v>2702</v>
      </c>
      <c r="T107" s="204" t="s">
        <v>2702</v>
      </c>
      <c r="U107" s="204" t="s">
        <v>2551</v>
      </c>
      <c r="V107" s="204" t="s">
        <v>2701</v>
      </c>
      <c r="W107" s="204" t="s">
        <v>329</v>
      </c>
      <c r="X107" s="204" t="s">
        <v>297</v>
      </c>
      <c r="Y107" s="204" t="s">
        <v>397</v>
      </c>
      <c r="Z107" s="204" t="s">
        <v>2211</v>
      </c>
      <c r="AA107" s="204" t="s">
        <v>2210</v>
      </c>
      <c r="AB107" s="204" t="s">
        <v>298</v>
      </c>
      <c r="AC107" s="204" t="s">
        <v>297</v>
      </c>
      <c r="AD107" s="204" t="s">
        <v>296</v>
      </c>
      <c r="AE107" s="204" t="s">
        <v>2209</v>
      </c>
      <c r="AF107" s="204" t="s">
        <v>2208</v>
      </c>
      <c r="AG107" s="204" t="s">
        <v>2675</v>
      </c>
      <c r="AH107" s="204" t="s">
        <v>2674</v>
      </c>
      <c r="AI107" s="204" t="s">
        <v>2127</v>
      </c>
      <c r="AJ107" s="204" t="s">
        <v>2126</v>
      </c>
      <c r="AK107" s="204" t="s">
        <v>2673</v>
      </c>
      <c r="AX107" s="204">
        <v>1</v>
      </c>
      <c r="AY107" s="204">
        <v>0</v>
      </c>
      <c r="AZ107" s="204">
        <v>28.74</v>
      </c>
      <c r="BB107" s="204">
        <v>52458</v>
      </c>
      <c r="BH107" s="204">
        <v>0</v>
      </c>
      <c r="BI107" s="204">
        <v>9625</v>
      </c>
      <c r="BJ107" s="204">
        <v>42858</v>
      </c>
      <c r="BK107" s="204">
        <v>42858.781469560199</v>
      </c>
      <c r="BL107" s="204" t="s">
        <v>293</v>
      </c>
      <c r="BM107" s="204" t="s">
        <v>2700</v>
      </c>
      <c r="BN107" s="269">
        <f t="shared" si="18"/>
        <v>52458</v>
      </c>
      <c r="BO107" s="269">
        <f t="shared" si="19"/>
        <v>9625</v>
      </c>
      <c r="BP107" s="269">
        <f>INDEX('App Data Outliers'!$M:$M,MATCH($E107,'App Data Outliers'!$A:$A,0))</f>
        <v>1648.9692929508194</v>
      </c>
      <c r="BQ107" s="269">
        <f>INDEX('App Data Outliers'!$N:$N,MATCH($E107,'App Data Outliers'!$A:$A,0))</f>
        <v>62959.041603410769</v>
      </c>
      <c r="BR107" s="269">
        <f>INDEX('App Data Outliers'!$S:$S,MATCH($E107,'App Data Outliers'!$A:$A,0))</f>
        <v>174.05364750819672</v>
      </c>
      <c r="BS107" s="269">
        <f>INDEX('App Data Outliers'!$T:$T,MATCH($E107,'App Data Outliers'!$A:$A,0))</f>
        <v>6797.6715808767258</v>
      </c>
    </row>
    <row r="108" spans="1:71" s="204" customFormat="1" hidden="1">
      <c r="A108" s="241">
        <v>104</v>
      </c>
      <c r="B108" s="241" t="str">
        <f t="shared" si="10"/>
        <v>Non-Residential - BHPSD - C/I Custom</v>
      </c>
      <c r="C108" s="241" t="b">
        <f t="shared" si="11"/>
        <v>1</v>
      </c>
      <c r="D108" s="241" t="str">
        <f t="shared" si="12"/>
        <v>Non-Residential - BHPSD - C/I Custom_C&amp;I Custom Rebate :- Customer Incentives_Other Commercial</v>
      </c>
      <c r="E108" s="241" t="str">
        <f t="shared" si="13"/>
        <v>C&amp;I_C&amp;I Custom_Various_C&amp;I Custom</v>
      </c>
      <c r="F108" s="241" t="str">
        <f>INDEX('VDSM MAPPING'!E:E,MATCH($D108,'VDSM MAPPING'!$A:$A,0))</f>
        <v>C&amp;I</v>
      </c>
      <c r="G108" s="241" t="str">
        <f>INDEX('VDSM MAPPING'!F:F,MATCH($D108,'VDSM MAPPING'!$A:$A,0))</f>
        <v>C&amp;I Custom</v>
      </c>
      <c r="H108" s="241" t="str">
        <f>INDEX('VDSM MAPPING'!G:G,MATCH($D108,'VDSM MAPPING'!$A:$A,0))</f>
        <v>Various</v>
      </c>
      <c r="I108" s="241" t="str">
        <f>INDEX('VDSM MAPPING'!H:H,MATCH($D108,'VDSM MAPPING'!$A:$A,0))</f>
        <v>C&amp;I Custom</v>
      </c>
      <c r="J108" s="240">
        <f t="shared" si="14"/>
        <v>6.7091725024294946E-2</v>
      </c>
      <c r="K108" s="240">
        <f t="shared" si="15"/>
        <v>0.11414884394749268</v>
      </c>
      <c r="L108" s="240" t="b">
        <f t="shared" si="16"/>
        <v>0</v>
      </c>
      <c r="M108" s="240" t="b">
        <f t="shared" si="17"/>
        <v>0</v>
      </c>
      <c r="N108" s="204" t="s">
        <v>289</v>
      </c>
      <c r="O108" s="204" t="s">
        <v>2699</v>
      </c>
      <c r="P108" s="350">
        <v>1</v>
      </c>
      <c r="Q108" s="204" t="s">
        <v>2699</v>
      </c>
      <c r="R108" s="204" t="s">
        <v>2260</v>
      </c>
      <c r="S108" s="204" t="s">
        <v>2259</v>
      </c>
      <c r="T108" s="204" t="s">
        <v>2259</v>
      </c>
      <c r="U108" s="204" t="s">
        <v>2259</v>
      </c>
      <c r="V108" s="204" t="s">
        <v>2258</v>
      </c>
      <c r="W108" s="204" t="s">
        <v>337</v>
      </c>
      <c r="X108" s="204" t="s">
        <v>297</v>
      </c>
      <c r="Y108" s="204" t="s">
        <v>336</v>
      </c>
      <c r="Z108" s="204" t="s">
        <v>2257</v>
      </c>
      <c r="AA108" s="204" t="s">
        <v>2256</v>
      </c>
      <c r="AB108" s="204" t="s">
        <v>337</v>
      </c>
      <c r="AC108" s="204" t="s">
        <v>297</v>
      </c>
      <c r="AD108" s="204" t="s">
        <v>336</v>
      </c>
      <c r="AE108" s="204" t="s">
        <v>2255</v>
      </c>
      <c r="AF108" s="204" t="s">
        <v>2254</v>
      </c>
      <c r="AG108" s="204" t="s">
        <v>2675</v>
      </c>
      <c r="AH108" s="204" t="s">
        <v>2674</v>
      </c>
      <c r="AI108" s="204" t="s">
        <v>2127</v>
      </c>
      <c r="AJ108" s="204" t="s">
        <v>2126</v>
      </c>
      <c r="AK108" s="204" t="s">
        <v>2673</v>
      </c>
      <c r="AX108" s="204">
        <v>1</v>
      </c>
      <c r="AY108" s="204">
        <v>0</v>
      </c>
      <c r="AZ108" s="204">
        <v>1.04</v>
      </c>
      <c r="BB108" s="204">
        <v>5873</v>
      </c>
      <c r="BH108" s="204">
        <v>0</v>
      </c>
      <c r="BI108" s="204">
        <v>950</v>
      </c>
      <c r="BJ108" s="204">
        <v>42866</v>
      </c>
      <c r="BK108" s="204">
        <v>42866.480812419002</v>
      </c>
      <c r="BL108" s="204" t="s">
        <v>293</v>
      </c>
      <c r="BM108" s="204" t="s">
        <v>2698</v>
      </c>
      <c r="BN108" s="269">
        <f t="shared" si="18"/>
        <v>5873</v>
      </c>
      <c r="BO108" s="269">
        <f t="shared" si="19"/>
        <v>950</v>
      </c>
      <c r="BP108" s="269">
        <f>INDEX('App Data Outliers'!$M:$M,MATCH($E108,'App Data Outliers'!$A:$A,0))</f>
        <v>1648.9692929508194</v>
      </c>
      <c r="BQ108" s="269">
        <f>INDEX('App Data Outliers'!$N:$N,MATCH($E108,'App Data Outliers'!$A:$A,0))</f>
        <v>62959.041603410769</v>
      </c>
      <c r="BR108" s="269">
        <f>INDEX('App Data Outliers'!$S:$S,MATCH($E108,'App Data Outliers'!$A:$A,0))</f>
        <v>174.05364750819672</v>
      </c>
      <c r="BS108" s="269">
        <f>INDEX('App Data Outliers'!$T:$T,MATCH($E108,'App Data Outliers'!$A:$A,0))</f>
        <v>6797.6715808767258</v>
      </c>
    </row>
    <row r="109" spans="1:71" s="204" customFormat="1" hidden="1">
      <c r="A109" s="241">
        <v>105</v>
      </c>
      <c r="B109" s="241" t="str">
        <f t="shared" si="10"/>
        <v>Non-Residential - BHPSD - C/I Custom</v>
      </c>
      <c r="C109" s="241" t="b">
        <f t="shared" si="11"/>
        <v>1</v>
      </c>
      <c r="D109" s="241" t="str">
        <f t="shared" si="12"/>
        <v>Non-Residential - BHPSD - C/I Custom_C&amp;I Custom Rebate :- Customer Incentives_Other Commercial</v>
      </c>
      <c r="E109" s="241" t="str">
        <f t="shared" si="13"/>
        <v>C&amp;I_C&amp;I Custom_Various_C&amp;I Custom</v>
      </c>
      <c r="F109" s="241" t="str">
        <f>INDEX('VDSM MAPPING'!E:E,MATCH($D109,'VDSM MAPPING'!$A:$A,0))</f>
        <v>C&amp;I</v>
      </c>
      <c r="G109" s="241" t="str">
        <f>INDEX('VDSM MAPPING'!F:F,MATCH($D109,'VDSM MAPPING'!$A:$A,0))</f>
        <v>C&amp;I Custom</v>
      </c>
      <c r="H109" s="241" t="str">
        <f>INDEX('VDSM MAPPING'!G:G,MATCH($D109,'VDSM MAPPING'!$A:$A,0))</f>
        <v>Various</v>
      </c>
      <c r="I109" s="241" t="str">
        <f>INDEX('VDSM MAPPING'!H:H,MATCH($D109,'VDSM MAPPING'!$A:$A,0))</f>
        <v>C&amp;I Custom</v>
      </c>
      <c r="J109" s="240">
        <f t="shared" si="14"/>
        <v>-5.4379686258164365E-3</v>
      </c>
      <c r="K109" s="240">
        <f t="shared" si="15"/>
        <v>-1.8249432328738213E-2</v>
      </c>
      <c r="L109" s="240" t="b">
        <f t="shared" si="16"/>
        <v>0</v>
      </c>
      <c r="M109" s="240" t="b">
        <f t="shared" si="17"/>
        <v>0</v>
      </c>
      <c r="N109" s="204" t="s">
        <v>289</v>
      </c>
      <c r="O109" s="204" t="s">
        <v>2697</v>
      </c>
      <c r="P109" s="350">
        <v>1</v>
      </c>
      <c r="Q109" s="204" t="s">
        <v>2697</v>
      </c>
      <c r="R109" s="204" t="s">
        <v>2251</v>
      </c>
      <c r="S109" s="204" t="s">
        <v>2250</v>
      </c>
      <c r="T109" s="204" t="s">
        <v>2250</v>
      </c>
      <c r="U109" s="204" t="s">
        <v>2250</v>
      </c>
      <c r="V109" s="204" t="s">
        <v>2696</v>
      </c>
      <c r="W109" s="204" t="s">
        <v>480</v>
      </c>
      <c r="X109" s="204" t="s">
        <v>297</v>
      </c>
      <c r="Y109" s="204" t="s">
        <v>479</v>
      </c>
      <c r="Z109" s="204" t="s">
        <v>2248</v>
      </c>
      <c r="AA109" s="204" t="s">
        <v>2247</v>
      </c>
      <c r="AB109" s="204" t="s">
        <v>329</v>
      </c>
      <c r="AC109" s="204" t="s">
        <v>297</v>
      </c>
      <c r="AD109" s="204" t="s">
        <v>328</v>
      </c>
      <c r="AE109" s="204" t="s">
        <v>2246</v>
      </c>
      <c r="AF109" s="204" t="s">
        <v>2245</v>
      </c>
      <c r="AG109" s="204" t="s">
        <v>2675</v>
      </c>
      <c r="AH109" s="204" t="s">
        <v>2674</v>
      </c>
      <c r="AI109" s="204" t="s">
        <v>2127</v>
      </c>
      <c r="AJ109" s="204" t="s">
        <v>2459</v>
      </c>
      <c r="AK109" s="204" t="s">
        <v>2673</v>
      </c>
      <c r="AX109" s="204">
        <v>10</v>
      </c>
      <c r="AY109" s="204">
        <v>0</v>
      </c>
      <c r="AZ109" s="204">
        <v>0</v>
      </c>
      <c r="BB109" s="204">
        <v>13066</v>
      </c>
      <c r="BH109" s="204">
        <v>0</v>
      </c>
      <c r="BI109" s="204">
        <v>500</v>
      </c>
      <c r="BJ109" s="204">
        <v>42867</v>
      </c>
      <c r="BK109" s="204">
        <v>42867.459180324098</v>
      </c>
      <c r="BL109" s="204" t="s">
        <v>293</v>
      </c>
      <c r="BM109" s="204" t="s">
        <v>2695</v>
      </c>
      <c r="BN109" s="269">
        <f t="shared" si="18"/>
        <v>1306.5999999999999</v>
      </c>
      <c r="BO109" s="269">
        <f t="shared" si="19"/>
        <v>50</v>
      </c>
      <c r="BP109" s="269">
        <f>INDEX('App Data Outliers'!$M:$M,MATCH($E109,'App Data Outliers'!$A:$A,0))</f>
        <v>1648.9692929508194</v>
      </c>
      <c r="BQ109" s="269">
        <f>INDEX('App Data Outliers'!$N:$N,MATCH($E109,'App Data Outliers'!$A:$A,0))</f>
        <v>62959.041603410769</v>
      </c>
      <c r="BR109" s="269">
        <f>INDEX('App Data Outliers'!$S:$S,MATCH($E109,'App Data Outliers'!$A:$A,0))</f>
        <v>174.05364750819672</v>
      </c>
      <c r="BS109" s="269">
        <f>INDEX('App Data Outliers'!$T:$T,MATCH($E109,'App Data Outliers'!$A:$A,0))</f>
        <v>6797.6715808767258</v>
      </c>
    </row>
    <row r="110" spans="1:71" s="204" customFormat="1" hidden="1">
      <c r="A110" s="241">
        <v>106</v>
      </c>
      <c r="B110" s="241" t="str">
        <f t="shared" si="10"/>
        <v>Non-Residential - BHPSD - C/I Custom</v>
      </c>
      <c r="C110" s="241" t="b">
        <f t="shared" si="11"/>
        <v>1</v>
      </c>
      <c r="D110" s="241" t="str">
        <f t="shared" si="12"/>
        <v>Non-Residential - BHPSD - C/I Custom_C&amp;I Custom Rebate :- Customer Incentives_Other Commercial</v>
      </c>
      <c r="E110" s="241" t="str">
        <f t="shared" si="13"/>
        <v>C&amp;I_C&amp;I Custom_Various_C&amp;I Custom</v>
      </c>
      <c r="F110" s="241" t="str">
        <f>INDEX('VDSM MAPPING'!E:E,MATCH($D110,'VDSM MAPPING'!$A:$A,0))</f>
        <v>C&amp;I</v>
      </c>
      <c r="G110" s="241" t="str">
        <f>INDEX('VDSM MAPPING'!F:F,MATCH($D110,'VDSM MAPPING'!$A:$A,0))</f>
        <v>C&amp;I Custom</v>
      </c>
      <c r="H110" s="241" t="str">
        <f>INDEX('VDSM MAPPING'!G:G,MATCH($D110,'VDSM MAPPING'!$A:$A,0))</f>
        <v>Various</v>
      </c>
      <c r="I110" s="241" t="str">
        <f>INDEX('VDSM MAPPING'!H:H,MATCH($D110,'VDSM MAPPING'!$A:$A,0))</f>
        <v>C&amp;I Custom</v>
      </c>
      <c r="J110" s="240">
        <f t="shared" si="14"/>
        <v>-1.4850437191219378E-2</v>
      </c>
      <c r="K110" s="240">
        <f t="shared" si="15"/>
        <v>-1.3836156452863849E-2</v>
      </c>
      <c r="L110" s="240" t="b">
        <f t="shared" si="16"/>
        <v>0</v>
      </c>
      <c r="M110" s="240" t="b">
        <f t="shared" si="17"/>
        <v>0</v>
      </c>
      <c r="N110" s="204" t="s">
        <v>289</v>
      </c>
      <c r="O110" s="204" t="s">
        <v>2694</v>
      </c>
      <c r="P110" s="350">
        <v>1</v>
      </c>
      <c r="Q110" s="204" t="s">
        <v>2694</v>
      </c>
      <c r="R110" s="204" t="s">
        <v>2163</v>
      </c>
      <c r="S110" s="204" t="s">
        <v>2162</v>
      </c>
      <c r="T110" s="204" t="s">
        <v>2162</v>
      </c>
      <c r="U110" s="204" t="s">
        <v>2162</v>
      </c>
      <c r="V110" s="204" t="s">
        <v>2161</v>
      </c>
      <c r="W110" s="204" t="s">
        <v>329</v>
      </c>
      <c r="X110" s="204" t="s">
        <v>297</v>
      </c>
      <c r="Y110" s="204" t="s">
        <v>328</v>
      </c>
      <c r="Z110" s="204" t="s">
        <v>2160</v>
      </c>
      <c r="AA110" s="204" t="s">
        <v>2159</v>
      </c>
      <c r="AB110" s="204" t="s">
        <v>329</v>
      </c>
      <c r="AC110" s="204" t="s">
        <v>297</v>
      </c>
      <c r="AD110" s="204" t="s">
        <v>397</v>
      </c>
      <c r="AE110" s="204" t="s">
        <v>2158</v>
      </c>
      <c r="AF110" s="204" t="s">
        <v>2157</v>
      </c>
      <c r="AG110" s="204" t="s">
        <v>2675</v>
      </c>
      <c r="AH110" s="204" t="s">
        <v>2674</v>
      </c>
      <c r="AI110" s="204" t="s">
        <v>2127</v>
      </c>
      <c r="AJ110" s="204" t="s">
        <v>2126</v>
      </c>
      <c r="AK110" s="204" t="s">
        <v>2673</v>
      </c>
      <c r="AX110" s="204">
        <v>36</v>
      </c>
      <c r="AY110" s="204">
        <v>0</v>
      </c>
      <c r="AZ110" s="204">
        <v>16.559999999999999</v>
      </c>
      <c r="BB110" s="204">
        <v>25704</v>
      </c>
      <c r="BH110" s="204">
        <v>0</v>
      </c>
      <c r="BI110" s="204">
        <v>2880</v>
      </c>
      <c r="BJ110" s="204">
        <v>42926</v>
      </c>
      <c r="BK110" s="204">
        <v>42926.480953009297</v>
      </c>
      <c r="BL110" s="204" t="s">
        <v>293</v>
      </c>
      <c r="BM110" s="204" t="s">
        <v>2693</v>
      </c>
      <c r="BN110" s="269">
        <f t="shared" si="18"/>
        <v>714</v>
      </c>
      <c r="BO110" s="269">
        <f t="shared" si="19"/>
        <v>80</v>
      </c>
      <c r="BP110" s="269">
        <f>INDEX('App Data Outliers'!$M:$M,MATCH($E110,'App Data Outliers'!$A:$A,0))</f>
        <v>1648.9692929508194</v>
      </c>
      <c r="BQ110" s="269">
        <f>INDEX('App Data Outliers'!$N:$N,MATCH($E110,'App Data Outliers'!$A:$A,0))</f>
        <v>62959.041603410769</v>
      </c>
      <c r="BR110" s="269">
        <f>INDEX('App Data Outliers'!$S:$S,MATCH($E110,'App Data Outliers'!$A:$A,0))</f>
        <v>174.05364750819672</v>
      </c>
      <c r="BS110" s="269">
        <f>INDEX('App Data Outliers'!$T:$T,MATCH($E110,'App Data Outliers'!$A:$A,0))</f>
        <v>6797.6715808767258</v>
      </c>
    </row>
    <row r="111" spans="1:71" s="204" customFormat="1" hidden="1">
      <c r="A111" s="241">
        <v>107</v>
      </c>
      <c r="B111" s="241" t="str">
        <f t="shared" si="10"/>
        <v>Non-Residential - BHPSD - C/I Custom</v>
      </c>
      <c r="C111" s="241" t="b">
        <f t="shared" si="11"/>
        <v>1</v>
      </c>
      <c r="D111" s="241" t="str">
        <f t="shared" si="12"/>
        <v>Non-Residential - BHPSD - C/I Custom_C&amp;I Custom Rebate :- Customer Incentives_Other Commercial</v>
      </c>
      <c r="E111" s="241" t="str">
        <f t="shared" si="13"/>
        <v>C&amp;I_C&amp;I Custom_Various_C&amp;I Custom</v>
      </c>
      <c r="F111" s="241" t="str">
        <f>INDEX('VDSM MAPPING'!E:E,MATCH($D111,'VDSM MAPPING'!$A:$A,0))</f>
        <v>C&amp;I</v>
      </c>
      <c r="G111" s="241" t="str">
        <f>INDEX('VDSM MAPPING'!F:F,MATCH($D111,'VDSM MAPPING'!$A:$A,0))</f>
        <v>C&amp;I Custom</v>
      </c>
      <c r="H111" s="241" t="str">
        <f>INDEX('VDSM MAPPING'!G:G,MATCH($D111,'VDSM MAPPING'!$A:$A,0))</f>
        <v>Various</v>
      </c>
      <c r="I111" s="241" t="str">
        <f>INDEX('VDSM MAPPING'!H:H,MATCH($D111,'VDSM MAPPING'!$A:$A,0))</f>
        <v>C&amp;I Custom</v>
      </c>
      <c r="J111" s="240">
        <f t="shared" si="14"/>
        <v>-2.3459208643207895E-2</v>
      </c>
      <c r="K111" s="240">
        <f t="shared" si="15"/>
        <v>-2.1191616245987789E-2</v>
      </c>
      <c r="L111" s="240" t="b">
        <f t="shared" si="16"/>
        <v>0</v>
      </c>
      <c r="M111" s="240" t="b">
        <f t="shared" si="17"/>
        <v>0</v>
      </c>
      <c r="N111" s="204" t="s">
        <v>289</v>
      </c>
      <c r="O111" s="204" t="s">
        <v>2692</v>
      </c>
      <c r="P111" s="350">
        <v>1</v>
      </c>
      <c r="Q111" s="204" t="s">
        <v>2692</v>
      </c>
      <c r="R111" s="204" t="s">
        <v>2691</v>
      </c>
      <c r="S111" s="204" t="s">
        <v>2690</v>
      </c>
      <c r="T111" s="204" t="s">
        <v>2689</v>
      </c>
      <c r="U111" s="204" t="s">
        <v>2688</v>
      </c>
      <c r="V111" s="204" t="s">
        <v>2687</v>
      </c>
      <c r="W111" s="204" t="s">
        <v>337</v>
      </c>
      <c r="X111" s="204" t="s">
        <v>297</v>
      </c>
      <c r="Y111" s="204" t="s">
        <v>336</v>
      </c>
      <c r="Z111" s="204" t="s">
        <v>2686</v>
      </c>
      <c r="AA111" s="204" t="s">
        <v>2685</v>
      </c>
      <c r="AB111" s="204" t="s">
        <v>2684</v>
      </c>
      <c r="AC111" s="204" t="s">
        <v>2683</v>
      </c>
      <c r="AD111" s="204" t="s">
        <v>2682</v>
      </c>
      <c r="AE111" s="204" t="s">
        <v>2681</v>
      </c>
      <c r="AF111" s="204" t="s">
        <v>2680</v>
      </c>
      <c r="AG111" s="204" t="s">
        <v>2675</v>
      </c>
      <c r="AH111" s="204" t="s">
        <v>2674</v>
      </c>
      <c r="AI111" s="204" t="s">
        <v>2202</v>
      </c>
      <c r="AJ111" s="204" t="s">
        <v>2126</v>
      </c>
      <c r="AK111" s="204" t="s">
        <v>2673</v>
      </c>
      <c r="AX111" s="204">
        <v>14</v>
      </c>
      <c r="AY111" s="204">
        <v>0</v>
      </c>
      <c r="AZ111" s="204">
        <v>0.98</v>
      </c>
      <c r="BB111" s="204">
        <v>2408</v>
      </c>
      <c r="BH111" s="204">
        <v>0</v>
      </c>
      <c r="BI111" s="204">
        <v>420</v>
      </c>
      <c r="BJ111" s="204">
        <v>42935</v>
      </c>
      <c r="BK111" s="204">
        <v>42935.638149999999</v>
      </c>
      <c r="BL111" s="204" t="s">
        <v>293</v>
      </c>
      <c r="BM111" s="204" t="s">
        <v>2679</v>
      </c>
      <c r="BN111" s="269">
        <f t="shared" si="18"/>
        <v>172</v>
      </c>
      <c r="BO111" s="269">
        <f t="shared" si="19"/>
        <v>30</v>
      </c>
      <c r="BP111" s="269">
        <f>INDEX('App Data Outliers'!$M:$M,MATCH($E111,'App Data Outliers'!$A:$A,0))</f>
        <v>1648.9692929508194</v>
      </c>
      <c r="BQ111" s="269">
        <f>INDEX('App Data Outliers'!$N:$N,MATCH($E111,'App Data Outliers'!$A:$A,0))</f>
        <v>62959.041603410769</v>
      </c>
      <c r="BR111" s="269">
        <f>INDEX('App Data Outliers'!$S:$S,MATCH($E111,'App Data Outliers'!$A:$A,0))</f>
        <v>174.05364750819672</v>
      </c>
      <c r="BS111" s="269">
        <f>INDEX('App Data Outliers'!$T:$T,MATCH($E111,'App Data Outliers'!$A:$A,0))</f>
        <v>6797.6715808767258</v>
      </c>
    </row>
    <row r="112" spans="1:71" s="204" customFormat="1" hidden="1">
      <c r="A112" s="241">
        <v>108</v>
      </c>
      <c r="B112" s="241" t="str">
        <f t="shared" si="10"/>
        <v>Non-Residential - BHPSD - C/I Custom</v>
      </c>
      <c r="C112" s="241" t="b">
        <f t="shared" si="11"/>
        <v>1</v>
      </c>
      <c r="D112" s="241" t="str">
        <f t="shared" si="12"/>
        <v>Non-Residential - BHPSD - C/I Custom_C&amp;I Custom Rebate :- Customer Incentives_Other Commercial</v>
      </c>
      <c r="E112" s="241" t="str">
        <f t="shared" si="13"/>
        <v>C&amp;I_C&amp;I Custom_Various_C&amp;I Custom</v>
      </c>
      <c r="F112" s="241" t="str">
        <f>INDEX('VDSM MAPPING'!E:E,MATCH($D112,'VDSM MAPPING'!$A:$A,0))</f>
        <v>C&amp;I</v>
      </c>
      <c r="G112" s="241" t="str">
        <f>INDEX('VDSM MAPPING'!F:F,MATCH($D112,'VDSM MAPPING'!$A:$A,0))</f>
        <v>C&amp;I Custom</v>
      </c>
      <c r="H112" s="241" t="str">
        <f>INDEX('VDSM MAPPING'!G:G,MATCH($D112,'VDSM MAPPING'!$A:$A,0))</f>
        <v>Various</v>
      </c>
      <c r="I112" s="241" t="str">
        <f>INDEX('VDSM MAPPING'!H:H,MATCH($D112,'VDSM MAPPING'!$A:$A,0))</f>
        <v>C&amp;I Custom</v>
      </c>
      <c r="J112" s="240">
        <f t="shared" si="14"/>
        <v>-2.2977180975265188E-2</v>
      </c>
      <c r="K112" s="240">
        <f t="shared" si="15"/>
        <v>-2.0456070266675393E-2</v>
      </c>
      <c r="L112" s="240" t="b">
        <f t="shared" si="16"/>
        <v>0</v>
      </c>
      <c r="M112" s="240" t="b">
        <f t="shared" si="17"/>
        <v>0</v>
      </c>
      <c r="N112" s="204" t="s">
        <v>289</v>
      </c>
      <c r="O112" s="204" t="s">
        <v>2676</v>
      </c>
      <c r="P112" s="350">
        <v>1</v>
      </c>
      <c r="Q112" s="204" t="s">
        <v>2676</v>
      </c>
      <c r="R112" s="204" t="s">
        <v>2135</v>
      </c>
      <c r="S112" s="204" t="s">
        <v>2134</v>
      </c>
      <c r="T112" s="204" t="s">
        <v>2134</v>
      </c>
      <c r="U112" s="204" t="s">
        <v>2134</v>
      </c>
      <c r="V112" s="204" t="s">
        <v>2133</v>
      </c>
      <c r="W112" s="204" t="s">
        <v>329</v>
      </c>
      <c r="X112" s="204" t="s">
        <v>297</v>
      </c>
      <c r="Y112" s="204" t="s">
        <v>397</v>
      </c>
      <c r="Z112" s="204" t="s">
        <v>2132</v>
      </c>
      <c r="AA112" s="204" t="s">
        <v>2131</v>
      </c>
      <c r="AB112" s="204" t="s">
        <v>329</v>
      </c>
      <c r="AC112" s="204" t="s">
        <v>297</v>
      </c>
      <c r="AD112" s="204" t="s">
        <v>599</v>
      </c>
      <c r="AE112" s="204" t="s">
        <v>2130</v>
      </c>
      <c r="AG112" s="204" t="s">
        <v>2675</v>
      </c>
      <c r="AH112" s="204" t="s">
        <v>2674</v>
      </c>
      <c r="AI112" s="204" t="s">
        <v>2127</v>
      </c>
      <c r="AJ112" s="204" t="s">
        <v>2126</v>
      </c>
      <c r="AK112" s="204" t="s">
        <v>2673</v>
      </c>
      <c r="AX112" s="204">
        <v>8</v>
      </c>
      <c r="AY112" s="204">
        <v>0</v>
      </c>
      <c r="AZ112" s="204">
        <v>0.60799999999999998</v>
      </c>
      <c r="BB112" s="204">
        <v>1618.7840000000001</v>
      </c>
      <c r="BH112" s="204">
        <v>0</v>
      </c>
      <c r="BI112" s="204">
        <v>280</v>
      </c>
      <c r="BJ112" s="204">
        <v>42940</v>
      </c>
      <c r="BK112" s="204">
        <v>42940.547665046302</v>
      </c>
      <c r="BL112" s="204" t="s">
        <v>293</v>
      </c>
      <c r="BM112" s="204" t="s">
        <v>2678</v>
      </c>
      <c r="BN112" s="269">
        <f t="shared" si="18"/>
        <v>202.34800000000001</v>
      </c>
      <c r="BO112" s="269">
        <f t="shared" si="19"/>
        <v>35</v>
      </c>
      <c r="BP112" s="269">
        <f>INDEX('App Data Outliers'!$M:$M,MATCH($E112,'App Data Outliers'!$A:$A,0))</f>
        <v>1648.9692929508194</v>
      </c>
      <c r="BQ112" s="269">
        <f>INDEX('App Data Outliers'!$N:$N,MATCH($E112,'App Data Outliers'!$A:$A,0))</f>
        <v>62959.041603410769</v>
      </c>
      <c r="BR112" s="269">
        <f>INDEX('App Data Outliers'!$S:$S,MATCH($E112,'App Data Outliers'!$A:$A,0))</f>
        <v>174.05364750819672</v>
      </c>
      <c r="BS112" s="269">
        <f>INDEX('App Data Outliers'!$T:$T,MATCH($E112,'App Data Outliers'!$A:$A,0))</f>
        <v>6797.6715808767258</v>
      </c>
    </row>
    <row r="113" spans="1:71" s="204" customFormat="1" hidden="1">
      <c r="A113" s="241">
        <v>109</v>
      </c>
      <c r="B113" s="241" t="str">
        <f t="shared" si="10"/>
        <v>Non-Residential - BHPSD - C/I Custom</v>
      </c>
      <c r="C113" s="241" t="b">
        <f t="shared" si="11"/>
        <v>1</v>
      </c>
      <c r="D113" s="241" t="str">
        <f t="shared" si="12"/>
        <v>Non-Residential - BHPSD - C/I Custom_C&amp;I Custom Rebate :- Customer Incentives_Other Commercial</v>
      </c>
      <c r="E113" s="241" t="str">
        <f t="shared" si="13"/>
        <v>C&amp;I_C&amp;I Custom_Various_C&amp;I Custom</v>
      </c>
      <c r="F113" s="241" t="str">
        <f>INDEX('VDSM MAPPING'!E:E,MATCH($D113,'VDSM MAPPING'!$A:$A,0))</f>
        <v>C&amp;I</v>
      </c>
      <c r="G113" s="241" t="str">
        <f>INDEX('VDSM MAPPING'!F:F,MATCH($D113,'VDSM MAPPING'!$A:$A,0))</f>
        <v>C&amp;I Custom</v>
      </c>
      <c r="H113" s="241" t="str">
        <f>INDEX('VDSM MAPPING'!G:G,MATCH($D113,'VDSM MAPPING'!$A:$A,0))</f>
        <v>Various</v>
      </c>
      <c r="I113" s="241" t="str">
        <f>INDEX('VDSM MAPPING'!H:H,MATCH($D113,'VDSM MAPPING'!$A:$A,0))</f>
        <v>C&amp;I Custom</v>
      </c>
      <c r="J113" s="240">
        <f t="shared" si="14"/>
        <v>-2.5809943283234282E-2</v>
      </c>
      <c r="K113" s="240">
        <f t="shared" si="15"/>
        <v>-2.5181217637778214E-2</v>
      </c>
      <c r="L113" s="240" t="b">
        <f t="shared" si="16"/>
        <v>0</v>
      </c>
      <c r="M113" s="240" t="b">
        <f t="shared" si="17"/>
        <v>0</v>
      </c>
      <c r="N113" s="204" t="s">
        <v>289</v>
      </c>
      <c r="O113" s="204" t="s">
        <v>2676</v>
      </c>
      <c r="P113" s="350">
        <v>0</v>
      </c>
      <c r="Q113" s="204" t="s">
        <v>2676</v>
      </c>
      <c r="R113" s="204" t="s">
        <v>2135</v>
      </c>
      <c r="S113" s="204" t="s">
        <v>2134</v>
      </c>
      <c r="T113" s="204" t="s">
        <v>2134</v>
      </c>
      <c r="U113" s="204" t="s">
        <v>2134</v>
      </c>
      <c r="V113" s="204" t="s">
        <v>2133</v>
      </c>
      <c r="W113" s="204" t="s">
        <v>329</v>
      </c>
      <c r="X113" s="204" t="s">
        <v>297</v>
      </c>
      <c r="Y113" s="204" t="s">
        <v>397</v>
      </c>
      <c r="Z113" s="204" t="s">
        <v>2132</v>
      </c>
      <c r="AA113" s="204" t="s">
        <v>2131</v>
      </c>
      <c r="AB113" s="204" t="s">
        <v>329</v>
      </c>
      <c r="AC113" s="204" t="s">
        <v>297</v>
      </c>
      <c r="AD113" s="204" t="s">
        <v>599</v>
      </c>
      <c r="AE113" s="204" t="s">
        <v>2130</v>
      </c>
      <c r="AG113" s="204" t="s">
        <v>2675</v>
      </c>
      <c r="AH113" s="204" t="s">
        <v>2674</v>
      </c>
      <c r="AI113" s="204" t="s">
        <v>2127</v>
      </c>
      <c r="AJ113" s="204" t="s">
        <v>2126</v>
      </c>
      <c r="AK113" s="204" t="s">
        <v>2673</v>
      </c>
      <c r="AX113" s="204">
        <v>20</v>
      </c>
      <c r="AY113" s="204">
        <v>0</v>
      </c>
      <c r="AZ113" s="204">
        <v>0.18</v>
      </c>
      <c r="BB113" s="204">
        <v>480</v>
      </c>
      <c r="BH113" s="204">
        <v>0</v>
      </c>
      <c r="BI113" s="204">
        <v>57.6</v>
      </c>
      <c r="BJ113" s="204">
        <v>42940</v>
      </c>
      <c r="BK113" s="204">
        <v>42940.547665046302</v>
      </c>
      <c r="BL113" s="204" t="s">
        <v>293</v>
      </c>
      <c r="BM113" s="204" t="s">
        <v>2677</v>
      </c>
      <c r="BN113" s="269">
        <f t="shared" si="18"/>
        <v>24</v>
      </c>
      <c r="BO113" s="269">
        <f t="shared" si="19"/>
        <v>2.88</v>
      </c>
      <c r="BP113" s="269">
        <f>INDEX('App Data Outliers'!$M:$M,MATCH($E113,'App Data Outliers'!$A:$A,0))</f>
        <v>1648.9692929508194</v>
      </c>
      <c r="BQ113" s="269">
        <f>INDEX('App Data Outliers'!$N:$N,MATCH($E113,'App Data Outliers'!$A:$A,0))</f>
        <v>62959.041603410769</v>
      </c>
      <c r="BR113" s="269">
        <f>INDEX('App Data Outliers'!$S:$S,MATCH($E113,'App Data Outliers'!$A:$A,0))</f>
        <v>174.05364750819672</v>
      </c>
      <c r="BS113" s="269">
        <f>INDEX('App Data Outliers'!$T:$T,MATCH($E113,'App Data Outliers'!$A:$A,0))</f>
        <v>6797.6715808767258</v>
      </c>
    </row>
    <row r="114" spans="1:71" s="204" customFormat="1" hidden="1">
      <c r="A114" s="241">
        <v>110</v>
      </c>
      <c r="B114" s="241" t="str">
        <f t="shared" si="10"/>
        <v>Non-Residential - BHPSD - C/I Custom</v>
      </c>
      <c r="C114" s="241" t="b">
        <f t="shared" si="11"/>
        <v>1</v>
      </c>
      <c r="D114" s="241" t="str">
        <f t="shared" si="12"/>
        <v>Non-Residential - BHPSD - C/I Custom_C&amp;I Custom Rebate :- Customer Incentives_Other Commercial</v>
      </c>
      <c r="E114" s="241" t="str">
        <f t="shared" si="13"/>
        <v>C&amp;I_C&amp;I Custom_Various_C&amp;I Custom</v>
      </c>
      <c r="F114" s="241" t="str">
        <f>INDEX('VDSM MAPPING'!E:E,MATCH($D114,'VDSM MAPPING'!$A:$A,0))</f>
        <v>C&amp;I</v>
      </c>
      <c r="G114" s="241" t="str">
        <f>INDEX('VDSM MAPPING'!F:F,MATCH($D114,'VDSM MAPPING'!$A:$A,0))</f>
        <v>C&amp;I Custom</v>
      </c>
      <c r="H114" s="241" t="str">
        <f>INDEX('VDSM MAPPING'!G:G,MATCH($D114,'VDSM MAPPING'!$A:$A,0))</f>
        <v>Various</v>
      </c>
      <c r="I114" s="241" t="str">
        <f>INDEX('VDSM MAPPING'!H:H,MATCH($D114,'VDSM MAPPING'!$A:$A,0))</f>
        <v>C&amp;I Custom</v>
      </c>
      <c r="J114" s="240">
        <f t="shared" si="14"/>
        <v>-2.527708256703522E-2</v>
      </c>
      <c r="K114" s="240">
        <f t="shared" si="15"/>
        <v>-2.4133800163237365E-2</v>
      </c>
      <c r="L114" s="240" t="b">
        <f t="shared" si="16"/>
        <v>0</v>
      </c>
      <c r="M114" s="240" t="b">
        <f t="shared" si="17"/>
        <v>0</v>
      </c>
      <c r="N114" s="204" t="s">
        <v>289</v>
      </c>
      <c r="O114" s="204" t="s">
        <v>2676</v>
      </c>
      <c r="P114" s="350">
        <v>0</v>
      </c>
      <c r="Q114" s="204" t="s">
        <v>2676</v>
      </c>
      <c r="R114" s="204" t="s">
        <v>2135</v>
      </c>
      <c r="S114" s="204" t="s">
        <v>2134</v>
      </c>
      <c r="T114" s="204" t="s">
        <v>2134</v>
      </c>
      <c r="U114" s="204" t="s">
        <v>2134</v>
      </c>
      <c r="V114" s="204" t="s">
        <v>2133</v>
      </c>
      <c r="W114" s="204" t="s">
        <v>329</v>
      </c>
      <c r="X114" s="204" t="s">
        <v>297</v>
      </c>
      <c r="Y114" s="204" t="s">
        <v>397</v>
      </c>
      <c r="Z114" s="204" t="s">
        <v>2132</v>
      </c>
      <c r="AA114" s="204" t="s">
        <v>2131</v>
      </c>
      <c r="AB114" s="204" t="s">
        <v>329</v>
      </c>
      <c r="AC114" s="204" t="s">
        <v>297</v>
      </c>
      <c r="AD114" s="204" t="s">
        <v>599</v>
      </c>
      <c r="AE114" s="204" t="s">
        <v>2130</v>
      </c>
      <c r="AG114" s="204" t="s">
        <v>2675</v>
      </c>
      <c r="AH114" s="204" t="s">
        <v>2674</v>
      </c>
      <c r="AI114" s="204" t="s">
        <v>2127</v>
      </c>
      <c r="AJ114" s="204" t="s">
        <v>2126</v>
      </c>
      <c r="AK114" s="204" t="s">
        <v>2673</v>
      </c>
      <c r="AX114" s="204">
        <v>1</v>
      </c>
      <c r="AY114" s="204">
        <v>0</v>
      </c>
      <c r="AZ114" s="204">
        <v>2.1999999999999999E-2</v>
      </c>
      <c r="BB114" s="204">
        <v>57.548400000000001</v>
      </c>
      <c r="BH114" s="204">
        <v>0</v>
      </c>
      <c r="BI114" s="204">
        <v>10</v>
      </c>
      <c r="BJ114" s="204">
        <v>42940</v>
      </c>
      <c r="BK114" s="204">
        <v>42940.547665046302</v>
      </c>
      <c r="BL114" s="204" t="s">
        <v>293</v>
      </c>
      <c r="BM114" s="204" t="s">
        <v>2672</v>
      </c>
      <c r="BN114" s="269">
        <f t="shared" si="18"/>
        <v>57.548400000000001</v>
      </c>
      <c r="BO114" s="269">
        <f t="shared" si="19"/>
        <v>10</v>
      </c>
      <c r="BP114" s="269">
        <f>INDEX('App Data Outliers'!$M:$M,MATCH($E114,'App Data Outliers'!$A:$A,0))</f>
        <v>1648.9692929508194</v>
      </c>
      <c r="BQ114" s="269">
        <f>INDEX('App Data Outliers'!$N:$N,MATCH($E114,'App Data Outliers'!$A:$A,0))</f>
        <v>62959.041603410769</v>
      </c>
      <c r="BR114" s="269">
        <f>INDEX('App Data Outliers'!$S:$S,MATCH($E114,'App Data Outliers'!$A:$A,0))</f>
        <v>174.05364750819672</v>
      </c>
      <c r="BS114" s="269">
        <f>INDEX('App Data Outliers'!$T:$T,MATCH($E114,'App Data Outliers'!$A:$A,0))</f>
        <v>6797.6715808767258</v>
      </c>
    </row>
    <row r="115" spans="1:71" s="204" customFormat="1" hidden="1">
      <c r="A115" s="241">
        <v>111</v>
      </c>
      <c r="B115" s="241" t="str">
        <f t="shared" si="10"/>
        <v>Non-Residential - BHPSD - C/I Prescriptive Rebate</v>
      </c>
      <c r="C115" s="241" t="b">
        <f t="shared" si="11"/>
        <v>0</v>
      </c>
      <c r="D115" s="241" t="str">
        <f t="shared" si="12"/>
        <v>Non-Residential - BHPSD - C/I Prescriptive Rebate__</v>
      </c>
      <c r="E115" s="241">
        <f t="shared" si="13"/>
        <v>0</v>
      </c>
      <c r="F115" s="241" t="e">
        <f>INDEX('VDSM MAPPING'!E:E,MATCH($D115,'VDSM MAPPING'!$A:$A,0))</f>
        <v>#N/A</v>
      </c>
      <c r="G115" s="241" t="e">
        <f>INDEX('VDSM MAPPING'!F:F,MATCH($D115,'VDSM MAPPING'!$A:$A,0))</f>
        <v>#N/A</v>
      </c>
      <c r="H115" s="241" t="e">
        <f>INDEX('VDSM MAPPING'!G:G,MATCH($D115,'VDSM MAPPING'!$A:$A,0))</f>
        <v>#N/A</v>
      </c>
      <c r="I115" s="241" t="e">
        <f>INDEX('VDSM MAPPING'!H:H,MATCH($D115,'VDSM MAPPING'!$A:$A,0))</f>
        <v>#N/A</v>
      </c>
      <c r="J115" s="240" t="str">
        <f t="shared" si="14"/>
        <v/>
      </c>
      <c r="K115" s="240" t="str">
        <f t="shared" si="15"/>
        <v/>
      </c>
      <c r="L115" s="240" t="b">
        <f t="shared" si="16"/>
        <v>0</v>
      </c>
      <c r="M115" s="240" t="b">
        <f t="shared" si="17"/>
        <v>0</v>
      </c>
      <c r="N115" s="204" t="s">
        <v>2671</v>
      </c>
      <c r="O115" s="204">
        <v>66</v>
      </c>
      <c r="P115" s="350">
        <v>1</v>
      </c>
      <c r="Q115" s="204" t="s">
        <v>289</v>
      </c>
      <c r="R115" s="204" t="s">
        <v>289</v>
      </c>
      <c r="S115" s="204" t="s">
        <v>289</v>
      </c>
      <c r="T115" s="204" t="s">
        <v>289</v>
      </c>
      <c r="U115" s="204" t="s">
        <v>289</v>
      </c>
      <c r="V115" s="204" t="s">
        <v>289</v>
      </c>
      <c r="W115" s="204" t="s">
        <v>289</v>
      </c>
      <c r="X115" s="204" t="s">
        <v>289</v>
      </c>
      <c r="Y115" s="204" t="s">
        <v>289</v>
      </c>
      <c r="Z115" s="204" t="s">
        <v>289</v>
      </c>
      <c r="AA115" s="204" t="s">
        <v>289</v>
      </c>
      <c r="AB115" s="204" t="s">
        <v>289</v>
      </c>
      <c r="AC115" s="204" t="s">
        <v>289</v>
      </c>
      <c r="AD115" s="204" t="s">
        <v>289</v>
      </c>
      <c r="AE115" s="204" t="s">
        <v>289</v>
      </c>
      <c r="AF115" s="204" t="s">
        <v>289</v>
      </c>
      <c r="AG115" s="204" t="s">
        <v>289</v>
      </c>
      <c r="AH115" s="204" t="s">
        <v>289</v>
      </c>
      <c r="AI115" s="204" t="s">
        <v>289</v>
      </c>
      <c r="AJ115" s="204" t="s">
        <v>289</v>
      </c>
      <c r="AK115" s="204" t="s">
        <v>289</v>
      </c>
      <c r="AL115" s="204" t="s">
        <v>289</v>
      </c>
      <c r="AM115" s="204" t="s">
        <v>289</v>
      </c>
      <c r="AN115" s="204" t="s">
        <v>289</v>
      </c>
      <c r="AO115" s="204" t="s">
        <v>289</v>
      </c>
      <c r="AP115" s="204" t="s">
        <v>289</v>
      </c>
      <c r="AQ115" s="204" t="s">
        <v>289</v>
      </c>
      <c r="AR115" s="204" t="s">
        <v>289</v>
      </c>
      <c r="AS115" s="204" t="s">
        <v>289</v>
      </c>
      <c r="AT115" s="204" t="s">
        <v>289</v>
      </c>
      <c r="AU115" s="204" t="s">
        <v>289</v>
      </c>
      <c r="AV115" s="204" t="s">
        <v>289</v>
      </c>
      <c r="AW115" s="204" t="s">
        <v>289</v>
      </c>
      <c r="AX115" s="204">
        <v>17530</v>
      </c>
      <c r="AY115" s="204">
        <v>0</v>
      </c>
      <c r="AZ115" s="204">
        <v>397.78709300000003</v>
      </c>
      <c r="BB115" s="204">
        <v>1831274.4110000001</v>
      </c>
      <c r="BH115" s="204">
        <v>0</v>
      </c>
      <c r="BI115" s="204">
        <v>212569.81034</v>
      </c>
      <c r="BJ115" s="204" t="s">
        <v>289</v>
      </c>
      <c r="BM115" s="204" t="s">
        <v>289</v>
      </c>
      <c r="BN115" s="269">
        <f t="shared" si="18"/>
        <v>104.46516891043925</v>
      </c>
      <c r="BO115" s="269">
        <f t="shared" si="19"/>
        <v>12.126058775812892</v>
      </c>
      <c r="BP115" s="269" t="e">
        <f>INDEX('App Data Outliers'!$M:$M,MATCH($E115,'App Data Outliers'!$A:$A,0))</f>
        <v>#N/A</v>
      </c>
      <c r="BQ115" s="269" t="e">
        <f>INDEX('App Data Outliers'!$N:$N,MATCH($E115,'App Data Outliers'!$A:$A,0))</f>
        <v>#N/A</v>
      </c>
      <c r="BR115" s="269" t="e">
        <f>INDEX('App Data Outliers'!$S:$S,MATCH($E115,'App Data Outliers'!$A:$A,0))</f>
        <v>#N/A</v>
      </c>
      <c r="BS115" s="269" t="e">
        <f>INDEX('App Data Outliers'!$T:$T,MATCH($E115,'App Data Outliers'!$A:$A,0))</f>
        <v>#N/A</v>
      </c>
    </row>
    <row r="116" spans="1:71" s="204" customFormat="1" hidden="1">
      <c r="A116" s="241">
        <v>112</v>
      </c>
      <c r="B116" s="241" t="str">
        <f t="shared" si="10"/>
        <v>Non-Residential - BHPSD - C/I Prescriptive Rebate</v>
      </c>
      <c r="C116" s="241" t="b">
        <f t="shared" si="11"/>
        <v>1</v>
      </c>
      <c r="D116" s="241" t="str">
        <f t="shared" si="12"/>
        <v>Non-Residential - BHPSD - C/I Prescriptive Rebate_C&amp;I Prescriptive Rebate :- C&amp;I Lighting :- Customer Incentives_LED Replacement for T8 Linear Fluorescent Lamps - 4 ft or less</v>
      </c>
      <c r="E116" s="241" t="str">
        <f t="shared" si="13"/>
        <v>C&amp;I_C&amp;I Prescriptive_Lighting_LED Linear Replacement Lamp (≤4ft)</v>
      </c>
      <c r="F116" s="241" t="str">
        <f>INDEX('VDSM MAPPING'!E:E,MATCH($D116,'VDSM MAPPING'!$A:$A,0))</f>
        <v>C&amp;I</v>
      </c>
      <c r="G116" s="241" t="str">
        <f>INDEX('VDSM MAPPING'!F:F,MATCH($D116,'VDSM MAPPING'!$A:$A,0))</f>
        <v>C&amp;I Prescriptive</v>
      </c>
      <c r="H116" s="241" t="str">
        <f>INDEX('VDSM MAPPING'!G:G,MATCH($D116,'VDSM MAPPING'!$A:$A,0))</f>
        <v>Lighting</v>
      </c>
      <c r="I116" s="241" t="str">
        <f>INDEX('VDSM MAPPING'!H:H,MATCH($D116,'VDSM MAPPING'!$A:$A,0))</f>
        <v>LED Linear Replacement Lamp (≤4ft)</v>
      </c>
      <c r="J116" s="240">
        <f t="shared" si="14"/>
        <v>-0.93294762526264974</v>
      </c>
      <c r="K116" s="240">
        <f t="shared" si="15"/>
        <v>-0.60626339097590731</v>
      </c>
      <c r="L116" s="240" t="b">
        <f t="shared" si="16"/>
        <v>0</v>
      </c>
      <c r="M116" s="240" t="b">
        <f t="shared" si="17"/>
        <v>0</v>
      </c>
      <c r="N116" s="204" t="s">
        <v>289</v>
      </c>
      <c r="O116" s="204" t="s">
        <v>2665</v>
      </c>
      <c r="P116" s="350">
        <v>1</v>
      </c>
      <c r="Q116" s="204" t="s">
        <v>2665</v>
      </c>
      <c r="R116" s="204" t="s">
        <v>2664</v>
      </c>
      <c r="S116" s="204" t="s">
        <v>1616</v>
      </c>
      <c r="T116" s="204" t="s">
        <v>2663</v>
      </c>
      <c r="U116" s="204" t="s">
        <v>2662</v>
      </c>
      <c r="V116" s="204" t="s">
        <v>2661</v>
      </c>
      <c r="W116" s="204" t="s">
        <v>345</v>
      </c>
      <c r="X116" s="204" t="s">
        <v>297</v>
      </c>
      <c r="Y116" s="204" t="s">
        <v>344</v>
      </c>
      <c r="Z116" s="204" t="s">
        <v>850</v>
      </c>
      <c r="AA116" s="204" t="s">
        <v>849</v>
      </c>
      <c r="AB116" s="204" t="s">
        <v>329</v>
      </c>
      <c r="AC116" s="204" t="s">
        <v>297</v>
      </c>
      <c r="AD116" s="204" t="s">
        <v>848</v>
      </c>
      <c r="AE116" s="204" t="s">
        <v>847</v>
      </c>
      <c r="AG116" s="204" t="s">
        <v>2129</v>
      </c>
      <c r="AH116" s="204" t="s">
        <v>2173</v>
      </c>
      <c r="AI116" s="204" t="s">
        <v>2193</v>
      </c>
      <c r="AJ116" s="204" t="s">
        <v>2126</v>
      </c>
      <c r="AX116" s="204">
        <v>8</v>
      </c>
      <c r="AY116" s="204">
        <v>0</v>
      </c>
      <c r="AZ116" s="204">
        <v>0.11952</v>
      </c>
      <c r="BB116" s="204">
        <v>349.38400000000001</v>
      </c>
      <c r="BH116" s="204">
        <v>0</v>
      </c>
      <c r="BI116" s="204">
        <v>64</v>
      </c>
      <c r="BJ116" s="204">
        <v>42835</v>
      </c>
      <c r="BK116" s="204">
        <v>42593.732703391201</v>
      </c>
      <c r="BL116" s="204" t="s">
        <v>293</v>
      </c>
      <c r="BM116" s="204" t="s">
        <v>2669</v>
      </c>
      <c r="BN116" s="269">
        <f t="shared" si="18"/>
        <v>43.673000000000002</v>
      </c>
      <c r="BO116" s="269">
        <f t="shared" si="19"/>
        <v>8</v>
      </c>
      <c r="BP116" s="269">
        <f>INDEX('App Data Outliers'!$M:$M,MATCH($E116,'App Data Outliers'!$A:$A,0))</f>
        <v>71.928403166606657</v>
      </c>
      <c r="BQ116" s="269">
        <f>INDEX('App Data Outliers'!$N:$N,MATCH($E116,'App Data Outliers'!$A:$A,0))</f>
        <v>30.28616226838243</v>
      </c>
      <c r="BR116" s="269">
        <f>INDEX('App Data Outliers'!$S:$S,MATCH($E116,'App Data Outliers'!$A:$A,0))</f>
        <v>10.421419234256929</v>
      </c>
      <c r="BS116" s="269">
        <f>INDEX('App Data Outliers'!$T:$T,MATCH($E116,'App Data Outliers'!$A:$A,0))</f>
        <v>3.9940053618595535</v>
      </c>
    </row>
    <row r="117" spans="1:71" s="204" customFormat="1" hidden="1">
      <c r="A117" s="241">
        <v>113</v>
      </c>
      <c r="B117" s="241" t="str">
        <f t="shared" si="10"/>
        <v>Non-Residential - BHPSD - C/I Prescriptive Rebate</v>
      </c>
      <c r="C117" s="241" t="b">
        <f t="shared" si="11"/>
        <v>1</v>
      </c>
      <c r="D117" s="241" t="str">
        <f t="shared" si="12"/>
        <v>Non-Residential - BHPSD - C/I Prescriptive Rebate_C&amp;I Prescriptive Rebate :- C&amp;I Lighting :- Customer Incentives_Energy Star LED Lamps - 5W to 10W</v>
      </c>
      <c r="E117" s="241" t="str">
        <f t="shared" si="13"/>
        <v>C&amp;I_C&amp;I Prescriptive_Lighting_Energy Star LED Lamp (5-10W)</v>
      </c>
      <c r="F117" s="241" t="str">
        <f>INDEX('VDSM MAPPING'!E:E,MATCH($D117,'VDSM MAPPING'!$A:$A,0))</f>
        <v>C&amp;I</v>
      </c>
      <c r="G117" s="241" t="str">
        <f>INDEX('VDSM MAPPING'!F:F,MATCH($D117,'VDSM MAPPING'!$A:$A,0))</f>
        <v>C&amp;I Prescriptive</v>
      </c>
      <c r="H117" s="241" t="str">
        <f>INDEX('VDSM MAPPING'!G:G,MATCH($D117,'VDSM MAPPING'!$A:$A,0))</f>
        <v>Lighting</v>
      </c>
      <c r="I117" s="241" t="str">
        <f>INDEX('VDSM MAPPING'!H:H,MATCH($D117,'VDSM MAPPING'!$A:$A,0))</f>
        <v>Energy Star LED Lamp (5-10W)</v>
      </c>
      <c r="J117" s="240">
        <f t="shared" si="14"/>
        <v>-1.6067925266997778</v>
      </c>
      <c r="K117" s="240">
        <f t="shared" si="15"/>
        <v>-0.79127047621093749</v>
      </c>
      <c r="L117" s="240" t="b">
        <f t="shared" si="16"/>
        <v>0</v>
      </c>
      <c r="M117" s="240" t="b">
        <f t="shared" si="17"/>
        <v>0</v>
      </c>
      <c r="N117" s="204" t="s">
        <v>289</v>
      </c>
      <c r="O117" s="204" t="s">
        <v>2665</v>
      </c>
      <c r="P117" s="350">
        <v>0</v>
      </c>
      <c r="Q117" s="204" t="s">
        <v>2665</v>
      </c>
      <c r="R117" s="204" t="s">
        <v>2664</v>
      </c>
      <c r="S117" s="204" t="s">
        <v>1616</v>
      </c>
      <c r="T117" s="204" t="s">
        <v>2663</v>
      </c>
      <c r="U117" s="204" t="s">
        <v>2662</v>
      </c>
      <c r="V117" s="204" t="s">
        <v>2661</v>
      </c>
      <c r="W117" s="204" t="s">
        <v>345</v>
      </c>
      <c r="X117" s="204" t="s">
        <v>297</v>
      </c>
      <c r="Y117" s="204" t="s">
        <v>344</v>
      </c>
      <c r="Z117" s="204" t="s">
        <v>850</v>
      </c>
      <c r="AA117" s="204" t="s">
        <v>849</v>
      </c>
      <c r="AB117" s="204" t="s">
        <v>329</v>
      </c>
      <c r="AC117" s="204" t="s">
        <v>297</v>
      </c>
      <c r="AD117" s="204" t="s">
        <v>848</v>
      </c>
      <c r="AE117" s="204" t="s">
        <v>847</v>
      </c>
      <c r="AG117" s="204" t="s">
        <v>2129</v>
      </c>
      <c r="AH117" s="204" t="s">
        <v>2128</v>
      </c>
      <c r="AI117" s="204" t="s">
        <v>2193</v>
      </c>
      <c r="AJ117" s="204" t="s">
        <v>2126</v>
      </c>
      <c r="AX117" s="204">
        <v>2</v>
      </c>
      <c r="AY117" s="204">
        <v>0</v>
      </c>
      <c r="AZ117" s="204">
        <v>5.9760000000000001E-2</v>
      </c>
      <c r="BB117" s="204">
        <v>174.69200000000001</v>
      </c>
      <c r="BH117" s="204">
        <v>0</v>
      </c>
      <c r="BI117" s="204">
        <v>6.42</v>
      </c>
      <c r="BJ117" s="204">
        <v>42835</v>
      </c>
      <c r="BK117" s="204">
        <v>42593.732703391201</v>
      </c>
      <c r="BL117" s="204" t="s">
        <v>293</v>
      </c>
      <c r="BM117" s="204" t="s">
        <v>2660</v>
      </c>
      <c r="BN117" s="269">
        <f t="shared" si="18"/>
        <v>87.346000000000004</v>
      </c>
      <c r="BO117" s="269">
        <f t="shared" si="19"/>
        <v>3.21</v>
      </c>
      <c r="BP117" s="269">
        <f>INDEX('App Data Outliers'!$M:$M,MATCH($E117,'App Data Outliers'!$A:$A,0))</f>
        <v>124.22266552020636</v>
      </c>
      <c r="BQ117" s="269">
        <f>INDEX('App Data Outliers'!$N:$N,MATCH($E117,'App Data Outliers'!$A:$A,0))</f>
        <v>22.950483592270654</v>
      </c>
      <c r="BR117" s="269">
        <f>INDEX('App Data Outliers'!$S:$S,MATCH($E117,'App Data Outliers'!$A:$A,0))</f>
        <v>4.8732072914875317</v>
      </c>
      <c r="BS117" s="269">
        <f>INDEX('App Data Outliers'!$T:$T,MATCH($E117,'App Data Outliers'!$A:$A,0))</f>
        <v>2.1019453416888925</v>
      </c>
    </row>
    <row r="118" spans="1:71" s="204" customFormat="1" hidden="1">
      <c r="A118" s="241">
        <v>114</v>
      </c>
      <c r="B118" s="241" t="str">
        <f t="shared" si="10"/>
        <v>Non-Residential - BHPSD - C/I Prescriptive Rebate</v>
      </c>
      <c r="C118" s="241" t="b">
        <f t="shared" si="11"/>
        <v>1</v>
      </c>
      <c r="D118" s="241" t="str">
        <f t="shared" si="12"/>
        <v>Non-Residential - BHPSD - C/I Prescriptive Rebate_C&amp;I Prescriptive Rebate :- C&amp;I Lighting :- Customer Incentives_LED Replacement for T8 Linear Fluorescent Lamps - 4 ft or less</v>
      </c>
      <c r="E118" s="241" t="str">
        <f t="shared" si="13"/>
        <v>C&amp;I_C&amp;I Prescriptive_Lighting_LED Linear Replacement Lamp (≤4ft)</v>
      </c>
      <c r="F118" s="241" t="str">
        <f>INDEX('VDSM MAPPING'!E:E,MATCH($D118,'VDSM MAPPING'!$A:$A,0))</f>
        <v>C&amp;I</v>
      </c>
      <c r="G118" s="241" t="str">
        <f>INDEX('VDSM MAPPING'!F:F,MATCH($D118,'VDSM MAPPING'!$A:$A,0))</f>
        <v>C&amp;I Prescriptive</v>
      </c>
      <c r="H118" s="241" t="str">
        <f>INDEX('VDSM MAPPING'!G:G,MATCH($D118,'VDSM MAPPING'!$A:$A,0))</f>
        <v>Lighting</v>
      </c>
      <c r="I118" s="241" t="str">
        <f>INDEX('VDSM MAPPING'!H:H,MATCH($D118,'VDSM MAPPING'!$A:$A,0))</f>
        <v>LED Linear Replacement Lamp (≤4ft)</v>
      </c>
      <c r="J118" s="240">
        <f t="shared" si="14"/>
        <v>-0.93294762526264974</v>
      </c>
      <c r="K118" s="240">
        <f t="shared" si="15"/>
        <v>-0.60626339097590731</v>
      </c>
      <c r="L118" s="240" t="b">
        <f t="shared" si="16"/>
        <v>0</v>
      </c>
      <c r="M118" s="240" t="b">
        <f t="shared" si="17"/>
        <v>0</v>
      </c>
      <c r="N118" s="204" t="s">
        <v>289</v>
      </c>
      <c r="O118" s="204" t="s">
        <v>2665</v>
      </c>
      <c r="P118" s="350">
        <v>0</v>
      </c>
      <c r="Q118" s="204" t="s">
        <v>2665</v>
      </c>
      <c r="R118" s="204" t="s">
        <v>2664</v>
      </c>
      <c r="S118" s="204" t="s">
        <v>1616</v>
      </c>
      <c r="T118" s="204" t="s">
        <v>2663</v>
      </c>
      <c r="U118" s="204" t="s">
        <v>2662</v>
      </c>
      <c r="V118" s="204" t="s">
        <v>2661</v>
      </c>
      <c r="W118" s="204" t="s">
        <v>345</v>
      </c>
      <c r="X118" s="204" t="s">
        <v>297</v>
      </c>
      <c r="Y118" s="204" t="s">
        <v>344</v>
      </c>
      <c r="Z118" s="204" t="s">
        <v>850</v>
      </c>
      <c r="AA118" s="204" t="s">
        <v>849</v>
      </c>
      <c r="AB118" s="204" t="s">
        <v>329</v>
      </c>
      <c r="AC118" s="204" t="s">
        <v>297</v>
      </c>
      <c r="AD118" s="204" t="s">
        <v>848</v>
      </c>
      <c r="AE118" s="204" t="s">
        <v>847</v>
      </c>
      <c r="AG118" s="204" t="s">
        <v>2129</v>
      </c>
      <c r="AH118" s="204" t="s">
        <v>2173</v>
      </c>
      <c r="AI118" s="204" t="s">
        <v>2193</v>
      </c>
      <c r="AJ118" s="204" t="s">
        <v>2126</v>
      </c>
      <c r="AX118" s="204">
        <v>34</v>
      </c>
      <c r="AY118" s="204">
        <v>0</v>
      </c>
      <c r="AZ118" s="204">
        <v>0.50795999999999997</v>
      </c>
      <c r="BB118" s="204">
        <v>1484.8820000000001</v>
      </c>
      <c r="BH118" s="204">
        <v>0</v>
      </c>
      <c r="BI118" s="204">
        <v>272</v>
      </c>
      <c r="BJ118" s="204">
        <v>42835</v>
      </c>
      <c r="BK118" s="204">
        <v>42593.732703391201</v>
      </c>
      <c r="BL118" s="204" t="s">
        <v>293</v>
      </c>
      <c r="BM118" s="204" t="s">
        <v>2666</v>
      </c>
      <c r="BN118" s="269">
        <f t="shared" si="18"/>
        <v>43.673000000000002</v>
      </c>
      <c r="BO118" s="269">
        <f t="shared" si="19"/>
        <v>8</v>
      </c>
      <c r="BP118" s="269">
        <f>INDEX('App Data Outliers'!$M:$M,MATCH($E118,'App Data Outliers'!$A:$A,0))</f>
        <v>71.928403166606657</v>
      </c>
      <c r="BQ118" s="269">
        <f>INDEX('App Data Outliers'!$N:$N,MATCH($E118,'App Data Outliers'!$A:$A,0))</f>
        <v>30.28616226838243</v>
      </c>
      <c r="BR118" s="269">
        <f>INDEX('App Data Outliers'!$S:$S,MATCH($E118,'App Data Outliers'!$A:$A,0))</f>
        <v>10.421419234256929</v>
      </c>
      <c r="BS118" s="269">
        <f>INDEX('App Data Outliers'!$T:$T,MATCH($E118,'App Data Outliers'!$A:$A,0))</f>
        <v>3.9940053618595535</v>
      </c>
    </row>
    <row r="119" spans="1:71" s="204" customFormat="1" hidden="1">
      <c r="A119" s="241">
        <v>115</v>
      </c>
      <c r="B119" s="241" t="str">
        <f t="shared" si="10"/>
        <v>Non-Residential - BHPSD - C/I Prescriptive Rebate</v>
      </c>
      <c r="C119" s="241" t="b">
        <f t="shared" si="11"/>
        <v>1</v>
      </c>
      <c r="D119" s="241" t="str">
        <f t="shared" si="12"/>
        <v>Non-Residential - BHPSD - C/I Prescriptive Rebate_C&amp;I Prescriptive Rebate :- C&amp;I Lighting :- Customer Incentives_Energy Star LED Lamps - 5W to 10W</v>
      </c>
      <c r="E119" s="241" t="str">
        <f t="shared" si="13"/>
        <v>C&amp;I_C&amp;I Prescriptive_Lighting_Energy Star LED Lamp (5-10W)</v>
      </c>
      <c r="F119" s="241" t="str">
        <f>INDEX('VDSM MAPPING'!E:E,MATCH($D119,'VDSM MAPPING'!$A:$A,0))</f>
        <v>C&amp;I</v>
      </c>
      <c r="G119" s="241" t="str">
        <f>INDEX('VDSM MAPPING'!F:F,MATCH($D119,'VDSM MAPPING'!$A:$A,0))</f>
        <v>C&amp;I Prescriptive</v>
      </c>
      <c r="H119" s="241" t="str">
        <f>INDEX('VDSM MAPPING'!G:G,MATCH($D119,'VDSM MAPPING'!$A:$A,0))</f>
        <v>Lighting</v>
      </c>
      <c r="I119" s="241" t="str">
        <f>INDEX('VDSM MAPPING'!H:H,MATCH($D119,'VDSM MAPPING'!$A:$A,0))</f>
        <v>Energy Star LED Lamp (5-10W)</v>
      </c>
      <c r="J119" s="240">
        <f t="shared" si="14"/>
        <v>-1.6067925266997778</v>
      </c>
      <c r="K119" s="240">
        <f t="shared" si="15"/>
        <v>-0.29649072177433061</v>
      </c>
      <c r="L119" s="240" t="b">
        <f t="shared" si="16"/>
        <v>0</v>
      </c>
      <c r="M119" s="240" t="b">
        <f t="shared" si="17"/>
        <v>0</v>
      </c>
      <c r="N119" s="204" t="s">
        <v>289</v>
      </c>
      <c r="O119" s="204" t="s">
        <v>2665</v>
      </c>
      <c r="P119" s="350">
        <v>0</v>
      </c>
      <c r="Q119" s="204" t="s">
        <v>2665</v>
      </c>
      <c r="R119" s="204" t="s">
        <v>2664</v>
      </c>
      <c r="S119" s="204" t="s">
        <v>1616</v>
      </c>
      <c r="T119" s="204" t="s">
        <v>2663</v>
      </c>
      <c r="U119" s="204" t="s">
        <v>2662</v>
      </c>
      <c r="V119" s="204" t="s">
        <v>2661</v>
      </c>
      <c r="W119" s="204" t="s">
        <v>345</v>
      </c>
      <c r="X119" s="204" t="s">
        <v>297</v>
      </c>
      <c r="Y119" s="204" t="s">
        <v>344</v>
      </c>
      <c r="Z119" s="204" t="s">
        <v>850</v>
      </c>
      <c r="AA119" s="204" t="s">
        <v>849</v>
      </c>
      <c r="AB119" s="204" t="s">
        <v>329</v>
      </c>
      <c r="AC119" s="204" t="s">
        <v>297</v>
      </c>
      <c r="AD119" s="204" t="s">
        <v>848</v>
      </c>
      <c r="AE119" s="204" t="s">
        <v>847</v>
      </c>
      <c r="AG119" s="204" t="s">
        <v>2129</v>
      </c>
      <c r="AH119" s="204" t="s">
        <v>2128</v>
      </c>
      <c r="AI119" s="204" t="s">
        <v>2193</v>
      </c>
      <c r="AJ119" s="204" t="s">
        <v>2126</v>
      </c>
      <c r="AX119" s="204">
        <v>2</v>
      </c>
      <c r="AY119" s="204">
        <v>0</v>
      </c>
      <c r="AZ119" s="204">
        <v>5.9760000000000001E-2</v>
      </c>
      <c r="BB119" s="204">
        <v>174.69200000000001</v>
      </c>
      <c r="BH119" s="204">
        <v>0</v>
      </c>
      <c r="BI119" s="204">
        <v>8.5</v>
      </c>
      <c r="BJ119" s="204">
        <v>42835</v>
      </c>
      <c r="BK119" s="204">
        <v>42593.732703391201</v>
      </c>
      <c r="BL119" s="204" t="s">
        <v>293</v>
      </c>
      <c r="BM119" s="204" t="s">
        <v>2670</v>
      </c>
      <c r="BN119" s="269">
        <f t="shared" si="18"/>
        <v>87.346000000000004</v>
      </c>
      <c r="BO119" s="269">
        <f t="shared" si="19"/>
        <v>4.25</v>
      </c>
      <c r="BP119" s="269">
        <f>INDEX('App Data Outliers'!$M:$M,MATCH($E119,'App Data Outliers'!$A:$A,0))</f>
        <v>124.22266552020636</v>
      </c>
      <c r="BQ119" s="269">
        <f>INDEX('App Data Outliers'!$N:$N,MATCH($E119,'App Data Outliers'!$A:$A,0))</f>
        <v>22.950483592270654</v>
      </c>
      <c r="BR119" s="269">
        <f>INDEX('App Data Outliers'!$S:$S,MATCH($E119,'App Data Outliers'!$A:$A,0))</f>
        <v>4.8732072914875317</v>
      </c>
      <c r="BS119" s="269">
        <f>INDEX('App Data Outliers'!$T:$T,MATCH($E119,'App Data Outliers'!$A:$A,0))</f>
        <v>2.1019453416888925</v>
      </c>
    </row>
    <row r="120" spans="1:71" s="204" customFormat="1" hidden="1">
      <c r="A120" s="241">
        <v>116</v>
      </c>
      <c r="B120" s="241" t="str">
        <f t="shared" si="10"/>
        <v>Non-Residential - BHPSD - C/I Prescriptive Rebate</v>
      </c>
      <c r="C120" s="241" t="b">
        <f t="shared" si="11"/>
        <v>1</v>
      </c>
      <c r="D120" s="241" t="str">
        <f t="shared" si="12"/>
        <v>Non-Residential - BHPSD - C/I Prescriptive Rebate_C&amp;I Prescriptive Rebate :- C&amp;I Lighting :- Customer Incentives_Energy Star LED Lamps - 5W to 10W</v>
      </c>
      <c r="E120" s="241" t="str">
        <f t="shared" si="13"/>
        <v>C&amp;I_C&amp;I Prescriptive_Lighting_Energy Star LED Lamp (5-10W)</v>
      </c>
      <c r="F120" s="241" t="str">
        <f>INDEX('VDSM MAPPING'!E:E,MATCH($D120,'VDSM MAPPING'!$A:$A,0))</f>
        <v>C&amp;I</v>
      </c>
      <c r="G120" s="241" t="str">
        <f>INDEX('VDSM MAPPING'!F:F,MATCH($D120,'VDSM MAPPING'!$A:$A,0))</f>
        <v>C&amp;I Prescriptive</v>
      </c>
      <c r="H120" s="241" t="str">
        <f>INDEX('VDSM MAPPING'!G:G,MATCH($D120,'VDSM MAPPING'!$A:$A,0))</f>
        <v>Lighting</v>
      </c>
      <c r="I120" s="241" t="str">
        <f>INDEX('VDSM MAPPING'!H:H,MATCH($D120,'VDSM MAPPING'!$A:$A,0))</f>
        <v>Energy Star LED Lamp (5-10W)</v>
      </c>
      <c r="J120" s="240">
        <f t="shared" si="14"/>
        <v>-1.6067925266997778</v>
      </c>
      <c r="K120" s="240">
        <f t="shared" si="15"/>
        <v>-1.0291453581516139</v>
      </c>
      <c r="L120" s="240" t="b">
        <f t="shared" si="16"/>
        <v>0</v>
      </c>
      <c r="M120" s="240" t="b">
        <f t="shared" si="17"/>
        <v>0</v>
      </c>
      <c r="N120" s="204" t="s">
        <v>289</v>
      </c>
      <c r="O120" s="204" t="s">
        <v>2665</v>
      </c>
      <c r="P120" s="350">
        <v>0</v>
      </c>
      <c r="Q120" s="204" t="s">
        <v>2665</v>
      </c>
      <c r="R120" s="204" t="s">
        <v>2664</v>
      </c>
      <c r="S120" s="204" t="s">
        <v>1616</v>
      </c>
      <c r="T120" s="204" t="s">
        <v>2663</v>
      </c>
      <c r="U120" s="204" t="s">
        <v>2662</v>
      </c>
      <c r="V120" s="204" t="s">
        <v>2661</v>
      </c>
      <c r="W120" s="204" t="s">
        <v>345</v>
      </c>
      <c r="X120" s="204" t="s">
        <v>297</v>
      </c>
      <c r="Y120" s="204" t="s">
        <v>344</v>
      </c>
      <c r="Z120" s="204" t="s">
        <v>850</v>
      </c>
      <c r="AA120" s="204" t="s">
        <v>849</v>
      </c>
      <c r="AB120" s="204" t="s">
        <v>329</v>
      </c>
      <c r="AC120" s="204" t="s">
        <v>297</v>
      </c>
      <c r="AD120" s="204" t="s">
        <v>848</v>
      </c>
      <c r="AE120" s="204" t="s">
        <v>847</v>
      </c>
      <c r="AG120" s="204" t="s">
        <v>2129</v>
      </c>
      <c r="AH120" s="204" t="s">
        <v>2128</v>
      </c>
      <c r="AI120" s="204" t="s">
        <v>2193</v>
      </c>
      <c r="AJ120" s="204" t="s">
        <v>2126</v>
      </c>
      <c r="AX120" s="204">
        <v>10</v>
      </c>
      <c r="AY120" s="204">
        <v>0</v>
      </c>
      <c r="AZ120" s="204">
        <v>0.29880000000000001</v>
      </c>
      <c r="BB120" s="204">
        <v>873.46</v>
      </c>
      <c r="BH120" s="204">
        <v>0</v>
      </c>
      <c r="BI120" s="204">
        <v>27.1</v>
      </c>
      <c r="BJ120" s="204">
        <v>42835</v>
      </c>
      <c r="BK120" s="204">
        <v>42593.732703391201</v>
      </c>
      <c r="BL120" s="204" t="s">
        <v>293</v>
      </c>
      <c r="BM120" s="204" t="s">
        <v>2668</v>
      </c>
      <c r="BN120" s="269">
        <f t="shared" si="18"/>
        <v>87.346000000000004</v>
      </c>
      <c r="BO120" s="269">
        <f t="shared" si="19"/>
        <v>2.71</v>
      </c>
      <c r="BP120" s="269">
        <f>INDEX('App Data Outliers'!$M:$M,MATCH($E120,'App Data Outliers'!$A:$A,0))</f>
        <v>124.22266552020636</v>
      </c>
      <c r="BQ120" s="269">
        <f>INDEX('App Data Outliers'!$N:$N,MATCH($E120,'App Data Outliers'!$A:$A,0))</f>
        <v>22.950483592270654</v>
      </c>
      <c r="BR120" s="269">
        <f>INDEX('App Data Outliers'!$S:$S,MATCH($E120,'App Data Outliers'!$A:$A,0))</f>
        <v>4.8732072914875317</v>
      </c>
      <c r="BS120" s="269">
        <f>INDEX('App Data Outliers'!$T:$T,MATCH($E120,'App Data Outliers'!$A:$A,0))</f>
        <v>2.1019453416888925</v>
      </c>
    </row>
    <row r="121" spans="1:71" s="204" customFormat="1" hidden="1">
      <c r="A121" s="241">
        <v>117</v>
      </c>
      <c r="B121" s="241" t="str">
        <f t="shared" si="10"/>
        <v>Non-Residential - BHPSD - C/I Prescriptive Rebate</v>
      </c>
      <c r="C121" s="241" t="b">
        <f t="shared" si="11"/>
        <v>1</v>
      </c>
      <c r="D121" s="241" t="str">
        <f t="shared" si="12"/>
        <v>Non-Residential - BHPSD - C/I Prescriptive Rebate_C&amp;I Prescriptive Rebate :- C&amp;I Lighting :- Customer Incentives_LED Replacement for T8 Linear Fluorescent Lamps - 4 ft or less</v>
      </c>
      <c r="E121" s="241" t="str">
        <f t="shared" si="13"/>
        <v>C&amp;I_C&amp;I Prescriptive_Lighting_LED Linear Replacement Lamp (≤4ft)</v>
      </c>
      <c r="F121" s="241" t="str">
        <f>INDEX('VDSM MAPPING'!E:E,MATCH($D121,'VDSM MAPPING'!$A:$A,0))</f>
        <v>C&amp;I</v>
      </c>
      <c r="G121" s="241" t="str">
        <f>INDEX('VDSM MAPPING'!F:F,MATCH($D121,'VDSM MAPPING'!$A:$A,0))</f>
        <v>C&amp;I Prescriptive</v>
      </c>
      <c r="H121" s="241" t="str">
        <f>INDEX('VDSM MAPPING'!G:G,MATCH($D121,'VDSM MAPPING'!$A:$A,0))</f>
        <v>Lighting</v>
      </c>
      <c r="I121" s="241" t="str">
        <f>INDEX('VDSM MAPPING'!H:H,MATCH($D121,'VDSM MAPPING'!$A:$A,0))</f>
        <v>LED Linear Replacement Lamp (≤4ft)</v>
      </c>
      <c r="J121" s="240">
        <f t="shared" si="14"/>
        <v>-0.93294762526264974</v>
      </c>
      <c r="K121" s="240">
        <f t="shared" si="15"/>
        <v>-1.4199828794462095</v>
      </c>
      <c r="L121" s="240" t="b">
        <f t="shared" si="16"/>
        <v>0</v>
      </c>
      <c r="M121" s="240" t="b">
        <f t="shared" si="17"/>
        <v>0</v>
      </c>
      <c r="N121" s="204" t="s">
        <v>289</v>
      </c>
      <c r="O121" s="204" t="s">
        <v>2665</v>
      </c>
      <c r="P121" s="350">
        <v>0</v>
      </c>
      <c r="Q121" s="204" t="s">
        <v>2665</v>
      </c>
      <c r="R121" s="204" t="s">
        <v>2664</v>
      </c>
      <c r="S121" s="204" t="s">
        <v>1616</v>
      </c>
      <c r="T121" s="204" t="s">
        <v>2663</v>
      </c>
      <c r="U121" s="204" t="s">
        <v>2662</v>
      </c>
      <c r="V121" s="204" t="s">
        <v>2661</v>
      </c>
      <c r="W121" s="204" t="s">
        <v>345</v>
      </c>
      <c r="X121" s="204" t="s">
        <v>297</v>
      </c>
      <c r="Y121" s="204" t="s">
        <v>344</v>
      </c>
      <c r="Z121" s="204" t="s">
        <v>850</v>
      </c>
      <c r="AA121" s="204" t="s">
        <v>849</v>
      </c>
      <c r="AB121" s="204" t="s">
        <v>329</v>
      </c>
      <c r="AC121" s="204" t="s">
        <v>297</v>
      </c>
      <c r="AD121" s="204" t="s">
        <v>848</v>
      </c>
      <c r="AE121" s="204" t="s">
        <v>847</v>
      </c>
      <c r="AG121" s="204" t="s">
        <v>2129</v>
      </c>
      <c r="AH121" s="204" t="s">
        <v>2173</v>
      </c>
      <c r="AI121" s="204" t="s">
        <v>2193</v>
      </c>
      <c r="AJ121" s="204" t="s">
        <v>2126</v>
      </c>
      <c r="AX121" s="204">
        <v>10</v>
      </c>
      <c r="AY121" s="204">
        <v>0</v>
      </c>
      <c r="AZ121" s="204">
        <v>0.14940000000000001</v>
      </c>
      <c r="BB121" s="204">
        <v>436.73</v>
      </c>
      <c r="BH121" s="204">
        <v>0</v>
      </c>
      <c r="BI121" s="204">
        <v>47.5</v>
      </c>
      <c r="BJ121" s="204">
        <v>42835</v>
      </c>
      <c r="BK121" s="204">
        <v>42593.732703391201</v>
      </c>
      <c r="BL121" s="204" t="s">
        <v>293</v>
      </c>
      <c r="BM121" s="204" t="s">
        <v>2667</v>
      </c>
      <c r="BN121" s="269">
        <f t="shared" si="18"/>
        <v>43.673000000000002</v>
      </c>
      <c r="BO121" s="269">
        <f t="shared" si="19"/>
        <v>4.75</v>
      </c>
      <c r="BP121" s="269">
        <f>INDEX('App Data Outliers'!$M:$M,MATCH($E121,'App Data Outliers'!$A:$A,0))</f>
        <v>71.928403166606657</v>
      </c>
      <c r="BQ121" s="269">
        <f>INDEX('App Data Outliers'!$N:$N,MATCH($E121,'App Data Outliers'!$A:$A,0))</f>
        <v>30.28616226838243</v>
      </c>
      <c r="BR121" s="269">
        <f>INDEX('App Data Outliers'!$S:$S,MATCH($E121,'App Data Outliers'!$A:$A,0))</f>
        <v>10.421419234256929</v>
      </c>
      <c r="BS121" s="269">
        <f>INDEX('App Data Outliers'!$T:$T,MATCH($E121,'App Data Outliers'!$A:$A,0))</f>
        <v>3.9940053618595535</v>
      </c>
    </row>
    <row r="122" spans="1:71" s="204" customFormat="1" hidden="1">
      <c r="A122" s="241">
        <v>118</v>
      </c>
      <c r="B122" s="241" t="str">
        <f t="shared" si="10"/>
        <v>Non-Residential - BHPSD - C/I Prescriptive Rebate</v>
      </c>
      <c r="C122" s="241" t="b">
        <f t="shared" si="11"/>
        <v>1</v>
      </c>
      <c r="D122" s="241" t="str">
        <f t="shared" si="12"/>
        <v>Non-Residential - BHPSD - C/I Prescriptive Rebate_C&amp;I Prescriptive Rebate :- C&amp;I Lighting :- Customer Incentives_LED Fixtures Exterior &amp; Garage - 60W to 150W</v>
      </c>
      <c r="E122" s="241" t="str">
        <f t="shared" si="13"/>
        <v>C&amp;I_C&amp;I Prescriptive_Lighting_LED Parking Garage/Canopy (≥75W)</v>
      </c>
      <c r="F122" s="241" t="str">
        <f>INDEX('VDSM MAPPING'!E:E,MATCH($D122,'VDSM MAPPING'!$A:$A,0))</f>
        <v>C&amp;I</v>
      </c>
      <c r="G122" s="241" t="str">
        <f>INDEX('VDSM MAPPING'!F:F,MATCH($D122,'VDSM MAPPING'!$A:$A,0))</f>
        <v>C&amp;I Prescriptive</v>
      </c>
      <c r="H122" s="241" t="str">
        <f>INDEX('VDSM MAPPING'!G:G,MATCH($D122,'VDSM MAPPING'!$A:$A,0))</f>
        <v>Lighting</v>
      </c>
      <c r="I122" s="241" t="str">
        <f>INDEX('VDSM MAPPING'!H:H,MATCH($D122,'VDSM MAPPING'!$A:$A,0))</f>
        <v>LED Parking Garage/Canopy (≥75W)</v>
      </c>
      <c r="J122" s="240">
        <f t="shared" si="14"/>
        <v>0.1268030379184058</v>
      </c>
      <c r="K122" s="240">
        <f t="shared" si="15"/>
        <v>-4.8057188404622845E-3</v>
      </c>
      <c r="L122" s="240" t="b">
        <f t="shared" si="16"/>
        <v>0</v>
      </c>
      <c r="M122" s="240" t="b">
        <f t="shared" si="17"/>
        <v>0</v>
      </c>
      <c r="N122" s="204" t="s">
        <v>289</v>
      </c>
      <c r="O122" s="204" t="s">
        <v>2659</v>
      </c>
      <c r="P122" s="350">
        <v>1</v>
      </c>
      <c r="Q122" s="204" t="s">
        <v>2659</v>
      </c>
      <c r="R122" s="204" t="s">
        <v>2655</v>
      </c>
      <c r="S122" s="204" t="s">
        <v>2654</v>
      </c>
      <c r="T122" s="204" t="s">
        <v>2654</v>
      </c>
      <c r="U122" s="204" t="s">
        <v>2654</v>
      </c>
      <c r="V122" s="204" t="s">
        <v>2658</v>
      </c>
      <c r="W122" s="204" t="s">
        <v>1252</v>
      </c>
      <c r="X122" s="204" t="s">
        <v>297</v>
      </c>
      <c r="Y122" s="204" t="s">
        <v>1251</v>
      </c>
      <c r="Z122" s="204" t="s">
        <v>601</v>
      </c>
      <c r="AA122" s="204" t="s">
        <v>600</v>
      </c>
      <c r="AB122" s="204" t="s">
        <v>329</v>
      </c>
      <c r="AC122" s="204" t="s">
        <v>297</v>
      </c>
      <c r="AD122" s="204" t="s">
        <v>599</v>
      </c>
      <c r="AE122" s="204" t="s">
        <v>598</v>
      </c>
      <c r="AG122" s="204" t="s">
        <v>2129</v>
      </c>
      <c r="AH122" s="204" t="s">
        <v>2139</v>
      </c>
      <c r="AI122" s="204" t="s">
        <v>2332</v>
      </c>
      <c r="AJ122" s="204" t="s">
        <v>2126</v>
      </c>
      <c r="AX122" s="204">
        <v>14</v>
      </c>
      <c r="AY122" s="204">
        <v>0</v>
      </c>
      <c r="AZ122" s="204">
        <v>3.6151390000000001</v>
      </c>
      <c r="BB122" s="204">
        <v>16748.745999999999</v>
      </c>
      <c r="BH122" s="204">
        <v>0</v>
      </c>
      <c r="BI122" s="204">
        <v>1400</v>
      </c>
      <c r="BJ122" s="204">
        <v>42625</v>
      </c>
      <c r="BK122" s="204">
        <v>42625.788249421297</v>
      </c>
      <c r="BL122" s="204" t="s">
        <v>293</v>
      </c>
      <c r="BM122" s="204" t="s">
        <v>2657</v>
      </c>
      <c r="BN122" s="269">
        <f t="shared" si="18"/>
        <v>1196.3389999999999</v>
      </c>
      <c r="BO122" s="269">
        <f t="shared" si="19"/>
        <v>100</v>
      </c>
      <c r="BP122" s="269">
        <f>INDEX('App Data Outliers'!$M:$M,MATCH($E122,'App Data Outliers'!$A:$A,0))</f>
        <v>1175.7261559139786</v>
      </c>
      <c r="BQ122" s="269">
        <f>INDEX('App Data Outliers'!$N:$N,MATCH($E122,'App Data Outliers'!$A:$A,0))</f>
        <v>162.55796725694501</v>
      </c>
      <c r="BR122" s="269">
        <f>INDEX('App Data Outliers'!$S:$S,MATCH($E122,'App Data Outliers'!$A:$A,0))</f>
        <v>100.15639784946237</v>
      </c>
      <c r="BS122" s="269">
        <f>INDEX('App Data Outliers'!$T:$T,MATCH($E122,'App Data Outliers'!$A:$A,0))</f>
        <v>32.544111433560438</v>
      </c>
    </row>
    <row r="123" spans="1:71" s="204" customFormat="1" hidden="1">
      <c r="A123" s="241">
        <v>119</v>
      </c>
      <c r="B123" s="241" t="str">
        <f t="shared" si="10"/>
        <v>Non-Residential - BHPSD - C/I Prescriptive Rebate</v>
      </c>
      <c r="C123" s="241" t="b">
        <f t="shared" si="11"/>
        <v>1</v>
      </c>
      <c r="D123" s="241" t="str">
        <f t="shared" si="12"/>
        <v>Non-Residential - BHPSD - C/I Prescriptive Rebate_C&amp;I Prescriptive Rebate :- C&amp;I Lighting :- Customer Incentives_LED Fixtures Exterior &amp; Garage - 60W to 150W</v>
      </c>
      <c r="E123" s="241" t="str">
        <f t="shared" si="13"/>
        <v>C&amp;I_C&amp;I Prescriptive_Lighting_LED Parking Garage/Canopy (≥75W)</v>
      </c>
      <c r="F123" s="241" t="str">
        <f>INDEX('VDSM MAPPING'!E:E,MATCH($D123,'VDSM MAPPING'!$A:$A,0))</f>
        <v>C&amp;I</v>
      </c>
      <c r="G123" s="241" t="str">
        <f>INDEX('VDSM MAPPING'!F:F,MATCH($D123,'VDSM MAPPING'!$A:$A,0))</f>
        <v>C&amp;I Prescriptive</v>
      </c>
      <c r="H123" s="241" t="str">
        <f>INDEX('VDSM MAPPING'!G:G,MATCH($D123,'VDSM MAPPING'!$A:$A,0))</f>
        <v>Lighting</v>
      </c>
      <c r="I123" s="241" t="str">
        <f>INDEX('VDSM MAPPING'!H:H,MATCH($D123,'VDSM MAPPING'!$A:$A,0))</f>
        <v>LED Parking Garage/Canopy (≥75W)</v>
      </c>
      <c r="J123" s="240">
        <f t="shared" si="14"/>
        <v>-0.11286531336220813</v>
      </c>
      <c r="K123" s="240">
        <f t="shared" si="15"/>
        <v>-4.8057188404622845E-3</v>
      </c>
      <c r="L123" s="240" t="b">
        <f t="shared" si="16"/>
        <v>0</v>
      </c>
      <c r="M123" s="240" t="b">
        <f t="shared" si="17"/>
        <v>0</v>
      </c>
      <c r="N123" s="204" t="s">
        <v>289</v>
      </c>
      <c r="O123" s="204" t="s">
        <v>2656</v>
      </c>
      <c r="P123" s="350">
        <v>1</v>
      </c>
      <c r="Q123" s="204" t="s">
        <v>2656</v>
      </c>
      <c r="R123" s="204" t="s">
        <v>2655</v>
      </c>
      <c r="S123" s="204" t="s">
        <v>2654</v>
      </c>
      <c r="T123" s="204" t="s">
        <v>2654</v>
      </c>
      <c r="U123" s="204" t="s">
        <v>2654</v>
      </c>
      <c r="V123" s="204" t="s">
        <v>2653</v>
      </c>
      <c r="W123" s="204" t="s">
        <v>531</v>
      </c>
      <c r="X123" s="204" t="s">
        <v>297</v>
      </c>
      <c r="Y123" s="204" t="s">
        <v>530</v>
      </c>
      <c r="Z123" s="204" t="s">
        <v>601</v>
      </c>
      <c r="AA123" s="204" t="s">
        <v>600</v>
      </c>
      <c r="AB123" s="204" t="s">
        <v>329</v>
      </c>
      <c r="AC123" s="204" t="s">
        <v>297</v>
      </c>
      <c r="AD123" s="204" t="s">
        <v>599</v>
      </c>
      <c r="AE123" s="204" t="s">
        <v>598</v>
      </c>
      <c r="AG123" s="204" t="s">
        <v>2129</v>
      </c>
      <c r="AH123" s="204" t="s">
        <v>2139</v>
      </c>
      <c r="AI123" s="204" t="s">
        <v>2127</v>
      </c>
      <c r="AJ123" s="204" t="s">
        <v>2126</v>
      </c>
      <c r="AX123" s="204">
        <v>32</v>
      </c>
      <c r="AY123" s="204">
        <v>0</v>
      </c>
      <c r="AZ123" s="204">
        <v>7.9039070000000002</v>
      </c>
      <c r="BB123" s="204">
        <v>37036.127999999997</v>
      </c>
      <c r="BH123" s="204">
        <v>0</v>
      </c>
      <c r="BI123" s="204">
        <v>3200</v>
      </c>
      <c r="BJ123" s="204">
        <v>42625</v>
      </c>
      <c r="BK123" s="204">
        <v>42625.797486921299</v>
      </c>
      <c r="BL123" s="204" t="s">
        <v>293</v>
      </c>
      <c r="BM123" s="204" t="s">
        <v>2652</v>
      </c>
      <c r="BN123" s="269">
        <f t="shared" si="18"/>
        <v>1157.3789999999999</v>
      </c>
      <c r="BO123" s="269">
        <f t="shared" si="19"/>
        <v>100</v>
      </c>
      <c r="BP123" s="269">
        <f>INDEX('App Data Outliers'!$M:$M,MATCH($E123,'App Data Outliers'!$A:$A,0))</f>
        <v>1175.7261559139786</v>
      </c>
      <c r="BQ123" s="269">
        <f>INDEX('App Data Outliers'!$N:$N,MATCH($E123,'App Data Outliers'!$A:$A,0))</f>
        <v>162.55796725694501</v>
      </c>
      <c r="BR123" s="269">
        <f>INDEX('App Data Outliers'!$S:$S,MATCH($E123,'App Data Outliers'!$A:$A,0))</f>
        <v>100.15639784946237</v>
      </c>
      <c r="BS123" s="269">
        <f>INDEX('App Data Outliers'!$T:$T,MATCH($E123,'App Data Outliers'!$A:$A,0))</f>
        <v>32.544111433560438</v>
      </c>
    </row>
    <row r="124" spans="1:71" s="204" customFormat="1" hidden="1">
      <c r="A124" s="241">
        <v>120</v>
      </c>
      <c r="B124" s="241" t="str">
        <f t="shared" si="10"/>
        <v>Non-Residential - BHPSD - C/I Prescriptive Rebate</v>
      </c>
      <c r="C124" s="241" t="b">
        <f t="shared" si="11"/>
        <v>1</v>
      </c>
      <c r="D124" s="241" t="str">
        <f t="shared" si="12"/>
        <v>Non-Residential - BHPSD - C/I Prescriptive Rebate_C&amp;I Prescriptive Rebate :- C&amp;I Lighting :- Customer Incentives_Energy Star LED Lamps - 5W to 10W</v>
      </c>
      <c r="E124" s="241" t="str">
        <f t="shared" si="13"/>
        <v>C&amp;I_C&amp;I Prescriptive_Lighting_Energy Star LED Lamp (5-10W)</v>
      </c>
      <c r="F124" s="241" t="str">
        <f>INDEX('VDSM MAPPING'!E:E,MATCH($D124,'VDSM MAPPING'!$A:$A,0))</f>
        <v>C&amp;I</v>
      </c>
      <c r="G124" s="241" t="str">
        <f>INDEX('VDSM MAPPING'!F:F,MATCH($D124,'VDSM MAPPING'!$A:$A,0))</f>
        <v>C&amp;I Prescriptive</v>
      </c>
      <c r="H124" s="241" t="str">
        <f>INDEX('VDSM MAPPING'!G:G,MATCH($D124,'VDSM MAPPING'!$A:$A,0))</f>
        <v>Lighting</v>
      </c>
      <c r="I124" s="241" t="str">
        <f>INDEX('VDSM MAPPING'!H:H,MATCH($D124,'VDSM MAPPING'!$A:$A,0))</f>
        <v>Energy Star LED Lamp (5-10W)</v>
      </c>
      <c r="J124" s="240">
        <f t="shared" si="14"/>
        <v>-0.46455080030631873</v>
      </c>
      <c r="K124" s="240">
        <f t="shared" si="15"/>
        <v>0.51704137446278264</v>
      </c>
      <c r="L124" s="240" t="b">
        <f t="shared" si="16"/>
        <v>0</v>
      </c>
      <c r="M124" s="240" t="b">
        <f t="shared" si="17"/>
        <v>0</v>
      </c>
      <c r="N124" s="204" t="s">
        <v>289</v>
      </c>
      <c r="O124" s="204" t="s">
        <v>2649</v>
      </c>
      <c r="P124" s="350">
        <v>1</v>
      </c>
      <c r="Q124" s="204" t="s">
        <v>2649</v>
      </c>
      <c r="R124" s="204" t="s">
        <v>2648</v>
      </c>
      <c r="S124" s="204" t="s">
        <v>2647</v>
      </c>
      <c r="T124" s="204" t="s">
        <v>2646</v>
      </c>
      <c r="U124" s="204" t="s">
        <v>2646</v>
      </c>
      <c r="V124" s="204" t="s">
        <v>2645</v>
      </c>
      <c r="W124" s="204" t="s">
        <v>480</v>
      </c>
      <c r="X124" s="204" t="s">
        <v>297</v>
      </c>
      <c r="Y124" s="204" t="s">
        <v>479</v>
      </c>
      <c r="Z124" s="204" t="s">
        <v>1017</v>
      </c>
      <c r="AA124" s="204" t="s">
        <v>1016</v>
      </c>
      <c r="AB124" s="204" t="s">
        <v>329</v>
      </c>
      <c r="AC124" s="204" t="s">
        <v>297</v>
      </c>
      <c r="AD124" s="204" t="s">
        <v>848</v>
      </c>
      <c r="AE124" s="204" t="s">
        <v>1015</v>
      </c>
      <c r="AF124" s="204" t="s">
        <v>1014</v>
      </c>
      <c r="AG124" s="204" t="s">
        <v>2129</v>
      </c>
      <c r="AH124" s="204" t="s">
        <v>2128</v>
      </c>
      <c r="AI124" s="204" t="s">
        <v>2127</v>
      </c>
      <c r="AJ124" s="204" t="s">
        <v>2126</v>
      </c>
      <c r="AX124" s="204">
        <v>39</v>
      </c>
      <c r="AY124" s="204">
        <v>0</v>
      </c>
      <c r="AZ124" s="204">
        <v>0.94517300000000004</v>
      </c>
      <c r="BB124" s="204">
        <v>4428.8789999999999</v>
      </c>
      <c r="BH124" s="204">
        <v>0</v>
      </c>
      <c r="BI124" s="204">
        <v>232.44</v>
      </c>
      <c r="BJ124" s="204">
        <v>42627</v>
      </c>
      <c r="BK124" s="204">
        <v>42627.686588078701</v>
      </c>
      <c r="BL124" s="204" t="s">
        <v>293</v>
      </c>
      <c r="BM124" s="204" t="s">
        <v>2651</v>
      </c>
      <c r="BN124" s="269">
        <f t="shared" si="18"/>
        <v>113.56099999999999</v>
      </c>
      <c r="BO124" s="269">
        <f t="shared" si="19"/>
        <v>5.96</v>
      </c>
      <c r="BP124" s="269">
        <f>INDEX('App Data Outliers'!$M:$M,MATCH($E124,'App Data Outliers'!$A:$A,0))</f>
        <v>124.22266552020636</v>
      </c>
      <c r="BQ124" s="269">
        <f>INDEX('App Data Outliers'!$N:$N,MATCH($E124,'App Data Outliers'!$A:$A,0))</f>
        <v>22.950483592270654</v>
      </c>
      <c r="BR124" s="269">
        <f>INDEX('App Data Outliers'!$S:$S,MATCH($E124,'App Data Outliers'!$A:$A,0))</f>
        <v>4.8732072914875317</v>
      </c>
      <c r="BS124" s="269">
        <f>INDEX('App Data Outliers'!$T:$T,MATCH($E124,'App Data Outliers'!$A:$A,0))</f>
        <v>2.1019453416888925</v>
      </c>
    </row>
    <row r="125" spans="1:71" s="204" customFormat="1" hidden="1">
      <c r="A125" s="241">
        <v>121</v>
      </c>
      <c r="B125" s="241" t="str">
        <f t="shared" si="10"/>
        <v>Non-Residential - BHPSD - C/I Prescriptive Rebate</v>
      </c>
      <c r="C125" s="241" t="b">
        <f t="shared" si="11"/>
        <v>1</v>
      </c>
      <c r="D125" s="241" t="str">
        <f t="shared" si="12"/>
        <v>Non-Residential - BHPSD - C/I Prescriptive Rebate_C&amp;I Prescriptive Rebate :- C&amp;I Lighting :- Customer Incentives_Energy Star LED Lamps - 5W or less</v>
      </c>
      <c r="E125" s="241" t="str">
        <f t="shared" si="13"/>
        <v>C&amp;I_C&amp;I Prescriptive_Lighting_Energy Star LED Lamp (≤5W)</v>
      </c>
      <c r="F125" s="241" t="str">
        <f>INDEX('VDSM MAPPING'!E:E,MATCH($D125,'VDSM MAPPING'!$A:$A,0))</f>
        <v>C&amp;I</v>
      </c>
      <c r="G125" s="241" t="str">
        <f>INDEX('VDSM MAPPING'!F:F,MATCH($D125,'VDSM MAPPING'!$A:$A,0))</f>
        <v>C&amp;I Prescriptive</v>
      </c>
      <c r="H125" s="241" t="str">
        <f>INDEX('VDSM MAPPING'!G:G,MATCH($D125,'VDSM MAPPING'!$A:$A,0))</f>
        <v>Lighting</v>
      </c>
      <c r="I125" s="241" t="str">
        <f>INDEX('VDSM MAPPING'!H:H,MATCH($D125,'VDSM MAPPING'!$A:$A,0))</f>
        <v>Energy Star LED Lamp (≤5W)</v>
      </c>
      <c r="J125" s="240">
        <f t="shared" si="14"/>
        <v>-3.9408866995073705E-2</v>
      </c>
      <c r="K125" s="240">
        <f t="shared" si="15"/>
        <v>3.9408866995073871E-2</v>
      </c>
      <c r="L125" s="240" t="b">
        <f t="shared" si="16"/>
        <v>0</v>
      </c>
      <c r="M125" s="240" t="b">
        <f t="shared" si="17"/>
        <v>0</v>
      </c>
      <c r="N125" s="204" t="s">
        <v>289</v>
      </c>
      <c r="O125" s="204" t="s">
        <v>2649</v>
      </c>
      <c r="P125" s="350">
        <v>0</v>
      </c>
      <c r="Q125" s="204" t="s">
        <v>2649</v>
      </c>
      <c r="R125" s="204" t="s">
        <v>2648</v>
      </c>
      <c r="S125" s="204" t="s">
        <v>2647</v>
      </c>
      <c r="T125" s="204" t="s">
        <v>2646</v>
      </c>
      <c r="U125" s="204" t="s">
        <v>2646</v>
      </c>
      <c r="V125" s="204" t="s">
        <v>2645</v>
      </c>
      <c r="W125" s="204" t="s">
        <v>480</v>
      </c>
      <c r="X125" s="204" t="s">
        <v>297</v>
      </c>
      <c r="Y125" s="204" t="s">
        <v>479</v>
      </c>
      <c r="Z125" s="204" t="s">
        <v>1017</v>
      </c>
      <c r="AA125" s="204" t="s">
        <v>1016</v>
      </c>
      <c r="AB125" s="204" t="s">
        <v>329</v>
      </c>
      <c r="AC125" s="204" t="s">
        <v>297</v>
      </c>
      <c r="AD125" s="204" t="s">
        <v>848</v>
      </c>
      <c r="AE125" s="204" t="s">
        <v>1015</v>
      </c>
      <c r="AF125" s="204" t="s">
        <v>1014</v>
      </c>
      <c r="AG125" s="204" t="s">
        <v>2129</v>
      </c>
      <c r="AH125" s="204" t="s">
        <v>2434</v>
      </c>
      <c r="AI125" s="204" t="s">
        <v>2127</v>
      </c>
      <c r="AJ125" s="204" t="s">
        <v>2126</v>
      </c>
      <c r="AX125" s="204">
        <v>398</v>
      </c>
      <c r="AY125" s="204">
        <v>0</v>
      </c>
      <c r="AZ125" s="204">
        <v>6.4304059999999996</v>
      </c>
      <c r="BB125" s="204">
        <v>30131.784</v>
      </c>
      <c r="BH125" s="204">
        <v>0</v>
      </c>
      <c r="BI125" s="204">
        <v>1990</v>
      </c>
      <c r="BJ125" s="204">
        <v>42627</v>
      </c>
      <c r="BK125" s="204">
        <v>42627.686588078701</v>
      </c>
      <c r="BL125" s="204" t="s">
        <v>293</v>
      </c>
      <c r="BM125" s="204" t="s">
        <v>2644</v>
      </c>
      <c r="BN125" s="269">
        <f t="shared" si="18"/>
        <v>75.707999999999998</v>
      </c>
      <c r="BO125" s="269">
        <f t="shared" si="19"/>
        <v>5</v>
      </c>
      <c r="BP125" s="269">
        <f>INDEX('App Data Outliers'!$M:$M,MATCH($E125,'App Data Outliers'!$A:$A,0))</f>
        <v>76.267448275862066</v>
      </c>
      <c r="BQ125" s="269">
        <f>INDEX('App Data Outliers'!$N:$N,MATCH($E125,'App Data Outliers'!$A:$A,0))</f>
        <v>14.196000000000021</v>
      </c>
      <c r="BR125" s="269">
        <f>INDEX('App Data Outliers'!$S:$S,MATCH($E125,'App Data Outliers'!$A:$A,0))</f>
        <v>4.9761576354679802</v>
      </c>
      <c r="BS125" s="269">
        <f>INDEX('App Data Outliers'!$T:$T,MATCH($E125,'App Data Outliers'!$A:$A,0))</f>
        <v>0.60500000000000331</v>
      </c>
    </row>
    <row r="126" spans="1:71" s="204" customFormat="1" hidden="1">
      <c r="A126" s="241">
        <v>122</v>
      </c>
      <c r="B126" s="241" t="str">
        <f t="shared" si="10"/>
        <v>Non-Residential - BHPSD - C/I Prescriptive Rebate</v>
      </c>
      <c r="C126" s="241" t="b">
        <f t="shared" si="11"/>
        <v>1</v>
      </c>
      <c r="D126" s="241" t="str">
        <f t="shared" si="12"/>
        <v>Non-Residential - BHPSD - C/I Prescriptive Rebate_C&amp;I Prescriptive Rebate :- C&amp;I Lighting :- Customer Incentives_Energy Star LED Lamps - 10W or greater</v>
      </c>
      <c r="E126" s="241" t="str">
        <f t="shared" si="13"/>
        <v>C&amp;I_C&amp;I Prescriptive_Lighting_Energy Star LED Lamp (&gt;10W)</v>
      </c>
      <c r="F126" s="241" t="str">
        <f>INDEX('VDSM MAPPING'!E:E,MATCH($D126,'VDSM MAPPING'!$A:$A,0))</f>
        <v>C&amp;I</v>
      </c>
      <c r="G126" s="241" t="str">
        <f>INDEX('VDSM MAPPING'!F:F,MATCH($D126,'VDSM MAPPING'!$A:$A,0))</f>
        <v>C&amp;I Prescriptive</v>
      </c>
      <c r="H126" s="241" t="str">
        <f>INDEX('VDSM MAPPING'!G:G,MATCH($D126,'VDSM MAPPING'!$A:$A,0))</f>
        <v>Lighting</v>
      </c>
      <c r="I126" s="241" t="str">
        <f>INDEX('VDSM MAPPING'!H:H,MATCH($D126,'VDSM MAPPING'!$A:$A,0))</f>
        <v>Energy Star LED Lamp (&gt;10W)</v>
      </c>
      <c r="J126" s="240">
        <f t="shared" si="14"/>
        <v>-0.10579384246698066</v>
      </c>
      <c r="K126" s="240">
        <f t="shared" si="15"/>
        <v>1.3319094756253556</v>
      </c>
      <c r="L126" s="240" t="b">
        <f t="shared" si="16"/>
        <v>0</v>
      </c>
      <c r="M126" s="240" t="b">
        <f t="shared" si="17"/>
        <v>0</v>
      </c>
      <c r="N126" s="204" t="s">
        <v>289</v>
      </c>
      <c r="O126" s="204" t="s">
        <v>2649</v>
      </c>
      <c r="P126" s="350">
        <v>0</v>
      </c>
      <c r="Q126" s="204" t="s">
        <v>2649</v>
      </c>
      <c r="R126" s="204" t="s">
        <v>2648</v>
      </c>
      <c r="S126" s="204" t="s">
        <v>2647</v>
      </c>
      <c r="T126" s="204" t="s">
        <v>2646</v>
      </c>
      <c r="U126" s="204" t="s">
        <v>2646</v>
      </c>
      <c r="V126" s="204" t="s">
        <v>2645</v>
      </c>
      <c r="W126" s="204" t="s">
        <v>480</v>
      </c>
      <c r="X126" s="204" t="s">
        <v>297</v>
      </c>
      <c r="Y126" s="204" t="s">
        <v>479</v>
      </c>
      <c r="Z126" s="204" t="s">
        <v>1017</v>
      </c>
      <c r="AA126" s="204" t="s">
        <v>1016</v>
      </c>
      <c r="AB126" s="204" t="s">
        <v>329</v>
      </c>
      <c r="AC126" s="204" t="s">
        <v>297</v>
      </c>
      <c r="AD126" s="204" t="s">
        <v>848</v>
      </c>
      <c r="AE126" s="204" t="s">
        <v>1015</v>
      </c>
      <c r="AF126" s="204" t="s">
        <v>1014</v>
      </c>
      <c r="AG126" s="204" t="s">
        <v>2129</v>
      </c>
      <c r="AH126" s="204" t="s">
        <v>2166</v>
      </c>
      <c r="AI126" s="204" t="s">
        <v>2127</v>
      </c>
      <c r="AJ126" s="204" t="s">
        <v>2126</v>
      </c>
      <c r="AX126" s="204">
        <v>154</v>
      </c>
      <c r="AY126" s="204">
        <v>0</v>
      </c>
      <c r="AZ126" s="204">
        <v>5.9093499999999999</v>
      </c>
      <c r="BB126" s="204">
        <v>27689.97</v>
      </c>
      <c r="BH126" s="204">
        <v>0</v>
      </c>
      <c r="BI126" s="204">
        <v>1925</v>
      </c>
      <c r="BJ126" s="204">
        <v>42627</v>
      </c>
      <c r="BK126" s="204">
        <v>42627.686588078701</v>
      </c>
      <c r="BL126" s="204" t="s">
        <v>293</v>
      </c>
      <c r="BM126" s="204" t="s">
        <v>2650</v>
      </c>
      <c r="BN126" s="269">
        <f t="shared" si="18"/>
        <v>179.80500000000001</v>
      </c>
      <c r="BO126" s="269">
        <f t="shared" si="19"/>
        <v>12.5</v>
      </c>
      <c r="BP126" s="269">
        <f>INDEX('App Data Outliers'!$M:$M,MATCH($E126,'App Data Outliers'!$A:$A,0))</f>
        <v>183.5885054112554</v>
      </c>
      <c r="BQ126" s="269">
        <f>INDEX('App Data Outliers'!$N:$N,MATCH($E126,'App Data Outliers'!$A:$A,0))</f>
        <v>35.763002108901198</v>
      </c>
      <c r="BR126" s="269">
        <f>INDEX('App Data Outliers'!$S:$S,MATCH($E126,'App Data Outliers'!$A:$A,0))</f>
        <v>9.5846103896103898</v>
      </c>
      <c r="BS126" s="269">
        <f>INDEX('App Data Outliers'!$T:$T,MATCH($E126,'App Data Outliers'!$A:$A,0))</f>
        <v>2.1888796977142775</v>
      </c>
    </row>
    <row r="127" spans="1:71" s="204" customFormat="1" hidden="1">
      <c r="A127" s="241">
        <v>123</v>
      </c>
      <c r="B127" s="241" t="str">
        <f t="shared" si="10"/>
        <v>Non-Residential - BHPSD - C/I Prescriptive Rebate</v>
      </c>
      <c r="C127" s="241" t="b">
        <f t="shared" si="11"/>
        <v>1</v>
      </c>
      <c r="D127" s="241" t="str">
        <f t="shared" si="12"/>
        <v>Non-Residential - BHPSD - C/I Prescriptive Rebate_C&amp;I Prescriptive Rebate :- C&amp;I Lighting :- Customer Incentives_LED Replacement for T8 Linear Fluorescent Lamps - 4 ft or less</v>
      </c>
      <c r="E127" s="241" t="str">
        <f t="shared" si="13"/>
        <v>C&amp;I_C&amp;I Prescriptive_Lighting_LED Linear Replacement Lamp (≤4ft)</v>
      </c>
      <c r="F127" s="241" t="str">
        <f>INDEX('VDSM MAPPING'!E:E,MATCH($D127,'VDSM MAPPING'!$A:$A,0))</f>
        <v>C&amp;I</v>
      </c>
      <c r="G127" s="241" t="str">
        <f>INDEX('VDSM MAPPING'!F:F,MATCH($D127,'VDSM MAPPING'!$A:$A,0))</f>
        <v>C&amp;I Prescriptive</v>
      </c>
      <c r="H127" s="241" t="str">
        <f>INDEX('VDSM MAPPING'!G:G,MATCH($D127,'VDSM MAPPING'!$A:$A,0))</f>
        <v>Lighting</v>
      </c>
      <c r="I127" s="241" t="str">
        <f>INDEX('VDSM MAPPING'!H:H,MATCH($D127,'VDSM MAPPING'!$A:$A,0))</f>
        <v>LED Linear Replacement Lamp (≤4ft)</v>
      </c>
      <c r="J127" s="240">
        <f t="shared" si="14"/>
        <v>-0.93294762526264974</v>
      </c>
      <c r="K127" s="240">
        <f t="shared" si="15"/>
        <v>-0.60626339097590731</v>
      </c>
      <c r="L127" s="240" t="b">
        <f t="shared" si="16"/>
        <v>0</v>
      </c>
      <c r="M127" s="240" t="b">
        <f t="shared" si="17"/>
        <v>0</v>
      </c>
      <c r="N127" s="204" t="s">
        <v>289</v>
      </c>
      <c r="O127" s="204" t="s">
        <v>2641</v>
      </c>
      <c r="P127" s="350">
        <v>1</v>
      </c>
      <c r="Q127" s="204" t="s">
        <v>2641</v>
      </c>
      <c r="R127" s="204" t="s">
        <v>2640</v>
      </c>
      <c r="S127" s="204" t="s">
        <v>2639</v>
      </c>
      <c r="T127" s="204" t="s">
        <v>2639</v>
      </c>
      <c r="U127" s="204" t="s">
        <v>2639</v>
      </c>
      <c r="V127" s="204" t="s">
        <v>2638</v>
      </c>
      <c r="W127" s="204" t="s">
        <v>345</v>
      </c>
      <c r="X127" s="204" t="s">
        <v>297</v>
      </c>
      <c r="Y127" s="204" t="s">
        <v>344</v>
      </c>
      <c r="Z127" s="204" t="s">
        <v>2637</v>
      </c>
      <c r="AA127" s="204" t="s">
        <v>2636</v>
      </c>
      <c r="AB127" s="204" t="s">
        <v>345</v>
      </c>
      <c r="AC127" s="204" t="s">
        <v>297</v>
      </c>
      <c r="AD127" s="204" t="s">
        <v>344</v>
      </c>
      <c r="AE127" s="204" t="s">
        <v>2635</v>
      </c>
      <c r="AG127" s="204" t="s">
        <v>2129</v>
      </c>
      <c r="AH127" s="204" t="s">
        <v>2173</v>
      </c>
      <c r="AI127" s="204" t="s">
        <v>2193</v>
      </c>
      <c r="AJ127" s="204" t="s">
        <v>2126</v>
      </c>
      <c r="AX127" s="204">
        <v>12</v>
      </c>
      <c r="AY127" s="204">
        <v>0</v>
      </c>
      <c r="AZ127" s="204">
        <v>0.17927999999999999</v>
      </c>
      <c r="BB127" s="204">
        <v>524.07600000000002</v>
      </c>
      <c r="BH127" s="204">
        <v>0</v>
      </c>
      <c r="BI127" s="204">
        <v>96</v>
      </c>
      <c r="BJ127" s="204">
        <v>42628</v>
      </c>
      <c r="BK127" s="204">
        <v>42628.496363275503</v>
      </c>
      <c r="BL127" s="204" t="s">
        <v>293</v>
      </c>
      <c r="BM127" s="204" t="s">
        <v>2642</v>
      </c>
      <c r="BN127" s="269">
        <f t="shared" si="18"/>
        <v>43.673000000000002</v>
      </c>
      <c r="BO127" s="269">
        <f t="shared" si="19"/>
        <v>8</v>
      </c>
      <c r="BP127" s="269">
        <f>INDEX('App Data Outliers'!$M:$M,MATCH($E127,'App Data Outliers'!$A:$A,0))</f>
        <v>71.928403166606657</v>
      </c>
      <c r="BQ127" s="269">
        <f>INDEX('App Data Outliers'!$N:$N,MATCH($E127,'App Data Outliers'!$A:$A,0))</f>
        <v>30.28616226838243</v>
      </c>
      <c r="BR127" s="269">
        <f>INDEX('App Data Outliers'!$S:$S,MATCH($E127,'App Data Outliers'!$A:$A,0))</f>
        <v>10.421419234256929</v>
      </c>
      <c r="BS127" s="269">
        <f>INDEX('App Data Outliers'!$T:$T,MATCH($E127,'App Data Outliers'!$A:$A,0))</f>
        <v>3.9940053618595535</v>
      </c>
    </row>
    <row r="128" spans="1:71" s="204" customFormat="1" hidden="1">
      <c r="A128" s="241">
        <v>124</v>
      </c>
      <c r="B128" s="241" t="str">
        <f t="shared" si="10"/>
        <v>Non-Residential - BHPSD - C/I Prescriptive Rebate</v>
      </c>
      <c r="C128" s="241" t="b">
        <f t="shared" si="11"/>
        <v>1</v>
      </c>
      <c r="D128" s="241" t="str">
        <f t="shared" si="12"/>
        <v>Non-Residential - BHPSD - C/I Prescriptive Rebate_C&amp;I Prescriptive Rebate :- C&amp;I Lighting :- Customer Incentives_LED Replacement for T12 Linear Fluorescent Lamps - 4 ft or less</v>
      </c>
      <c r="E128" s="241" t="str">
        <f t="shared" si="13"/>
        <v>C&amp;I_C&amp;I Prescriptive_Lighting_LED Linear Replacement Lamp (≤4ft)</v>
      </c>
      <c r="F128" s="241" t="str">
        <f>INDEX('VDSM MAPPING'!E:E,MATCH($D128,'VDSM MAPPING'!$A:$A,0))</f>
        <v>C&amp;I</v>
      </c>
      <c r="G128" s="241" t="str">
        <f>INDEX('VDSM MAPPING'!F:F,MATCH($D128,'VDSM MAPPING'!$A:$A,0))</f>
        <v>C&amp;I Prescriptive</v>
      </c>
      <c r="H128" s="241" t="str">
        <f>INDEX('VDSM MAPPING'!G:G,MATCH($D128,'VDSM MAPPING'!$A:$A,0))</f>
        <v>Lighting</v>
      </c>
      <c r="I128" s="241" t="str">
        <f>INDEX('VDSM MAPPING'!H:H,MATCH($D128,'VDSM MAPPING'!$A:$A,0))</f>
        <v>LED Linear Replacement Lamp (≤4ft)</v>
      </c>
      <c r="J128" s="240">
        <f t="shared" si="14"/>
        <v>0.5090640635406195</v>
      </c>
      <c r="K128" s="240">
        <f t="shared" si="15"/>
        <v>1.3967384267971441</v>
      </c>
      <c r="L128" s="240" t="b">
        <f t="shared" si="16"/>
        <v>0</v>
      </c>
      <c r="M128" s="240" t="b">
        <f t="shared" si="17"/>
        <v>0</v>
      </c>
      <c r="N128" s="204" t="s">
        <v>289</v>
      </c>
      <c r="O128" s="204" t="s">
        <v>2641</v>
      </c>
      <c r="P128" s="350">
        <v>0</v>
      </c>
      <c r="Q128" s="204" t="s">
        <v>2641</v>
      </c>
      <c r="R128" s="204" t="s">
        <v>2640</v>
      </c>
      <c r="S128" s="204" t="s">
        <v>2639</v>
      </c>
      <c r="T128" s="204" t="s">
        <v>2639</v>
      </c>
      <c r="U128" s="204" t="s">
        <v>2639</v>
      </c>
      <c r="V128" s="204" t="s">
        <v>2638</v>
      </c>
      <c r="W128" s="204" t="s">
        <v>345</v>
      </c>
      <c r="X128" s="204" t="s">
        <v>297</v>
      </c>
      <c r="Y128" s="204" t="s">
        <v>344</v>
      </c>
      <c r="Z128" s="204" t="s">
        <v>2637</v>
      </c>
      <c r="AA128" s="204" t="s">
        <v>2636</v>
      </c>
      <c r="AB128" s="204" t="s">
        <v>345</v>
      </c>
      <c r="AC128" s="204" t="s">
        <v>297</v>
      </c>
      <c r="AD128" s="204" t="s">
        <v>344</v>
      </c>
      <c r="AE128" s="204" t="s">
        <v>2635</v>
      </c>
      <c r="AG128" s="204" t="s">
        <v>2129</v>
      </c>
      <c r="AH128" s="204" t="s">
        <v>2147</v>
      </c>
      <c r="AI128" s="204" t="s">
        <v>2193</v>
      </c>
      <c r="AJ128" s="204" t="s">
        <v>2126</v>
      </c>
      <c r="AX128" s="204">
        <v>40</v>
      </c>
      <c r="AY128" s="204">
        <v>0</v>
      </c>
      <c r="AZ128" s="204">
        <v>1.1952</v>
      </c>
      <c r="BB128" s="204">
        <v>3493.84</v>
      </c>
      <c r="BH128" s="204">
        <v>0</v>
      </c>
      <c r="BI128" s="204">
        <v>640</v>
      </c>
      <c r="BJ128" s="204">
        <v>42628</v>
      </c>
      <c r="BK128" s="204">
        <v>42628.496363275503</v>
      </c>
      <c r="BL128" s="204" t="s">
        <v>293</v>
      </c>
      <c r="BM128" s="204" t="s">
        <v>2634</v>
      </c>
      <c r="BN128" s="269">
        <f t="shared" si="18"/>
        <v>87.346000000000004</v>
      </c>
      <c r="BO128" s="269">
        <f t="shared" si="19"/>
        <v>16</v>
      </c>
      <c r="BP128" s="269">
        <f>INDEX('App Data Outliers'!$M:$M,MATCH($E128,'App Data Outliers'!$A:$A,0))</f>
        <v>71.928403166606657</v>
      </c>
      <c r="BQ128" s="269">
        <f>INDEX('App Data Outliers'!$N:$N,MATCH($E128,'App Data Outliers'!$A:$A,0))</f>
        <v>30.28616226838243</v>
      </c>
      <c r="BR128" s="269">
        <f>INDEX('App Data Outliers'!$S:$S,MATCH($E128,'App Data Outliers'!$A:$A,0))</f>
        <v>10.421419234256929</v>
      </c>
      <c r="BS128" s="269">
        <f>INDEX('App Data Outliers'!$T:$T,MATCH($E128,'App Data Outliers'!$A:$A,0))</f>
        <v>3.9940053618595535</v>
      </c>
    </row>
    <row r="129" spans="1:71" s="204" customFormat="1" hidden="1">
      <c r="A129" s="241">
        <v>125</v>
      </c>
      <c r="B129" s="241" t="str">
        <f t="shared" si="10"/>
        <v>Non-Residential - BHPSD - C/I Prescriptive Rebate</v>
      </c>
      <c r="C129" s="241" t="b">
        <f t="shared" si="11"/>
        <v>1</v>
      </c>
      <c r="D129" s="241" t="str">
        <f t="shared" si="12"/>
        <v>Non-Residential - BHPSD - C/I Prescriptive Rebate_C&amp;I Prescriptive Rebate :- C&amp;I Lighting :- Customer Incentives_Energy Star LED Lamps - 10W or greater</v>
      </c>
      <c r="E129" s="241" t="str">
        <f t="shared" si="13"/>
        <v>C&amp;I_C&amp;I Prescriptive_Lighting_Energy Star LED Lamp (&gt;10W)</v>
      </c>
      <c r="F129" s="241" t="str">
        <f>INDEX('VDSM MAPPING'!E:E,MATCH($D129,'VDSM MAPPING'!$A:$A,0))</f>
        <v>C&amp;I</v>
      </c>
      <c r="G129" s="241" t="str">
        <f>INDEX('VDSM MAPPING'!F:F,MATCH($D129,'VDSM MAPPING'!$A:$A,0))</f>
        <v>C&amp;I Prescriptive</v>
      </c>
      <c r="H129" s="241" t="str">
        <f>INDEX('VDSM MAPPING'!G:G,MATCH($D129,'VDSM MAPPING'!$A:$A,0))</f>
        <v>Lighting</v>
      </c>
      <c r="I129" s="241" t="str">
        <f>INDEX('VDSM MAPPING'!H:H,MATCH($D129,'VDSM MAPPING'!$A:$A,0))</f>
        <v>Energy Star LED Lamp (&gt;10W)</v>
      </c>
      <c r="J129" s="240">
        <f t="shared" si="14"/>
        <v>-1.2664346598571101</v>
      </c>
      <c r="K129" s="240">
        <f t="shared" si="15"/>
        <v>1.3319094756253556</v>
      </c>
      <c r="L129" s="240" t="b">
        <f t="shared" si="16"/>
        <v>0</v>
      </c>
      <c r="M129" s="240" t="b">
        <f t="shared" si="17"/>
        <v>0</v>
      </c>
      <c r="N129" s="204" t="s">
        <v>289</v>
      </c>
      <c r="O129" s="204" t="s">
        <v>2641</v>
      </c>
      <c r="P129" s="350">
        <v>0</v>
      </c>
      <c r="Q129" s="204" t="s">
        <v>2641</v>
      </c>
      <c r="R129" s="204" t="s">
        <v>2640</v>
      </c>
      <c r="S129" s="204" t="s">
        <v>2639</v>
      </c>
      <c r="T129" s="204" t="s">
        <v>2639</v>
      </c>
      <c r="U129" s="204" t="s">
        <v>2639</v>
      </c>
      <c r="V129" s="204" t="s">
        <v>2638</v>
      </c>
      <c r="W129" s="204" t="s">
        <v>345</v>
      </c>
      <c r="X129" s="204" t="s">
        <v>297</v>
      </c>
      <c r="Y129" s="204" t="s">
        <v>344</v>
      </c>
      <c r="Z129" s="204" t="s">
        <v>2637</v>
      </c>
      <c r="AA129" s="204" t="s">
        <v>2636</v>
      </c>
      <c r="AB129" s="204" t="s">
        <v>345</v>
      </c>
      <c r="AC129" s="204" t="s">
        <v>297</v>
      </c>
      <c r="AD129" s="204" t="s">
        <v>344</v>
      </c>
      <c r="AE129" s="204" t="s">
        <v>2635</v>
      </c>
      <c r="AG129" s="204" t="s">
        <v>2129</v>
      </c>
      <c r="AH129" s="204" t="s">
        <v>2166</v>
      </c>
      <c r="AI129" s="204" t="s">
        <v>2193</v>
      </c>
      <c r="AJ129" s="204" t="s">
        <v>2126</v>
      </c>
      <c r="AX129" s="204">
        <v>5</v>
      </c>
      <c r="AY129" s="204">
        <v>0</v>
      </c>
      <c r="AZ129" s="204">
        <v>0.23655000000000001</v>
      </c>
      <c r="BB129" s="204">
        <v>691.48500000000001</v>
      </c>
      <c r="BH129" s="204">
        <v>0</v>
      </c>
      <c r="BI129" s="204">
        <v>62.5</v>
      </c>
      <c r="BJ129" s="204">
        <v>42628</v>
      </c>
      <c r="BK129" s="204">
        <v>42628.496363275503</v>
      </c>
      <c r="BL129" s="204" t="s">
        <v>293</v>
      </c>
      <c r="BM129" s="204" t="s">
        <v>2643</v>
      </c>
      <c r="BN129" s="269">
        <f t="shared" si="18"/>
        <v>138.297</v>
      </c>
      <c r="BO129" s="269">
        <f t="shared" si="19"/>
        <v>12.5</v>
      </c>
      <c r="BP129" s="269">
        <f>INDEX('App Data Outliers'!$M:$M,MATCH($E129,'App Data Outliers'!$A:$A,0))</f>
        <v>183.5885054112554</v>
      </c>
      <c r="BQ129" s="269">
        <f>INDEX('App Data Outliers'!$N:$N,MATCH($E129,'App Data Outliers'!$A:$A,0))</f>
        <v>35.763002108901198</v>
      </c>
      <c r="BR129" s="269">
        <f>INDEX('App Data Outliers'!$S:$S,MATCH($E129,'App Data Outliers'!$A:$A,0))</f>
        <v>9.5846103896103898</v>
      </c>
      <c r="BS129" s="269">
        <f>INDEX('App Data Outliers'!$T:$T,MATCH($E129,'App Data Outliers'!$A:$A,0))</f>
        <v>2.1888796977142775</v>
      </c>
    </row>
    <row r="130" spans="1:71" s="204" customFormat="1" hidden="1">
      <c r="A130" s="241">
        <v>126</v>
      </c>
      <c r="B130" s="241" t="str">
        <f t="shared" si="10"/>
        <v>Non-Residential - BHPSD - C/I Prescriptive Rebate</v>
      </c>
      <c r="C130" s="241" t="b">
        <f t="shared" si="11"/>
        <v>1</v>
      </c>
      <c r="D130" s="241" t="str">
        <f t="shared" si="12"/>
        <v>Non-Residential - BHPSD - C/I Prescriptive Rebate_C&amp;I Prescriptive Rebate :- C&amp;I Lighting :- Customer Incentives_LED Replacement for T8 Linear Fluorescent Lamps - 4 ft or less</v>
      </c>
      <c r="E130" s="241" t="str">
        <f t="shared" si="13"/>
        <v>C&amp;I_C&amp;I Prescriptive_Lighting_LED Linear Replacement Lamp (≤4ft)</v>
      </c>
      <c r="F130" s="241" t="str">
        <f>INDEX('VDSM MAPPING'!E:E,MATCH($D130,'VDSM MAPPING'!$A:$A,0))</f>
        <v>C&amp;I</v>
      </c>
      <c r="G130" s="241" t="str">
        <f>INDEX('VDSM MAPPING'!F:F,MATCH($D130,'VDSM MAPPING'!$A:$A,0))</f>
        <v>C&amp;I Prescriptive</v>
      </c>
      <c r="H130" s="241" t="str">
        <f>INDEX('VDSM MAPPING'!G:G,MATCH($D130,'VDSM MAPPING'!$A:$A,0))</f>
        <v>Lighting</v>
      </c>
      <c r="I130" s="241" t="str">
        <f>INDEX('VDSM MAPPING'!H:H,MATCH($D130,'VDSM MAPPING'!$A:$A,0))</f>
        <v>LED Linear Replacement Lamp (≤4ft)</v>
      </c>
      <c r="J130" s="240">
        <f t="shared" si="14"/>
        <v>-0.73543167897040618</v>
      </c>
      <c r="K130" s="240">
        <f t="shared" si="15"/>
        <v>0.85592793599842021</v>
      </c>
      <c r="L130" s="240" t="b">
        <f t="shared" si="16"/>
        <v>0</v>
      </c>
      <c r="M130" s="240" t="b">
        <f t="shared" si="17"/>
        <v>0</v>
      </c>
      <c r="N130" s="204" t="s">
        <v>289</v>
      </c>
      <c r="O130" s="204" t="s">
        <v>2632</v>
      </c>
      <c r="P130" s="350">
        <v>1</v>
      </c>
      <c r="Q130" s="204" t="s">
        <v>2632</v>
      </c>
      <c r="R130" s="204" t="s">
        <v>2631</v>
      </c>
      <c r="S130" s="204" t="s">
        <v>2630</v>
      </c>
      <c r="T130" s="204" t="s">
        <v>2630</v>
      </c>
      <c r="U130" s="204" t="s">
        <v>2630</v>
      </c>
      <c r="V130" s="204" t="s">
        <v>2629</v>
      </c>
      <c r="W130" s="204" t="s">
        <v>329</v>
      </c>
      <c r="X130" s="204" t="s">
        <v>297</v>
      </c>
      <c r="Y130" s="204" t="s">
        <v>397</v>
      </c>
      <c r="Z130" s="204" t="s">
        <v>2211</v>
      </c>
      <c r="AA130" s="204" t="s">
        <v>2210</v>
      </c>
      <c r="AB130" s="204" t="s">
        <v>298</v>
      </c>
      <c r="AC130" s="204" t="s">
        <v>297</v>
      </c>
      <c r="AD130" s="204" t="s">
        <v>296</v>
      </c>
      <c r="AE130" s="204" t="s">
        <v>2209</v>
      </c>
      <c r="AF130" s="204" t="s">
        <v>2208</v>
      </c>
      <c r="AG130" s="204" t="s">
        <v>2129</v>
      </c>
      <c r="AH130" s="204" t="s">
        <v>2173</v>
      </c>
      <c r="AI130" s="204" t="s">
        <v>2202</v>
      </c>
      <c r="AJ130" s="204" t="s">
        <v>2126</v>
      </c>
      <c r="AX130" s="204">
        <v>399</v>
      </c>
      <c r="AY130" s="204">
        <v>0</v>
      </c>
      <c r="AZ130" s="204">
        <v>4.4557130000000003</v>
      </c>
      <c r="BB130" s="204">
        <v>19812.345000000001</v>
      </c>
      <c r="BH130" s="204">
        <v>0</v>
      </c>
      <c r="BI130" s="204">
        <v>5522.16</v>
      </c>
      <c r="BJ130" s="204">
        <v>42628</v>
      </c>
      <c r="BK130" s="204">
        <v>42628.684845486103</v>
      </c>
      <c r="BL130" s="204" t="s">
        <v>293</v>
      </c>
      <c r="BM130" s="204" t="s">
        <v>2628</v>
      </c>
      <c r="BN130" s="269">
        <f t="shared" si="18"/>
        <v>49.655000000000001</v>
      </c>
      <c r="BO130" s="269">
        <f t="shared" si="19"/>
        <v>13.84</v>
      </c>
      <c r="BP130" s="269">
        <f>INDEX('App Data Outliers'!$M:$M,MATCH($E130,'App Data Outliers'!$A:$A,0))</f>
        <v>71.928403166606657</v>
      </c>
      <c r="BQ130" s="269">
        <f>INDEX('App Data Outliers'!$N:$N,MATCH($E130,'App Data Outliers'!$A:$A,0))</f>
        <v>30.28616226838243</v>
      </c>
      <c r="BR130" s="269">
        <f>INDEX('App Data Outliers'!$S:$S,MATCH($E130,'App Data Outliers'!$A:$A,0))</f>
        <v>10.421419234256929</v>
      </c>
      <c r="BS130" s="269">
        <f>INDEX('App Data Outliers'!$T:$T,MATCH($E130,'App Data Outliers'!$A:$A,0))</f>
        <v>3.9940053618595535</v>
      </c>
    </row>
    <row r="131" spans="1:71" s="204" customFormat="1" hidden="1">
      <c r="A131" s="241">
        <v>127</v>
      </c>
      <c r="B131" s="241" t="str">
        <f t="shared" si="10"/>
        <v>Non-Residential - BHPSD - C/I Prescriptive Rebate</v>
      </c>
      <c r="C131" s="241" t="b">
        <f t="shared" si="11"/>
        <v>1</v>
      </c>
      <c r="D131" s="241" t="str">
        <f t="shared" si="12"/>
        <v>Non-Residential - BHPSD - C/I Prescriptive Rebate_C&amp;I Prescriptive Rebate :- C&amp;I Lighting :- Customer Incentives_Energy Star LED Lamps - 5W to 10W</v>
      </c>
      <c r="E131" s="241" t="str">
        <f t="shared" si="13"/>
        <v>C&amp;I_C&amp;I Prescriptive_Lighting_Energy Star LED Lamp (5-10W)</v>
      </c>
      <c r="F131" s="241" t="str">
        <f>INDEX('VDSM MAPPING'!E:E,MATCH($D131,'VDSM MAPPING'!$A:$A,0))</f>
        <v>C&amp;I</v>
      </c>
      <c r="G131" s="241" t="str">
        <f>INDEX('VDSM MAPPING'!F:F,MATCH($D131,'VDSM MAPPING'!$A:$A,0))</f>
        <v>C&amp;I Prescriptive</v>
      </c>
      <c r="H131" s="241" t="str">
        <f>INDEX('VDSM MAPPING'!G:G,MATCH($D131,'VDSM MAPPING'!$A:$A,0))</f>
        <v>Lighting</v>
      </c>
      <c r="I131" s="241" t="str">
        <f>INDEX('VDSM MAPPING'!H:H,MATCH($D131,'VDSM MAPPING'!$A:$A,0))</f>
        <v>Energy Star LED Lamp (5-10W)</v>
      </c>
      <c r="J131" s="240">
        <f t="shared" si="14"/>
        <v>-1.0854963216808442</v>
      </c>
      <c r="K131" s="240">
        <f t="shared" si="15"/>
        <v>1.7254457747214187</v>
      </c>
      <c r="L131" s="240" t="b">
        <f t="shared" si="16"/>
        <v>0</v>
      </c>
      <c r="M131" s="240" t="b">
        <f t="shared" si="17"/>
        <v>0</v>
      </c>
      <c r="N131" s="204" t="s">
        <v>289</v>
      </c>
      <c r="O131" s="204" t="s">
        <v>2632</v>
      </c>
      <c r="P131" s="350">
        <v>0</v>
      </c>
      <c r="Q131" s="204" t="s">
        <v>2632</v>
      </c>
      <c r="R131" s="204" t="s">
        <v>2631</v>
      </c>
      <c r="S131" s="204" t="s">
        <v>2630</v>
      </c>
      <c r="T131" s="204" t="s">
        <v>2630</v>
      </c>
      <c r="U131" s="204" t="s">
        <v>2630</v>
      </c>
      <c r="V131" s="204" t="s">
        <v>2629</v>
      </c>
      <c r="W131" s="204" t="s">
        <v>329</v>
      </c>
      <c r="X131" s="204" t="s">
        <v>297</v>
      </c>
      <c r="Y131" s="204" t="s">
        <v>397</v>
      </c>
      <c r="Z131" s="204" t="s">
        <v>2211</v>
      </c>
      <c r="AA131" s="204" t="s">
        <v>2210</v>
      </c>
      <c r="AB131" s="204" t="s">
        <v>298</v>
      </c>
      <c r="AC131" s="204" t="s">
        <v>297</v>
      </c>
      <c r="AD131" s="204" t="s">
        <v>296</v>
      </c>
      <c r="AE131" s="204" t="s">
        <v>2209</v>
      </c>
      <c r="AF131" s="204" t="s">
        <v>2208</v>
      </c>
      <c r="AG131" s="204" t="s">
        <v>2129</v>
      </c>
      <c r="AH131" s="204" t="s">
        <v>2128</v>
      </c>
      <c r="AI131" s="204" t="s">
        <v>2202</v>
      </c>
      <c r="AJ131" s="204" t="s">
        <v>2126</v>
      </c>
      <c r="AX131" s="204">
        <v>90</v>
      </c>
      <c r="AY131" s="204">
        <v>0</v>
      </c>
      <c r="AZ131" s="204">
        <v>2.0100959999999999</v>
      </c>
      <c r="BB131" s="204">
        <v>8937.9</v>
      </c>
      <c r="BH131" s="204">
        <v>0</v>
      </c>
      <c r="BI131" s="204">
        <v>765</v>
      </c>
      <c r="BJ131" s="204">
        <v>42628</v>
      </c>
      <c r="BK131" s="204">
        <v>42628.684845486103</v>
      </c>
      <c r="BL131" s="204" t="s">
        <v>293</v>
      </c>
      <c r="BM131" s="204" t="s">
        <v>2633</v>
      </c>
      <c r="BN131" s="269">
        <f t="shared" si="18"/>
        <v>99.31</v>
      </c>
      <c r="BO131" s="269">
        <f t="shared" si="19"/>
        <v>8.5</v>
      </c>
      <c r="BP131" s="269">
        <f>INDEX('App Data Outliers'!$M:$M,MATCH($E131,'App Data Outliers'!$A:$A,0))</f>
        <v>124.22266552020636</v>
      </c>
      <c r="BQ131" s="269">
        <f>INDEX('App Data Outliers'!$N:$N,MATCH($E131,'App Data Outliers'!$A:$A,0))</f>
        <v>22.950483592270654</v>
      </c>
      <c r="BR131" s="269">
        <f>INDEX('App Data Outliers'!$S:$S,MATCH($E131,'App Data Outliers'!$A:$A,0))</f>
        <v>4.8732072914875317</v>
      </c>
      <c r="BS131" s="269">
        <f>INDEX('App Data Outliers'!$T:$T,MATCH($E131,'App Data Outliers'!$A:$A,0))</f>
        <v>2.1019453416888925</v>
      </c>
    </row>
    <row r="132" spans="1:71" s="204" customFormat="1" hidden="1">
      <c r="A132" s="241">
        <v>128</v>
      </c>
      <c r="B132" s="241" t="str">
        <f t="shared" si="10"/>
        <v>Non-Residential - BHPSD - C/I Prescriptive Rebate</v>
      </c>
      <c r="C132" s="241" t="b">
        <f t="shared" si="11"/>
        <v>1</v>
      </c>
      <c r="D132" s="241" t="str">
        <f t="shared" si="12"/>
        <v>Non-Residential - BHPSD - C/I Prescriptive Rebate_C&amp;I Prescriptive Rebate :- C&amp;I Lighting :- Customer Incentives_LED Fixtures Exterior &amp; Garage - 60W to 150W</v>
      </c>
      <c r="E132" s="241" t="str">
        <f t="shared" si="13"/>
        <v>C&amp;I_C&amp;I Prescriptive_Lighting_LED Parking Garage/Canopy (≥75W)</v>
      </c>
      <c r="F132" s="241" t="str">
        <f>INDEX('VDSM MAPPING'!E:E,MATCH($D132,'VDSM MAPPING'!$A:$A,0))</f>
        <v>C&amp;I</v>
      </c>
      <c r="G132" s="241" t="str">
        <f>INDEX('VDSM MAPPING'!F:F,MATCH($D132,'VDSM MAPPING'!$A:$A,0))</f>
        <v>C&amp;I Prescriptive</v>
      </c>
      <c r="H132" s="241" t="str">
        <f>INDEX('VDSM MAPPING'!G:G,MATCH($D132,'VDSM MAPPING'!$A:$A,0))</f>
        <v>Lighting</v>
      </c>
      <c r="I132" s="241" t="str">
        <f>INDEX('VDSM MAPPING'!H:H,MATCH($D132,'VDSM MAPPING'!$A:$A,0))</f>
        <v>LED Parking Garage/Canopy (≥75W)</v>
      </c>
      <c r="J132" s="240">
        <f t="shared" si="14"/>
        <v>-0.11286531336220813</v>
      </c>
      <c r="K132" s="240">
        <f t="shared" si="15"/>
        <v>2.9859042963554194</v>
      </c>
      <c r="L132" s="240" t="b">
        <f t="shared" si="16"/>
        <v>0</v>
      </c>
      <c r="M132" s="240" t="b">
        <f t="shared" si="17"/>
        <v>1</v>
      </c>
      <c r="N132" s="204" t="s">
        <v>289</v>
      </c>
      <c r="O132" s="204" t="s">
        <v>2620</v>
      </c>
      <c r="P132" s="350">
        <v>1</v>
      </c>
      <c r="Q132" s="204" t="s">
        <v>2620</v>
      </c>
      <c r="R132" s="204" t="s">
        <v>2619</v>
      </c>
      <c r="S132" s="204" t="s">
        <v>2618</v>
      </c>
      <c r="T132" s="204" t="s">
        <v>2618</v>
      </c>
      <c r="U132" s="204" t="s">
        <v>2618</v>
      </c>
      <c r="V132" s="204" t="s">
        <v>2617</v>
      </c>
      <c r="W132" s="204" t="s">
        <v>329</v>
      </c>
      <c r="X132" s="204" t="s">
        <v>297</v>
      </c>
      <c r="Y132" s="204" t="s">
        <v>397</v>
      </c>
      <c r="Z132" s="204" t="s">
        <v>2315</v>
      </c>
      <c r="AA132" s="204" t="s">
        <v>2314</v>
      </c>
      <c r="AB132" s="204" t="s">
        <v>2313</v>
      </c>
      <c r="AC132" s="204" t="s">
        <v>2312</v>
      </c>
      <c r="AD132" s="204" t="s">
        <v>2311</v>
      </c>
      <c r="AE132" s="204" t="s">
        <v>2310</v>
      </c>
      <c r="AG132" s="204" t="s">
        <v>2129</v>
      </c>
      <c r="AH132" s="204" t="s">
        <v>2139</v>
      </c>
      <c r="AI132" s="204" t="s">
        <v>2127</v>
      </c>
      <c r="AJ132" s="204" t="s">
        <v>2126</v>
      </c>
      <c r="AX132" s="204">
        <v>4</v>
      </c>
      <c r="AY132" s="204">
        <v>0</v>
      </c>
      <c r="AZ132" s="204">
        <v>0.98798799999999998</v>
      </c>
      <c r="BB132" s="204">
        <v>4629.5159999999996</v>
      </c>
      <c r="BH132" s="204">
        <v>0</v>
      </c>
      <c r="BI132" s="204">
        <v>789.32</v>
      </c>
      <c r="BJ132" s="204">
        <v>42628</v>
      </c>
      <c r="BK132" s="204">
        <v>42628.752856712999</v>
      </c>
      <c r="BL132" s="204" t="s">
        <v>293</v>
      </c>
      <c r="BM132" s="204" t="s">
        <v>2627</v>
      </c>
      <c r="BN132" s="269">
        <f t="shared" si="18"/>
        <v>1157.3789999999999</v>
      </c>
      <c r="BO132" s="269">
        <f t="shared" si="19"/>
        <v>197.33</v>
      </c>
      <c r="BP132" s="269">
        <f>INDEX('App Data Outliers'!$M:$M,MATCH($E132,'App Data Outliers'!$A:$A,0))</f>
        <v>1175.7261559139786</v>
      </c>
      <c r="BQ132" s="269">
        <f>INDEX('App Data Outliers'!$N:$N,MATCH($E132,'App Data Outliers'!$A:$A,0))</f>
        <v>162.55796725694501</v>
      </c>
      <c r="BR132" s="269">
        <f>INDEX('App Data Outliers'!$S:$S,MATCH($E132,'App Data Outliers'!$A:$A,0))</f>
        <v>100.15639784946237</v>
      </c>
      <c r="BS132" s="269">
        <f>INDEX('App Data Outliers'!$T:$T,MATCH($E132,'App Data Outliers'!$A:$A,0))</f>
        <v>32.544111433560438</v>
      </c>
    </row>
    <row r="133" spans="1:71" s="204" customFormat="1" hidden="1">
      <c r="A133" s="241">
        <v>129</v>
      </c>
      <c r="B133" s="241" t="str">
        <f t="shared" ref="B133:B143" si="20">IF(N133="",B132,N133)</f>
        <v>Non-Residential - BHPSD - C/I Prescriptive Rebate</v>
      </c>
      <c r="C133" s="241" t="b">
        <f t="shared" ref="C133:C143" si="21">(N133="")</f>
        <v>1</v>
      </c>
      <c r="D133" s="241" t="str">
        <f t="shared" ref="D133:D143" si="22">B133&amp;"_"&amp;AG133&amp;"_"&amp;AH133</f>
        <v>Non-Residential - BHPSD - C/I Prescriptive Rebate_C&amp;I Prescriptive Rebate :- C&amp;I Lighting :- Customer Incentives_LED Replacement for Linear Fluorescent Lamps - 5 to 8 f</v>
      </c>
      <c r="E133" s="241" t="str">
        <f t="shared" ref="E133:E143" si="23">IFERROR(F133&amp;"_"&amp;G133&amp;"_"&amp;H133&amp;"_"&amp;I133,0)</f>
        <v>C&amp;I_C&amp;I Prescriptive_Lighting_LED Linear Replacement Lamp (5-8ft)</v>
      </c>
      <c r="F133" s="241" t="str">
        <f>INDEX('VDSM MAPPING'!E:E,MATCH($D133,'VDSM MAPPING'!$A:$A,0))</f>
        <v>C&amp;I</v>
      </c>
      <c r="G133" s="241" t="str">
        <f>INDEX('VDSM MAPPING'!F:F,MATCH($D133,'VDSM MAPPING'!$A:$A,0))</f>
        <v>C&amp;I Prescriptive</v>
      </c>
      <c r="H133" s="241" t="str">
        <f>INDEX('VDSM MAPPING'!G:G,MATCH($D133,'VDSM MAPPING'!$A:$A,0))</f>
        <v>Lighting</v>
      </c>
      <c r="I133" s="241" t="str">
        <f>INDEX('VDSM MAPPING'!H:H,MATCH($D133,'VDSM MAPPING'!$A:$A,0))</f>
        <v>LED Linear Replacement Lamp (5-8ft)</v>
      </c>
      <c r="J133" s="240">
        <f t="shared" si="14"/>
        <v>0.49527084869422489</v>
      </c>
      <c r="K133" s="240" t="str">
        <f t="shared" si="15"/>
        <v/>
      </c>
      <c r="L133" s="240" t="b">
        <f t="shared" si="16"/>
        <v>0</v>
      </c>
      <c r="M133" s="240" t="b">
        <f t="shared" si="17"/>
        <v>0</v>
      </c>
      <c r="N133" s="204" t="s">
        <v>289</v>
      </c>
      <c r="O133" s="204" t="s">
        <v>2620</v>
      </c>
      <c r="P133" s="350">
        <v>0</v>
      </c>
      <c r="Q133" s="204" t="s">
        <v>2620</v>
      </c>
      <c r="R133" s="204" t="s">
        <v>2619</v>
      </c>
      <c r="S133" s="204" t="s">
        <v>2618</v>
      </c>
      <c r="T133" s="204" t="s">
        <v>2618</v>
      </c>
      <c r="U133" s="204" t="s">
        <v>2618</v>
      </c>
      <c r="V133" s="204" t="s">
        <v>2617</v>
      </c>
      <c r="W133" s="204" t="s">
        <v>329</v>
      </c>
      <c r="X133" s="204" t="s">
        <v>297</v>
      </c>
      <c r="Y133" s="204" t="s">
        <v>397</v>
      </c>
      <c r="Z133" s="204" t="s">
        <v>2315</v>
      </c>
      <c r="AA133" s="204" t="s">
        <v>2314</v>
      </c>
      <c r="AB133" s="204" t="s">
        <v>2313</v>
      </c>
      <c r="AC133" s="204" t="s">
        <v>2312</v>
      </c>
      <c r="AD133" s="204" t="s">
        <v>2311</v>
      </c>
      <c r="AE133" s="204" t="s">
        <v>2310</v>
      </c>
      <c r="AG133" s="204" t="s">
        <v>2129</v>
      </c>
      <c r="AH133" s="204" t="s">
        <v>2408</v>
      </c>
      <c r="AI133" s="204" t="s">
        <v>2127</v>
      </c>
      <c r="AJ133" s="204" t="s">
        <v>2126</v>
      </c>
      <c r="AX133" s="204">
        <v>36</v>
      </c>
      <c r="AY133" s="204">
        <v>0</v>
      </c>
      <c r="AZ133" s="204">
        <v>1.3523240000000001</v>
      </c>
      <c r="BB133" s="204">
        <v>6336.72</v>
      </c>
      <c r="BH133" s="204">
        <v>0</v>
      </c>
      <c r="BI133" s="204">
        <v>828</v>
      </c>
      <c r="BJ133" s="204">
        <v>42628</v>
      </c>
      <c r="BK133" s="204">
        <v>42628.752856712999</v>
      </c>
      <c r="BL133" s="204" t="s">
        <v>293</v>
      </c>
      <c r="BM133" s="204" t="s">
        <v>2621</v>
      </c>
      <c r="BN133" s="269">
        <f t="shared" si="18"/>
        <v>176.02</v>
      </c>
      <c r="BO133" s="269">
        <f t="shared" si="19"/>
        <v>23</v>
      </c>
      <c r="BP133" s="269">
        <f>INDEX('App Data Outliers'!$M:$M,MATCH($E133,'App Data Outliers'!$A:$A,0))</f>
        <v>159.23217764165389</v>
      </c>
      <c r="BQ133" s="269">
        <f>INDEX('App Data Outliers'!$N:$N,MATCH($E133,'App Data Outliers'!$A:$A,0))</f>
        <v>33.896245665592865</v>
      </c>
      <c r="BR133" s="269">
        <f>INDEX('App Data Outliers'!$S:$S,MATCH($E133,'App Data Outliers'!$A:$A,0))</f>
        <v>23</v>
      </c>
      <c r="BS133" s="269">
        <f>INDEX('App Data Outliers'!$T:$T,MATCH($E133,'App Data Outliers'!$A:$A,0))</f>
        <v>0</v>
      </c>
    </row>
    <row r="134" spans="1:71" s="204" customFormat="1" hidden="1">
      <c r="A134" s="241">
        <v>130</v>
      </c>
      <c r="B134" s="241" t="str">
        <f t="shared" si="20"/>
        <v>Non-Residential - BHPSD - C/I Prescriptive Rebate</v>
      </c>
      <c r="C134" s="241" t="b">
        <f t="shared" si="21"/>
        <v>1</v>
      </c>
      <c r="D134" s="241" t="str">
        <f t="shared" si="22"/>
        <v>Non-Residential - BHPSD - C/I Prescriptive Rebate_C&amp;I Prescriptive Rebate :- C&amp;I Lighting :- Customer Incentives_Energy Star LED Lamps - 10W or greater</v>
      </c>
      <c r="E134" s="241" t="str">
        <f t="shared" si="23"/>
        <v>C&amp;I_C&amp;I Prescriptive_Lighting_Energy Star LED Lamp (&gt;10W)</v>
      </c>
      <c r="F134" s="241" t="str">
        <f>INDEX('VDSM MAPPING'!E:E,MATCH($D134,'VDSM MAPPING'!$A:$A,0))</f>
        <v>C&amp;I</v>
      </c>
      <c r="G134" s="241" t="str">
        <f>INDEX('VDSM MAPPING'!F:F,MATCH($D134,'VDSM MAPPING'!$A:$A,0))</f>
        <v>C&amp;I Prescriptive</v>
      </c>
      <c r="H134" s="241" t="str">
        <f>INDEX('VDSM MAPPING'!G:G,MATCH($D134,'VDSM MAPPING'!$A:$A,0))</f>
        <v>Lighting</v>
      </c>
      <c r="I134" s="241" t="str">
        <f>INDEX('VDSM MAPPING'!H:H,MATCH($D134,'VDSM MAPPING'!$A:$A,0))</f>
        <v>Energy Star LED Lamp (&gt;10W)</v>
      </c>
      <c r="J134" s="240">
        <f t="shared" ref="J134:J143" si="24">IFERROR(STANDARDIZE(BN134,BP134,BQ134),"")</f>
        <v>-0.10579384246698066</v>
      </c>
      <c r="K134" s="240">
        <f t="shared" ref="K134:K143" si="25">IFERROR(STANDARDIZE($BO134,$BR134,$BS134),"")</f>
        <v>1.3319094756253556</v>
      </c>
      <c r="L134" s="240" t="b">
        <f t="shared" ref="L134:L143" si="26">AND(ISNUMBER(J134),OR(J134&gt;=L$1,J134&lt;=-L$1))</f>
        <v>0</v>
      </c>
      <c r="M134" s="240" t="b">
        <f t="shared" ref="M134:M143" si="27">AND(ISNUMBER(K134),OR(K134&gt;=M$1,K134&lt;=-M$1))</f>
        <v>0</v>
      </c>
      <c r="N134" s="204" t="s">
        <v>289</v>
      </c>
      <c r="O134" s="204" t="s">
        <v>2620</v>
      </c>
      <c r="P134" s="350">
        <v>0</v>
      </c>
      <c r="Q134" s="204" t="s">
        <v>2620</v>
      </c>
      <c r="R134" s="204" t="s">
        <v>2619</v>
      </c>
      <c r="S134" s="204" t="s">
        <v>2618</v>
      </c>
      <c r="T134" s="204" t="s">
        <v>2618</v>
      </c>
      <c r="U134" s="204" t="s">
        <v>2618</v>
      </c>
      <c r="V134" s="204" t="s">
        <v>2617</v>
      </c>
      <c r="W134" s="204" t="s">
        <v>329</v>
      </c>
      <c r="X134" s="204" t="s">
        <v>297</v>
      </c>
      <c r="Y134" s="204" t="s">
        <v>397</v>
      </c>
      <c r="Z134" s="204" t="s">
        <v>2315</v>
      </c>
      <c r="AA134" s="204" t="s">
        <v>2314</v>
      </c>
      <c r="AB134" s="204" t="s">
        <v>2313</v>
      </c>
      <c r="AC134" s="204" t="s">
        <v>2312</v>
      </c>
      <c r="AD134" s="204" t="s">
        <v>2311</v>
      </c>
      <c r="AE134" s="204" t="s">
        <v>2310</v>
      </c>
      <c r="AG134" s="204" t="s">
        <v>2129</v>
      </c>
      <c r="AH134" s="204" t="s">
        <v>2166</v>
      </c>
      <c r="AI134" s="204" t="s">
        <v>2127</v>
      </c>
      <c r="AJ134" s="204" t="s">
        <v>2126</v>
      </c>
      <c r="AX134" s="204">
        <v>69</v>
      </c>
      <c r="AY134" s="204">
        <v>0</v>
      </c>
      <c r="AZ134" s="204">
        <v>2.6476959999999998</v>
      </c>
      <c r="BB134" s="204">
        <v>12406.545</v>
      </c>
      <c r="BH134" s="204">
        <v>0</v>
      </c>
      <c r="BI134" s="204">
        <v>862.5</v>
      </c>
      <c r="BJ134" s="204">
        <v>42628</v>
      </c>
      <c r="BK134" s="204">
        <v>42628.752856712999</v>
      </c>
      <c r="BL134" s="204" t="s">
        <v>293</v>
      </c>
      <c r="BM134" s="204" t="s">
        <v>2623</v>
      </c>
      <c r="BN134" s="269">
        <f t="shared" ref="BN134:BN143" si="28">IFERROR(BB134/$AX134,"")</f>
        <v>179.80500000000001</v>
      </c>
      <c r="BO134" s="269">
        <f t="shared" ref="BO134:BO143" si="29">BI134/$AX134</f>
        <v>12.5</v>
      </c>
      <c r="BP134" s="269">
        <f>INDEX('App Data Outliers'!$M:$M,MATCH($E134,'App Data Outliers'!$A:$A,0))</f>
        <v>183.5885054112554</v>
      </c>
      <c r="BQ134" s="269">
        <f>INDEX('App Data Outliers'!$N:$N,MATCH($E134,'App Data Outliers'!$A:$A,0))</f>
        <v>35.763002108901198</v>
      </c>
      <c r="BR134" s="269">
        <f>INDEX('App Data Outliers'!$S:$S,MATCH($E134,'App Data Outliers'!$A:$A,0))</f>
        <v>9.5846103896103898</v>
      </c>
      <c r="BS134" s="269">
        <f>INDEX('App Data Outliers'!$T:$T,MATCH($E134,'App Data Outliers'!$A:$A,0))</f>
        <v>2.1888796977142775</v>
      </c>
    </row>
    <row r="135" spans="1:71" s="204" customFormat="1" hidden="1">
      <c r="A135" s="241">
        <v>131</v>
      </c>
      <c r="B135" s="241" t="str">
        <f t="shared" si="20"/>
        <v>Non-Residential - BHPSD - C/I Prescriptive Rebate</v>
      </c>
      <c r="C135" s="241" t="b">
        <f t="shared" si="21"/>
        <v>1</v>
      </c>
      <c r="D135" s="241" t="str">
        <f t="shared" si="22"/>
        <v>Non-Residential - BHPSD - C/I Prescriptive Rebate_C&amp;I Prescriptive Rebate :- C&amp;I Lighting :- Customer Incentives_LED Fixtures Exterior &amp; Garage - 60W to 150W</v>
      </c>
      <c r="E135" s="241" t="str">
        <f t="shared" si="23"/>
        <v>C&amp;I_C&amp;I Prescriptive_Lighting_LED Parking Garage/Canopy (≥75W)</v>
      </c>
      <c r="F135" s="241" t="str">
        <f>INDEX('VDSM MAPPING'!E:E,MATCH($D135,'VDSM MAPPING'!$A:$A,0))</f>
        <v>C&amp;I</v>
      </c>
      <c r="G135" s="241" t="str">
        <f>INDEX('VDSM MAPPING'!F:F,MATCH($D135,'VDSM MAPPING'!$A:$A,0))</f>
        <v>C&amp;I Prescriptive</v>
      </c>
      <c r="H135" s="241" t="str">
        <f>INDEX('VDSM MAPPING'!G:G,MATCH($D135,'VDSM MAPPING'!$A:$A,0))</f>
        <v>Lighting</v>
      </c>
      <c r="I135" s="241" t="str">
        <f>INDEX('VDSM MAPPING'!H:H,MATCH($D135,'VDSM MAPPING'!$A:$A,0))</f>
        <v>LED Parking Garage/Canopy (≥75W)</v>
      </c>
      <c r="J135" s="240">
        <f t="shared" si="24"/>
        <v>-0.11286531336220673</v>
      </c>
      <c r="K135" s="240">
        <f t="shared" si="25"/>
        <v>-4.8057188404622845E-3</v>
      </c>
      <c r="L135" s="240" t="b">
        <f t="shared" si="26"/>
        <v>0</v>
      </c>
      <c r="M135" s="240" t="b">
        <f t="shared" si="27"/>
        <v>0</v>
      </c>
      <c r="N135" s="204" t="s">
        <v>289</v>
      </c>
      <c r="O135" s="204" t="s">
        <v>2620</v>
      </c>
      <c r="P135" s="350">
        <v>0</v>
      </c>
      <c r="Q135" s="204" t="s">
        <v>2620</v>
      </c>
      <c r="R135" s="204" t="s">
        <v>2619</v>
      </c>
      <c r="S135" s="204" t="s">
        <v>2618</v>
      </c>
      <c r="T135" s="204" t="s">
        <v>2618</v>
      </c>
      <c r="U135" s="204" t="s">
        <v>2618</v>
      </c>
      <c r="V135" s="204" t="s">
        <v>2617</v>
      </c>
      <c r="W135" s="204" t="s">
        <v>329</v>
      </c>
      <c r="X135" s="204" t="s">
        <v>297</v>
      </c>
      <c r="Y135" s="204" t="s">
        <v>397</v>
      </c>
      <c r="Z135" s="204" t="s">
        <v>2315</v>
      </c>
      <c r="AA135" s="204" t="s">
        <v>2314</v>
      </c>
      <c r="AB135" s="204" t="s">
        <v>2313</v>
      </c>
      <c r="AC135" s="204" t="s">
        <v>2312</v>
      </c>
      <c r="AD135" s="204" t="s">
        <v>2311</v>
      </c>
      <c r="AE135" s="204" t="s">
        <v>2310</v>
      </c>
      <c r="AG135" s="204" t="s">
        <v>2129</v>
      </c>
      <c r="AH135" s="204" t="s">
        <v>2139</v>
      </c>
      <c r="AI135" s="204" t="s">
        <v>2127</v>
      </c>
      <c r="AJ135" s="204" t="s">
        <v>2126</v>
      </c>
      <c r="AX135" s="204">
        <v>3</v>
      </c>
      <c r="AY135" s="204">
        <v>0</v>
      </c>
      <c r="AZ135" s="204">
        <v>0.74099099999999996</v>
      </c>
      <c r="BB135" s="204">
        <v>3472.1370000000002</v>
      </c>
      <c r="BH135" s="204">
        <v>0</v>
      </c>
      <c r="BI135" s="204">
        <v>300</v>
      </c>
      <c r="BJ135" s="204">
        <v>42628</v>
      </c>
      <c r="BK135" s="204">
        <v>42628.752856712999</v>
      </c>
      <c r="BL135" s="204" t="s">
        <v>293</v>
      </c>
      <c r="BM135" s="204" t="s">
        <v>2616</v>
      </c>
      <c r="BN135" s="269">
        <f t="shared" si="28"/>
        <v>1157.3790000000001</v>
      </c>
      <c r="BO135" s="269">
        <f t="shared" si="29"/>
        <v>100</v>
      </c>
      <c r="BP135" s="269">
        <f>INDEX('App Data Outliers'!$M:$M,MATCH($E135,'App Data Outliers'!$A:$A,0))</f>
        <v>1175.7261559139786</v>
      </c>
      <c r="BQ135" s="269">
        <f>INDEX('App Data Outliers'!$N:$N,MATCH($E135,'App Data Outliers'!$A:$A,0))</f>
        <v>162.55796725694501</v>
      </c>
      <c r="BR135" s="269">
        <f>INDEX('App Data Outliers'!$S:$S,MATCH($E135,'App Data Outliers'!$A:$A,0))</f>
        <v>100.15639784946237</v>
      </c>
      <c r="BS135" s="269">
        <f>INDEX('App Data Outliers'!$T:$T,MATCH($E135,'App Data Outliers'!$A:$A,0))</f>
        <v>32.544111433560438</v>
      </c>
    </row>
    <row r="136" spans="1:71" s="204" customFormat="1" hidden="1">
      <c r="A136" s="241">
        <v>132</v>
      </c>
      <c r="B136" s="241" t="str">
        <f t="shared" si="20"/>
        <v>Non-Residential - BHPSD - C/I Prescriptive Rebate</v>
      </c>
      <c r="C136" s="241" t="b">
        <f t="shared" si="21"/>
        <v>1</v>
      </c>
      <c r="D136" s="241" t="str">
        <f t="shared" si="22"/>
        <v>Non-Residential - BHPSD - C/I Prescriptive Rebate_C&amp;I Prescriptive Rebate :- C&amp;I Lighting :- Customer Incentives_Energy Star LED Lamps - 5W to 10W</v>
      </c>
      <c r="E136" s="241" t="str">
        <f t="shared" si="23"/>
        <v>C&amp;I_C&amp;I Prescriptive_Lighting_Energy Star LED Lamp (5-10W)</v>
      </c>
      <c r="F136" s="241" t="str">
        <f>INDEX('VDSM MAPPING'!E:E,MATCH($D136,'VDSM MAPPING'!$A:$A,0))</f>
        <v>C&amp;I</v>
      </c>
      <c r="G136" s="241" t="str">
        <f>INDEX('VDSM MAPPING'!F:F,MATCH($D136,'VDSM MAPPING'!$A:$A,0))</f>
        <v>C&amp;I Prescriptive</v>
      </c>
      <c r="H136" s="241" t="str">
        <f>INDEX('VDSM MAPPING'!G:G,MATCH($D136,'VDSM MAPPING'!$A:$A,0))</f>
        <v>Lighting</v>
      </c>
      <c r="I136" s="241" t="str">
        <f>INDEX('VDSM MAPPING'!H:H,MATCH($D136,'VDSM MAPPING'!$A:$A,0))</f>
        <v>Energy Star LED Lamp (5-10W)</v>
      </c>
      <c r="J136" s="240">
        <f t="shared" si="24"/>
        <v>-0.46455080030631873</v>
      </c>
      <c r="K136" s="240">
        <f t="shared" si="25"/>
        <v>1.7254457747214187</v>
      </c>
      <c r="L136" s="240" t="b">
        <f t="shared" si="26"/>
        <v>0</v>
      </c>
      <c r="M136" s="240" t="b">
        <f t="shared" si="27"/>
        <v>0</v>
      </c>
      <c r="N136" s="204" t="s">
        <v>289</v>
      </c>
      <c r="O136" s="204" t="s">
        <v>2620</v>
      </c>
      <c r="P136" s="350">
        <v>0</v>
      </c>
      <c r="Q136" s="204" t="s">
        <v>2620</v>
      </c>
      <c r="R136" s="204" t="s">
        <v>2619</v>
      </c>
      <c r="S136" s="204" t="s">
        <v>2618</v>
      </c>
      <c r="T136" s="204" t="s">
        <v>2618</v>
      </c>
      <c r="U136" s="204" t="s">
        <v>2618</v>
      </c>
      <c r="V136" s="204" t="s">
        <v>2617</v>
      </c>
      <c r="W136" s="204" t="s">
        <v>329</v>
      </c>
      <c r="X136" s="204" t="s">
        <v>297</v>
      </c>
      <c r="Y136" s="204" t="s">
        <v>397</v>
      </c>
      <c r="Z136" s="204" t="s">
        <v>2315</v>
      </c>
      <c r="AA136" s="204" t="s">
        <v>2314</v>
      </c>
      <c r="AB136" s="204" t="s">
        <v>2313</v>
      </c>
      <c r="AC136" s="204" t="s">
        <v>2312</v>
      </c>
      <c r="AD136" s="204" t="s">
        <v>2311</v>
      </c>
      <c r="AE136" s="204" t="s">
        <v>2310</v>
      </c>
      <c r="AG136" s="204" t="s">
        <v>2129</v>
      </c>
      <c r="AH136" s="204" t="s">
        <v>2128</v>
      </c>
      <c r="AI136" s="204" t="s">
        <v>2127</v>
      </c>
      <c r="AJ136" s="204" t="s">
        <v>2126</v>
      </c>
      <c r="AX136" s="204">
        <v>36</v>
      </c>
      <c r="AY136" s="204">
        <v>0</v>
      </c>
      <c r="AZ136" s="204">
        <v>0.87246699999999999</v>
      </c>
      <c r="BB136" s="204">
        <v>4088.1959999999999</v>
      </c>
      <c r="BH136" s="204">
        <v>0</v>
      </c>
      <c r="BI136" s="204">
        <v>306</v>
      </c>
      <c r="BJ136" s="204">
        <v>42628</v>
      </c>
      <c r="BK136" s="204">
        <v>42628.752856712999</v>
      </c>
      <c r="BL136" s="204" t="s">
        <v>293</v>
      </c>
      <c r="BM136" s="204" t="s">
        <v>2624</v>
      </c>
      <c r="BN136" s="269">
        <f t="shared" si="28"/>
        <v>113.56099999999999</v>
      </c>
      <c r="BO136" s="269">
        <f t="shared" si="29"/>
        <v>8.5</v>
      </c>
      <c r="BP136" s="269">
        <f>INDEX('App Data Outliers'!$M:$M,MATCH($E136,'App Data Outliers'!$A:$A,0))</f>
        <v>124.22266552020636</v>
      </c>
      <c r="BQ136" s="269">
        <f>INDEX('App Data Outliers'!$N:$N,MATCH($E136,'App Data Outliers'!$A:$A,0))</f>
        <v>22.950483592270654</v>
      </c>
      <c r="BR136" s="269">
        <f>INDEX('App Data Outliers'!$S:$S,MATCH($E136,'App Data Outliers'!$A:$A,0))</f>
        <v>4.8732072914875317</v>
      </c>
      <c r="BS136" s="269">
        <f>INDEX('App Data Outliers'!$T:$T,MATCH($E136,'App Data Outliers'!$A:$A,0))</f>
        <v>2.1019453416888925</v>
      </c>
    </row>
    <row r="137" spans="1:71" s="204" customFormat="1" hidden="1">
      <c r="A137" s="241">
        <v>133</v>
      </c>
      <c r="B137" s="241" t="str">
        <f t="shared" si="20"/>
        <v>Non-Residential - BHPSD - C/I Prescriptive Rebate</v>
      </c>
      <c r="C137" s="241" t="b">
        <f t="shared" si="21"/>
        <v>1</v>
      </c>
      <c r="D137" s="241" t="str">
        <f t="shared" si="22"/>
        <v>Non-Residential - BHPSD - C/I Prescriptive Rebate_C&amp;I Prescriptive Rebate :- C&amp;I Lighting :- Customer Incentives_LED Replacement for T8 Linear Fluorescent Lamps - 4 ft or less</v>
      </c>
      <c r="E137" s="241" t="str">
        <f t="shared" si="23"/>
        <v>C&amp;I_C&amp;I Prescriptive_Lighting_LED Linear Replacement Lamp (≤4ft)</v>
      </c>
      <c r="F137" s="241" t="str">
        <f>INDEX('VDSM MAPPING'!E:E,MATCH($D137,'VDSM MAPPING'!$A:$A,0))</f>
        <v>C&amp;I</v>
      </c>
      <c r="G137" s="241" t="str">
        <f>INDEX('VDSM MAPPING'!F:F,MATCH($D137,'VDSM MAPPING'!$A:$A,0))</f>
        <v>C&amp;I Prescriptive</v>
      </c>
      <c r="H137" s="241" t="str">
        <f>INDEX('VDSM MAPPING'!G:G,MATCH($D137,'VDSM MAPPING'!$A:$A,0))</f>
        <v>Lighting</v>
      </c>
      <c r="I137" s="241" t="str">
        <f>INDEX('VDSM MAPPING'!H:H,MATCH($D137,'VDSM MAPPING'!$A:$A,0))</f>
        <v>LED Linear Replacement Lamp (≤4ft)</v>
      </c>
      <c r="J137" s="240">
        <f t="shared" si="24"/>
        <v>-0.50014270650659343</v>
      </c>
      <c r="K137" s="240">
        <f t="shared" si="25"/>
        <v>-0.60626339097590731</v>
      </c>
      <c r="L137" s="240" t="b">
        <f t="shared" si="26"/>
        <v>0</v>
      </c>
      <c r="M137" s="240" t="b">
        <f t="shared" si="27"/>
        <v>0</v>
      </c>
      <c r="N137" s="204" t="s">
        <v>289</v>
      </c>
      <c r="O137" s="204" t="s">
        <v>2620</v>
      </c>
      <c r="P137" s="350">
        <v>0</v>
      </c>
      <c r="Q137" s="204" t="s">
        <v>2620</v>
      </c>
      <c r="R137" s="204" t="s">
        <v>2619</v>
      </c>
      <c r="S137" s="204" t="s">
        <v>2618</v>
      </c>
      <c r="T137" s="204" t="s">
        <v>2618</v>
      </c>
      <c r="U137" s="204" t="s">
        <v>2618</v>
      </c>
      <c r="V137" s="204" t="s">
        <v>2617</v>
      </c>
      <c r="W137" s="204" t="s">
        <v>329</v>
      </c>
      <c r="X137" s="204" t="s">
        <v>297</v>
      </c>
      <c r="Y137" s="204" t="s">
        <v>397</v>
      </c>
      <c r="Z137" s="204" t="s">
        <v>2315</v>
      </c>
      <c r="AA137" s="204" t="s">
        <v>2314</v>
      </c>
      <c r="AB137" s="204" t="s">
        <v>2313</v>
      </c>
      <c r="AC137" s="204" t="s">
        <v>2312</v>
      </c>
      <c r="AD137" s="204" t="s">
        <v>2311</v>
      </c>
      <c r="AE137" s="204" t="s">
        <v>2310</v>
      </c>
      <c r="AG137" s="204" t="s">
        <v>2129</v>
      </c>
      <c r="AH137" s="204" t="s">
        <v>2173</v>
      </c>
      <c r="AI137" s="204" t="s">
        <v>2127</v>
      </c>
      <c r="AJ137" s="204" t="s">
        <v>2126</v>
      </c>
      <c r="AX137" s="204">
        <v>6</v>
      </c>
      <c r="AY137" s="204">
        <v>0</v>
      </c>
      <c r="AZ137" s="204">
        <v>7.2706000000000007E-2</v>
      </c>
      <c r="BB137" s="204">
        <v>340.68599999999998</v>
      </c>
      <c r="BH137" s="204">
        <v>0</v>
      </c>
      <c r="BI137" s="204">
        <v>48</v>
      </c>
      <c r="BJ137" s="204">
        <v>42628</v>
      </c>
      <c r="BK137" s="204">
        <v>42628.752856712999</v>
      </c>
      <c r="BL137" s="204" t="s">
        <v>293</v>
      </c>
      <c r="BM137" s="204" t="s">
        <v>2625</v>
      </c>
      <c r="BN137" s="269">
        <f t="shared" si="28"/>
        <v>56.780999999999999</v>
      </c>
      <c r="BO137" s="269">
        <f t="shared" si="29"/>
        <v>8</v>
      </c>
      <c r="BP137" s="269">
        <f>INDEX('App Data Outliers'!$M:$M,MATCH($E137,'App Data Outliers'!$A:$A,0))</f>
        <v>71.928403166606657</v>
      </c>
      <c r="BQ137" s="269">
        <f>INDEX('App Data Outliers'!$N:$N,MATCH($E137,'App Data Outliers'!$A:$A,0))</f>
        <v>30.28616226838243</v>
      </c>
      <c r="BR137" s="269">
        <f>INDEX('App Data Outliers'!$S:$S,MATCH($E137,'App Data Outliers'!$A:$A,0))</f>
        <v>10.421419234256929</v>
      </c>
      <c r="BS137" s="269">
        <f>INDEX('App Data Outliers'!$T:$T,MATCH($E137,'App Data Outliers'!$A:$A,0))</f>
        <v>3.9940053618595535</v>
      </c>
    </row>
    <row r="138" spans="1:71" s="204" customFormat="1" hidden="1">
      <c r="A138" s="241">
        <v>134</v>
      </c>
      <c r="B138" s="241" t="str">
        <f t="shared" si="20"/>
        <v>Non-Residential - BHPSD - C/I Prescriptive Rebate</v>
      </c>
      <c r="C138" s="241" t="b">
        <f t="shared" si="21"/>
        <v>1</v>
      </c>
      <c r="D138" s="241" t="str">
        <f t="shared" si="22"/>
        <v>Non-Residential - BHPSD - C/I Prescriptive Rebate_C&amp;I Prescriptive Rebate :- C&amp;I Lighting :- Customer Incentives_LED Fixtures Exterior &amp; Garage - 25W to 60W</v>
      </c>
      <c r="E138" s="241" t="str">
        <f t="shared" si="23"/>
        <v>C&amp;I_C&amp;I Prescriptive_Lighting_LED Parking Garage/Canopy (30-75W)</v>
      </c>
      <c r="F138" s="241" t="str">
        <f>INDEX('VDSM MAPPING'!E:E,MATCH($D138,'VDSM MAPPING'!$A:$A,0))</f>
        <v>C&amp;I</v>
      </c>
      <c r="G138" s="241" t="str">
        <f>INDEX('VDSM MAPPING'!F:F,MATCH($D138,'VDSM MAPPING'!$A:$A,0))</f>
        <v>C&amp;I Prescriptive</v>
      </c>
      <c r="H138" s="241" t="str">
        <f>INDEX('VDSM MAPPING'!G:G,MATCH($D138,'VDSM MAPPING'!$A:$A,0))</f>
        <v>Lighting</v>
      </c>
      <c r="I138" s="241" t="str">
        <f>INDEX('VDSM MAPPING'!H:H,MATCH($D138,'VDSM MAPPING'!$A:$A,0))</f>
        <v>LED Parking Garage/Canopy (30-75W)</v>
      </c>
      <c r="J138" s="240">
        <f t="shared" si="24"/>
        <v>0.76115918188076703</v>
      </c>
      <c r="K138" s="240">
        <f t="shared" si="25"/>
        <v>0.74402665660424805</v>
      </c>
      <c r="L138" s="240" t="b">
        <f t="shared" si="26"/>
        <v>0</v>
      </c>
      <c r="M138" s="240" t="b">
        <f t="shared" si="27"/>
        <v>0</v>
      </c>
      <c r="N138" s="204" t="s">
        <v>289</v>
      </c>
      <c r="O138" s="204" t="s">
        <v>2620</v>
      </c>
      <c r="P138" s="350">
        <v>0</v>
      </c>
      <c r="Q138" s="204" t="s">
        <v>2620</v>
      </c>
      <c r="R138" s="204" t="s">
        <v>2619</v>
      </c>
      <c r="S138" s="204" t="s">
        <v>2618</v>
      </c>
      <c r="T138" s="204" t="s">
        <v>2618</v>
      </c>
      <c r="U138" s="204" t="s">
        <v>2618</v>
      </c>
      <c r="V138" s="204" t="s">
        <v>2617</v>
      </c>
      <c r="W138" s="204" t="s">
        <v>329</v>
      </c>
      <c r="X138" s="204" t="s">
        <v>297</v>
      </c>
      <c r="Y138" s="204" t="s">
        <v>397</v>
      </c>
      <c r="Z138" s="204" t="s">
        <v>2315</v>
      </c>
      <c r="AA138" s="204" t="s">
        <v>2314</v>
      </c>
      <c r="AB138" s="204" t="s">
        <v>2313</v>
      </c>
      <c r="AC138" s="204" t="s">
        <v>2312</v>
      </c>
      <c r="AD138" s="204" t="s">
        <v>2311</v>
      </c>
      <c r="AE138" s="204" t="s">
        <v>2310</v>
      </c>
      <c r="AG138" s="204" t="s">
        <v>2129</v>
      </c>
      <c r="AH138" s="204" t="s">
        <v>2145</v>
      </c>
      <c r="AI138" s="204" t="s">
        <v>2127</v>
      </c>
      <c r="AJ138" s="204" t="s">
        <v>2126</v>
      </c>
      <c r="AX138" s="204">
        <v>9</v>
      </c>
      <c r="AY138" s="204">
        <v>0</v>
      </c>
      <c r="AZ138" s="204">
        <v>1.185101</v>
      </c>
      <c r="BB138" s="204">
        <v>5553.1440000000002</v>
      </c>
      <c r="BH138" s="204">
        <v>0</v>
      </c>
      <c r="BI138" s="204">
        <v>675</v>
      </c>
      <c r="BJ138" s="204">
        <v>42628</v>
      </c>
      <c r="BK138" s="204">
        <v>42628.752856712999</v>
      </c>
      <c r="BL138" s="204" t="s">
        <v>293</v>
      </c>
      <c r="BM138" s="204" t="s">
        <v>2626</v>
      </c>
      <c r="BN138" s="269">
        <f t="shared" si="28"/>
        <v>617.01600000000008</v>
      </c>
      <c r="BO138" s="269">
        <f t="shared" si="29"/>
        <v>75</v>
      </c>
      <c r="BP138" s="269">
        <f>INDEX('App Data Outliers'!$M:$M,MATCH($E138,'App Data Outliers'!$A:$A,0))</f>
        <v>540.38278358208959</v>
      </c>
      <c r="BQ138" s="269">
        <f>INDEX('App Data Outliers'!$N:$N,MATCH($E138,'App Data Outliers'!$A:$A,0))</f>
        <v>100.67961898397597</v>
      </c>
      <c r="BR138" s="269">
        <f>INDEX('App Data Outliers'!$S:$S,MATCH($E138,'App Data Outliers'!$A:$A,0))</f>
        <v>63.736940298507463</v>
      </c>
      <c r="BS138" s="269">
        <f>INDEX('App Data Outliers'!$T:$T,MATCH($E138,'App Data Outliers'!$A:$A,0))</f>
        <v>15.137978729011348</v>
      </c>
    </row>
    <row r="139" spans="1:71" s="204" customFormat="1" hidden="1">
      <c r="A139" s="241">
        <v>135</v>
      </c>
      <c r="B139" s="241" t="str">
        <f t="shared" si="20"/>
        <v>Non-Residential - BHPSD - C/I Prescriptive Rebate</v>
      </c>
      <c r="C139" s="241" t="b">
        <f t="shared" si="21"/>
        <v>1</v>
      </c>
      <c r="D139" s="241" t="str">
        <f t="shared" si="22"/>
        <v>Non-Residential - BHPSD - C/I Prescriptive Rebate_C&amp;I Prescriptive Rebate :- C&amp;I Lighting :- Customer Incentives_LED Replacement for T12 Linear Fluorescent Lamps - 4 ft or less</v>
      </c>
      <c r="E139" s="241" t="str">
        <f t="shared" si="23"/>
        <v>C&amp;I_C&amp;I Prescriptive_Lighting_LED Linear Replacement Lamp (≤4ft)</v>
      </c>
      <c r="F139" s="241" t="str">
        <f>INDEX('VDSM MAPPING'!E:E,MATCH($D139,'VDSM MAPPING'!$A:$A,0))</f>
        <v>C&amp;I</v>
      </c>
      <c r="G139" s="241" t="str">
        <f>INDEX('VDSM MAPPING'!F:F,MATCH($D139,'VDSM MAPPING'!$A:$A,0))</f>
        <v>C&amp;I Prescriptive</v>
      </c>
      <c r="H139" s="241" t="str">
        <f>INDEX('VDSM MAPPING'!G:G,MATCH($D139,'VDSM MAPPING'!$A:$A,0))</f>
        <v>Lighting</v>
      </c>
      <c r="I139" s="241" t="str">
        <f>INDEX('VDSM MAPPING'!H:H,MATCH($D139,'VDSM MAPPING'!$A:$A,0))</f>
        <v>LED Linear Replacement Lamp (≤4ft)</v>
      </c>
      <c r="J139" s="240">
        <f t="shared" si="24"/>
        <v>1.3746408826732115</v>
      </c>
      <c r="K139" s="240">
        <f t="shared" si="25"/>
        <v>1.3967384267971441</v>
      </c>
      <c r="L139" s="240" t="b">
        <f t="shared" si="26"/>
        <v>0</v>
      </c>
      <c r="M139" s="240" t="b">
        <f t="shared" si="27"/>
        <v>0</v>
      </c>
      <c r="N139" s="204" t="s">
        <v>289</v>
      </c>
      <c r="O139" s="204" t="s">
        <v>2620</v>
      </c>
      <c r="P139" s="350">
        <v>0</v>
      </c>
      <c r="Q139" s="204" t="s">
        <v>2620</v>
      </c>
      <c r="R139" s="204" t="s">
        <v>2619</v>
      </c>
      <c r="S139" s="204" t="s">
        <v>2618</v>
      </c>
      <c r="T139" s="204" t="s">
        <v>2618</v>
      </c>
      <c r="U139" s="204" t="s">
        <v>2618</v>
      </c>
      <c r="V139" s="204" t="s">
        <v>2617</v>
      </c>
      <c r="W139" s="204" t="s">
        <v>329</v>
      </c>
      <c r="X139" s="204" t="s">
        <v>297</v>
      </c>
      <c r="Y139" s="204" t="s">
        <v>397</v>
      </c>
      <c r="Z139" s="204" t="s">
        <v>2315</v>
      </c>
      <c r="AA139" s="204" t="s">
        <v>2314</v>
      </c>
      <c r="AB139" s="204" t="s">
        <v>2313</v>
      </c>
      <c r="AC139" s="204" t="s">
        <v>2312</v>
      </c>
      <c r="AD139" s="204" t="s">
        <v>2311</v>
      </c>
      <c r="AE139" s="204" t="s">
        <v>2310</v>
      </c>
      <c r="AG139" s="204" t="s">
        <v>2129</v>
      </c>
      <c r="AH139" s="204" t="s">
        <v>2147</v>
      </c>
      <c r="AI139" s="204" t="s">
        <v>2127</v>
      </c>
      <c r="AJ139" s="204" t="s">
        <v>2126</v>
      </c>
      <c r="AX139" s="204">
        <v>296</v>
      </c>
      <c r="AY139" s="204">
        <v>0</v>
      </c>
      <c r="AZ139" s="204">
        <v>7.1736190000000004</v>
      </c>
      <c r="BB139" s="204">
        <v>33614.055999999997</v>
      </c>
      <c r="BH139" s="204">
        <v>0</v>
      </c>
      <c r="BI139" s="204">
        <v>4736</v>
      </c>
      <c r="BJ139" s="204">
        <v>42628</v>
      </c>
      <c r="BK139" s="204">
        <v>42628.752856712999</v>
      </c>
      <c r="BL139" s="204" t="s">
        <v>293</v>
      </c>
      <c r="BM139" s="204" t="s">
        <v>2622</v>
      </c>
      <c r="BN139" s="269">
        <f t="shared" si="28"/>
        <v>113.56099999999999</v>
      </c>
      <c r="BO139" s="269">
        <f t="shared" si="29"/>
        <v>16</v>
      </c>
      <c r="BP139" s="269">
        <f>INDEX('App Data Outliers'!$M:$M,MATCH($E139,'App Data Outliers'!$A:$A,0))</f>
        <v>71.928403166606657</v>
      </c>
      <c r="BQ139" s="269">
        <f>INDEX('App Data Outliers'!$N:$N,MATCH($E139,'App Data Outliers'!$A:$A,0))</f>
        <v>30.28616226838243</v>
      </c>
      <c r="BR139" s="269">
        <f>INDEX('App Data Outliers'!$S:$S,MATCH($E139,'App Data Outliers'!$A:$A,0))</f>
        <v>10.421419234256929</v>
      </c>
      <c r="BS139" s="269">
        <f>INDEX('App Data Outliers'!$T:$T,MATCH($E139,'App Data Outliers'!$A:$A,0))</f>
        <v>3.9940053618595535</v>
      </c>
    </row>
    <row r="140" spans="1:71" s="204" customFormat="1" hidden="1">
      <c r="A140" s="241">
        <v>136</v>
      </c>
      <c r="B140" s="241" t="str">
        <f t="shared" si="20"/>
        <v>Non-Residential - BHPSD - C/I Prescriptive Rebate</v>
      </c>
      <c r="C140" s="241" t="b">
        <f t="shared" si="21"/>
        <v>1</v>
      </c>
      <c r="D140" s="241" t="str">
        <f t="shared" si="22"/>
        <v>Non-Residential - BHPSD - C/I Prescriptive Rebate_C&amp;I Prescriptive Rebate :- C&amp;I Lighting :- Customer Incentives_LED Fixtures Exterior &amp; Garage - 60W to 150W</v>
      </c>
      <c r="E140" s="241" t="str">
        <f t="shared" si="23"/>
        <v>C&amp;I_C&amp;I Prescriptive_Lighting_LED Parking Garage/Canopy (≥75W)</v>
      </c>
      <c r="F140" s="241" t="str">
        <f>INDEX('VDSM MAPPING'!E:E,MATCH($D140,'VDSM MAPPING'!$A:$A,0))</f>
        <v>C&amp;I</v>
      </c>
      <c r="G140" s="241" t="str">
        <f>INDEX('VDSM MAPPING'!F:F,MATCH($D140,'VDSM MAPPING'!$A:$A,0))</f>
        <v>C&amp;I Prescriptive</v>
      </c>
      <c r="H140" s="241" t="str">
        <f>INDEX('VDSM MAPPING'!G:G,MATCH($D140,'VDSM MAPPING'!$A:$A,0))</f>
        <v>Lighting</v>
      </c>
      <c r="I140" s="241" t="str">
        <f>INDEX('VDSM MAPPING'!H:H,MATCH($D140,'VDSM MAPPING'!$A:$A,0))</f>
        <v>LED Parking Garage/Canopy (≥75W)</v>
      </c>
      <c r="J140" s="240">
        <f t="shared" si="24"/>
        <v>-0.11286531336220813</v>
      </c>
      <c r="K140" s="240">
        <f t="shared" si="25"/>
        <v>2.0846659860123062</v>
      </c>
      <c r="L140" s="240" t="b">
        <f t="shared" si="26"/>
        <v>0</v>
      </c>
      <c r="M140" s="240" t="b">
        <f t="shared" si="27"/>
        <v>1</v>
      </c>
      <c r="N140" s="204" t="s">
        <v>289</v>
      </c>
      <c r="O140" s="204" t="s">
        <v>2614</v>
      </c>
      <c r="P140" s="350">
        <v>1</v>
      </c>
      <c r="Q140" s="204" t="s">
        <v>2614</v>
      </c>
      <c r="R140" s="204" t="s">
        <v>2613</v>
      </c>
      <c r="S140" s="204" t="s">
        <v>2551</v>
      </c>
      <c r="T140" s="204" t="s">
        <v>2551</v>
      </c>
      <c r="U140" s="204" t="s">
        <v>2551</v>
      </c>
      <c r="V140" s="204" t="s">
        <v>2612</v>
      </c>
      <c r="W140" s="204" t="s">
        <v>329</v>
      </c>
      <c r="X140" s="204" t="s">
        <v>297</v>
      </c>
      <c r="Y140" s="204" t="s">
        <v>397</v>
      </c>
      <c r="Z140" s="204" t="s">
        <v>2211</v>
      </c>
      <c r="AA140" s="204" t="s">
        <v>2210</v>
      </c>
      <c r="AB140" s="204" t="s">
        <v>298</v>
      </c>
      <c r="AC140" s="204" t="s">
        <v>297</v>
      </c>
      <c r="AD140" s="204" t="s">
        <v>296</v>
      </c>
      <c r="AE140" s="204" t="s">
        <v>2209</v>
      </c>
      <c r="AF140" s="204" t="s">
        <v>2208</v>
      </c>
      <c r="AG140" s="204" t="s">
        <v>2129</v>
      </c>
      <c r="AH140" s="204" t="s">
        <v>2139</v>
      </c>
      <c r="AI140" s="204" t="s">
        <v>2127</v>
      </c>
      <c r="AJ140" s="204" t="s">
        <v>2126</v>
      </c>
      <c r="AX140" s="204">
        <v>4</v>
      </c>
      <c r="AY140" s="204">
        <v>0</v>
      </c>
      <c r="AZ140" s="204">
        <v>0.98798799999999998</v>
      </c>
      <c r="BB140" s="204">
        <v>4629.5159999999996</v>
      </c>
      <c r="BH140" s="204">
        <v>0</v>
      </c>
      <c r="BI140" s="204">
        <v>672</v>
      </c>
      <c r="BJ140" s="204">
        <v>42654</v>
      </c>
      <c r="BK140" s="204">
        <v>42654.793417361099</v>
      </c>
      <c r="BL140" s="204" t="s">
        <v>293</v>
      </c>
      <c r="BM140" s="204" t="s">
        <v>2615</v>
      </c>
      <c r="BN140" s="269">
        <f t="shared" si="28"/>
        <v>1157.3789999999999</v>
      </c>
      <c r="BO140" s="269">
        <f t="shared" si="29"/>
        <v>168</v>
      </c>
      <c r="BP140" s="269">
        <f>INDEX('App Data Outliers'!$M:$M,MATCH($E140,'App Data Outliers'!$A:$A,0))</f>
        <v>1175.7261559139786</v>
      </c>
      <c r="BQ140" s="269">
        <f>INDEX('App Data Outliers'!$N:$N,MATCH($E140,'App Data Outliers'!$A:$A,0))</f>
        <v>162.55796725694501</v>
      </c>
      <c r="BR140" s="269">
        <f>INDEX('App Data Outliers'!$S:$S,MATCH($E140,'App Data Outliers'!$A:$A,0))</f>
        <v>100.15639784946237</v>
      </c>
      <c r="BS140" s="269">
        <f>INDEX('App Data Outliers'!$T:$T,MATCH($E140,'App Data Outliers'!$A:$A,0))</f>
        <v>32.544111433560438</v>
      </c>
    </row>
    <row r="141" spans="1:71" s="204" customFormat="1" hidden="1">
      <c r="A141" s="241">
        <v>137</v>
      </c>
      <c r="B141" s="241" t="str">
        <f t="shared" si="20"/>
        <v>Non-Residential - BHPSD - C/I Prescriptive Rebate</v>
      </c>
      <c r="C141" s="241" t="b">
        <f t="shared" si="21"/>
        <v>1</v>
      </c>
      <c r="D141" s="241" t="str">
        <f t="shared" si="22"/>
        <v>Non-Residential - BHPSD - C/I Prescriptive Rebate_C&amp;I Prescriptive Rebate :- C&amp;I Lighting :- Customer Incentives_LED Fixtures Exterior &amp; Garage - 25W to 60W</v>
      </c>
      <c r="E141" s="241" t="str">
        <f t="shared" si="23"/>
        <v>C&amp;I_C&amp;I Prescriptive_Lighting_LED Parking Garage/Canopy (30-75W)</v>
      </c>
      <c r="F141" s="241" t="str">
        <f>INDEX('VDSM MAPPING'!E:E,MATCH($D141,'VDSM MAPPING'!$A:$A,0))</f>
        <v>C&amp;I</v>
      </c>
      <c r="G141" s="241" t="str">
        <f>INDEX('VDSM MAPPING'!F:F,MATCH($D141,'VDSM MAPPING'!$A:$A,0))</f>
        <v>C&amp;I Prescriptive</v>
      </c>
      <c r="H141" s="241" t="str">
        <f>INDEX('VDSM MAPPING'!G:G,MATCH($D141,'VDSM MAPPING'!$A:$A,0))</f>
        <v>Lighting</v>
      </c>
      <c r="I141" s="241" t="str">
        <f>INDEX('VDSM MAPPING'!H:H,MATCH($D141,'VDSM MAPPING'!$A:$A,0))</f>
        <v>LED Parking Garage/Canopy (30-75W)</v>
      </c>
      <c r="J141" s="240">
        <f t="shared" si="24"/>
        <v>0.76115918188076592</v>
      </c>
      <c r="K141" s="240">
        <f t="shared" si="25"/>
        <v>0.74402665660424805</v>
      </c>
      <c r="L141" s="240" t="b">
        <f t="shared" si="26"/>
        <v>0</v>
      </c>
      <c r="M141" s="240" t="b">
        <f t="shared" si="27"/>
        <v>0</v>
      </c>
      <c r="N141" s="204" t="s">
        <v>289</v>
      </c>
      <c r="O141" s="204" t="s">
        <v>2614</v>
      </c>
      <c r="P141" s="350">
        <v>0</v>
      </c>
      <c r="Q141" s="204" t="s">
        <v>2614</v>
      </c>
      <c r="R141" s="204" t="s">
        <v>2613</v>
      </c>
      <c r="S141" s="204" t="s">
        <v>2551</v>
      </c>
      <c r="T141" s="204" t="s">
        <v>2551</v>
      </c>
      <c r="U141" s="204" t="s">
        <v>2551</v>
      </c>
      <c r="V141" s="204" t="s">
        <v>2612</v>
      </c>
      <c r="W141" s="204" t="s">
        <v>329</v>
      </c>
      <c r="X141" s="204" t="s">
        <v>297</v>
      </c>
      <c r="Y141" s="204" t="s">
        <v>397</v>
      </c>
      <c r="Z141" s="204" t="s">
        <v>2211</v>
      </c>
      <c r="AA141" s="204" t="s">
        <v>2210</v>
      </c>
      <c r="AB141" s="204" t="s">
        <v>298</v>
      </c>
      <c r="AC141" s="204" t="s">
        <v>297</v>
      </c>
      <c r="AD141" s="204" t="s">
        <v>296</v>
      </c>
      <c r="AE141" s="204" t="s">
        <v>2209</v>
      </c>
      <c r="AF141" s="204" t="s">
        <v>2208</v>
      </c>
      <c r="AG141" s="204" t="s">
        <v>2129</v>
      </c>
      <c r="AH141" s="204" t="s">
        <v>2145</v>
      </c>
      <c r="AI141" s="204" t="s">
        <v>2127</v>
      </c>
      <c r="AJ141" s="204" t="s">
        <v>2126</v>
      </c>
      <c r="AX141" s="204">
        <v>3</v>
      </c>
      <c r="AY141" s="204">
        <v>0</v>
      </c>
      <c r="AZ141" s="204">
        <v>0.395034</v>
      </c>
      <c r="BB141" s="204">
        <v>1851.048</v>
      </c>
      <c r="BH141" s="204">
        <v>0</v>
      </c>
      <c r="BI141" s="204">
        <v>225</v>
      </c>
      <c r="BJ141" s="204">
        <v>42654</v>
      </c>
      <c r="BK141" s="204">
        <v>42654.793417361099</v>
      </c>
      <c r="BL141" s="204" t="s">
        <v>293</v>
      </c>
      <c r="BM141" s="204" t="s">
        <v>2611</v>
      </c>
      <c r="BN141" s="269">
        <f t="shared" si="28"/>
        <v>617.01599999999996</v>
      </c>
      <c r="BO141" s="269">
        <f t="shared" si="29"/>
        <v>75</v>
      </c>
      <c r="BP141" s="269">
        <f>INDEX('App Data Outliers'!$M:$M,MATCH($E141,'App Data Outliers'!$A:$A,0))</f>
        <v>540.38278358208959</v>
      </c>
      <c r="BQ141" s="269">
        <f>INDEX('App Data Outliers'!$N:$N,MATCH($E141,'App Data Outliers'!$A:$A,0))</f>
        <v>100.67961898397597</v>
      </c>
      <c r="BR141" s="269">
        <f>INDEX('App Data Outliers'!$S:$S,MATCH($E141,'App Data Outliers'!$A:$A,0))</f>
        <v>63.736940298507463</v>
      </c>
      <c r="BS141" s="269">
        <f>INDEX('App Data Outliers'!$T:$T,MATCH($E141,'App Data Outliers'!$A:$A,0))</f>
        <v>15.137978729011348</v>
      </c>
    </row>
    <row r="142" spans="1:71" s="204" customFormat="1" hidden="1">
      <c r="A142" s="241">
        <v>138</v>
      </c>
      <c r="B142" s="241" t="str">
        <f t="shared" si="20"/>
        <v>Non-Residential - BHPSD - C/I Prescriptive Rebate</v>
      </c>
      <c r="C142" s="241" t="b">
        <f t="shared" si="21"/>
        <v>1</v>
      </c>
      <c r="D142" s="241" t="str">
        <f t="shared" si="22"/>
        <v>Non-Residential - BHPSD - C/I Prescriptive Rebate_C&amp;I Prescriptive Rebate :- C&amp;I Lighting :- Customer Incentives_LED Replacement for T12 Linear Fluorescent Lamps - 4 ft or less</v>
      </c>
      <c r="E142" s="241" t="str">
        <f t="shared" si="23"/>
        <v>C&amp;I_C&amp;I Prescriptive_Lighting_LED Linear Replacement Lamp (≤4ft)</v>
      </c>
      <c r="F142" s="241" t="str">
        <f>INDEX('VDSM MAPPING'!E:E,MATCH($D142,'VDSM MAPPING'!$A:$A,0))</f>
        <v>C&amp;I</v>
      </c>
      <c r="G142" s="241" t="str">
        <f>INDEX('VDSM MAPPING'!F:F,MATCH($D142,'VDSM MAPPING'!$A:$A,0))</f>
        <v>C&amp;I Prescriptive</v>
      </c>
      <c r="H142" s="241" t="str">
        <f>INDEX('VDSM MAPPING'!G:G,MATCH($D142,'VDSM MAPPING'!$A:$A,0))</f>
        <v>Lighting</v>
      </c>
      <c r="I142" s="241" t="str">
        <f>INDEX('VDSM MAPPING'!H:H,MATCH($D142,'VDSM MAPPING'!$A:$A,0))</f>
        <v>LED Linear Replacement Lamp (≤4ft)</v>
      </c>
      <c r="J142" s="240">
        <f t="shared" si="24"/>
        <v>0.5090640635406195</v>
      </c>
      <c r="K142" s="240">
        <f t="shared" si="25"/>
        <v>1.3967384267971441</v>
      </c>
      <c r="L142" s="240" t="b">
        <f t="shared" si="26"/>
        <v>0</v>
      </c>
      <c r="M142" s="240" t="b">
        <f t="shared" si="27"/>
        <v>0</v>
      </c>
      <c r="N142" s="204" t="s">
        <v>289</v>
      </c>
      <c r="O142" s="204" t="s">
        <v>2609</v>
      </c>
      <c r="P142" s="350">
        <v>1</v>
      </c>
      <c r="Q142" s="204" t="s">
        <v>2609</v>
      </c>
      <c r="R142" s="204" t="s">
        <v>2608</v>
      </c>
      <c r="S142" s="204" t="s">
        <v>2607</v>
      </c>
      <c r="T142" s="204" t="s">
        <v>2607</v>
      </c>
      <c r="U142" s="204" t="s">
        <v>2607</v>
      </c>
      <c r="V142" s="204" t="s">
        <v>2606</v>
      </c>
      <c r="W142" s="204" t="s">
        <v>329</v>
      </c>
      <c r="X142" s="204" t="s">
        <v>297</v>
      </c>
      <c r="Y142" s="204" t="s">
        <v>397</v>
      </c>
      <c r="Z142" s="204" t="s">
        <v>2315</v>
      </c>
      <c r="AA142" s="204" t="s">
        <v>2314</v>
      </c>
      <c r="AB142" s="204" t="s">
        <v>2313</v>
      </c>
      <c r="AC142" s="204" t="s">
        <v>2312</v>
      </c>
      <c r="AD142" s="204" t="s">
        <v>2311</v>
      </c>
      <c r="AE142" s="204" t="s">
        <v>2310</v>
      </c>
      <c r="AG142" s="204" t="s">
        <v>2129</v>
      </c>
      <c r="AH142" s="204" t="s">
        <v>2147</v>
      </c>
      <c r="AI142" s="204" t="s">
        <v>2193</v>
      </c>
      <c r="AJ142" s="204" t="s">
        <v>2126</v>
      </c>
      <c r="AX142" s="204">
        <v>96</v>
      </c>
      <c r="AY142" s="204">
        <v>0</v>
      </c>
      <c r="AZ142" s="204">
        <v>2.8684799999999999</v>
      </c>
      <c r="BB142" s="204">
        <v>8385.2160000000003</v>
      </c>
      <c r="BH142" s="204">
        <v>0</v>
      </c>
      <c r="BI142" s="204">
        <v>1536</v>
      </c>
      <c r="BJ142" s="204">
        <v>42667</v>
      </c>
      <c r="BK142" s="204">
        <v>42667.512082060202</v>
      </c>
      <c r="BL142" s="204" t="s">
        <v>293</v>
      </c>
      <c r="BM142" s="204" t="s">
        <v>2610</v>
      </c>
      <c r="BN142" s="269">
        <f t="shared" si="28"/>
        <v>87.346000000000004</v>
      </c>
      <c r="BO142" s="269">
        <f t="shared" si="29"/>
        <v>16</v>
      </c>
      <c r="BP142" s="269">
        <f>INDEX('App Data Outliers'!$M:$M,MATCH($E142,'App Data Outliers'!$A:$A,0))</f>
        <v>71.928403166606657</v>
      </c>
      <c r="BQ142" s="269">
        <f>INDEX('App Data Outliers'!$N:$N,MATCH($E142,'App Data Outliers'!$A:$A,0))</f>
        <v>30.28616226838243</v>
      </c>
      <c r="BR142" s="269">
        <f>INDEX('App Data Outliers'!$S:$S,MATCH($E142,'App Data Outliers'!$A:$A,0))</f>
        <v>10.421419234256929</v>
      </c>
      <c r="BS142" s="269">
        <f>INDEX('App Data Outliers'!$T:$T,MATCH($E142,'App Data Outliers'!$A:$A,0))</f>
        <v>3.9940053618595535</v>
      </c>
    </row>
    <row r="143" spans="1:71" s="204" customFormat="1" hidden="1">
      <c r="A143" s="241">
        <v>139</v>
      </c>
      <c r="B143" s="241" t="str">
        <f t="shared" si="20"/>
        <v>Non-Residential - BHPSD - C/I Prescriptive Rebate</v>
      </c>
      <c r="C143" s="241" t="b">
        <f t="shared" si="21"/>
        <v>1</v>
      </c>
      <c r="D143" s="241" t="str">
        <f t="shared" si="22"/>
        <v>Non-Residential - BHPSD - C/I Prescriptive Rebate_C&amp;I Prescriptive Rebate :- C&amp;I Lighting :- Customer Incentives_LED Replacement for Linear Fluorescent Lamps - 5 to 8 f</v>
      </c>
      <c r="E143" s="241" t="str">
        <f t="shared" si="23"/>
        <v>C&amp;I_C&amp;I Prescriptive_Lighting_LED Linear Replacement Lamp (5-8ft)</v>
      </c>
      <c r="F143" s="241" t="str">
        <f>INDEX('VDSM MAPPING'!E:E,MATCH($D143,'VDSM MAPPING'!$A:$A,0))</f>
        <v>C&amp;I</v>
      </c>
      <c r="G143" s="241" t="str">
        <f>INDEX('VDSM MAPPING'!F:F,MATCH($D143,'VDSM MAPPING'!$A:$A,0))</f>
        <v>C&amp;I Prescriptive</v>
      </c>
      <c r="H143" s="241" t="str">
        <f>INDEX('VDSM MAPPING'!G:G,MATCH($D143,'VDSM MAPPING'!$A:$A,0))</f>
        <v>Lighting</v>
      </c>
      <c r="I143" s="241" t="str">
        <f>INDEX('VDSM MAPPING'!H:H,MATCH($D143,'VDSM MAPPING'!$A:$A,0))</f>
        <v>LED Linear Replacement Lamp (5-8ft)</v>
      </c>
      <c r="J143" s="240">
        <f t="shared" si="24"/>
        <v>-0.70350498037189668</v>
      </c>
      <c r="K143" s="240" t="str">
        <f t="shared" si="25"/>
        <v/>
      </c>
      <c r="L143" s="240" t="b">
        <f t="shared" si="26"/>
        <v>0</v>
      </c>
      <c r="M143" s="240" t="b">
        <f t="shared" si="27"/>
        <v>0</v>
      </c>
      <c r="N143" s="204" t="s">
        <v>289</v>
      </c>
      <c r="O143" s="204" t="s">
        <v>2609</v>
      </c>
      <c r="P143" s="350">
        <v>0</v>
      </c>
      <c r="Q143" s="204" t="s">
        <v>2609</v>
      </c>
      <c r="R143" s="204" t="s">
        <v>2608</v>
      </c>
      <c r="S143" s="204" t="s">
        <v>2607</v>
      </c>
      <c r="T143" s="204" t="s">
        <v>2607</v>
      </c>
      <c r="U143" s="204" t="s">
        <v>2607</v>
      </c>
      <c r="V143" s="204" t="s">
        <v>2606</v>
      </c>
      <c r="W143" s="204" t="s">
        <v>329</v>
      </c>
      <c r="X143" s="204" t="s">
        <v>297</v>
      </c>
      <c r="Y143" s="204" t="s">
        <v>397</v>
      </c>
      <c r="Z143" s="204" t="s">
        <v>2315</v>
      </c>
      <c r="AA143" s="204" t="s">
        <v>2314</v>
      </c>
      <c r="AB143" s="204" t="s">
        <v>2313</v>
      </c>
      <c r="AC143" s="204" t="s">
        <v>2312</v>
      </c>
      <c r="AD143" s="204" t="s">
        <v>2311</v>
      </c>
      <c r="AE143" s="204" t="s">
        <v>2310</v>
      </c>
      <c r="AG143" s="204" t="s">
        <v>2129</v>
      </c>
      <c r="AH143" s="204" t="s">
        <v>2408</v>
      </c>
      <c r="AI143" s="204" t="s">
        <v>2193</v>
      </c>
      <c r="AJ143" s="204" t="s">
        <v>2126</v>
      </c>
      <c r="AX143" s="204">
        <v>164</v>
      </c>
      <c r="AY143" s="204">
        <v>0</v>
      </c>
      <c r="AZ143" s="204">
        <v>7.5954959999999998</v>
      </c>
      <c r="BB143" s="204">
        <v>22203.304</v>
      </c>
      <c r="BH143" s="204">
        <v>0</v>
      </c>
      <c r="BI143" s="204">
        <v>3772</v>
      </c>
      <c r="BJ143" s="204">
        <v>42667</v>
      </c>
      <c r="BK143" s="204">
        <v>42667.512082060202</v>
      </c>
      <c r="BL143" s="204" t="s">
        <v>293</v>
      </c>
      <c r="BM143" s="204" t="s">
        <v>2605</v>
      </c>
      <c r="BN143" s="269">
        <f t="shared" si="28"/>
        <v>135.386</v>
      </c>
      <c r="BO143" s="269">
        <f t="shared" si="29"/>
        <v>23</v>
      </c>
      <c r="BP143" s="269">
        <f>INDEX('App Data Outliers'!$M:$M,MATCH($E143,'App Data Outliers'!$A:$A,0))</f>
        <v>159.23217764165389</v>
      </c>
      <c r="BQ143" s="269">
        <f>INDEX('App Data Outliers'!$N:$N,MATCH($E143,'App Data Outliers'!$A:$A,0))</f>
        <v>33.896245665592865</v>
      </c>
      <c r="BR143" s="269">
        <f>INDEX('App Data Outliers'!$S:$S,MATCH($E143,'App Data Outliers'!$A:$A,0))</f>
        <v>23</v>
      </c>
      <c r="BS143" s="269">
        <f>INDEX('App Data Outliers'!$T:$T,MATCH($E143,'App Data Outliers'!$A:$A,0))</f>
        <v>0</v>
      </c>
    </row>
    <row r="144" spans="1:71" s="204" customFormat="1" hidden="1">
      <c r="A144" s="241">
        <v>205</v>
      </c>
      <c r="B144" s="241" t="str">
        <f t="shared" ref="B144:B175" si="30">IF(N144="",B143,N144)</f>
        <v>Non-Residential - BHPSD - C/I Prescriptive Rebate</v>
      </c>
      <c r="C144" s="241" t="b">
        <f t="shared" ref="C144:C175" si="31">(N144="")</f>
        <v>1</v>
      </c>
      <c r="D144" s="241" t="str">
        <f t="shared" ref="D144:D175" si="32">B144&amp;"_"&amp;AG144&amp;"_"&amp;AH144</f>
        <v>Non-Residential - BHPSD - C/I Prescriptive Rebate_C&amp;I Prescriptive Rebate :- C&amp;I Lighting :- Customer Incentives_LED Replacement for T12 Linear Fluorescent Lamps - 4 ft or less</v>
      </c>
      <c r="E144" s="241" t="str">
        <f t="shared" ref="E144:E175" si="33">IFERROR(F144&amp;"_"&amp;G144&amp;"_"&amp;H144&amp;"_"&amp;I144,0)</f>
        <v>C&amp;I_C&amp;I Prescriptive_Lighting_LED Linear Replacement Lamp (≤4ft)</v>
      </c>
      <c r="F144" s="241" t="str">
        <f>INDEX('VDSM MAPPING'!E:E,MATCH($D144,'VDSM MAPPING'!$A:$A,0))</f>
        <v>C&amp;I</v>
      </c>
      <c r="G144" s="241" t="str">
        <f>INDEX('VDSM MAPPING'!F:F,MATCH($D144,'VDSM MAPPING'!$A:$A,0))</f>
        <v>C&amp;I Prescriptive</v>
      </c>
      <c r="H144" s="241" t="str">
        <f>INDEX('VDSM MAPPING'!G:G,MATCH($D144,'VDSM MAPPING'!$A:$A,0))</f>
        <v>Lighting</v>
      </c>
      <c r="I144" s="241" t="str">
        <f>INDEX('VDSM MAPPING'!H:H,MATCH($D144,'VDSM MAPPING'!$A:$A,0))</f>
        <v>LED Linear Replacement Lamp (≤4ft)</v>
      </c>
      <c r="J144" s="240">
        <f t="shared" ref="J144:J175" si="34">IFERROR(STANDARDIZE(BN144,BP144,BQ144),"")</f>
        <v>2.0923283799330266</v>
      </c>
      <c r="K144" s="240">
        <f t="shared" ref="K144:K175" si="35">IFERROR(STANDARDIZE($BO144,$BR144,$BS144),"")</f>
        <v>1.3967384267971441</v>
      </c>
      <c r="L144" s="240" t="b">
        <f t="shared" ref="L144:L175" si="36">AND(ISNUMBER(J144),OR(J144&gt;=L$1,J144&lt;=-L$1))</f>
        <v>1</v>
      </c>
      <c r="M144" s="240" t="b">
        <f t="shared" ref="M144:M175" si="37">AND(ISNUMBER(K144),OR(K144&gt;=M$1,K144&lt;=-M$1))</f>
        <v>0</v>
      </c>
      <c r="N144" s="204" t="s">
        <v>289</v>
      </c>
      <c r="O144" s="204" t="s">
        <v>2603</v>
      </c>
      <c r="P144" s="350">
        <v>1</v>
      </c>
      <c r="Q144" s="204" t="s">
        <v>2603</v>
      </c>
      <c r="R144" s="204" t="s">
        <v>2602</v>
      </c>
      <c r="S144" s="204" t="s">
        <v>2601</v>
      </c>
      <c r="T144" s="204" t="s">
        <v>2601</v>
      </c>
      <c r="U144" s="204" t="s">
        <v>2601</v>
      </c>
      <c r="V144" s="204" t="s">
        <v>2600</v>
      </c>
      <c r="W144" s="204" t="s">
        <v>329</v>
      </c>
      <c r="X144" s="204" t="s">
        <v>297</v>
      </c>
      <c r="Y144" s="204" t="s">
        <v>397</v>
      </c>
      <c r="Z144" s="204" t="s">
        <v>2599</v>
      </c>
      <c r="AA144" s="204" t="s">
        <v>2598</v>
      </c>
      <c r="AB144" s="204" t="s">
        <v>2597</v>
      </c>
      <c r="AC144" s="204" t="s">
        <v>297</v>
      </c>
      <c r="AD144" s="204" t="s">
        <v>2596</v>
      </c>
      <c r="AE144" s="204" t="s">
        <v>2595</v>
      </c>
      <c r="AG144" s="204" t="s">
        <v>2129</v>
      </c>
      <c r="AH144" s="204" t="s">
        <v>2147</v>
      </c>
      <c r="AI144" s="204" t="s">
        <v>2309</v>
      </c>
      <c r="AJ144" s="204" t="s">
        <v>2126</v>
      </c>
      <c r="AX144" s="204">
        <v>1120</v>
      </c>
      <c r="AY144" s="204">
        <v>0</v>
      </c>
      <c r="AZ144" s="204">
        <v>29.635200000000001</v>
      </c>
      <c r="BB144" s="242">
        <v>151532.64000000001</v>
      </c>
      <c r="BH144" s="204">
        <v>0</v>
      </c>
      <c r="BI144" s="204">
        <v>17920</v>
      </c>
      <c r="BJ144" s="204">
        <v>42670</v>
      </c>
      <c r="BK144" s="204">
        <v>42670.4809193287</v>
      </c>
      <c r="BL144" s="204" t="s">
        <v>293</v>
      </c>
      <c r="BM144" s="204" t="s">
        <v>2604</v>
      </c>
      <c r="BN144" s="243">
        <f t="shared" ref="BN144:BN175" si="38">IFERROR(BB144/$AX144,"")</f>
        <v>135.29700000000003</v>
      </c>
      <c r="BO144" s="243">
        <f t="shared" ref="BO144:BO175" si="39">BI144/$AX144</f>
        <v>16</v>
      </c>
      <c r="BP144" s="242">
        <f>INDEX('App Data Outliers'!$M:$M,MATCH($E144,'App Data Outliers'!$A:$A,0))</f>
        <v>71.928403166606657</v>
      </c>
      <c r="BQ144" s="242">
        <f>INDEX('App Data Outliers'!$N:$N,MATCH($E144,'App Data Outliers'!$A:$A,0))</f>
        <v>30.28616226838243</v>
      </c>
      <c r="BR144" s="242">
        <f>INDEX('App Data Outliers'!$S:$S,MATCH($E144,'App Data Outliers'!$A:$A,0))</f>
        <v>10.421419234256929</v>
      </c>
      <c r="BS144" s="242">
        <f>INDEX('App Data Outliers'!$T:$T,MATCH($E144,'App Data Outliers'!$A:$A,0))</f>
        <v>3.9940053618595535</v>
      </c>
    </row>
    <row r="145" spans="1:71" s="204" customFormat="1" hidden="1">
      <c r="A145" s="241">
        <v>141</v>
      </c>
      <c r="B145" s="241" t="str">
        <f t="shared" si="30"/>
        <v>Non-Residential - BHPSD - C/I Prescriptive Rebate</v>
      </c>
      <c r="C145" s="241" t="b">
        <f t="shared" si="31"/>
        <v>1</v>
      </c>
      <c r="D145" s="241" t="str">
        <f t="shared" si="32"/>
        <v>Non-Residential - BHPSD - C/I Prescriptive Rebate_C&amp;I Prescriptive Rebate :- C&amp;I Lighting :- Customer Incentives_LED Replacement for T8 Linear Fluorescent Lamps - 4 ft or less</v>
      </c>
      <c r="E145" s="241" t="str">
        <f t="shared" si="33"/>
        <v>C&amp;I_C&amp;I Prescriptive_Lighting_LED Linear Replacement Lamp (≤4ft)</v>
      </c>
      <c r="F145" s="241" t="str">
        <f>INDEX('VDSM MAPPING'!E:E,MATCH($D145,'VDSM MAPPING'!$A:$A,0))</f>
        <v>C&amp;I</v>
      </c>
      <c r="G145" s="241" t="str">
        <f>INDEX('VDSM MAPPING'!F:F,MATCH($D145,'VDSM MAPPING'!$A:$A,0))</f>
        <v>C&amp;I Prescriptive</v>
      </c>
      <c r="H145" s="241" t="str">
        <f>INDEX('VDSM MAPPING'!G:G,MATCH($D145,'VDSM MAPPING'!$A:$A,0))</f>
        <v>Lighting</v>
      </c>
      <c r="I145" s="241" t="str">
        <f>INDEX('VDSM MAPPING'!H:H,MATCH($D145,'VDSM MAPPING'!$A:$A,0))</f>
        <v>LED Linear Replacement Lamp (≤4ft)</v>
      </c>
      <c r="J145" s="240">
        <f t="shared" si="34"/>
        <v>-0.14129895787668634</v>
      </c>
      <c r="K145" s="240">
        <f t="shared" si="35"/>
        <v>-0.60626339097590731</v>
      </c>
      <c r="L145" s="240" t="b">
        <f t="shared" si="36"/>
        <v>0</v>
      </c>
      <c r="M145" s="240" t="b">
        <f t="shared" si="37"/>
        <v>0</v>
      </c>
      <c r="N145" s="204" t="s">
        <v>289</v>
      </c>
      <c r="O145" s="204" t="s">
        <v>2603</v>
      </c>
      <c r="P145" s="350">
        <v>0</v>
      </c>
      <c r="Q145" s="204" t="s">
        <v>2603</v>
      </c>
      <c r="R145" s="204" t="s">
        <v>2602</v>
      </c>
      <c r="S145" s="204" t="s">
        <v>2601</v>
      </c>
      <c r="T145" s="204" t="s">
        <v>2601</v>
      </c>
      <c r="U145" s="204" t="s">
        <v>2601</v>
      </c>
      <c r="V145" s="204" t="s">
        <v>2600</v>
      </c>
      <c r="W145" s="204" t="s">
        <v>329</v>
      </c>
      <c r="X145" s="204" t="s">
        <v>297</v>
      </c>
      <c r="Y145" s="204" t="s">
        <v>397</v>
      </c>
      <c r="Z145" s="204" t="s">
        <v>2599</v>
      </c>
      <c r="AA145" s="204" t="s">
        <v>2598</v>
      </c>
      <c r="AB145" s="204" t="s">
        <v>2597</v>
      </c>
      <c r="AC145" s="204" t="s">
        <v>297</v>
      </c>
      <c r="AD145" s="204" t="s">
        <v>2596</v>
      </c>
      <c r="AE145" s="204" t="s">
        <v>2595</v>
      </c>
      <c r="AG145" s="204" t="s">
        <v>2129</v>
      </c>
      <c r="AH145" s="204" t="s">
        <v>2173</v>
      </c>
      <c r="AI145" s="204" t="s">
        <v>2309</v>
      </c>
      <c r="AJ145" s="204" t="s">
        <v>2126</v>
      </c>
      <c r="AX145" s="204">
        <v>162</v>
      </c>
      <c r="AY145" s="204">
        <v>0</v>
      </c>
      <c r="AZ145" s="204">
        <v>2.1432600000000002</v>
      </c>
      <c r="BB145" s="204">
        <v>10959.138000000001</v>
      </c>
      <c r="BH145" s="204">
        <v>0</v>
      </c>
      <c r="BI145" s="204">
        <v>1296</v>
      </c>
      <c r="BJ145" s="204">
        <v>42670</v>
      </c>
      <c r="BK145" s="204">
        <v>42670.4809193287</v>
      </c>
      <c r="BL145" s="204" t="s">
        <v>293</v>
      </c>
      <c r="BM145" s="204" t="s">
        <v>2594</v>
      </c>
      <c r="BN145" s="269">
        <f t="shared" si="38"/>
        <v>67.649000000000001</v>
      </c>
      <c r="BO145" s="269">
        <f t="shared" si="39"/>
        <v>8</v>
      </c>
      <c r="BP145" s="269">
        <f>INDEX('App Data Outliers'!$M:$M,MATCH($E145,'App Data Outliers'!$A:$A,0))</f>
        <v>71.928403166606657</v>
      </c>
      <c r="BQ145" s="269">
        <f>INDEX('App Data Outliers'!$N:$N,MATCH($E145,'App Data Outliers'!$A:$A,0))</f>
        <v>30.28616226838243</v>
      </c>
      <c r="BR145" s="269">
        <f>INDEX('App Data Outliers'!$S:$S,MATCH($E145,'App Data Outliers'!$A:$A,0))</f>
        <v>10.421419234256929</v>
      </c>
      <c r="BS145" s="269">
        <f>INDEX('App Data Outliers'!$T:$T,MATCH($E145,'App Data Outliers'!$A:$A,0))</f>
        <v>3.9940053618595535</v>
      </c>
    </row>
    <row r="146" spans="1:71" s="204" customFormat="1" hidden="1">
      <c r="A146" s="241">
        <v>142</v>
      </c>
      <c r="B146" s="241" t="str">
        <f t="shared" si="30"/>
        <v>Non-Residential - BHPSD - C/I Prescriptive Rebate</v>
      </c>
      <c r="C146" s="241" t="b">
        <f t="shared" si="31"/>
        <v>1</v>
      </c>
      <c r="D146" s="241" t="str">
        <f t="shared" si="32"/>
        <v>Non-Residential - BHPSD - C/I Prescriptive Rebate_C&amp;I Prescriptive Rebate :- C&amp;I Lighting :- Customer Incentives_LED Fixtures Exterior &amp; Garage - 25W to 60W</v>
      </c>
      <c r="E146" s="241" t="str">
        <f t="shared" si="33"/>
        <v>C&amp;I_C&amp;I Prescriptive_Lighting_LED Parking Garage/Canopy (30-75W)</v>
      </c>
      <c r="F146" s="241" t="str">
        <f>INDEX('VDSM MAPPING'!E:E,MATCH($D146,'VDSM MAPPING'!$A:$A,0))</f>
        <v>C&amp;I</v>
      </c>
      <c r="G146" s="241" t="str">
        <f>INDEX('VDSM MAPPING'!F:F,MATCH($D146,'VDSM MAPPING'!$A:$A,0))</f>
        <v>C&amp;I Prescriptive</v>
      </c>
      <c r="H146" s="241" t="str">
        <f>INDEX('VDSM MAPPING'!G:G,MATCH($D146,'VDSM MAPPING'!$A:$A,0))</f>
        <v>Lighting</v>
      </c>
      <c r="I146" s="241" t="str">
        <f>INDEX('VDSM MAPPING'!H:H,MATCH($D146,'VDSM MAPPING'!$A:$A,0))</f>
        <v>LED Parking Garage/Canopy (30-75W)</v>
      </c>
      <c r="J146" s="240">
        <f t="shared" si="34"/>
        <v>0.76115918188076592</v>
      </c>
      <c r="K146" s="240">
        <f t="shared" si="35"/>
        <v>0.74402665660424805</v>
      </c>
      <c r="L146" s="240" t="b">
        <f t="shared" si="36"/>
        <v>0</v>
      </c>
      <c r="M146" s="240" t="b">
        <f t="shared" si="37"/>
        <v>0</v>
      </c>
      <c r="N146" s="204" t="s">
        <v>289</v>
      </c>
      <c r="O146" s="204" t="s">
        <v>2591</v>
      </c>
      <c r="P146" s="350">
        <v>1</v>
      </c>
      <c r="Q146" s="204" t="s">
        <v>2591</v>
      </c>
      <c r="R146" s="204" t="s">
        <v>2590</v>
      </c>
      <c r="S146" s="204" t="s">
        <v>2589</v>
      </c>
      <c r="T146" s="204" t="s">
        <v>2589</v>
      </c>
      <c r="U146" s="204" t="s">
        <v>2589</v>
      </c>
      <c r="V146" s="204" t="s">
        <v>2588</v>
      </c>
      <c r="W146" s="204" t="s">
        <v>329</v>
      </c>
      <c r="X146" s="204" t="s">
        <v>297</v>
      </c>
      <c r="Y146" s="204" t="s">
        <v>397</v>
      </c>
      <c r="Z146" s="204" t="s">
        <v>2315</v>
      </c>
      <c r="AA146" s="204" t="s">
        <v>2314</v>
      </c>
      <c r="AB146" s="204" t="s">
        <v>2313</v>
      </c>
      <c r="AC146" s="204" t="s">
        <v>2312</v>
      </c>
      <c r="AD146" s="204" t="s">
        <v>2311</v>
      </c>
      <c r="AE146" s="204" t="s">
        <v>2310</v>
      </c>
      <c r="AG146" s="204" t="s">
        <v>2129</v>
      </c>
      <c r="AH146" s="204" t="s">
        <v>2145</v>
      </c>
      <c r="AI146" s="204" t="s">
        <v>2127</v>
      </c>
      <c r="AJ146" s="204" t="s">
        <v>2126</v>
      </c>
      <c r="AX146" s="204">
        <v>6</v>
      </c>
      <c r="AY146" s="204">
        <v>0</v>
      </c>
      <c r="AZ146" s="204">
        <v>0.79006799999999999</v>
      </c>
      <c r="BB146" s="204">
        <v>3702.096</v>
      </c>
      <c r="BH146" s="204">
        <v>0</v>
      </c>
      <c r="BI146" s="204">
        <v>450</v>
      </c>
      <c r="BJ146" s="204">
        <v>42675</v>
      </c>
      <c r="BK146" s="204">
        <v>42674.699255590298</v>
      </c>
      <c r="BL146" s="204" t="s">
        <v>293</v>
      </c>
      <c r="BM146" s="204" t="s">
        <v>2592</v>
      </c>
      <c r="BN146" s="269">
        <f t="shared" si="38"/>
        <v>617.01599999999996</v>
      </c>
      <c r="BO146" s="269">
        <f t="shared" si="39"/>
        <v>75</v>
      </c>
      <c r="BP146" s="269">
        <f>INDEX('App Data Outliers'!$M:$M,MATCH($E146,'App Data Outliers'!$A:$A,0))</f>
        <v>540.38278358208959</v>
      </c>
      <c r="BQ146" s="269">
        <f>INDEX('App Data Outliers'!$N:$N,MATCH($E146,'App Data Outliers'!$A:$A,0))</f>
        <v>100.67961898397597</v>
      </c>
      <c r="BR146" s="269">
        <f>INDEX('App Data Outliers'!$S:$S,MATCH($E146,'App Data Outliers'!$A:$A,0))</f>
        <v>63.736940298507463</v>
      </c>
      <c r="BS146" s="269">
        <f>INDEX('App Data Outliers'!$T:$T,MATCH($E146,'App Data Outliers'!$A:$A,0))</f>
        <v>15.137978729011348</v>
      </c>
    </row>
    <row r="147" spans="1:71" s="204" customFormat="1" hidden="1">
      <c r="A147" s="241">
        <v>143</v>
      </c>
      <c r="B147" s="241" t="str">
        <f t="shared" si="30"/>
        <v>Non-Residential - BHPSD - C/I Prescriptive Rebate</v>
      </c>
      <c r="C147" s="241" t="b">
        <f t="shared" si="31"/>
        <v>1</v>
      </c>
      <c r="D147" s="241" t="str">
        <f t="shared" si="32"/>
        <v>Non-Residential - BHPSD - C/I Prescriptive Rebate_C&amp;I Prescriptive Rebate :- C&amp;I Lighting :- Customer Incentives_LED Replacement for T12 Linear Fluorescent Lamps - 4 ft or less</v>
      </c>
      <c r="E147" s="241" t="str">
        <f t="shared" si="33"/>
        <v>C&amp;I_C&amp;I Prescriptive_Lighting_LED Linear Replacement Lamp (≤4ft)</v>
      </c>
      <c r="F147" s="241" t="str">
        <f>INDEX('VDSM MAPPING'!E:E,MATCH($D147,'VDSM MAPPING'!$A:$A,0))</f>
        <v>C&amp;I</v>
      </c>
      <c r="G147" s="241" t="str">
        <f>INDEX('VDSM MAPPING'!F:F,MATCH($D147,'VDSM MAPPING'!$A:$A,0))</f>
        <v>C&amp;I Prescriptive</v>
      </c>
      <c r="H147" s="241" t="str">
        <f>INDEX('VDSM MAPPING'!G:G,MATCH($D147,'VDSM MAPPING'!$A:$A,0))</f>
        <v>Lighting</v>
      </c>
      <c r="I147" s="241" t="str">
        <f>INDEX('VDSM MAPPING'!H:H,MATCH($D147,'VDSM MAPPING'!$A:$A,0))</f>
        <v>LED Linear Replacement Lamp (≤4ft)</v>
      </c>
      <c r="J147" s="240">
        <f t="shared" si="34"/>
        <v>1.3746408826732119</v>
      </c>
      <c r="K147" s="240">
        <f t="shared" si="35"/>
        <v>1.3967384267971441</v>
      </c>
      <c r="L147" s="240" t="b">
        <f t="shared" si="36"/>
        <v>0</v>
      </c>
      <c r="M147" s="240" t="b">
        <f t="shared" si="37"/>
        <v>0</v>
      </c>
      <c r="N147" s="204" t="s">
        <v>289</v>
      </c>
      <c r="O147" s="204" t="s">
        <v>2591</v>
      </c>
      <c r="P147" s="350">
        <v>0</v>
      </c>
      <c r="Q147" s="204" t="s">
        <v>2591</v>
      </c>
      <c r="R147" s="204" t="s">
        <v>2590</v>
      </c>
      <c r="S147" s="204" t="s">
        <v>2589</v>
      </c>
      <c r="T147" s="204" t="s">
        <v>2589</v>
      </c>
      <c r="U147" s="204" t="s">
        <v>2589</v>
      </c>
      <c r="V147" s="204" t="s">
        <v>2588</v>
      </c>
      <c r="W147" s="204" t="s">
        <v>329</v>
      </c>
      <c r="X147" s="204" t="s">
        <v>297</v>
      </c>
      <c r="Y147" s="204" t="s">
        <v>397</v>
      </c>
      <c r="Z147" s="204" t="s">
        <v>2315</v>
      </c>
      <c r="AA147" s="204" t="s">
        <v>2314</v>
      </c>
      <c r="AB147" s="204" t="s">
        <v>2313</v>
      </c>
      <c r="AC147" s="204" t="s">
        <v>2312</v>
      </c>
      <c r="AD147" s="204" t="s">
        <v>2311</v>
      </c>
      <c r="AE147" s="204" t="s">
        <v>2310</v>
      </c>
      <c r="AG147" s="204" t="s">
        <v>2129</v>
      </c>
      <c r="AH147" s="204" t="s">
        <v>2147</v>
      </c>
      <c r="AI147" s="204" t="s">
        <v>2127</v>
      </c>
      <c r="AJ147" s="204" t="s">
        <v>2126</v>
      </c>
      <c r="AX147" s="204">
        <v>210</v>
      </c>
      <c r="AY147" s="204">
        <v>0</v>
      </c>
      <c r="AZ147" s="204">
        <v>5.0893920000000001</v>
      </c>
      <c r="BB147" s="204">
        <v>23847.81</v>
      </c>
      <c r="BH147" s="204">
        <v>0</v>
      </c>
      <c r="BI147" s="204">
        <v>3360</v>
      </c>
      <c r="BJ147" s="204">
        <v>42675</v>
      </c>
      <c r="BK147" s="204">
        <v>42674.699255590298</v>
      </c>
      <c r="BL147" s="204" t="s">
        <v>293</v>
      </c>
      <c r="BM147" s="204" t="s">
        <v>2587</v>
      </c>
      <c r="BN147" s="269">
        <f t="shared" si="38"/>
        <v>113.56100000000001</v>
      </c>
      <c r="BO147" s="269">
        <f t="shared" si="39"/>
        <v>16</v>
      </c>
      <c r="BP147" s="269">
        <f>INDEX('App Data Outliers'!$M:$M,MATCH($E147,'App Data Outliers'!$A:$A,0))</f>
        <v>71.928403166606657</v>
      </c>
      <c r="BQ147" s="269">
        <f>INDEX('App Data Outliers'!$N:$N,MATCH($E147,'App Data Outliers'!$A:$A,0))</f>
        <v>30.28616226838243</v>
      </c>
      <c r="BR147" s="269">
        <f>INDEX('App Data Outliers'!$S:$S,MATCH($E147,'App Data Outliers'!$A:$A,0))</f>
        <v>10.421419234256929</v>
      </c>
      <c r="BS147" s="269">
        <f>INDEX('App Data Outliers'!$T:$T,MATCH($E147,'App Data Outliers'!$A:$A,0))</f>
        <v>3.9940053618595535</v>
      </c>
    </row>
    <row r="148" spans="1:71" s="204" customFormat="1" hidden="1">
      <c r="A148" s="241">
        <v>144</v>
      </c>
      <c r="B148" s="241" t="str">
        <f t="shared" si="30"/>
        <v>Non-Residential - BHPSD - C/I Prescriptive Rebate</v>
      </c>
      <c r="C148" s="241" t="b">
        <f t="shared" si="31"/>
        <v>1</v>
      </c>
      <c r="D148" s="241" t="str">
        <f t="shared" si="32"/>
        <v>Non-Residential - BHPSD - C/I Prescriptive Rebate_C&amp;I Prescriptive Rebate :- C&amp;I Lighting :- Customer Incentives_LED Replacement for Linear Fluorescent Lamps - 5 to 8 f</v>
      </c>
      <c r="E148" s="241" t="str">
        <f t="shared" si="33"/>
        <v>C&amp;I_C&amp;I Prescriptive_Lighting_LED Linear Replacement Lamp (5-8ft)</v>
      </c>
      <c r="F148" s="241" t="str">
        <f>INDEX('VDSM MAPPING'!E:E,MATCH($D148,'VDSM MAPPING'!$A:$A,0))</f>
        <v>C&amp;I</v>
      </c>
      <c r="G148" s="241" t="str">
        <f>INDEX('VDSM MAPPING'!F:F,MATCH($D148,'VDSM MAPPING'!$A:$A,0))</f>
        <v>C&amp;I Prescriptive</v>
      </c>
      <c r="H148" s="241" t="str">
        <f>INDEX('VDSM MAPPING'!G:G,MATCH($D148,'VDSM MAPPING'!$A:$A,0))</f>
        <v>Lighting</v>
      </c>
      <c r="I148" s="241" t="str">
        <f>INDEX('VDSM MAPPING'!H:H,MATCH($D148,'VDSM MAPPING'!$A:$A,0))</f>
        <v>LED Linear Replacement Lamp (5-8ft)</v>
      </c>
      <c r="J148" s="240">
        <f t="shared" si="34"/>
        <v>0.49527084869422489</v>
      </c>
      <c r="K148" s="240" t="str">
        <f t="shared" si="35"/>
        <v/>
      </c>
      <c r="L148" s="240" t="b">
        <f t="shared" si="36"/>
        <v>0</v>
      </c>
      <c r="M148" s="240" t="b">
        <f t="shared" si="37"/>
        <v>0</v>
      </c>
      <c r="N148" s="204" t="s">
        <v>289</v>
      </c>
      <c r="O148" s="204" t="s">
        <v>2591</v>
      </c>
      <c r="P148" s="350">
        <v>0</v>
      </c>
      <c r="Q148" s="204" t="s">
        <v>2591</v>
      </c>
      <c r="R148" s="204" t="s">
        <v>2590</v>
      </c>
      <c r="S148" s="204" t="s">
        <v>2589</v>
      </c>
      <c r="T148" s="204" t="s">
        <v>2589</v>
      </c>
      <c r="U148" s="204" t="s">
        <v>2589</v>
      </c>
      <c r="V148" s="204" t="s">
        <v>2588</v>
      </c>
      <c r="W148" s="204" t="s">
        <v>329</v>
      </c>
      <c r="X148" s="204" t="s">
        <v>297</v>
      </c>
      <c r="Y148" s="204" t="s">
        <v>397</v>
      </c>
      <c r="Z148" s="204" t="s">
        <v>2315</v>
      </c>
      <c r="AA148" s="204" t="s">
        <v>2314</v>
      </c>
      <c r="AB148" s="204" t="s">
        <v>2313</v>
      </c>
      <c r="AC148" s="204" t="s">
        <v>2312</v>
      </c>
      <c r="AD148" s="204" t="s">
        <v>2311</v>
      </c>
      <c r="AE148" s="204" t="s">
        <v>2310</v>
      </c>
      <c r="AG148" s="204" t="s">
        <v>2129</v>
      </c>
      <c r="AH148" s="204" t="s">
        <v>2408</v>
      </c>
      <c r="AI148" s="204" t="s">
        <v>2127</v>
      </c>
      <c r="AJ148" s="204" t="s">
        <v>2126</v>
      </c>
      <c r="AX148" s="204">
        <v>169</v>
      </c>
      <c r="AY148" s="204">
        <v>0</v>
      </c>
      <c r="AZ148" s="204">
        <v>6.3484109999999996</v>
      </c>
      <c r="BB148" s="204">
        <v>29747.38</v>
      </c>
      <c r="BH148" s="204">
        <v>0</v>
      </c>
      <c r="BI148" s="204">
        <v>3887</v>
      </c>
      <c r="BJ148" s="204">
        <v>42675</v>
      </c>
      <c r="BK148" s="204">
        <v>42674.699255590298</v>
      </c>
      <c r="BL148" s="204" t="s">
        <v>293</v>
      </c>
      <c r="BM148" s="204" t="s">
        <v>2593</v>
      </c>
      <c r="BN148" s="269">
        <f t="shared" si="38"/>
        <v>176.02</v>
      </c>
      <c r="BO148" s="269">
        <f t="shared" si="39"/>
        <v>23</v>
      </c>
      <c r="BP148" s="269">
        <f>INDEX('App Data Outliers'!$M:$M,MATCH($E148,'App Data Outliers'!$A:$A,0))</f>
        <v>159.23217764165389</v>
      </c>
      <c r="BQ148" s="269">
        <f>INDEX('App Data Outliers'!$N:$N,MATCH($E148,'App Data Outliers'!$A:$A,0))</f>
        <v>33.896245665592865</v>
      </c>
      <c r="BR148" s="269">
        <f>INDEX('App Data Outliers'!$S:$S,MATCH($E148,'App Data Outliers'!$A:$A,0))</f>
        <v>23</v>
      </c>
      <c r="BS148" s="269">
        <f>INDEX('App Data Outliers'!$T:$T,MATCH($E148,'App Data Outliers'!$A:$A,0))</f>
        <v>0</v>
      </c>
    </row>
    <row r="149" spans="1:71" s="204" customFormat="1" hidden="1">
      <c r="A149" s="241">
        <v>145</v>
      </c>
      <c r="B149" s="241" t="str">
        <f t="shared" si="30"/>
        <v>Non-Residential - BHPSD - C/I Prescriptive Rebate</v>
      </c>
      <c r="C149" s="241" t="b">
        <f t="shared" si="31"/>
        <v>1</v>
      </c>
      <c r="D149" s="241" t="str">
        <f t="shared" si="32"/>
        <v>Non-Residential - BHPSD - C/I Prescriptive Rebate_C&amp;I Prescriptive Rebate :- C&amp;I Lighting :- Customer Incentives_LED Replacement for T12 Linear Fluorescent Lamps - 4 ft or less</v>
      </c>
      <c r="E149" s="241" t="str">
        <f t="shared" si="33"/>
        <v>C&amp;I_C&amp;I Prescriptive_Lighting_LED Linear Replacement Lamp (≤4ft)</v>
      </c>
      <c r="F149" s="241" t="str">
        <f>INDEX('VDSM MAPPING'!E:E,MATCH($D149,'VDSM MAPPING'!$A:$A,0))</f>
        <v>C&amp;I</v>
      </c>
      <c r="G149" s="241" t="str">
        <f>INDEX('VDSM MAPPING'!F:F,MATCH($D149,'VDSM MAPPING'!$A:$A,0))</f>
        <v>C&amp;I Prescriptive</v>
      </c>
      <c r="H149" s="241" t="str">
        <f>INDEX('VDSM MAPPING'!G:G,MATCH($D149,'VDSM MAPPING'!$A:$A,0))</f>
        <v>Lighting</v>
      </c>
      <c r="I149" s="241" t="str">
        <f>INDEX('VDSM MAPPING'!H:H,MATCH($D149,'VDSM MAPPING'!$A:$A,0))</f>
        <v>LED Linear Replacement Lamp (≤4ft)</v>
      </c>
      <c r="J149" s="240">
        <f t="shared" si="34"/>
        <v>0.92238813837952005</v>
      </c>
      <c r="K149" s="240">
        <f t="shared" si="35"/>
        <v>1.3967384267971441</v>
      </c>
      <c r="L149" s="240" t="b">
        <f t="shared" si="36"/>
        <v>0</v>
      </c>
      <c r="M149" s="240" t="b">
        <f t="shared" si="37"/>
        <v>0</v>
      </c>
      <c r="N149" s="204" t="s">
        <v>289</v>
      </c>
      <c r="O149" s="204" t="s">
        <v>2581</v>
      </c>
      <c r="P149" s="350">
        <v>1</v>
      </c>
      <c r="Q149" s="204" t="s">
        <v>2581</v>
      </c>
      <c r="R149" s="204" t="s">
        <v>2580</v>
      </c>
      <c r="S149" s="204" t="s">
        <v>2579</v>
      </c>
      <c r="T149" s="204" t="s">
        <v>2579</v>
      </c>
      <c r="U149" s="204" t="s">
        <v>2579</v>
      </c>
      <c r="V149" s="204" t="s">
        <v>2578</v>
      </c>
      <c r="W149" s="204" t="s">
        <v>308</v>
      </c>
      <c r="X149" s="204" t="s">
        <v>297</v>
      </c>
      <c r="Y149" s="204" t="s">
        <v>307</v>
      </c>
      <c r="Z149" s="204" t="s">
        <v>2315</v>
      </c>
      <c r="AA149" s="204" t="s">
        <v>2314</v>
      </c>
      <c r="AB149" s="204" t="s">
        <v>2313</v>
      </c>
      <c r="AC149" s="204" t="s">
        <v>2312</v>
      </c>
      <c r="AD149" s="204" t="s">
        <v>2311</v>
      </c>
      <c r="AE149" s="204" t="s">
        <v>2310</v>
      </c>
      <c r="AG149" s="204" t="s">
        <v>2129</v>
      </c>
      <c r="AH149" s="204" t="s">
        <v>2147</v>
      </c>
      <c r="AI149" s="204" t="s">
        <v>2172</v>
      </c>
      <c r="AJ149" s="204" t="s">
        <v>2126</v>
      </c>
      <c r="AX149" s="204">
        <v>37</v>
      </c>
      <c r="AY149" s="204">
        <v>0</v>
      </c>
      <c r="AZ149" s="204">
        <v>0.82717200000000002</v>
      </c>
      <c r="BB149" s="204">
        <v>3694.9679999999998</v>
      </c>
      <c r="BH149" s="204">
        <v>0</v>
      </c>
      <c r="BI149" s="204">
        <v>592</v>
      </c>
      <c r="BJ149" s="204">
        <v>42678</v>
      </c>
      <c r="BK149" s="204">
        <v>42678.695870451404</v>
      </c>
      <c r="BL149" s="204" t="s">
        <v>293</v>
      </c>
      <c r="BM149" s="204" t="s">
        <v>2584</v>
      </c>
      <c r="BN149" s="269">
        <f t="shared" si="38"/>
        <v>99.86399999999999</v>
      </c>
      <c r="BO149" s="269">
        <f t="shared" si="39"/>
        <v>16</v>
      </c>
      <c r="BP149" s="269">
        <f>INDEX('App Data Outliers'!$M:$M,MATCH($E149,'App Data Outliers'!$A:$A,0))</f>
        <v>71.928403166606657</v>
      </c>
      <c r="BQ149" s="269">
        <f>INDEX('App Data Outliers'!$N:$N,MATCH($E149,'App Data Outliers'!$A:$A,0))</f>
        <v>30.28616226838243</v>
      </c>
      <c r="BR149" s="269">
        <f>INDEX('App Data Outliers'!$S:$S,MATCH($E149,'App Data Outliers'!$A:$A,0))</f>
        <v>10.421419234256929</v>
      </c>
      <c r="BS149" s="269">
        <f>INDEX('App Data Outliers'!$T:$T,MATCH($E149,'App Data Outliers'!$A:$A,0))</f>
        <v>3.9940053618595535</v>
      </c>
    </row>
    <row r="150" spans="1:71" s="204" customFormat="1" hidden="1">
      <c r="A150" s="241">
        <v>146</v>
      </c>
      <c r="B150" s="241" t="str">
        <f t="shared" si="30"/>
        <v>Non-Residential - BHPSD - C/I Prescriptive Rebate</v>
      </c>
      <c r="C150" s="241" t="b">
        <f t="shared" si="31"/>
        <v>1</v>
      </c>
      <c r="D150" s="241" t="str">
        <f t="shared" si="32"/>
        <v>Non-Residential - BHPSD - C/I Prescriptive Rebate_C&amp;I Prescriptive Rebate :- C&amp;I Lighting :- Customer Incentives_LED Fixtures Exterior &amp; Garage - 60W to 150W</v>
      </c>
      <c r="E150" s="241" t="str">
        <f t="shared" si="33"/>
        <v>C&amp;I_C&amp;I Prescriptive_Lighting_LED Parking Garage/Canopy (≥75W)</v>
      </c>
      <c r="F150" s="241" t="str">
        <f>INDEX('VDSM MAPPING'!E:E,MATCH($D150,'VDSM MAPPING'!$A:$A,0))</f>
        <v>C&amp;I</v>
      </c>
      <c r="G150" s="241" t="str">
        <f>INDEX('VDSM MAPPING'!F:F,MATCH($D150,'VDSM MAPPING'!$A:$A,0))</f>
        <v>C&amp;I Prescriptive</v>
      </c>
      <c r="H150" s="241" t="str">
        <f>INDEX('VDSM MAPPING'!G:G,MATCH($D150,'VDSM MAPPING'!$A:$A,0))</f>
        <v>Lighting</v>
      </c>
      <c r="I150" s="241" t="str">
        <f>INDEX('VDSM MAPPING'!H:H,MATCH($D150,'VDSM MAPPING'!$A:$A,0))</f>
        <v>LED Parking Garage/Canopy (≥75W)</v>
      </c>
      <c r="J150" s="240">
        <f t="shared" si="34"/>
        <v>-0.97162359113610708</v>
      </c>
      <c r="K150" s="240">
        <f t="shared" si="35"/>
        <v>-4.8057188404622845E-3</v>
      </c>
      <c r="L150" s="240" t="b">
        <f t="shared" si="36"/>
        <v>0</v>
      </c>
      <c r="M150" s="240" t="b">
        <f t="shared" si="37"/>
        <v>0</v>
      </c>
      <c r="N150" s="204" t="s">
        <v>289</v>
      </c>
      <c r="O150" s="204" t="s">
        <v>2581</v>
      </c>
      <c r="P150" s="350">
        <v>0</v>
      </c>
      <c r="Q150" s="204" t="s">
        <v>2581</v>
      </c>
      <c r="R150" s="204" t="s">
        <v>2580</v>
      </c>
      <c r="S150" s="204" t="s">
        <v>2579</v>
      </c>
      <c r="T150" s="204" t="s">
        <v>2579</v>
      </c>
      <c r="U150" s="204" t="s">
        <v>2579</v>
      </c>
      <c r="V150" s="204" t="s">
        <v>2578</v>
      </c>
      <c r="W150" s="204" t="s">
        <v>308</v>
      </c>
      <c r="X150" s="204" t="s">
        <v>297</v>
      </c>
      <c r="Y150" s="204" t="s">
        <v>307</v>
      </c>
      <c r="Z150" s="204" t="s">
        <v>2315</v>
      </c>
      <c r="AA150" s="204" t="s">
        <v>2314</v>
      </c>
      <c r="AB150" s="204" t="s">
        <v>2313</v>
      </c>
      <c r="AC150" s="204" t="s">
        <v>2312</v>
      </c>
      <c r="AD150" s="204" t="s">
        <v>2311</v>
      </c>
      <c r="AE150" s="204" t="s">
        <v>2310</v>
      </c>
      <c r="AG150" s="204" t="s">
        <v>2129</v>
      </c>
      <c r="AH150" s="204" t="s">
        <v>2139</v>
      </c>
      <c r="AI150" s="204" t="s">
        <v>2172</v>
      </c>
      <c r="AJ150" s="204" t="s">
        <v>2126</v>
      </c>
      <c r="AX150" s="204">
        <v>2</v>
      </c>
      <c r="AY150" s="204">
        <v>0</v>
      </c>
      <c r="AZ150" s="204">
        <v>0.45568999999999998</v>
      </c>
      <c r="BB150" s="204">
        <v>2035.5619999999999</v>
      </c>
      <c r="BH150" s="204">
        <v>0</v>
      </c>
      <c r="BI150" s="204">
        <v>200</v>
      </c>
      <c r="BJ150" s="204">
        <v>42678</v>
      </c>
      <c r="BK150" s="204">
        <v>42678.695870451404</v>
      </c>
      <c r="BL150" s="204" t="s">
        <v>293</v>
      </c>
      <c r="BM150" s="204" t="s">
        <v>2583</v>
      </c>
      <c r="BN150" s="269">
        <f t="shared" si="38"/>
        <v>1017.7809999999999</v>
      </c>
      <c r="BO150" s="269">
        <f t="shared" si="39"/>
        <v>100</v>
      </c>
      <c r="BP150" s="269">
        <f>INDEX('App Data Outliers'!$M:$M,MATCH($E150,'App Data Outliers'!$A:$A,0))</f>
        <v>1175.7261559139786</v>
      </c>
      <c r="BQ150" s="269">
        <f>INDEX('App Data Outliers'!$N:$N,MATCH($E150,'App Data Outliers'!$A:$A,0))</f>
        <v>162.55796725694501</v>
      </c>
      <c r="BR150" s="269">
        <f>INDEX('App Data Outliers'!$S:$S,MATCH($E150,'App Data Outliers'!$A:$A,0))</f>
        <v>100.15639784946237</v>
      </c>
      <c r="BS150" s="269">
        <f>INDEX('App Data Outliers'!$T:$T,MATCH($E150,'App Data Outliers'!$A:$A,0))</f>
        <v>32.544111433560438</v>
      </c>
    </row>
    <row r="151" spans="1:71" s="204" customFormat="1" hidden="1">
      <c r="A151" s="241">
        <v>147</v>
      </c>
      <c r="B151" s="241" t="str">
        <f t="shared" si="30"/>
        <v>Non-Residential - BHPSD - C/I Prescriptive Rebate</v>
      </c>
      <c r="C151" s="241" t="b">
        <f t="shared" si="31"/>
        <v>1</v>
      </c>
      <c r="D151" s="241" t="str">
        <f t="shared" si="32"/>
        <v>Non-Residential - BHPSD - C/I Prescriptive Rebate_C&amp;I Prescriptive Rebate :- C&amp;I Lighting :- Customer Incentives_LED Fixtures Exterior &amp; Garage - 25W to 60W</v>
      </c>
      <c r="E151" s="241" t="str">
        <f t="shared" si="33"/>
        <v>C&amp;I_C&amp;I Prescriptive_Lighting_LED Parking Garage/Canopy (30-75W)</v>
      </c>
      <c r="F151" s="241" t="str">
        <f>INDEX('VDSM MAPPING'!E:E,MATCH($D151,'VDSM MAPPING'!$A:$A,0))</f>
        <v>C&amp;I</v>
      </c>
      <c r="G151" s="241" t="str">
        <f>INDEX('VDSM MAPPING'!F:F,MATCH($D151,'VDSM MAPPING'!$A:$A,0))</f>
        <v>C&amp;I Prescriptive</v>
      </c>
      <c r="H151" s="241" t="str">
        <f>INDEX('VDSM MAPPING'!G:G,MATCH($D151,'VDSM MAPPING'!$A:$A,0))</f>
        <v>Lighting</v>
      </c>
      <c r="I151" s="241" t="str">
        <f>INDEX('VDSM MAPPING'!H:H,MATCH($D151,'VDSM MAPPING'!$A:$A,0))</f>
        <v>LED Parking Garage/Canopy (30-75W)</v>
      </c>
      <c r="J151" s="240">
        <f t="shared" si="34"/>
        <v>2.1962900140318212E-2</v>
      </c>
      <c r="K151" s="240">
        <f t="shared" si="35"/>
        <v>0.74402665660424805</v>
      </c>
      <c r="L151" s="240" t="b">
        <f t="shared" si="36"/>
        <v>0</v>
      </c>
      <c r="M151" s="240" t="b">
        <f t="shared" si="37"/>
        <v>0</v>
      </c>
      <c r="N151" s="204" t="s">
        <v>289</v>
      </c>
      <c r="O151" s="204" t="s">
        <v>2581</v>
      </c>
      <c r="P151" s="350">
        <v>0</v>
      </c>
      <c r="Q151" s="204" t="s">
        <v>2581</v>
      </c>
      <c r="R151" s="204" t="s">
        <v>2580</v>
      </c>
      <c r="S151" s="204" t="s">
        <v>2579</v>
      </c>
      <c r="T151" s="204" t="s">
        <v>2579</v>
      </c>
      <c r="U151" s="204" t="s">
        <v>2579</v>
      </c>
      <c r="V151" s="204" t="s">
        <v>2578</v>
      </c>
      <c r="W151" s="204" t="s">
        <v>308</v>
      </c>
      <c r="X151" s="204" t="s">
        <v>297</v>
      </c>
      <c r="Y151" s="204" t="s">
        <v>307</v>
      </c>
      <c r="Z151" s="204" t="s">
        <v>2315</v>
      </c>
      <c r="AA151" s="204" t="s">
        <v>2314</v>
      </c>
      <c r="AB151" s="204" t="s">
        <v>2313</v>
      </c>
      <c r="AC151" s="204" t="s">
        <v>2312</v>
      </c>
      <c r="AD151" s="204" t="s">
        <v>2311</v>
      </c>
      <c r="AE151" s="204" t="s">
        <v>2310</v>
      </c>
      <c r="AG151" s="204" t="s">
        <v>2129</v>
      </c>
      <c r="AH151" s="204" t="s">
        <v>2145</v>
      </c>
      <c r="AI151" s="204" t="s">
        <v>2172</v>
      </c>
      <c r="AJ151" s="204" t="s">
        <v>2126</v>
      </c>
      <c r="AX151" s="204">
        <v>3</v>
      </c>
      <c r="AY151" s="204">
        <v>0</v>
      </c>
      <c r="AZ151" s="204">
        <v>0.36440299999999998</v>
      </c>
      <c r="BB151" s="204">
        <v>1627.7819999999999</v>
      </c>
      <c r="BH151" s="204">
        <v>0</v>
      </c>
      <c r="BI151" s="204">
        <v>225</v>
      </c>
      <c r="BJ151" s="204">
        <v>42678</v>
      </c>
      <c r="BK151" s="204">
        <v>42678.695870451404</v>
      </c>
      <c r="BL151" s="204" t="s">
        <v>293</v>
      </c>
      <c r="BM151" s="204" t="s">
        <v>2582</v>
      </c>
      <c r="BN151" s="269">
        <f t="shared" si="38"/>
        <v>542.59399999999994</v>
      </c>
      <c r="BO151" s="269">
        <f t="shared" si="39"/>
        <v>75</v>
      </c>
      <c r="BP151" s="269">
        <f>INDEX('App Data Outliers'!$M:$M,MATCH($E151,'App Data Outliers'!$A:$A,0))</f>
        <v>540.38278358208959</v>
      </c>
      <c r="BQ151" s="269">
        <f>INDEX('App Data Outliers'!$N:$N,MATCH($E151,'App Data Outliers'!$A:$A,0))</f>
        <v>100.67961898397597</v>
      </c>
      <c r="BR151" s="269">
        <f>INDEX('App Data Outliers'!$S:$S,MATCH($E151,'App Data Outliers'!$A:$A,0))</f>
        <v>63.736940298507463</v>
      </c>
      <c r="BS151" s="269">
        <f>INDEX('App Data Outliers'!$T:$T,MATCH($E151,'App Data Outliers'!$A:$A,0))</f>
        <v>15.137978729011348</v>
      </c>
    </row>
    <row r="152" spans="1:71" s="204" customFormat="1" hidden="1">
      <c r="A152" s="241">
        <v>148</v>
      </c>
      <c r="B152" s="241" t="str">
        <f t="shared" si="30"/>
        <v>Non-Residential - BHPSD - C/I Prescriptive Rebate</v>
      </c>
      <c r="C152" s="241" t="b">
        <f t="shared" si="31"/>
        <v>1</v>
      </c>
      <c r="D152" s="241" t="str">
        <f t="shared" si="32"/>
        <v>Non-Residential - BHPSD - C/I Prescriptive Rebate_C&amp;I Prescriptive Rebate :- C&amp;I Lighting :- Customer Incentives_Energy Star LED Lamps - 5W to 10W</v>
      </c>
      <c r="E152" s="241" t="str">
        <f t="shared" si="33"/>
        <v>C&amp;I_C&amp;I Prescriptive_Lighting_Energy Star LED Lamp (5-10W)</v>
      </c>
      <c r="F152" s="241" t="str">
        <f>INDEX('VDSM MAPPING'!E:E,MATCH($D152,'VDSM MAPPING'!$A:$A,0))</f>
        <v>C&amp;I</v>
      </c>
      <c r="G152" s="241" t="str">
        <f>INDEX('VDSM MAPPING'!F:F,MATCH($D152,'VDSM MAPPING'!$A:$A,0))</f>
        <v>C&amp;I Prescriptive</v>
      </c>
      <c r="H152" s="241" t="str">
        <f>INDEX('VDSM MAPPING'!G:G,MATCH($D152,'VDSM MAPPING'!$A:$A,0))</f>
        <v>Lighting</v>
      </c>
      <c r="I152" s="241" t="str">
        <f>INDEX('VDSM MAPPING'!H:H,MATCH($D152,'VDSM MAPPING'!$A:$A,0))</f>
        <v>Energy Star LED Lamp (5-10W)</v>
      </c>
      <c r="J152" s="240">
        <f t="shared" si="34"/>
        <v>-1.0613573967744179</v>
      </c>
      <c r="K152" s="240">
        <f t="shared" si="35"/>
        <v>0.53607136501803676</v>
      </c>
      <c r="L152" s="240" t="b">
        <f t="shared" si="36"/>
        <v>0</v>
      </c>
      <c r="M152" s="240" t="b">
        <f t="shared" si="37"/>
        <v>0</v>
      </c>
      <c r="N152" s="204" t="s">
        <v>289</v>
      </c>
      <c r="O152" s="204" t="s">
        <v>2581</v>
      </c>
      <c r="P152" s="350">
        <v>0</v>
      </c>
      <c r="Q152" s="204" t="s">
        <v>2581</v>
      </c>
      <c r="R152" s="204" t="s">
        <v>2580</v>
      </c>
      <c r="S152" s="204" t="s">
        <v>2579</v>
      </c>
      <c r="T152" s="204" t="s">
        <v>2579</v>
      </c>
      <c r="U152" s="204" t="s">
        <v>2579</v>
      </c>
      <c r="V152" s="204" t="s">
        <v>2578</v>
      </c>
      <c r="W152" s="204" t="s">
        <v>308</v>
      </c>
      <c r="X152" s="204" t="s">
        <v>297</v>
      </c>
      <c r="Y152" s="204" t="s">
        <v>307</v>
      </c>
      <c r="Z152" s="204" t="s">
        <v>2315</v>
      </c>
      <c r="AA152" s="204" t="s">
        <v>2314</v>
      </c>
      <c r="AB152" s="204" t="s">
        <v>2313</v>
      </c>
      <c r="AC152" s="204" t="s">
        <v>2312</v>
      </c>
      <c r="AD152" s="204" t="s">
        <v>2311</v>
      </c>
      <c r="AE152" s="204" t="s">
        <v>2310</v>
      </c>
      <c r="AG152" s="204" t="s">
        <v>2129</v>
      </c>
      <c r="AH152" s="204" t="s">
        <v>2128</v>
      </c>
      <c r="AI152" s="204" t="s">
        <v>2172</v>
      </c>
      <c r="AJ152" s="204" t="s">
        <v>2126</v>
      </c>
      <c r="AX152" s="204">
        <v>11</v>
      </c>
      <c r="AY152" s="204">
        <v>0</v>
      </c>
      <c r="AZ152" s="204">
        <v>0.245916</v>
      </c>
      <c r="BB152" s="204">
        <v>1098.5039999999999</v>
      </c>
      <c r="BH152" s="204">
        <v>0</v>
      </c>
      <c r="BI152" s="204">
        <v>66</v>
      </c>
      <c r="BJ152" s="204">
        <v>42678</v>
      </c>
      <c r="BK152" s="204">
        <v>42678.695870451404</v>
      </c>
      <c r="BL152" s="204" t="s">
        <v>293</v>
      </c>
      <c r="BM152" s="204" t="s">
        <v>2577</v>
      </c>
      <c r="BN152" s="269">
        <f t="shared" si="38"/>
        <v>99.86399999999999</v>
      </c>
      <c r="BO152" s="269">
        <f t="shared" si="39"/>
        <v>6</v>
      </c>
      <c r="BP152" s="269">
        <f>INDEX('App Data Outliers'!$M:$M,MATCH($E152,'App Data Outliers'!$A:$A,0))</f>
        <v>124.22266552020636</v>
      </c>
      <c r="BQ152" s="269">
        <f>INDEX('App Data Outliers'!$N:$N,MATCH($E152,'App Data Outliers'!$A:$A,0))</f>
        <v>22.950483592270654</v>
      </c>
      <c r="BR152" s="269">
        <f>INDEX('App Data Outliers'!$S:$S,MATCH($E152,'App Data Outliers'!$A:$A,0))</f>
        <v>4.8732072914875317</v>
      </c>
      <c r="BS152" s="269">
        <f>INDEX('App Data Outliers'!$T:$T,MATCH($E152,'App Data Outliers'!$A:$A,0))</f>
        <v>2.1019453416888925</v>
      </c>
    </row>
    <row r="153" spans="1:71" s="204" customFormat="1" hidden="1">
      <c r="A153" s="241">
        <v>149</v>
      </c>
      <c r="B153" s="241" t="str">
        <f t="shared" si="30"/>
        <v>Non-Residential - BHPSD - C/I Prescriptive Rebate</v>
      </c>
      <c r="C153" s="241" t="b">
        <f t="shared" si="31"/>
        <v>1</v>
      </c>
      <c r="D153" s="241" t="str">
        <f t="shared" si="32"/>
        <v>Non-Residential - BHPSD - C/I Prescriptive Rebate_C&amp;I Prescriptive Rebate :- C&amp;I Lighting :- Customer Incentives_LED Replacement for Linear Fluorescent Lamps - 5 to 8 f</v>
      </c>
      <c r="E153" s="241" t="str">
        <f t="shared" si="33"/>
        <v>C&amp;I_C&amp;I Prescriptive_Lighting_LED Linear Replacement Lamp (5-8ft)</v>
      </c>
      <c r="F153" s="241" t="str">
        <f>INDEX('VDSM MAPPING'!E:E,MATCH($D153,'VDSM MAPPING'!$A:$A,0))</f>
        <v>C&amp;I</v>
      </c>
      <c r="G153" s="241" t="str">
        <f>INDEX('VDSM MAPPING'!F:F,MATCH($D153,'VDSM MAPPING'!$A:$A,0))</f>
        <v>C&amp;I Prescriptive</v>
      </c>
      <c r="H153" s="241" t="str">
        <f>INDEX('VDSM MAPPING'!G:G,MATCH($D153,'VDSM MAPPING'!$A:$A,0))</f>
        <v>Lighting</v>
      </c>
      <c r="I153" s="241" t="str">
        <f>INDEX('VDSM MAPPING'!H:H,MATCH($D153,'VDSM MAPPING'!$A:$A,0))</f>
        <v>LED Linear Replacement Lamp (5-8ft)</v>
      </c>
      <c r="J153" s="240">
        <f t="shared" si="34"/>
        <v>-0.13108170401785971</v>
      </c>
      <c r="K153" s="240" t="str">
        <f t="shared" si="35"/>
        <v/>
      </c>
      <c r="L153" s="240" t="b">
        <f t="shared" si="36"/>
        <v>0</v>
      </c>
      <c r="M153" s="240" t="b">
        <f t="shared" si="37"/>
        <v>0</v>
      </c>
      <c r="N153" s="204" t="s">
        <v>289</v>
      </c>
      <c r="O153" s="204" t="s">
        <v>2581</v>
      </c>
      <c r="P153" s="350">
        <v>0</v>
      </c>
      <c r="Q153" s="204" t="s">
        <v>2581</v>
      </c>
      <c r="R153" s="204" t="s">
        <v>2580</v>
      </c>
      <c r="S153" s="204" t="s">
        <v>2579</v>
      </c>
      <c r="T153" s="204" t="s">
        <v>2579</v>
      </c>
      <c r="U153" s="204" t="s">
        <v>2579</v>
      </c>
      <c r="V153" s="204" t="s">
        <v>2578</v>
      </c>
      <c r="W153" s="204" t="s">
        <v>308</v>
      </c>
      <c r="X153" s="204" t="s">
        <v>297</v>
      </c>
      <c r="Y153" s="204" t="s">
        <v>307</v>
      </c>
      <c r="Z153" s="204" t="s">
        <v>2315</v>
      </c>
      <c r="AA153" s="204" t="s">
        <v>2314</v>
      </c>
      <c r="AB153" s="204" t="s">
        <v>2313</v>
      </c>
      <c r="AC153" s="204" t="s">
        <v>2312</v>
      </c>
      <c r="AD153" s="204" t="s">
        <v>2311</v>
      </c>
      <c r="AE153" s="204" t="s">
        <v>2310</v>
      </c>
      <c r="AG153" s="204" t="s">
        <v>2129</v>
      </c>
      <c r="AH153" s="204" t="s">
        <v>2408</v>
      </c>
      <c r="AI153" s="204" t="s">
        <v>2172</v>
      </c>
      <c r="AJ153" s="204" t="s">
        <v>2126</v>
      </c>
      <c r="AX153" s="204">
        <v>248</v>
      </c>
      <c r="AY153" s="204">
        <v>0</v>
      </c>
      <c r="AZ153" s="204">
        <v>8.5936459999999997</v>
      </c>
      <c r="BB153" s="204">
        <v>38387.671999999999</v>
      </c>
      <c r="BH153" s="204">
        <v>0</v>
      </c>
      <c r="BI153" s="204">
        <v>5704</v>
      </c>
      <c r="BJ153" s="204">
        <v>42678</v>
      </c>
      <c r="BK153" s="204">
        <v>42678.695870451404</v>
      </c>
      <c r="BL153" s="204" t="s">
        <v>293</v>
      </c>
      <c r="BM153" s="204" t="s">
        <v>2586</v>
      </c>
      <c r="BN153" s="269">
        <f t="shared" si="38"/>
        <v>154.78899999999999</v>
      </c>
      <c r="BO153" s="269">
        <f t="shared" si="39"/>
        <v>23</v>
      </c>
      <c r="BP153" s="269">
        <f>INDEX('App Data Outliers'!$M:$M,MATCH($E153,'App Data Outliers'!$A:$A,0))</f>
        <v>159.23217764165389</v>
      </c>
      <c r="BQ153" s="269">
        <f>INDEX('App Data Outliers'!$N:$N,MATCH($E153,'App Data Outliers'!$A:$A,0))</f>
        <v>33.896245665592865</v>
      </c>
      <c r="BR153" s="269">
        <f>INDEX('App Data Outliers'!$S:$S,MATCH($E153,'App Data Outliers'!$A:$A,0))</f>
        <v>23</v>
      </c>
      <c r="BS153" s="269">
        <f>INDEX('App Data Outliers'!$T:$T,MATCH($E153,'App Data Outliers'!$A:$A,0))</f>
        <v>0</v>
      </c>
    </row>
    <row r="154" spans="1:71" s="204" customFormat="1" hidden="1">
      <c r="A154" s="241">
        <v>150</v>
      </c>
      <c r="B154" s="241" t="str">
        <f t="shared" si="30"/>
        <v>Non-Residential - BHPSD - C/I Prescriptive Rebate</v>
      </c>
      <c r="C154" s="241" t="b">
        <f t="shared" si="31"/>
        <v>1</v>
      </c>
      <c r="D154" s="241" t="str">
        <f t="shared" si="32"/>
        <v>Non-Residential - BHPSD - C/I Prescriptive Rebate_C&amp;I Prescriptive Rebate :- C&amp;I Lighting :- Customer Incentives_Energy Star LED Lamps - 10W or greater</v>
      </c>
      <c r="E154" s="241" t="str">
        <f t="shared" si="33"/>
        <v>C&amp;I_C&amp;I Prescriptive_Lighting_Energy Star LED Lamp (&gt;10W)</v>
      </c>
      <c r="F154" s="241" t="str">
        <f>INDEX('VDSM MAPPING'!E:E,MATCH($D154,'VDSM MAPPING'!$A:$A,0))</f>
        <v>C&amp;I</v>
      </c>
      <c r="G154" s="241" t="str">
        <f>INDEX('VDSM MAPPING'!F:F,MATCH($D154,'VDSM MAPPING'!$A:$A,0))</f>
        <v>C&amp;I Prescriptive</v>
      </c>
      <c r="H154" s="241" t="str">
        <f>INDEX('VDSM MAPPING'!G:G,MATCH($D154,'VDSM MAPPING'!$A:$A,0))</f>
        <v>Lighting</v>
      </c>
      <c r="I154" s="241" t="str">
        <f>INDEX('VDSM MAPPING'!H:H,MATCH($D154,'VDSM MAPPING'!$A:$A,0))</f>
        <v>Energy Star LED Lamp (&gt;10W)</v>
      </c>
      <c r="J154" s="240">
        <f t="shared" si="34"/>
        <v>-0.7122026650250356</v>
      </c>
      <c r="K154" s="240">
        <f t="shared" si="35"/>
        <v>-0.72393672035293133</v>
      </c>
      <c r="L154" s="240" t="b">
        <f t="shared" si="36"/>
        <v>0</v>
      </c>
      <c r="M154" s="240" t="b">
        <f t="shared" si="37"/>
        <v>0</v>
      </c>
      <c r="N154" s="204" t="s">
        <v>289</v>
      </c>
      <c r="O154" s="204" t="s">
        <v>2581</v>
      </c>
      <c r="P154" s="350">
        <v>0</v>
      </c>
      <c r="Q154" s="204" t="s">
        <v>2581</v>
      </c>
      <c r="R154" s="204" t="s">
        <v>2580</v>
      </c>
      <c r="S154" s="204" t="s">
        <v>2579</v>
      </c>
      <c r="T154" s="204" t="s">
        <v>2579</v>
      </c>
      <c r="U154" s="204" t="s">
        <v>2579</v>
      </c>
      <c r="V154" s="204" t="s">
        <v>2578</v>
      </c>
      <c r="W154" s="204" t="s">
        <v>308</v>
      </c>
      <c r="X154" s="204" t="s">
        <v>297</v>
      </c>
      <c r="Y154" s="204" t="s">
        <v>307</v>
      </c>
      <c r="Z154" s="204" t="s">
        <v>2315</v>
      </c>
      <c r="AA154" s="204" t="s">
        <v>2314</v>
      </c>
      <c r="AB154" s="204" t="s">
        <v>2313</v>
      </c>
      <c r="AC154" s="204" t="s">
        <v>2312</v>
      </c>
      <c r="AD154" s="204" t="s">
        <v>2311</v>
      </c>
      <c r="AE154" s="204" t="s">
        <v>2310</v>
      </c>
      <c r="AG154" s="204" t="s">
        <v>2129</v>
      </c>
      <c r="AH154" s="204" t="s">
        <v>2166</v>
      </c>
      <c r="AI154" s="204" t="s">
        <v>2172</v>
      </c>
      <c r="AJ154" s="204" t="s">
        <v>2126</v>
      </c>
      <c r="AX154" s="204">
        <v>1</v>
      </c>
      <c r="AY154" s="204">
        <v>0</v>
      </c>
      <c r="AZ154" s="204">
        <v>3.5396999999999998E-2</v>
      </c>
      <c r="BB154" s="204">
        <v>158.11799999999999</v>
      </c>
      <c r="BH154" s="204">
        <v>0</v>
      </c>
      <c r="BI154" s="204">
        <v>8</v>
      </c>
      <c r="BJ154" s="204">
        <v>42678</v>
      </c>
      <c r="BK154" s="204">
        <v>42678.695870451404</v>
      </c>
      <c r="BL154" s="204" t="s">
        <v>293</v>
      </c>
      <c r="BM154" s="204" t="s">
        <v>2585</v>
      </c>
      <c r="BN154" s="269">
        <f t="shared" si="38"/>
        <v>158.11799999999999</v>
      </c>
      <c r="BO154" s="269">
        <f t="shared" si="39"/>
        <v>8</v>
      </c>
      <c r="BP154" s="269">
        <f>INDEX('App Data Outliers'!$M:$M,MATCH($E154,'App Data Outliers'!$A:$A,0))</f>
        <v>183.5885054112554</v>
      </c>
      <c r="BQ154" s="269">
        <f>INDEX('App Data Outliers'!$N:$N,MATCH($E154,'App Data Outliers'!$A:$A,0))</f>
        <v>35.763002108901198</v>
      </c>
      <c r="BR154" s="269">
        <f>INDEX('App Data Outliers'!$S:$S,MATCH($E154,'App Data Outliers'!$A:$A,0))</f>
        <v>9.5846103896103898</v>
      </c>
      <c r="BS154" s="269">
        <f>INDEX('App Data Outliers'!$T:$T,MATCH($E154,'App Data Outliers'!$A:$A,0))</f>
        <v>2.1888796977142775</v>
      </c>
    </row>
    <row r="155" spans="1:71" s="204" customFormat="1" hidden="1">
      <c r="A155" s="241">
        <v>151</v>
      </c>
      <c r="B155" s="241" t="str">
        <f t="shared" si="30"/>
        <v>Non-Residential - BHPSD - C/I Prescriptive Rebate</v>
      </c>
      <c r="C155" s="241" t="b">
        <f t="shared" si="31"/>
        <v>1</v>
      </c>
      <c r="D155" s="241" t="str">
        <f t="shared" si="32"/>
        <v>Non-Residential - BHPSD - C/I Prescriptive Rebate_C&amp;I Prescriptive Rebate :- C&amp;I Lighting :- Customer Incentives_LED Fixtures Exterior &amp; Garage - 25W to 60W</v>
      </c>
      <c r="E155" s="241" t="str">
        <f t="shared" si="33"/>
        <v>C&amp;I_C&amp;I Prescriptive_Lighting_LED Parking Garage/Canopy (30-75W)</v>
      </c>
      <c r="F155" s="241" t="str">
        <f>INDEX('VDSM MAPPING'!E:E,MATCH($D155,'VDSM MAPPING'!$A:$A,0))</f>
        <v>C&amp;I</v>
      </c>
      <c r="G155" s="241" t="str">
        <f>INDEX('VDSM MAPPING'!F:F,MATCH($D155,'VDSM MAPPING'!$A:$A,0))</f>
        <v>C&amp;I Prescriptive</v>
      </c>
      <c r="H155" s="241" t="str">
        <f>INDEX('VDSM MAPPING'!G:G,MATCH($D155,'VDSM MAPPING'!$A:$A,0))</f>
        <v>Lighting</v>
      </c>
      <c r="I155" s="241" t="str">
        <f>INDEX('VDSM MAPPING'!H:H,MATCH($D155,'VDSM MAPPING'!$A:$A,0))</f>
        <v>LED Parking Garage/Canopy (30-75W)</v>
      </c>
      <c r="J155" s="240">
        <f t="shared" si="34"/>
        <v>-1.5999443105533322</v>
      </c>
      <c r="K155" s="240">
        <f t="shared" si="35"/>
        <v>0.74402665660424805</v>
      </c>
      <c r="L155" s="240" t="b">
        <f t="shared" si="36"/>
        <v>0</v>
      </c>
      <c r="M155" s="240" t="b">
        <f t="shared" si="37"/>
        <v>0</v>
      </c>
      <c r="N155" s="204" t="s">
        <v>289</v>
      </c>
      <c r="O155" s="204" t="s">
        <v>2574</v>
      </c>
      <c r="P155" s="350">
        <v>1</v>
      </c>
      <c r="Q155" s="204" t="s">
        <v>2574</v>
      </c>
      <c r="R155" s="204" t="s">
        <v>722</v>
      </c>
      <c r="S155" s="204" t="s">
        <v>2573</v>
      </c>
      <c r="T155" s="204" t="s">
        <v>2573</v>
      </c>
      <c r="U155" s="204" t="s">
        <v>658</v>
      </c>
      <c r="V155" s="204" t="s">
        <v>719</v>
      </c>
      <c r="W155" s="204" t="s">
        <v>298</v>
      </c>
      <c r="X155" s="204" t="s">
        <v>297</v>
      </c>
      <c r="Y155" s="204" t="s">
        <v>296</v>
      </c>
      <c r="Z155" s="204" t="s">
        <v>2340</v>
      </c>
      <c r="AA155" s="204" t="s">
        <v>2339</v>
      </c>
      <c r="AB155" s="204" t="s">
        <v>298</v>
      </c>
      <c r="AC155" s="204" t="s">
        <v>297</v>
      </c>
      <c r="AD155" s="204" t="s">
        <v>296</v>
      </c>
      <c r="AE155" s="204" t="s">
        <v>2338</v>
      </c>
      <c r="AG155" s="204" t="s">
        <v>2129</v>
      </c>
      <c r="AH155" s="204" t="s">
        <v>2145</v>
      </c>
      <c r="AI155" s="204" t="s">
        <v>2373</v>
      </c>
      <c r="AJ155" s="204" t="s">
        <v>2126</v>
      </c>
      <c r="AX155" s="204">
        <v>31</v>
      </c>
      <c r="AY155" s="204">
        <v>0</v>
      </c>
      <c r="AZ155" s="204">
        <v>1.280632</v>
      </c>
      <c r="BB155" s="242">
        <v>11758.331</v>
      </c>
      <c r="BH155" s="204">
        <v>0</v>
      </c>
      <c r="BI155" s="204">
        <v>2325</v>
      </c>
      <c r="BJ155" s="204">
        <v>42718</v>
      </c>
      <c r="BK155" s="204">
        <v>42681.4730405093</v>
      </c>
      <c r="BL155" s="204" t="s">
        <v>293</v>
      </c>
      <c r="BM155" s="204" t="s">
        <v>2575</v>
      </c>
      <c r="BN155" s="243">
        <f t="shared" si="38"/>
        <v>379.30099999999999</v>
      </c>
      <c r="BO155" s="243">
        <f t="shared" si="39"/>
        <v>75</v>
      </c>
      <c r="BP155" s="242">
        <f>INDEX('App Data Outliers'!$M:$M,MATCH($E155,'App Data Outliers'!$A:$A,0))</f>
        <v>540.38278358208959</v>
      </c>
      <c r="BQ155" s="242">
        <f>INDEX('App Data Outliers'!$N:$N,MATCH($E155,'App Data Outliers'!$A:$A,0))</f>
        <v>100.67961898397597</v>
      </c>
      <c r="BR155" s="242">
        <f>INDEX('App Data Outliers'!$S:$S,MATCH($E155,'App Data Outliers'!$A:$A,0))</f>
        <v>63.736940298507463</v>
      </c>
      <c r="BS155" s="242">
        <f>INDEX('App Data Outliers'!$T:$T,MATCH($E155,'App Data Outliers'!$A:$A,0))</f>
        <v>15.137978729011348</v>
      </c>
    </row>
    <row r="156" spans="1:71" s="204" customFormat="1" hidden="1">
      <c r="A156" s="241">
        <v>152</v>
      </c>
      <c r="B156" s="241" t="str">
        <f t="shared" si="30"/>
        <v>Non-Residential - BHPSD - C/I Prescriptive Rebate</v>
      </c>
      <c r="C156" s="241" t="b">
        <f t="shared" si="31"/>
        <v>1</v>
      </c>
      <c r="D156" s="241" t="str">
        <f t="shared" si="32"/>
        <v>Non-Residential - BHPSD - C/I Prescriptive Rebate_C&amp;I Prescriptive Rebate :- C&amp;I Lighting :- Customer Incentives_Energy Star LED Lamps - 10W or greater</v>
      </c>
      <c r="E156" s="241" t="str">
        <f t="shared" si="33"/>
        <v>C&amp;I_C&amp;I Prescriptive_Lighting_Energy Star LED Lamp (&gt;10W)</v>
      </c>
      <c r="F156" s="241" t="str">
        <f>INDEX('VDSM MAPPING'!E:E,MATCH($D156,'VDSM MAPPING'!$A:$A,0))</f>
        <v>C&amp;I</v>
      </c>
      <c r="G156" s="241" t="str">
        <f>INDEX('VDSM MAPPING'!F:F,MATCH($D156,'VDSM MAPPING'!$A:$A,0))</f>
        <v>C&amp;I Prescriptive</v>
      </c>
      <c r="H156" s="241" t="str">
        <f>INDEX('VDSM MAPPING'!G:G,MATCH($D156,'VDSM MAPPING'!$A:$A,0))</f>
        <v>Lighting</v>
      </c>
      <c r="I156" s="241" t="str">
        <f>INDEX('VDSM MAPPING'!H:H,MATCH($D156,'VDSM MAPPING'!$A:$A,0))</f>
        <v>Energy Star LED Lamp (&gt;10W)</v>
      </c>
      <c r="J156" s="240">
        <f t="shared" si="34"/>
        <v>-2.0427676957542755</v>
      </c>
      <c r="K156" s="240">
        <f t="shared" si="35"/>
        <v>-0.6462714196159739</v>
      </c>
      <c r="L156" s="240" t="b">
        <f t="shared" si="36"/>
        <v>1</v>
      </c>
      <c r="M156" s="240" t="b">
        <f t="shared" si="37"/>
        <v>0</v>
      </c>
      <c r="N156" s="204" t="s">
        <v>289</v>
      </c>
      <c r="O156" s="204" t="s">
        <v>2574</v>
      </c>
      <c r="P156" s="350">
        <v>0</v>
      </c>
      <c r="Q156" s="204" t="s">
        <v>2574</v>
      </c>
      <c r="R156" s="204" t="s">
        <v>722</v>
      </c>
      <c r="S156" s="204" t="s">
        <v>2573</v>
      </c>
      <c r="T156" s="204" t="s">
        <v>2573</v>
      </c>
      <c r="U156" s="204" t="s">
        <v>658</v>
      </c>
      <c r="V156" s="204" t="s">
        <v>719</v>
      </c>
      <c r="W156" s="204" t="s">
        <v>298</v>
      </c>
      <c r="X156" s="204" t="s">
        <v>297</v>
      </c>
      <c r="Y156" s="204" t="s">
        <v>296</v>
      </c>
      <c r="Z156" s="204" t="s">
        <v>2340</v>
      </c>
      <c r="AA156" s="204" t="s">
        <v>2339</v>
      </c>
      <c r="AB156" s="204" t="s">
        <v>298</v>
      </c>
      <c r="AC156" s="204" t="s">
        <v>297</v>
      </c>
      <c r="AD156" s="204" t="s">
        <v>296</v>
      </c>
      <c r="AE156" s="204" t="s">
        <v>2338</v>
      </c>
      <c r="AG156" s="204" t="s">
        <v>2129</v>
      </c>
      <c r="AH156" s="204" t="s">
        <v>2166</v>
      </c>
      <c r="AI156" s="204" t="s">
        <v>2373</v>
      </c>
      <c r="AJ156" s="204" t="s">
        <v>2126</v>
      </c>
      <c r="AX156" s="204">
        <v>2</v>
      </c>
      <c r="AY156" s="204">
        <v>0</v>
      </c>
      <c r="AZ156" s="204">
        <v>2.4077000000000001E-2</v>
      </c>
      <c r="BB156" s="204">
        <v>221.066</v>
      </c>
      <c r="BH156" s="204">
        <v>0</v>
      </c>
      <c r="BI156" s="204">
        <v>16.34</v>
      </c>
      <c r="BJ156" s="204">
        <v>42718</v>
      </c>
      <c r="BK156" s="204">
        <v>42681.4730405093</v>
      </c>
      <c r="BL156" s="204" t="s">
        <v>293</v>
      </c>
      <c r="BM156" s="204" t="s">
        <v>2576</v>
      </c>
      <c r="BN156" s="269">
        <f t="shared" si="38"/>
        <v>110.533</v>
      </c>
      <c r="BO156" s="269">
        <f t="shared" si="39"/>
        <v>8.17</v>
      </c>
      <c r="BP156" s="269">
        <f>INDEX('App Data Outliers'!$M:$M,MATCH($E156,'App Data Outliers'!$A:$A,0))</f>
        <v>183.5885054112554</v>
      </c>
      <c r="BQ156" s="269">
        <f>INDEX('App Data Outliers'!$N:$N,MATCH($E156,'App Data Outliers'!$A:$A,0))</f>
        <v>35.763002108901198</v>
      </c>
      <c r="BR156" s="269">
        <f>INDEX('App Data Outliers'!$S:$S,MATCH($E156,'App Data Outliers'!$A:$A,0))</f>
        <v>9.5846103896103898</v>
      </c>
      <c r="BS156" s="269">
        <f>INDEX('App Data Outliers'!$T:$T,MATCH($E156,'App Data Outliers'!$A:$A,0))</f>
        <v>2.1888796977142775</v>
      </c>
    </row>
    <row r="157" spans="1:71" s="204" customFormat="1" hidden="1">
      <c r="A157" s="241">
        <v>153</v>
      </c>
      <c r="B157" s="241" t="str">
        <f t="shared" si="30"/>
        <v>Non-Residential - BHPSD - C/I Prescriptive Rebate</v>
      </c>
      <c r="C157" s="241" t="b">
        <f t="shared" si="31"/>
        <v>1</v>
      </c>
      <c r="D157" s="241" t="str">
        <f t="shared" si="32"/>
        <v>Non-Residential - BHPSD - C/I Prescriptive Rebate_C&amp;I Prescriptive Rebate :- C&amp;I Lighting :- Customer Incentives_LED Fixtures Exterior &amp; Garage - 25W to 60W</v>
      </c>
      <c r="E157" s="241" t="str">
        <f t="shared" si="33"/>
        <v>C&amp;I_C&amp;I Prescriptive_Lighting_LED Parking Garage/Canopy (30-75W)</v>
      </c>
      <c r="F157" s="241" t="str">
        <f>INDEX('VDSM MAPPING'!E:E,MATCH($D157,'VDSM MAPPING'!$A:$A,0))</f>
        <v>C&amp;I</v>
      </c>
      <c r="G157" s="241" t="str">
        <f>INDEX('VDSM MAPPING'!F:F,MATCH($D157,'VDSM MAPPING'!$A:$A,0))</f>
        <v>C&amp;I Prescriptive</v>
      </c>
      <c r="H157" s="241" t="str">
        <f>INDEX('VDSM MAPPING'!G:G,MATCH($D157,'VDSM MAPPING'!$A:$A,0))</f>
        <v>Lighting</v>
      </c>
      <c r="I157" s="241" t="str">
        <f>INDEX('VDSM MAPPING'!H:H,MATCH($D157,'VDSM MAPPING'!$A:$A,0))</f>
        <v>LED Parking Garage/Canopy (30-75W)</v>
      </c>
      <c r="J157" s="240">
        <f t="shared" si="34"/>
        <v>-1.5999443105533322</v>
      </c>
      <c r="K157" s="240">
        <f t="shared" si="35"/>
        <v>0.74402665660424805</v>
      </c>
      <c r="L157" s="240" t="b">
        <f t="shared" si="36"/>
        <v>0</v>
      </c>
      <c r="M157" s="240" t="b">
        <f t="shared" si="37"/>
        <v>0</v>
      </c>
      <c r="N157" s="204" t="s">
        <v>289</v>
      </c>
      <c r="O157" s="204" t="s">
        <v>2574</v>
      </c>
      <c r="P157" s="350">
        <v>0</v>
      </c>
      <c r="Q157" s="204" t="s">
        <v>2574</v>
      </c>
      <c r="R157" s="204" t="s">
        <v>722</v>
      </c>
      <c r="S157" s="204" t="s">
        <v>2573</v>
      </c>
      <c r="T157" s="204" t="s">
        <v>2573</v>
      </c>
      <c r="U157" s="204" t="s">
        <v>658</v>
      </c>
      <c r="V157" s="204" t="s">
        <v>719</v>
      </c>
      <c r="W157" s="204" t="s">
        <v>298</v>
      </c>
      <c r="X157" s="204" t="s">
        <v>297</v>
      </c>
      <c r="Y157" s="204" t="s">
        <v>296</v>
      </c>
      <c r="Z157" s="204" t="s">
        <v>2340</v>
      </c>
      <c r="AA157" s="204" t="s">
        <v>2339</v>
      </c>
      <c r="AB157" s="204" t="s">
        <v>298</v>
      </c>
      <c r="AC157" s="204" t="s">
        <v>297</v>
      </c>
      <c r="AD157" s="204" t="s">
        <v>296</v>
      </c>
      <c r="AE157" s="204" t="s">
        <v>2338</v>
      </c>
      <c r="AG157" s="204" t="s">
        <v>2129</v>
      </c>
      <c r="AH157" s="204" t="s">
        <v>2145</v>
      </c>
      <c r="AI157" s="204" t="s">
        <v>2373</v>
      </c>
      <c r="AJ157" s="204" t="s">
        <v>2126</v>
      </c>
      <c r="AX157" s="204">
        <v>1</v>
      </c>
      <c r="AY157" s="204">
        <v>0</v>
      </c>
      <c r="AZ157" s="204">
        <v>4.1311E-2</v>
      </c>
      <c r="BB157" s="204">
        <v>379.30099999999999</v>
      </c>
      <c r="BH157" s="204">
        <v>0</v>
      </c>
      <c r="BI157" s="204">
        <v>75</v>
      </c>
      <c r="BJ157" s="204">
        <v>42718</v>
      </c>
      <c r="BK157" s="204">
        <v>42681.4730405093</v>
      </c>
      <c r="BL157" s="204" t="s">
        <v>293</v>
      </c>
      <c r="BM157" s="204" t="s">
        <v>2572</v>
      </c>
      <c r="BN157" s="269">
        <f t="shared" si="38"/>
        <v>379.30099999999999</v>
      </c>
      <c r="BO157" s="269">
        <f t="shared" si="39"/>
        <v>75</v>
      </c>
      <c r="BP157" s="269">
        <f>INDEX('App Data Outliers'!$M:$M,MATCH($E157,'App Data Outliers'!$A:$A,0))</f>
        <v>540.38278358208959</v>
      </c>
      <c r="BQ157" s="269">
        <f>INDEX('App Data Outliers'!$N:$N,MATCH($E157,'App Data Outliers'!$A:$A,0))</f>
        <v>100.67961898397597</v>
      </c>
      <c r="BR157" s="269">
        <f>INDEX('App Data Outliers'!$S:$S,MATCH($E157,'App Data Outliers'!$A:$A,0))</f>
        <v>63.736940298507463</v>
      </c>
      <c r="BS157" s="269">
        <f>INDEX('App Data Outliers'!$T:$T,MATCH($E157,'App Data Outliers'!$A:$A,0))</f>
        <v>15.137978729011348</v>
      </c>
    </row>
    <row r="158" spans="1:71" s="204" customFormat="1" hidden="1">
      <c r="A158" s="241">
        <v>154</v>
      </c>
      <c r="B158" s="241" t="str">
        <f t="shared" si="30"/>
        <v>Non-Residential - BHPSD - C/I Prescriptive Rebate</v>
      </c>
      <c r="C158" s="241" t="b">
        <f t="shared" si="31"/>
        <v>1</v>
      </c>
      <c r="D158" s="241" t="str">
        <f t="shared" si="32"/>
        <v>Non-Residential - BHPSD - C/I Prescriptive Rebate_C&amp;I Prescriptive Rebate :- C&amp;I Lighting :- Customer Incentives_LED Replacement for T8 Linear Fluorescent Lamps - 4 ft or less</v>
      </c>
      <c r="E158" s="241" t="str">
        <f t="shared" si="33"/>
        <v>C&amp;I_C&amp;I Prescriptive_Lighting_LED Linear Replacement Lamp (≤4ft)</v>
      </c>
      <c r="F158" s="241" t="str">
        <f>INDEX('VDSM MAPPING'!E:E,MATCH($D158,'VDSM MAPPING'!$A:$A,0))</f>
        <v>C&amp;I</v>
      </c>
      <c r="G158" s="241" t="str">
        <f>INDEX('VDSM MAPPING'!F:F,MATCH($D158,'VDSM MAPPING'!$A:$A,0))</f>
        <v>C&amp;I Prescriptive</v>
      </c>
      <c r="H158" s="241" t="str">
        <f>INDEX('VDSM MAPPING'!G:G,MATCH($D158,'VDSM MAPPING'!$A:$A,0))</f>
        <v>Lighting</v>
      </c>
      <c r="I158" s="241" t="str">
        <f>INDEX('VDSM MAPPING'!H:H,MATCH($D158,'VDSM MAPPING'!$A:$A,0))</f>
        <v>LED Linear Replacement Lamp (≤4ft)</v>
      </c>
      <c r="J158" s="240">
        <f t="shared" si="34"/>
        <v>-0.93294762526264974</v>
      </c>
      <c r="K158" s="240">
        <f t="shared" si="35"/>
        <v>-0.60626339097590731</v>
      </c>
      <c r="L158" s="240" t="b">
        <f t="shared" si="36"/>
        <v>0</v>
      </c>
      <c r="M158" s="240" t="b">
        <f t="shared" si="37"/>
        <v>0</v>
      </c>
      <c r="N158" s="204" t="s">
        <v>289</v>
      </c>
      <c r="O158" s="204" t="s">
        <v>2569</v>
      </c>
      <c r="P158" s="350">
        <v>1</v>
      </c>
      <c r="Q158" s="204" t="s">
        <v>2569</v>
      </c>
      <c r="R158" s="204" t="s">
        <v>2568</v>
      </c>
      <c r="S158" s="204" t="s">
        <v>2567</v>
      </c>
      <c r="T158" s="204" t="s">
        <v>2567</v>
      </c>
      <c r="U158" s="204" t="s">
        <v>2567</v>
      </c>
      <c r="V158" s="204" t="s">
        <v>2566</v>
      </c>
      <c r="W158" s="204" t="s">
        <v>329</v>
      </c>
      <c r="X158" s="204" t="s">
        <v>297</v>
      </c>
      <c r="Y158" s="204" t="s">
        <v>397</v>
      </c>
      <c r="Z158" s="204" t="s">
        <v>2565</v>
      </c>
      <c r="AA158" s="204" t="s">
        <v>2564</v>
      </c>
      <c r="AB158" s="204" t="s">
        <v>2563</v>
      </c>
      <c r="AC158" s="204" t="s">
        <v>2562</v>
      </c>
      <c r="AD158" s="204" t="s">
        <v>2561</v>
      </c>
      <c r="AE158" s="204" t="s">
        <v>2560</v>
      </c>
      <c r="AG158" s="204" t="s">
        <v>2129</v>
      </c>
      <c r="AH158" s="204" t="s">
        <v>2173</v>
      </c>
      <c r="AI158" s="204" t="s">
        <v>2193</v>
      </c>
      <c r="AJ158" s="204" t="s">
        <v>2126</v>
      </c>
      <c r="AX158" s="204">
        <v>400</v>
      </c>
      <c r="AY158" s="204">
        <v>0</v>
      </c>
      <c r="AZ158" s="204">
        <v>5.976</v>
      </c>
      <c r="BB158" s="204">
        <v>17469.2</v>
      </c>
      <c r="BH158" s="204">
        <v>0</v>
      </c>
      <c r="BI158" s="204">
        <v>3200</v>
      </c>
      <c r="BJ158" s="204">
        <v>42772</v>
      </c>
      <c r="BK158" s="204">
        <v>42683.771857210602</v>
      </c>
      <c r="BL158" s="204" t="s">
        <v>293</v>
      </c>
      <c r="BM158" s="204" t="s">
        <v>2571</v>
      </c>
      <c r="BN158" s="269">
        <f t="shared" si="38"/>
        <v>43.673000000000002</v>
      </c>
      <c r="BO158" s="269">
        <f t="shared" si="39"/>
        <v>8</v>
      </c>
      <c r="BP158" s="269">
        <f>INDEX('App Data Outliers'!$M:$M,MATCH($E158,'App Data Outliers'!$A:$A,0))</f>
        <v>71.928403166606657</v>
      </c>
      <c r="BQ158" s="269">
        <f>INDEX('App Data Outliers'!$N:$N,MATCH($E158,'App Data Outliers'!$A:$A,0))</f>
        <v>30.28616226838243</v>
      </c>
      <c r="BR158" s="269">
        <f>INDEX('App Data Outliers'!$S:$S,MATCH($E158,'App Data Outliers'!$A:$A,0))</f>
        <v>10.421419234256929</v>
      </c>
      <c r="BS158" s="269">
        <f>INDEX('App Data Outliers'!$T:$T,MATCH($E158,'App Data Outliers'!$A:$A,0))</f>
        <v>3.9940053618595535</v>
      </c>
    </row>
    <row r="159" spans="1:71" s="204" customFormat="1" hidden="1">
      <c r="A159" s="241">
        <v>155</v>
      </c>
      <c r="B159" s="241" t="str">
        <f t="shared" si="30"/>
        <v>Non-Residential - BHPSD - C/I Prescriptive Rebate</v>
      </c>
      <c r="C159" s="241" t="b">
        <f t="shared" si="31"/>
        <v>1</v>
      </c>
      <c r="D159" s="241" t="str">
        <f t="shared" si="32"/>
        <v>Non-Residential - BHPSD - C/I Prescriptive Rebate_C&amp;I Prescriptive Rebate :- C&amp;I Lighting :- Customer Incentives_LED Replacement for T8 Linear Fluorescent Lamps - 4 ft or less</v>
      </c>
      <c r="E159" s="241" t="str">
        <f t="shared" si="33"/>
        <v>C&amp;I_C&amp;I Prescriptive_Lighting_LED Linear Replacement Lamp (≤4ft)</v>
      </c>
      <c r="F159" s="241" t="str">
        <f>INDEX('VDSM MAPPING'!E:E,MATCH($D159,'VDSM MAPPING'!$A:$A,0))</f>
        <v>C&amp;I</v>
      </c>
      <c r="G159" s="241" t="str">
        <f>INDEX('VDSM MAPPING'!F:F,MATCH($D159,'VDSM MAPPING'!$A:$A,0))</f>
        <v>C&amp;I Prescriptive</v>
      </c>
      <c r="H159" s="241" t="str">
        <f>INDEX('VDSM MAPPING'!G:G,MATCH($D159,'VDSM MAPPING'!$A:$A,0))</f>
        <v>Lighting</v>
      </c>
      <c r="I159" s="241" t="str">
        <f>INDEX('VDSM MAPPING'!H:H,MATCH($D159,'VDSM MAPPING'!$A:$A,0))</f>
        <v>LED Linear Replacement Lamp (≤4ft)</v>
      </c>
      <c r="J159" s="240">
        <f t="shared" si="34"/>
        <v>-0.93294762526264974</v>
      </c>
      <c r="K159" s="240">
        <f t="shared" si="35"/>
        <v>-0.60626339097590731</v>
      </c>
      <c r="L159" s="240" t="b">
        <f t="shared" si="36"/>
        <v>0</v>
      </c>
      <c r="M159" s="240" t="b">
        <f t="shared" si="37"/>
        <v>0</v>
      </c>
      <c r="N159" s="204" t="s">
        <v>289</v>
      </c>
      <c r="O159" s="204" t="s">
        <v>2569</v>
      </c>
      <c r="P159" s="350">
        <v>0</v>
      </c>
      <c r="Q159" s="204" t="s">
        <v>2569</v>
      </c>
      <c r="R159" s="204" t="s">
        <v>2568</v>
      </c>
      <c r="S159" s="204" t="s">
        <v>2567</v>
      </c>
      <c r="T159" s="204" t="s">
        <v>2567</v>
      </c>
      <c r="U159" s="204" t="s">
        <v>2567</v>
      </c>
      <c r="V159" s="204" t="s">
        <v>2566</v>
      </c>
      <c r="W159" s="204" t="s">
        <v>329</v>
      </c>
      <c r="X159" s="204" t="s">
        <v>297</v>
      </c>
      <c r="Y159" s="204" t="s">
        <v>397</v>
      </c>
      <c r="Z159" s="204" t="s">
        <v>2565</v>
      </c>
      <c r="AA159" s="204" t="s">
        <v>2564</v>
      </c>
      <c r="AB159" s="204" t="s">
        <v>2563</v>
      </c>
      <c r="AC159" s="204" t="s">
        <v>2562</v>
      </c>
      <c r="AD159" s="204" t="s">
        <v>2561</v>
      </c>
      <c r="AE159" s="204" t="s">
        <v>2560</v>
      </c>
      <c r="AG159" s="204" t="s">
        <v>2129</v>
      </c>
      <c r="AH159" s="204" t="s">
        <v>2173</v>
      </c>
      <c r="AI159" s="204" t="s">
        <v>2193</v>
      </c>
      <c r="AJ159" s="204" t="s">
        <v>2126</v>
      </c>
      <c r="AX159" s="204">
        <v>1224</v>
      </c>
      <c r="AY159" s="204">
        <v>0</v>
      </c>
      <c r="AZ159" s="204">
        <v>18.286560000000001</v>
      </c>
      <c r="BB159" s="204">
        <v>53455.752</v>
      </c>
      <c r="BH159" s="204">
        <v>0</v>
      </c>
      <c r="BI159" s="204">
        <v>9792</v>
      </c>
      <c r="BJ159" s="204">
        <v>42772</v>
      </c>
      <c r="BK159" s="204">
        <v>42683.771857210602</v>
      </c>
      <c r="BL159" s="204" t="s">
        <v>293</v>
      </c>
      <c r="BM159" s="204" t="s">
        <v>2570</v>
      </c>
      <c r="BN159" s="269">
        <f t="shared" si="38"/>
        <v>43.673000000000002</v>
      </c>
      <c r="BO159" s="269">
        <f t="shared" si="39"/>
        <v>8</v>
      </c>
      <c r="BP159" s="269">
        <f>INDEX('App Data Outliers'!$M:$M,MATCH($E159,'App Data Outliers'!$A:$A,0))</f>
        <v>71.928403166606657</v>
      </c>
      <c r="BQ159" s="269">
        <f>INDEX('App Data Outliers'!$N:$N,MATCH($E159,'App Data Outliers'!$A:$A,0))</f>
        <v>30.28616226838243</v>
      </c>
      <c r="BR159" s="269">
        <f>INDEX('App Data Outliers'!$S:$S,MATCH($E159,'App Data Outliers'!$A:$A,0))</f>
        <v>10.421419234256929</v>
      </c>
      <c r="BS159" s="269">
        <f>INDEX('App Data Outliers'!$T:$T,MATCH($E159,'App Data Outliers'!$A:$A,0))</f>
        <v>3.9940053618595535</v>
      </c>
    </row>
    <row r="160" spans="1:71" s="204" customFormat="1" hidden="1">
      <c r="A160" s="241">
        <v>156</v>
      </c>
      <c r="B160" s="241" t="str">
        <f t="shared" si="30"/>
        <v>Non-Residential - BHPSD - C/I Prescriptive Rebate</v>
      </c>
      <c r="C160" s="241" t="b">
        <f t="shared" si="31"/>
        <v>1</v>
      </c>
      <c r="D160" s="241" t="str">
        <f t="shared" si="32"/>
        <v>Non-Residential - BHPSD - C/I Prescriptive Rebate_C&amp;I Prescriptive Rebate :- C&amp;I Lighting :- Customer Incentives_LED Fixtures Exterior &amp; Garage - 25W to 60W</v>
      </c>
      <c r="E160" s="241" t="str">
        <f t="shared" si="33"/>
        <v>C&amp;I_C&amp;I Prescriptive_Lighting_LED Parking Garage/Canopy (30-75W)</v>
      </c>
      <c r="F160" s="241" t="str">
        <f>INDEX('VDSM MAPPING'!E:E,MATCH($D160,'VDSM MAPPING'!$A:$A,0))</f>
        <v>C&amp;I</v>
      </c>
      <c r="G160" s="241" t="str">
        <f>INDEX('VDSM MAPPING'!F:F,MATCH($D160,'VDSM MAPPING'!$A:$A,0))</f>
        <v>C&amp;I Prescriptive</v>
      </c>
      <c r="H160" s="241" t="str">
        <f>INDEX('VDSM MAPPING'!G:G,MATCH($D160,'VDSM MAPPING'!$A:$A,0))</f>
        <v>Lighting</v>
      </c>
      <c r="I160" s="241" t="str">
        <f>INDEX('VDSM MAPPING'!H:H,MATCH($D160,'VDSM MAPPING'!$A:$A,0))</f>
        <v>LED Parking Garage/Canopy (30-75W)</v>
      </c>
      <c r="J160" s="240">
        <f t="shared" si="34"/>
        <v>-0.65360580667834023</v>
      </c>
      <c r="K160" s="240">
        <f t="shared" si="35"/>
        <v>0.74402665660424805</v>
      </c>
      <c r="L160" s="240" t="b">
        <f t="shared" si="36"/>
        <v>0</v>
      </c>
      <c r="M160" s="240" t="b">
        <f t="shared" si="37"/>
        <v>0</v>
      </c>
      <c r="N160" s="204" t="s">
        <v>289</v>
      </c>
      <c r="O160" s="204" t="s">
        <v>2569</v>
      </c>
      <c r="P160" s="350">
        <v>0</v>
      </c>
      <c r="Q160" s="204" t="s">
        <v>2569</v>
      </c>
      <c r="R160" s="204" t="s">
        <v>2568</v>
      </c>
      <c r="S160" s="204" t="s">
        <v>2567</v>
      </c>
      <c r="T160" s="204" t="s">
        <v>2567</v>
      </c>
      <c r="U160" s="204" t="s">
        <v>2567</v>
      </c>
      <c r="V160" s="204" t="s">
        <v>2566</v>
      </c>
      <c r="W160" s="204" t="s">
        <v>329</v>
      </c>
      <c r="X160" s="204" t="s">
        <v>297</v>
      </c>
      <c r="Y160" s="204" t="s">
        <v>397</v>
      </c>
      <c r="Z160" s="204" t="s">
        <v>2565</v>
      </c>
      <c r="AA160" s="204" t="s">
        <v>2564</v>
      </c>
      <c r="AB160" s="204" t="s">
        <v>2563</v>
      </c>
      <c r="AC160" s="204" t="s">
        <v>2562</v>
      </c>
      <c r="AD160" s="204" t="s">
        <v>2561</v>
      </c>
      <c r="AE160" s="204" t="s">
        <v>2560</v>
      </c>
      <c r="AG160" s="204" t="s">
        <v>2129</v>
      </c>
      <c r="AH160" s="204" t="s">
        <v>2145</v>
      </c>
      <c r="AI160" s="204" t="s">
        <v>2193</v>
      </c>
      <c r="AJ160" s="204" t="s">
        <v>2126</v>
      </c>
      <c r="AX160" s="204">
        <v>44</v>
      </c>
      <c r="AY160" s="204">
        <v>0</v>
      </c>
      <c r="AZ160" s="204">
        <v>7.1433119999999999</v>
      </c>
      <c r="BB160" s="204">
        <v>20881.432000000001</v>
      </c>
      <c r="BH160" s="204">
        <v>0</v>
      </c>
      <c r="BI160" s="204">
        <v>3300</v>
      </c>
      <c r="BJ160" s="204">
        <v>42772</v>
      </c>
      <c r="BK160" s="204">
        <v>42683.771857210602</v>
      </c>
      <c r="BL160" s="204" t="s">
        <v>293</v>
      </c>
      <c r="BM160" s="204" t="s">
        <v>2559</v>
      </c>
      <c r="BN160" s="269">
        <f t="shared" si="38"/>
        <v>474.57800000000003</v>
      </c>
      <c r="BO160" s="269">
        <f t="shared" si="39"/>
        <v>75</v>
      </c>
      <c r="BP160" s="269">
        <f>INDEX('App Data Outliers'!$M:$M,MATCH($E160,'App Data Outliers'!$A:$A,0))</f>
        <v>540.38278358208959</v>
      </c>
      <c r="BQ160" s="269">
        <f>INDEX('App Data Outliers'!$N:$N,MATCH($E160,'App Data Outliers'!$A:$A,0))</f>
        <v>100.67961898397597</v>
      </c>
      <c r="BR160" s="269">
        <f>INDEX('App Data Outliers'!$S:$S,MATCH($E160,'App Data Outliers'!$A:$A,0))</f>
        <v>63.736940298507463</v>
      </c>
      <c r="BS160" s="269">
        <f>INDEX('App Data Outliers'!$T:$T,MATCH($E160,'App Data Outliers'!$A:$A,0))</f>
        <v>15.137978729011348</v>
      </c>
    </row>
    <row r="161" spans="1:71" s="204" customFormat="1" hidden="1">
      <c r="A161" s="241">
        <v>157</v>
      </c>
      <c r="B161" s="241" t="str">
        <f t="shared" si="30"/>
        <v>Non-Residential - BHPSD - C/I Prescriptive Rebate</v>
      </c>
      <c r="C161" s="241" t="b">
        <f t="shared" si="31"/>
        <v>1</v>
      </c>
      <c r="D161" s="241" t="str">
        <f t="shared" si="32"/>
        <v>Non-Residential - BHPSD - C/I Prescriptive Rebate_C&amp;I Prescriptive Rebate :- C&amp;I Lighting :- Customer Incentives_LED Fixtures Exterior &amp; Garage - 60W to 150W</v>
      </c>
      <c r="E161" s="241" t="str">
        <f t="shared" si="33"/>
        <v>C&amp;I_C&amp;I Prescriptive_Lighting_LED Parking Garage/Canopy (≥75W)</v>
      </c>
      <c r="F161" s="241" t="str">
        <f>INDEX('VDSM MAPPING'!E:E,MATCH($D161,'VDSM MAPPING'!$A:$A,0))</f>
        <v>C&amp;I</v>
      </c>
      <c r="G161" s="241" t="str">
        <f>INDEX('VDSM MAPPING'!F:F,MATCH($D161,'VDSM MAPPING'!$A:$A,0))</f>
        <v>C&amp;I Prescriptive</v>
      </c>
      <c r="H161" s="241" t="str">
        <f>INDEX('VDSM MAPPING'!G:G,MATCH($D161,'VDSM MAPPING'!$A:$A,0))</f>
        <v>Lighting</v>
      </c>
      <c r="I161" s="241" t="str">
        <f>INDEX('VDSM MAPPING'!H:H,MATCH($D161,'VDSM MAPPING'!$A:$A,0))</f>
        <v>LED Parking Garage/Canopy (≥75W)</v>
      </c>
      <c r="J161" s="240">
        <f t="shared" si="34"/>
        <v>-0.11286531336220813</v>
      </c>
      <c r="K161" s="240">
        <f t="shared" si="35"/>
        <v>-1.2339067216950319</v>
      </c>
      <c r="L161" s="240" t="b">
        <f t="shared" si="36"/>
        <v>0</v>
      </c>
      <c r="M161" s="240" t="b">
        <f t="shared" si="37"/>
        <v>0</v>
      </c>
      <c r="N161" s="204" t="s">
        <v>289</v>
      </c>
      <c r="O161" s="204" t="s">
        <v>2557</v>
      </c>
      <c r="P161" s="350">
        <v>1</v>
      </c>
      <c r="Q161" s="204" t="s">
        <v>2557</v>
      </c>
      <c r="R161" s="204" t="s">
        <v>2349</v>
      </c>
      <c r="S161" s="204" t="s">
        <v>2556</v>
      </c>
      <c r="T161" s="204" t="s">
        <v>2347</v>
      </c>
      <c r="U161" s="204" t="s">
        <v>2347</v>
      </c>
      <c r="V161" s="204" t="s">
        <v>2346</v>
      </c>
      <c r="W161" s="204" t="s">
        <v>329</v>
      </c>
      <c r="X161" s="204" t="s">
        <v>297</v>
      </c>
      <c r="Y161" s="204" t="s">
        <v>397</v>
      </c>
      <c r="Z161" s="204" t="s">
        <v>2211</v>
      </c>
      <c r="AA161" s="204" t="s">
        <v>2210</v>
      </c>
      <c r="AB161" s="204" t="s">
        <v>298</v>
      </c>
      <c r="AC161" s="204" t="s">
        <v>297</v>
      </c>
      <c r="AD161" s="204" t="s">
        <v>296</v>
      </c>
      <c r="AE161" s="204" t="s">
        <v>2209</v>
      </c>
      <c r="AF161" s="204" t="s">
        <v>2208</v>
      </c>
      <c r="AG161" s="204" t="s">
        <v>2129</v>
      </c>
      <c r="AH161" s="204" t="s">
        <v>2139</v>
      </c>
      <c r="AI161" s="204" t="s">
        <v>2127</v>
      </c>
      <c r="AJ161" s="204" t="s">
        <v>2126</v>
      </c>
      <c r="AX161" s="204">
        <v>1</v>
      </c>
      <c r="AY161" s="204">
        <v>0</v>
      </c>
      <c r="AZ161" s="204">
        <v>0.24699699999999999</v>
      </c>
      <c r="BB161" s="204">
        <v>1157.3789999999999</v>
      </c>
      <c r="BH161" s="204">
        <v>0</v>
      </c>
      <c r="BI161" s="204">
        <v>60</v>
      </c>
      <c r="BJ161" s="204">
        <v>42685</v>
      </c>
      <c r="BK161" s="204">
        <v>42685.460930671303</v>
      </c>
      <c r="BL161" s="204" t="s">
        <v>293</v>
      </c>
      <c r="BM161" s="204" t="s">
        <v>2555</v>
      </c>
      <c r="BN161" s="269">
        <f t="shared" si="38"/>
        <v>1157.3789999999999</v>
      </c>
      <c r="BO161" s="269">
        <f t="shared" si="39"/>
        <v>60</v>
      </c>
      <c r="BP161" s="269">
        <f>INDEX('App Data Outliers'!$M:$M,MATCH($E161,'App Data Outliers'!$A:$A,0))</f>
        <v>1175.7261559139786</v>
      </c>
      <c r="BQ161" s="269">
        <f>INDEX('App Data Outliers'!$N:$N,MATCH($E161,'App Data Outliers'!$A:$A,0))</f>
        <v>162.55796725694501</v>
      </c>
      <c r="BR161" s="269">
        <f>INDEX('App Data Outliers'!$S:$S,MATCH($E161,'App Data Outliers'!$A:$A,0))</f>
        <v>100.15639784946237</v>
      </c>
      <c r="BS161" s="269">
        <f>INDEX('App Data Outliers'!$T:$T,MATCH($E161,'App Data Outliers'!$A:$A,0))</f>
        <v>32.544111433560438</v>
      </c>
    </row>
    <row r="162" spans="1:71" s="204" customFormat="1" hidden="1">
      <c r="A162" s="241">
        <v>158</v>
      </c>
      <c r="B162" s="241" t="str">
        <f t="shared" si="30"/>
        <v>Non-Residential - BHPSD - C/I Prescriptive Rebate</v>
      </c>
      <c r="C162" s="241" t="b">
        <f t="shared" si="31"/>
        <v>1</v>
      </c>
      <c r="D162" s="241" t="str">
        <f t="shared" si="32"/>
        <v>Non-Residential - BHPSD - C/I Prescriptive Rebate_C&amp;I Prescriptive Rebate :- C&amp;I Lighting :- Customer Incentives_LED Replacement for T8 Linear Fluorescent Lamps - 4 ft or less</v>
      </c>
      <c r="E162" s="241" t="str">
        <f t="shared" si="33"/>
        <v>C&amp;I_C&amp;I Prescriptive_Lighting_LED Linear Replacement Lamp (≤4ft)</v>
      </c>
      <c r="F162" s="241" t="str">
        <f>INDEX('VDSM MAPPING'!E:E,MATCH($D162,'VDSM MAPPING'!$A:$A,0))</f>
        <v>C&amp;I</v>
      </c>
      <c r="G162" s="241" t="str">
        <f>INDEX('VDSM MAPPING'!F:F,MATCH($D162,'VDSM MAPPING'!$A:$A,0))</f>
        <v>C&amp;I Prescriptive</v>
      </c>
      <c r="H162" s="241" t="str">
        <f>INDEX('VDSM MAPPING'!G:G,MATCH($D162,'VDSM MAPPING'!$A:$A,0))</f>
        <v>Lighting</v>
      </c>
      <c r="I162" s="241" t="str">
        <f>INDEX('VDSM MAPPING'!H:H,MATCH($D162,'VDSM MAPPING'!$A:$A,0))</f>
        <v>LED Linear Replacement Lamp (≤4ft)</v>
      </c>
      <c r="J162" s="240">
        <f t="shared" si="34"/>
        <v>-0.50014270650659365</v>
      </c>
      <c r="K162" s="240">
        <f t="shared" si="35"/>
        <v>-0.60626339097590731</v>
      </c>
      <c r="L162" s="240" t="b">
        <f t="shared" si="36"/>
        <v>0</v>
      </c>
      <c r="M162" s="240" t="b">
        <f t="shared" si="37"/>
        <v>0</v>
      </c>
      <c r="N162" s="204" t="s">
        <v>289</v>
      </c>
      <c r="O162" s="204" t="s">
        <v>2557</v>
      </c>
      <c r="P162" s="350">
        <v>0</v>
      </c>
      <c r="Q162" s="204" t="s">
        <v>2557</v>
      </c>
      <c r="R162" s="204" t="s">
        <v>2349</v>
      </c>
      <c r="S162" s="204" t="s">
        <v>2556</v>
      </c>
      <c r="T162" s="204" t="s">
        <v>2347</v>
      </c>
      <c r="U162" s="204" t="s">
        <v>2347</v>
      </c>
      <c r="V162" s="204" t="s">
        <v>2346</v>
      </c>
      <c r="W162" s="204" t="s">
        <v>329</v>
      </c>
      <c r="X162" s="204" t="s">
        <v>297</v>
      </c>
      <c r="Y162" s="204" t="s">
        <v>397</v>
      </c>
      <c r="Z162" s="204" t="s">
        <v>2211</v>
      </c>
      <c r="AA162" s="204" t="s">
        <v>2210</v>
      </c>
      <c r="AB162" s="204" t="s">
        <v>298</v>
      </c>
      <c r="AC162" s="204" t="s">
        <v>297</v>
      </c>
      <c r="AD162" s="204" t="s">
        <v>296</v>
      </c>
      <c r="AE162" s="204" t="s">
        <v>2209</v>
      </c>
      <c r="AF162" s="204" t="s">
        <v>2208</v>
      </c>
      <c r="AG162" s="204" t="s">
        <v>2129</v>
      </c>
      <c r="AH162" s="204" t="s">
        <v>2173</v>
      </c>
      <c r="AI162" s="204" t="s">
        <v>2127</v>
      </c>
      <c r="AJ162" s="204" t="s">
        <v>2126</v>
      </c>
      <c r="AX162" s="204">
        <v>10</v>
      </c>
      <c r="AY162" s="204">
        <v>0</v>
      </c>
      <c r="AZ162" s="204">
        <v>0.12117600000000001</v>
      </c>
      <c r="BB162" s="204">
        <v>567.80999999999995</v>
      </c>
      <c r="BH162" s="204">
        <v>0</v>
      </c>
      <c r="BI162" s="204">
        <v>80</v>
      </c>
      <c r="BJ162" s="204">
        <v>42685</v>
      </c>
      <c r="BK162" s="204">
        <v>42685.460930671303</v>
      </c>
      <c r="BL162" s="204" t="s">
        <v>293</v>
      </c>
      <c r="BM162" s="204" t="s">
        <v>2558</v>
      </c>
      <c r="BN162" s="269">
        <f t="shared" si="38"/>
        <v>56.780999999999992</v>
      </c>
      <c r="BO162" s="269">
        <f t="shared" si="39"/>
        <v>8</v>
      </c>
      <c r="BP162" s="269">
        <f>INDEX('App Data Outliers'!$M:$M,MATCH($E162,'App Data Outliers'!$A:$A,0))</f>
        <v>71.928403166606657</v>
      </c>
      <c r="BQ162" s="269">
        <f>INDEX('App Data Outliers'!$N:$N,MATCH($E162,'App Data Outliers'!$A:$A,0))</f>
        <v>30.28616226838243</v>
      </c>
      <c r="BR162" s="269">
        <f>INDEX('App Data Outliers'!$S:$S,MATCH($E162,'App Data Outliers'!$A:$A,0))</f>
        <v>10.421419234256929</v>
      </c>
      <c r="BS162" s="269">
        <f>INDEX('App Data Outliers'!$T:$T,MATCH($E162,'App Data Outliers'!$A:$A,0))</f>
        <v>3.9940053618595535</v>
      </c>
    </row>
    <row r="163" spans="1:71" s="204" customFormat="1" hidden="1">
      <c r="A163" s="241">
        <v>159</v>
      </c>
      <c r="B163" s="241" t="str">
        <f t="shared" si="30"/>
        <v>Non-Residential - BHPSD - C/I Prescriptive Rebate</v>
      </c>
      <c r="C163" s="241" t="b">
        <f t="shared" si="31"/>
        <v>1</v>
      </c>
      <c r="D163" s="241" t="str">
        <f t="shared" si="32"/>
        <v>Non-Residential - BHPSD - C/I Prescriptive Rebate_C&amp;I Prescriptive Rebate :- C&amp;I Lighting :- Customer Incentives_LED Replacement for T8 Linear Fluorescent Lamps - 4 ft or less</v>
      </c>
      <c r="E163" s="241" t="str">
        <f t="shared" si="33"/>
        <v>C&amp;I_C&amp;I Prescriptive_Lighting_LED Linear Replacement Lamp (≤4ft)</v>
      </c>
      <c r="F163" s="241" t="str">
        <f>INDEX('VDSM MAPPING'!E:E,MATCH($D163,'VDSM MAPPING'!$A:$A,0))</f>
        <v>C&amp;I</v>
      </c>
      <c r="G163" s="241" t="str">
        <f>INDEX('VDSM MAPPING'!F:F,MATCH($D163,'VDSM MAPPING'!$A:$A,0))</f>
        <v>C&amp;I Prescriptive</v>
      </c>
      <c r="H163" s="241" t="str">
        <f>INDEX('VDSM MAPPING'!G:G,MATCH($D163,'VDSM MAPPING'!$A:$A,0))</f>
        <v>Lighting</v>
      </c>
      <c r="I163" s="241" t="str">
        <f>INDEX('VDSM MAPPING'!H:H,MATCH($D163,'VDSM MAPPING'!$A:$A,0))</f>
        <v>LED Linear Replacement Lamp (≤4ft)</v>
      </c>
      <c r="J163" s="240">
        <f t="shared" si="34"/>
        <v>-0.73543167897040618</v>
      </c>
      <c r="K163" s="240">
        <f t="shared" si="35"/>
        <v>-0.60626339097590731</v>
      </c>
      <c r="L163" s="240" t="b">
        <f t="shared" si="36"/>
        <v>0</v>
      </c>
      <c r="M163" s="240" t="b">
        <f t="shared" si="37"/>
        <v>0</v>
      </c>
      <c r="N163" s="204" t="s">
        <v>289</v>
      </c>
      <c r="O163" s="204" t="s">
        <v>2554</v>
      </c>
      <c r="P163" s="350">
        <v>1</v>
      </c>
      <c r="Q163" s="204" t="s">
        <v>2554</v>
      </c>
      <c r="R163" s="204" t="s">
        <v>2553</v>
      </c>
      <c r="S163" s="204" t="s">
        <v>2552</v>
      </c>
      <c r="T163" s="204" t="s">
        <v>2551</v>
      </c>
      <c r="U163" s="204" t="s">
        <v>2551</v>
      </c>
      <c r="V163" s="204" t="s">
        <v>2550</v>
      </c>
      <c r="W163" s="204" t="s">
        <v>329</v>
      </c>
      <c r="X163" s="204" t="s">
        <v>297</v>
      </c>
      <c r="Y163" s="204" t="s">
        <v>397</v>
      </c>
      <c r="Z163" s="204" t="s">
        <v>2211</v>
      </c>
      <c r="AA163" s="204" t="s">
        <v>2210</v>
      </c>
      <c r="AB163" s="204" t="s">
        <v>298</v>
      </c>
      <c r="AC163" s="204" t="s">
        <v>297</v>
      </c>
      <c r="AD163" s="204" t="s">
        <v>296</v>
      </c>
      <c r="AE163" s="204" t="s">
        <v>2209</v>
      </c>
      <c r="AF163" s="204" t="s">
        <v>2208</v>
      </c>
      <c r="AG163" s="204" t="s">
        <v>2129</v>
      </c>
      <c r="AH163" s="204" t="s">
        <v>2173</v>
      </c>
      <c r="AI163" s="204" t="s">
        <v>2202</v>
      </c>
      <c r="AJ163" s="204" t="s">
        <v>2126</v>
      </c>
      <c r="AX163" s="204">
        <v>134</v>
      </c>
      <c r="AY163" s="204">
        <v>0</v>
      </c>
      <c r="AZ163" s="204">
        <v>1.496405</v>
      </c>
      <c r="BB163" s="204">
        <v>6653.77</v>
      </c>
      <c r="BH163" s="204">
        <v>0</v>
      </c>
      <c r="BI163" s="204">
        <v>1072</v>
      </c>
      <c r="BJ163" s="204">
        <v>42718</v>
      </c>
      <c r="BK163" s="204">
        <v>42688.652053969898</v>
      </c>
      <c r="BL163" s="204" t="s">
        <v>293</v>
      </c>
      <c r="BM163" s="204" t="s">
        <v>2549</v>
      </c>
      <c r="BN163" s="269">
        <f t="shared" si="38"/>
        <v>49.655000000000001</v>
      </c>
      <c r="BO163" s="269">
        <f t="shared" si="39"/>
        <v>8</v>
      </c>
      <c r="BP163" s="269">
        <f>INDEX('App Data Outliers'!$M:$M,MATCH($E163,'App Data Outliers'!$A:$A,0))</f>
        <v>71.928403166606657</v>
      </c>
      <c r="BQ163" s="269">
        <f>INDEX('App Data Outliers'!$N:$N,MATCH($E163,'App Data Outliers'!$A:$A,0))</f>
        <v>30.28616226838243</v>
      </c>
      <c r="BR163" s="269">
        <f>INDEX('App Data Outliers'!$S:$S,MATCH($E163,'App Data Outliers'!$A:$A,0))</f>
        <v>10.421419234256929</v>
      </c>
      <c r="BS163" s="269">
        <f>INDEX('App Data Outliers'!$T:$T,MATCH($E163,'App Data Outliers'!$A:$A,0))</f>
        <v>3.9940053618595535</v>
      </c>
    </row>
    <row r="164" spans="1:71" s="204" customFormat="1" hidden="1">
      <c r="A164" s="241">
        <v>160</v>
      </c>
      <c r="B164" s="241" t="str">
        <f t="shared" si="30"/>
        <v>Non-Residential - BHPSD - C/I Prescriptive Rebate</v>
      </c>
      <c r="C164" s="241" t="b">
        <f t="shared" si="31"/>
        <v>1</v>
      </c>
      <c r="D164" s="241" t="str">
        <f t="shared" si="32"/>
        <v>Non-Residential - BHPSD - C/I Prescriptive Rebate_C&amp;I Prescriptive Rebate :- C&amp;I Lighting :- Customer Incentives_LED Fixtures Exterior &amp; Garage - 60W to 150W</v>
      </c>
      <c r="E164" s="241" t="str">
        <f t="shared" si="33"/>
        <v>C&amp;I_C&amp;I Prescriptive_Lighting_LED Parking Garage/Canopy (≥75W)</v>
      </c>
      <c r="F164" s="241" t="str">
        <f>INDEX('VDSM MAPPING'!E:E,MATCH($D164,'VDSM MAPPING'!$A:$A,0))</f>
        <v>C&amp;I</v>
      </c>
      <c r="G164" s="241" t="str">
        <f>INDEX('VDSM MAPPING'!F:F,MATCH($D164,'VDSM MAPPING'!$A:$A,0))</f>
        <v>C&amp;I Prescriptive</v>
      </c>
      <c r="H164" s="241" t="str">
        <f>INDEX('VDSM MAPPING'!G:G,MATCH($D164,'VDSM MAPPING'!$A:$A,0))</f>
        <v>Lighting</v>
      </c>
      <c r="I164" s="241" t="str">
        <f>INDEX('VDSM MAPPING'!H:H,MATCH($D164,'VDSM MAPPING'!$A:$A,0))</f>
        <v>LED Parking Garage/Canopy (≥75W)</v>
      </c>
      <c r="J164" s="240">
        <f t="shared" si="34"/>
        <v>-1.7564759250628477</v>
      </c>
      <c r="K164" s="240">
        <f t="shared" si="35"/>
        <v>4.9889275786565664E-2</v>
      </c>
      <c r="L164" s="240" t="b">
        <f t="shared" si="36"/>
        <v>0</v>
      </c>
      <c r="M164" s="240" t="b">
        <f t="shared" si="37"/>
        <v>0</v>
      </c>
      <c r="N164" s="204" t="s">
        <v>289</v>
      </c>
      <c r="O164" s="204" t="s">
        <v>2547</v>
      </c>
      <c r="P164" s="350">
        <v>1</v>
      </c>
      <c r="Q164" s="204" t="s">
        <v>2547</v>
      </c>
      <c r="R164" s="204" t="s">
        <v>2546</v>
      </c>
      <c r="S164" s="204" t="s">
        <v>2545</v>
      </c>
      <c r="T164" s="204" t="s">
        <v>2544</v>
      </c>
      <c r="U164" s="204" t="s">
        <v>2544</v>
      </c>
      <c r="V164" s="204" t="s">
        <v>2543</v>
      </c>
      <c r="W164" s="204" t="s">
        <v>329</v>
      </c>
      <c r="X164" s="204" t="s">
        <v>297</v>
      </c>
      <c r="Y164" s="204" t="s">
        <v>397</v>
      </c>
      <c r="Z164" s="204" t="s">
        <v>601</v>
      </c>
      <c r="AA164" s="204" t="s">
        <v>600</v>
      </c>
      <c r="AB164" s="204" t="s">
        <v>329</v>
      </c>
      <c r="AC164" s="204" t="s">
        <v>297</v>
      </c>
      <c r="AD164" s="204" t="s">
        <v>599</v>
      </c>
      <c r="AE164" s="204" t="s">
        <v>598</v>
      </c>
      <c r="AG164" s="204" t="s">
        <v>2129</v>
      </c>
      <c r="AH164" s="204" t="s">
        <v>2139</v>
      </c>
      <c r="AI164" s="204" t="s">
        <v>2193</v>
      </c>
      <c r="AJ164" s="204" t="s">
        <v>2126</v>
      </c>
      <c r="AX164" s="204">
        <v>3</v>
      </c>
      <c r="AY164" s="204">
        <v>0</v>
      </c>
      <c r="AZ164" s="204">
        <v>0.91358099999999998</v>
      </c>
      <c r="BB164" s="204">
        <v>2670.5909999999999</v>
      </c>
      <c r="BH164" s="204">
        <v>0</v>
      </c>
      <c r="BI164" s="204">
        <v>305.33999999999997</v>
      </c>
      <c r="BJ164" s="204">
        <v>42705</v>
      </c>
      <c r="BK164" s="204">
        <v>42705.432560069399</v>
      </c>
      <c r="BL164" s="204" t="s">
        <v>293</v>
      </c>
      <c r="BM164" s="204" t="s">
        <v>2542</v>
      </c>
      <c r="BN164" s="269">
        <f t="shared" si="38"/>
        <v>890.197</v>
      </c>
      <c r="BO164" s="269">
        <f t="shared" si="39"/>
        <v>101.77999999999999</v>
      </c>
      <c r="BP164" s="269">
        <f>INDEX('App Data Outliers'!$M:$M,MATCH($E164,'App Data Outliers'!$A:$A,0))</f>
        <v>1175.7261559139786</v>
      </c>
      <c r="BQ164" s="269">
        <f>INDEX('App Data Outliers'!$N:$N,MATCH($E164,'App Data Outliers'!$A:$A,0))</f>
        <v>162.55796725694501</v>
      </c>
      <c r="BR164" s="269">
        <f>INDEX('App Data Outliers'!$S:$S,MATCH($E164,'App Data Outliers'!$A:$A,0))</f>
        <v>100.15639784946237</v>
      </c>
      <c r="BS164" s="269">
        <f>INDEX('App Data Outliers'!$T:$T,MATCH($E164,'App Data Outliers'!$A:$A,0))</f>
        <v>32.544111433560438</v>
      </c>
    </row>
    <row r="165" spans="1:71" s="204" customFormat="1" hidden="1">
      <c r="A165" s="241">
        <v>161</v>
      </c>
      <c r="B165" s="241" t="str">
        <f t="shared" si="30"/>
        <v>Non-Residential - BHPSD - C/I Prescriptive Rebate</v>
      </c>
      <c r="C165" s="241" t="b">
        <f t="shared" si="31"/>
        <v>1</v>
      </c>
      <c r="D165" s="241" t="str">
        <f t="shared" si="32"/>
        <v>Non-Residential - BHPSD - C/I Prescriptive Rebate_C&amp;I Prescriptive Rebate :- C&amp;I Lighting :- Customer Incentives_LED Fixtures Exterior &amp; Garage - 25W to 60W</v>
      </c>
      <c r="E165" s="241" t="str">
        <f t="shared" si="33"/>
        <v>C&amp;I_C&amp;I Prescriptive_Lighting_LED Parking Garage/Canopy (30-75W)</v>
      </c>
      <c r="F165" s="241" t="str">
        <f>INDEX('VDSM MAPPING'!E:E,MATCH($D165,'VDSM MAPPING'!$A:$A,0))</f>
        <v>C&amp;I</v>
      </c>
      <c r="G165" s="241" t="str">
        <f>INDEX('VDSM MAPPING'!F:F,MATCH($D165,'VDSM MAPPING'!$A:$A,0))</f>
        <v>C&amp;I Prescriptive</v>
      </c>
      <c r="H165" s="241" t="str">
        <f>INDEX('VDSM MAPPING'!G:G,MATCH($D165,'VDSM MAPPING'!$A:$A,0))</f>
        <v>Lighting</v>
      </c>
      <c r="I165" s="241" t="str">
        <f>INDEX('VDSM MAPPING'!H:H,MATCH($D165,'VDSM MAPPING'!$A:$A,0))</f>
        <v>LED Parking Garage/Canopy (30-75W)</v>
      </c>
      <c r="J165" s="240">
        <f t="shared" si="34"/>
        <v>-0.65360580667834078</v>
      </c>
      <c r="K165" s="240">
        <f t="shared" si="35"/>
        <v>0.74402665660424805</v>
      </c>
      <c r="L165" s="240" t="b">
        <f t="shared" si="36"/>
        <v>0</v>
      </c>
      <c r="M165" s="240" t="b">
        <f t="shared" si="37"/>
        <v>0</v>
      </c>
      <c r="N165" s="204" t="s">
        <v>289</v>
      </c>
      <c r="O165" s="204" t="s">
        <v>2547</v>
      </c>
      <c r="P165" s="350">
        <v>0</v>
      </c>
      <c r="Q165" s="204" t="s">
        <v>2547</v>
      </c>
      <c r="R165" s="204" t="s">
        <v>2546</v>
      </c>
      <c r="S165" s="204" t="s">
        <v>2545</v>
      </c>
      <c r="T165" s="204" t="s">
        <v>2544</v>
      </c>
      <c r="U165" s="204" t="s">
        <v>2544</v>
      </c>
      <c r="V165" s="204" t="s">
        <v>2543</v>
      </c>
      <c r="W165" s="204" t="s">
        <v>329</v>
      </c>
      <c r="X165" s="204" t="s">
        <v>297</v>
      </c>
      <c r="Y165" s="204" t="s">
        <v>397</v>
      </c>
      <c r="Z165" s="204" t="s">
        <v>601</v>
      </c>
      <c r="AA165" s="204" t="s">
        <v>600</v>
      </c>
      <c r="AB165" s="204" t="s">
        <v>329</v>
      </c>
      <c r="AC165" s="204" t="s">
        <v>297</v>
      </c>
      <c r="AD165" s="204" t="s">
        <v>599</v>
      </c>
      <c r="AE165" s="204" t="s">
        <v>598</v>
      </c>
      <c r="AG165" s="204" t="s">
        <v>2129</v>
      </c>
      <c r="AH165" s="204" t="s">
        <v>2145</v>
      </c>
      <c r="AI165" s="204" t="s">
        <v>2193</v>
      </c>
      <c r="AJ165" s="204" t="s">
        <v>2126</v>
      </c>
      <c r="AX165" s="204">
        <v>8</v>
      </c>
      <c r="AY165" s="204">
        <v>0</v>
      </c>
      <c r="AZ165" s="204">
        <v>1.2987839999999999</v>
      </c>
      <c r="BB165" s="204">
        <v>3796.6239999999998</v>
      </c>
      <c r="BH165" s="204">
        <v>0</v>
      </c>
      <c r="BI165" s="204">
        <v>600</v>
      </c>
      <c r="BJ165" s="204">
        <v>42705</v>
      </c>
      <c r="BK165" s="204">
        <v>42705.432560069399</v>
      </c>
      <c r="BL165" s="204" t="s">
        <v>293</v>
      </c>
      <c r="BM165" s="204" t="s">
        <v>2548</v>
      </c>
      <c r="BN165" s="269">
        <f t="shared" si="38"/>
        <v>474.57799999999997</v>
      </c>
      <c r="BO165" s="269">
        <f t="shared" si="39"/>
        <v>75</v>
      </c>
      <c r="BP165" s="269">
        <f>INDEX('App Data Outliers'!$M:$M,MATCH($E165,'App Data Outliers'!$A:$A,0))</f>
        <v>540.38278358208959</v>
      </c>
      <c r="BQ165" s="269">
        <f>INDEX('App Data Outliers'!$N:$N,MATCH($E165,'App Data Outliers'!$A:$A,0))</f>
        <v>100.67961898397597</v>
      </c>
      <c r="BR165" s="269">
        <f>INDEX('App Data Outliers'!$S:$S,MATCH($E165,'App Data Outliers'!$A:$A,0))</f>
        <v>63.736940298507463</v>
      </c>
      <c r="BS165" s="269">
        <f>INDEX('App Data Outliers'!$T:$T,MATCH($E165,'App Data Outliers'!$A:$A,0))</f>
        <v>15.137978729011348</v>
      </c>
    </row>
    <row r="166" spans="1:71" s="204" customFormat="1" hidden="1">
      <c r="A166" s="241">
        <v>162</v>
      </c>
      <c r="B166" s="241" t="str">
        <f t="shared" si="30"/>
        <v>Non-Residential - BHPSD - C/I Prescriptive Rebate</v>
      </c>
      <c r="C166" s="241" t="b">
        <f t="shared" si="31"/>
        <v>1</v>
      </c>
      <c r="D166" s="241" t="str">
        <f t="shared" si="32"/>
        <v>Non-Residential - BHPSD - C/I Prescriptive Rebate_C&amp;I Prescriptive Rebate :- C&amp;I Lighting :- Customer Incentives_LED Replacement for T12 Linear Fluorescent Lamps - 4 ft or less</v>
      </c>
      <c r="E166" s="241" t="str">
        <f t="shared" si="33"/>
        <v>C&amp;I_C&amp;I Prescriptive_Lighting_LED Linear Replacement Lamp (≤4ft)</v>
      </c>
      <c r="F166" s="241" t="str">
        <f>INDEX('VDSM MAPPING'!E:E,MATCH($D166,'VDSM MAPPING'!$A:$A,0))</f>
        <v>C&amp;I</v>
      </c>
      <c r="G166" s="241" t="str">
        <f>INDEX('VDSM MAPPING'!F:F,MATCH($D166,'VDSM MAPPING'!$A:$A,0))</f>
        <v>C&amp;I Prescriptive</v>
      </c>
      <c r="H166" s="241" t="str">
        <f>INDEX('VDSM MAPPING'!G:G,MATCH($D166,'VDSM MAPPING'!$A:$A,0))</f>
        <v>Lighting</v>
      </c>
      <c r="I166" s="241" t="str">
        <f>INDEX('VDSM MAPPING'!H:H,MATCH($D166,'VDSM MAPPING'!$A:$A,0))</f>
        <v>LED Linear Replacement Lamp (≤4ft)</v>
      </c>
      <c r="J166" s="240">
        <f t="shared" si="34"/>
        <v>1.3746408826732119</v>
      </c>
      <c r="K166" s="240">
        <f t="shared" si="35"/>
        <v>1.3967384267971441</v>
      </c>
      <c r="L166" s="240" t="b">
        <f t="shared" si="36"/>
        <v>0</v>
      </c>
      <c r="M166" s="240" t="b">
        <f t="shared" si="37"/>
        <v>0</v>
      </c>
      <c r="N166" s="204" t="s">
        <v>289</v>
      </c>
      <c r="O166" s="204" t="s">
        <v>2540</v>
      </c>
      <c r="P166" s="350">
        <v>1</v>
      </c>
      <c r="Q166" s="204" t="s">
        <v>2540</v>
      </c>
      <c r="R166" s="204" t="s">
        <v>2539</v>
      </c>
      <c r="S166" s="204" t="s">
        <v>2538</v>
      </c>
      <c r="T166" s="204" t="s">
        <v>2538</v>
      </c>
      <c r="U166" s="204" t="s">
        <v>2538</v>
      </c>
      <c r="V166" s="204" t="s">
        <v>2537</v>
      </c>
      <c r="W166" s="204" t="s">
        <v>329</v>
      </c>
      <c r="X166" s="204" t="s">
        <v>297</v>
      </c>
      <c r="Y166" s="204" t="s">
        <v>397</v>
      </c>
      <c r="Z166" s="204" t="s">
        <v>1017</v>
      </c>
      <c r="AA166" s="204" t="s">
        <v>1016</v>
      </c>
      <c r="AB166" s="204" t="s">
        <v>329</v>
      </c>
      <c r="AC166" s="204" t="s">
        <v>297</v>
      </c>
      <c r="AD166" s="204" t="s">
        <v>848</v>
      </c>
      <c r="AE166" s="204" t="s">
        <v>1015</v>
      </c>
      <c r="AF166" s="204" t="s">
        <v>1014</v>
      </c>
      <c r="AG166" s="204" t="s">
        <v>2129</v>
      </c>
      <c r="AH166" s="204" t="s">
        <v>2147</v>
      </c>
      <c r="AI166" s="204" t="s">
        <v>2127</v>
      </c>
      <c r="AJ166" s="204" t="s">
        <v>2126</v>
      </c>
      <c r="AX166" s="204">
        <v>270</v>
      </c>
      <c r="AY166" s="204">
        <v>0</v>
      </c>
      <c r="AZ166" s="204">
        <v>6.5435040000000004</v>
      </c>
      <c r="BB166" s="204">
        <v>30661.47</v>
      </c>
      <c r="BH166" s="204">
        <v>0</v>
      </c>
      <c r="BI166" s="204">
        <v>4320</v>
      </c>
      <c r="BJ166" s="204">
        <v>42705</v>
      </c>
      <c r="BK166" s="204">
        <v>42705.821729976902</v>
      </c>
      <c r="BL166" s="204" t="s">
        <v>293</v>
      </c>
      <c r="BM166" s="204" t="s">
        <v>2536</v>
      </c>
      <c r="BN166" s="269">
        <f t="shared" si="38"/>
        <v>113.56100000000001</v>
      </c>
      <c r="BO166" s="269">
        <f t="shared" si="39"/>
        <v>16</v>
      </c>
      <c r="BP166" s="269">
        <f>INDEX('App Data Outliers'!$M:$M,MATCH($E166,'App Data Outliers'!$A:$A,0))</f>
        <v>71.928403166606657</v>
      </c>
      <c r="BQ166" s="269">
        <f>INDEX('App Data Outliers'!$N:$N,MATCH($E166,'App Data Outliers'!$A:$A,0))</f>
        <v>30.28616226838243</v>
      </c>
      <c r="BR166" s="269">
        <f>INDEX('App Data Outliers'!$S:$S,MATCH($E166,'App Data Outliers'!$A:$A,0))</f>
        <v>10.421419234256929</v>
      </c>
      <c r="BS166" s="269">
        <f>INDEX('App Data Outliers'!$T:$T,MATCH($E166,'App Data Outliers'!$A:$A,0))</f>
        <v>3.9940053618595535</v>
      </c>
    </row>
    <row r="167" spans="1:71" s="204" customFormat="1" hidden="1">
      <c r="A167" s="241">
        <v>163</v>
      </c>
      <c r="B167" s="241" t="str">
        <f t="shared" si="30"/>
        <v>Non-Residential - BHPSD - C/I Prescriptive Rebate</v>
      </c>
      <c r="C167" s="241" t="b">
        <f t="shared" si="31"/>
        <v>1</v>
      </c>
      <c r="D167" s="241" t="str">
        <f t="shared" si="32"/>
        <v>Non-Residential - BHPSD - C/I Prescriptive Rebate_C&amp;I Prescriptive Rebate :- C&amp;I Lighting :- Customer Incentives_LED Replacement for T8 Linear Fluorescent Lamps - 4 ft or less</v>
      </c>
      <c r="E167" s="241" t="str">
        <f t="shared" si="33"/>
        <v>C&amp;I_C&amp;I Prescriptive_Lighting_LED Linear Replacement Lamp (≤4ft)</v>
      </c>
      <c r="F167" s="241" t="str">
        <f>INDEX('VDSM MAPPING'!E:E,MATCH($D167,'VDSM MAPPING'!$A:$A,0))</f>
        <v>C&amp;I</v>
      </c>
      <c r="G167" s="241" t="str">
        <f>INDEX('VDSM MAPPING'!F:F,MATCH($D167,'VDSM MAPPING'!$A:$A,0))</f>
        <v>C&amp;I Prescriptive</v>
      </c>
      <c r="H167" s="241" t="str">
        <f>INDEX('VDSM MAPPING'!G:G,MATCH($D167,'VDSM MAPPING'!$A:$A,0))</f>
        <v>Lighting</v>
      </c>
      <c r="I167" s="241" t="str">
        <f>INDEX('VDSM MAPPING'!H:H,MATCH($D167,'VDSM MAPPING'!$A:$A,0))</f>
        <v>LED Linear Replacement Lamp (≤4ft)</v>
      </c>
      <c r="J167" s="240">
        <f t="shared" si="34"/>
        <v>-0.50014270650659343</v>
      </c>
      <c r="K167" s="240">
        <f t="shared" si="35"/>
        <v>-0.60626339097590731</v>
      </c>
      <c r="L167" s="240" t="b">
        <f t="shared" si="36"/>
        <v>0</v>
      </c>
      <c r="M167" s="240" t="b">
        <f t="shared" si="37"/>
        <v>0</v>
      </c>
      <c r="N167" s="204" t="s">
        <v>289</v>
      </c>
      <c r="O167" s="204" t="s">
        <v>2540</v>
      </c>
      <c r="P167" s="350">
        <v>0</v>
      </c>
      <c r="Q167" s="204" t="s">
        <v>2540</v>
      </c>
      <c r="R167" s="204" t="s">
        <v>2539</v>
      </c>
      <c r="S167" s="204" t="s">
        <v>2538</v>
      </c>
      <c r="T167" s="204" t="s">
        <v>2538</v>
      </c>
      <c r="U167" s="204" t="s">
        <v>2538</v>
      </c>
      <c r="V167" s="204" t="s">
        <v>2537</v>
      </c>
      <c r="W167" s="204" t="s">
        <v>329</v>
      </c>
      <c r="X167" s="204" t="s">
        <v>297</v>
      </c>
      <c r="Y167" s="204" t="s">
        <v>397</v>
      </c>
      <c r="Z167" s="204" t="s">
        <v>1017</v>
      </c>
      <c r="AA167" s="204" t="s">
        <v>1016</v>
      </c>
      <c r="AB167" s="204" t="s">
        <v>329</v>
      </c>
      <c r="AC167" s="204" t="s">
        <v>297</v>
      </c>
      <c r="AD167" s="204" t="s">
        <v>848</v>
      </c>
      <c r="AE167" s="204" t="s">
        <v>1015</v>
      </c>
      <c r="AF167" s="204" t="s">
        <v>1014</v>
      </c>
      <c r="AG167" s="204" t="s">
        <v>2129</v>
      </c>
      <c r="AH167" s="204" t="s">
        <v>2173</v>
      </c>
      <c r="AI167" s="204" t="s">
        <v>2127</v>
      </c>
      <c r="AJ167" s="204" t="s">
        <v>2126</v>
      </c>
      <c r="AX167" s="204">
        <v>24</v>
      </c>
      <c r="AY167" s="204">
        <v>0</v>
      </c>
      <c r="AZ167" s="204">
        <v>0.29082200000000002</v>
      </c>
      <c r="BB167" s="204">
        <v>1362.7439999999999</v>
      </c>
      <c r="BH167" s="204">
        <v>0</v>
      </c>
      <c r="BI167" s="204">
        <v>192</v>
      </c>
      <c r="BJ167" s="204">
        <v>42705</v>
      </c>
      <c r="BK167" s="204">
        <v>42705.821729976902</v>
      </c>
      <c r="BL167" s="204" t="s">
        <v>293</v>
      </c>
      <c r="BM167" s="204" t="s">
        <v>2541</v>
      </c>
      <c r="BN167" s="269">
        <f t="shared" si="38"/>
        <v>56.780999999999999</v>
      </c>
      <c r="BO167" s="269">
        <f t="shared" si="39"/>
        <v>8</v>
      </c>
      <c r="BP167" s="269">
        <f>INDEX('App Data Outliers'!$M:$M,MATCH($E167,'App Data Outliers'!$A:$A,0))</f>
        <v>71.928403166606657</v>
      </c>
      <c r="BQ167" s="269">
        <f>INDEX('App Data Outliers'!$N:$N,MATCH($E167,'App Data Outliers'!$A:$A,0))</f>
        <v>30.28616226838243</v>
      </c>
      <c r="BR167" s="269">
        <f>INDEX('App Data Outliers'!$S:$S,MATCH($E167,'App Data Outliers'!$A:$A,0))</f>
        <v>10.421419234256929</v>
      </c>
      <c r="BS167" s="269">
        <f>INDEX('App Data Outliers'!$T:$T,MATCH($E167,'App Data Outliers'!$A:$A,0))</f>
        <v>3.9940053618595535</v>
      </c>
    </row>
    <row r="168" spans="1:71" s="204" customFormat="1" hidden="1">
      <c r="A168" s="241">
        <v>164</v>
      </c>
      <c r="B168" s="241" t="str">
        <f t="shared" si="30"/>
        <v>Non-Residential - BHPSD - C/I Prescriptive Rebate</v>
      </c>
      <c r="C168" s="241" t="b">
        <f t="shared" si="31"/>
        <v>1</v>
      </c>
      <c r="D168" s="241" t="str">
        <f t="shared" si="32"/>
        <v>Non-Residential - BHPSD - C/I Prescriptive Rebate_C&amp;I Prescriptive Rebate :- C&amp;I Lighting :- Customer Incentives_Energy Star LED Lamps - 10W or greater</v>
      </c>
      <c r="E168" s="241" t="str">
        <f t="shared" si="33"/>
        <v>C&amp;I_C&amp;I Prescriptive_Lighting_Energy Star LED Lamp (&gt;10W)</v>
      </c>
      <c r="F168" s="241" t="str">
        <f>INDEX('VDSM MAPPING'!E:E,MATCH($D168,'VDSM MAPPING'!$A:$A,0))</f>
        <v>C&amp;I</v>
      </c>
      <c r="G168" s="241" t="str">
        <f>INDEX('VDSM MAPPING'!F:F,MATCH($D168,'VDSM MAPPING'!$A:$A,0))</f>
        <v>C&amp;I Prescriptive</v>
      </c>
      <c r="H168" s="241" t="str">
        <f>INDEX('VDSM MAPPING'!G:G,MATCH($D168,'VDSM MAPPING'!$A:$A,0))</f>
        <v>Lighting</v>
      </c>
      <c r="I168" s="241" t="str">
        <f>INDEX('VDSM MAPPING'!H:H,MATCH($D168,'VDSM MAPPING'!$A:$A,0))</f>
        <v>Energy Star LED Lamp (&gt;10W)</v>
      </c>
      <c r="J168" s="240">
        <f t="shared" si="34"/>
        <v>-0.10579384246698066</v>
      </c>
      <c r="K168" s="240">
        <f t="shared" si="35"/>
        <v>-1.0848519414246751</v>
      </c>
      <c r="L168" s="240" t="b">
        <f t="shared" si="36"/>
        <v>0</v>
      </c>
      <c r="M168" s="240" t="b">
        <f t="shared" si="37"/>
        <v>0</v>
      </c>
      <c r="N168" s="204" t="s">
        <v>289</v>
      </c>
      <c r="O168" s="204" t="s">
        <v>2534</v>
      </c>
      <c r="P168" s="350">
        <v>1</v>
      </c>
      <c r="Q168" s="204" t="s">
        <v>2534</v>
      </c>
      <c r="R168" s="204" t="s">
        <v>2533</v>
      </c>
      <c r="S168" s="204" t="s">
        <v>2532</v>
      </c>
      <c r="T168" s="204" t="s">
        <v>2532</v>
      </c>
      <c r="U168" s="204" t="s">
        <v>2532</v>
      </c>
      <c r="V168" s="204" t="s">
        <v>2531</v>
      </c>
      <c r="W168" s="204" t="s">
        <v>329</v>
      </c>
      <c r="X168" s="204" t="s">
        <v>297</v>
      </c>
      <c r="Y168" s="204" t="s">
        <v>328</v>
      </c>
      <c r="Z168" s="204" t="s">
        <v>1017</v>
      </c>
      <c r="AA168" s="204" t="s">
        <v>1016</v>
      </c>
      <c r="AB168" s="204" t="s">
        <v>329</v>
      </c>
      <c r="AC168" s="204" t="s">
        <v>297</v>
      </c>
      <c r="AD168" s="204" t="s">
        <v>848</v>
      </c>
      <c r="AE168" s="204" t="s">
        <v>1015</v>
      </c>
      <c r="AF168" s="204" t="s">
        <v>1014</v>
      </c>
      <c r="AG168" s="204" t="s">
        <v>2129</v>
      </c>
      <c r="AH168" s="204" t="s">
        <v>2166</v>
      </c>
      <c r="AI168" s="204" t="s">
        <v>2127</v>
      </c>
      <c r="AJ168" s="204" t="s">
        <v>2126</v>
      </c>
      <c r="AX168" s="204">
        <v>155</v>
      </c>
      <c r="AY168" s="204">
        <v>0</v>
      </c>
      <c r="AZ168" s="204">
        <v>5.9477219999999997</v>
      </c>
      <c r="BB168" s="204">
        <v>27869.775000000001</v>
      </c>
      <c r="BH168" s="204">
        <v>0</v>
      </c>
      <c r="BI168" s="204">
        <v>1117.55</v>
      </c>
      <c r="BJ168" s="204">
        <v>42710</v>
      </c>
      <c r="BK168" s="204">
        <v>42710.773168136599</v>
      </c>
      <c r="BL168" s="204" t="s">
        <v>293</v>
      </c>
      <c r="BM168" s="204" t="s">
        <v>2530</v>
      </c>
      <c r="BN168" s="269">
        <f t="shared" si="38"/>
        <v>179.80500000000001</v>
      </c>
      <c r="BO168" s="269">
        <f t="shared" si="39"/>
        <v>7.21</v>
      </c>
      <c r="BP168" s="269">
        <f>INDEX('App Data Outliers'!$M:$M,MATCH($E168,'App Data Outliers'!$A:$A,0))</f>
        <v>183.5885054112554</v>
      </c>
      <c r="BQ168" s="269">
        <f>INDEX('App Data Outliers'!$N:$N,MATCH($E168,'App Data Outliers'!$A:$A,0))</f>
        <v>35.763002108901198</v>
      </c>
      <c r="BR168" s="269">
        <f>INDEX('App Data Outliers'!$S:$S,MATCH($E168,'App Data Outliers'!$A:$A,0))</f>
        <v>9.5846103896103898</v>
      </c>
      <c r="BS168" s="269">
        <f>INDEX('App Data Outliers'!$T:$T,MATCH($E168,'App Data Outliers'!$A:$A,0))</f>
        <v>2.1888796977142775</v>
      </c>
    </row>
    <row r="169" spans="1:71" s="204" customFormat="1" hidden="1">
      <c r="A169" s="241">
        <v>165</v>
      </c>
      <c r="B169" s="241" t="str">
        <f t="shared" si="30"/>
        <v>Non-Residential - BHPSD - C/I Prescriptive Rebate</v>
      </c>
      <c r="C169" s="241" t="b">
        <f t="shared" si="31"/>
        <v>1</v>
      </c>
      <c r="D169" s="241" t="str">
        <f t="shared" si="32"/>
        <v>Non-Residential - BHPSD - C/I Prescriptive Rebate_C&amp;I Prescriptive Rebate :- C&amp;I Lighting :- Customer Incentives_Energy Star LED Lamps - 10W or greater</v>
      </c>
      <c r="E169" s="241" t="str">
        <f t="shared" si="33"/>
        <v>C&amp;I_C&amp;I Prescriptive_Lighting_Energy Star LED Lamp (&gt;10W)</v>
      </c>
      <c r="F169" s="241" t="str">
        <f>INDEX('VDSM MAPPING'!E:E,MATCH($D169,'VDSM MAPPING'!$A:$A,0))</f>
        <v>C&amp;I</v>
      </c>
      <c r="G169" s="241" t="str">
        <f>INDEX('VDSM MAPPING'!F:F,MATCH($D169,'VDSM MAPPING'!$A:$A,0))</f>
        <v>C&amp;I Prescriptive</v>
      </c>
      <c r="H169" s="241" t="str">
        <f>INDEX('VDSM MAPPING'!G:G,MATCH($D169,'VDSM MAPPING'!$A:$A,0))</f>
        <v>Lighting</v>
      </c>
      <c r="I169" s="241" t="str">
        <f>INDEX('VDSM MAPPING'!H:H,MATCH($D169,'VDSM MAPPING'!$A:$A,0))</f>
        <v>Energy Star LED Lamp (&gt;10W)</v>
      </c>
      <c r="J169" s="240">
        <f t="shared" si="34"/>
        <v>-0.10579384246698145</v>
      </c>
      <c r="K169" s="240">
        <f t="shared" si="35"/>
        <v>-0.37672714058770967</v>
      </c>
      <c r="L169" s="240" t="b">
        <f t="shared" si="36"/>
        <v>0</v>
      </c>
      <c r="M169" s="240" t="b">
        <f t="shared" si="37"/>
        <v>0</v>
      </c>
      <c r="N169" s="204" t="s">
        <v>289</v>
      </c>
      <c r="O169" s="204" t="s">
        <v>2534</v>
      </c>
      <c r="P169" s="350">
        <v>0</v>
      </c>
      <c r="Q169" s="204" t="s">
        <v>2534</v>
      </c>
      <c r="R169" s="204" t="s">
        <v>2533</v>
      </c>
      <c r="S169" s="204" t="s">
        <v>2532</v>
      </c>
      <c r="T169" s="204" t="s">
        <v>2532</v>
      </c>
      <c r="U169" s="204" t="s">
        <v>2532</v>
      </c>
      <c r="V169" s="204" t="s">
        <v>2531</v>
      </c>
      <c r="W169" s="204" t="s">
        <v>329</v>
      </c>
      <c r="X169" s="204" t="s">
        <v>297</v>
      </c>
      <c r="Y169" s="204" t="s">
        <v>328</v>
      </c>
      <c r="Z169" s="204" t="s">
        <v>1017</v>
      </c>
      <c r="AA169" s="204" t="s">
        <v>1016</v>
      </c>
      <c r="AB169" s="204" t="s">
        <v>329</v>
      </c>
      <c r="AC169" s="204" t="s">
        <v>297</v>
      </c>
      <c r="AD169" s="204" t="s">
        <v>848</v>
      </c>
      <c r="AE169" s="204" t="s">
        <v>1015</v>
      </c>
      <c r="AF169" s="204" t="s">
        <v>1014</v>
      </c>
      <c r="AG169" s="204" t="s">
        <v>2129</v>
      </c>
      <c r="AH169" s="204" t="s">
        <v>2166</v>
      </c>
      <c r="AI169" s="204" t="s">
        <v>2127</v>
      </c>
      <c r="AJ169" s="204" t="s">
        <v>2126</v>
      </c>
      <c r="AX169" s="204">
        <v>54</v>
      </c>
      <c r="AY169" s="204">
        <v>0</v>
      </c>
      <c r="AZ169" s="204">
        <v>2.0721099999999999</v>
      </c>
      <c r="BB169" s="204">
        <v>9709.4699999999993</v>
      </c>
      <c r="BH169" s="204">
        <v>0</v>
      </c>
      <c r="BI169" s="204">
        <v>473.04</v>
      </c>
      <c r="BJ169" s="204">
        <v>42710</v>
      </c>
      <c r="BK169" s="204">
        <v>42710.773168136599</v>
      </c>
      <c r="BL169" s="204" t="s">
        <v>293</v>
      </c>
      <c r="BM169" s="204" t="s">
        <v>2535</v>
      </c>
      <c r="BN169" s="269">
        <f t="shared" si="38"/>
        <v>179.80499999999998</v>
      </c>
      <c r="BO169" s="269">
        <f t="shared" si="39"/>
        <v>8.76</v>
      </c>
      <c r="BP169" s="269">
        <f>INDEX('App Data Outliers'!$M:$M,MATCH($E169,'App Data Outliers'!$A:$A,0))</f>
        <v>183.5885054112554</v>
      </c>
      <c r="BQ169" s="269">
        <f>INDEX('App Data Outliers'!$N:$N,MATCH($E169,'App Data Outliers'!$A:$A,0))</f>
        <v>35.763002108901198</v>
      </c>
      <c r="BR169" s="269">
        <f>INDEX('App Data Outliers'!$S:$S,MATCH($E169,'App Data Outliers'!$A:$A,0))</f>
        <v>9.5846103896103898</v>
      </c>
      <c r="BS169" s="269">
        <f>INDEX('App Data Outliers'!$T:$T,MATCH($E169,'App Data Outliers'!$A:$A,0))</f>
        <v>2.1888796977142775</v>
      </c>
    </row>
    <row r="170" spans="1:71" s="204" customFormat="1" hidden="1">
      <c r="A170" s="241">
        <v>166</v>
      </c>
      <c r="B170" s="241" t="str">
        <f t="shared" si="30"/>
        <v>Non-Residential - BHPSD - C/I Prescriptive Rebate</v>
      </c>
      <c r="C170" s="241" t="b">
        <f t="shared" si="31"/>
        <v>1</v>
      </c>
      <c r="D170" s="241" t="str">
        <f t="shared" si="32"/>
        <v>Non-Residential - BHPSD - C/I Prescriptive Rebate_C&amp;I Prescriptive Rebate :- C&amp;I Lighting :- Customer Incentives_LED Replacement for T12 Linear Fluorescent Lamps - 4 ft or less</v>
      </c>
      <c r="E170" s="241" t="str">
        <f t="shared" si="33"/>
        <v>C&amp;I_C&amp;I Prescriptive_Lighting_LED Linear Replacement Lamp (≤4ft)</v>
      </c>
      <c r="F170" s="241" t="str">
        <f>INDEX('VDSM MAPPING'!E:E,MATCH($D170,'VDSM MAPPING'!$A:$A,0))</f>
        <v>C&amp;I</v>
      </c>
      <c r="G170" s="241" t="str">
        <f>INDEX('VDSM MAPPING'!F:F,MATCH($D170,'VDSM MAPPING'!$A:$A,0))</f>
        <v>C&amp;I Prescriptive</v>
      </c>
      <c r="H170" s="241" t="str">
        <f>INDEX('VDSM MAPPING'!G:G,MATCH($D170,'VDSM MAPPING'!$A:$A,0))</f>
        <v>Lighting</v>
      </c>
      <c r="I170" s="241" t="str">
        <f>INDEX('VDSM MAPPING'!H:H,MATCH($D170,'VDSM MAPPING'!$A:$A,0))</f>
        <v>LED Linear Replacement Lamp (≤4ft)</v>
      </c>
      <c r="J170" s="240">
        <f t="shared" si="34"/>
        <v>1.3746408826732115</v>
      </c>
      <c r="K170" s="240">
        <f t="shared" si="35"/>
        <v>1.3967384267971441</v>
      </c>
      <c r="L170" s="240" t="b">
        <f t="shared" si="36"/>
        <v>0</v>
      </c>
      <c r="M170" s="240" t="b">
        <f t="shared" si="37"/>
        <v>0</v>
      </c>
      <c r="N170" s="204" t="s">
        <v>289</v>
      </c>
      <c r="O170" s="204" t="s">
        <v>2529</v>
      </c>
      <c r="P170" s="350">
        <v>1</v>
      </c>
      <c r="Q170" s="204" t="s">
        <v>2529</v>
      </c>
      <c r="R170" s="204" t="s">
        <v>2528</v>
      </c>
      <c r="S170" s="204" t="s">
        <v>2527</v>
      </c>
      <c r="T170" s="204" t="s">
        <v>2527</v>
      </c>
      <c r="U170" s="204" t="s">
        <v>2527</v>
      </c>
      <c r="V170" s="204" t="s">
        <v>2526</v>
      </c>
      <c r="W170" s="204" t="s">
        <v>329</v>
      </c>
      <c r="X170" s="204" t="s">
        <v>297</v>
      </c>
      <c r="Y170" s="204" t="s">
        <v>848</v>
      </c>
      <c r="Z170" s="204" t="s">
        <v>2525</v>
      </c>
      <c r="AA170" s="204" t="s">
        <v>2524</v>
      </c>
      <c r="AB170" s="204" t="s">
        <v>329</v>
      </c>
      <c r="AC170" s="204" t="s">
        <v>297</v>
      </c>
      <c r="AD170" s="204" t="s">
        <v>328</v>
      </c>
      <c r="AE170" s="204" t="s">
        <v>2523</v>
      </c>
      <c r="AF170" s="204" t="s">
        <v>2522</v>
      </c>
      <c r="AG170" s="204" t="s">
        <v>2129</v>
      </c>
      <c r="AH170" s="204" t="s">
        <v>2147</v>
      </c>
      <c r="AI170" s="204" t="s">
        <v>2127</v>
      </c>
      <c r="AJ170" s="204" t="s">
        <v>2126</v>
      </c>
      <c r="AX170" s="204">
        <v>98</v>
      </c>
      <c r="AY170" s="204">
        <v>0</v>
      </c>
      <c r="AZ170" s="204">
        <v>2.3750499999999999</v>
      </c>
      <c r="BB170" s="204">
        <v>11128.977999999999</v>
      </c>
      <c r="BH170" s="204">
        <v>0</v>
      </c>
      <c r="BI170" s="204">
        <v>1568</v>
      </c>
      <c r="BJ170" s="204">
        <v>42711</v>
      </c>
      <c r="BK170" s="204">
        <v>42711.686807557897</v>
      </c>
      <c r="BL170" s="204" t="s">
        <v>293</v>
      </c>
      <c r="BM170" s="204" t="s">
        <v>2521</v>
      </c>
      <c r="BN170" s="269">
        <f t="shared" si="38"/>
        <v>113.56099999999999</v>
      </c>
      <c r="BO170" s="269">
        <f t="shared" si="39"/>
        <v>16</v>
      </c>
      <c r="BP170" s="269">
        <f>INDEX('App Data Outliers'!$M:$M,MATCH($E170,'App Data Outliers'!$A:$A,0))</f>
        <v>71.928403166606657</v>
      </c>
      <c r="BQ170" s="269">
        <f>INDEX('App Data Outliers'!$N:$N,MATCH($E170,'App Data Outliers'!$A:$A,0))</f>
        <v>30.28616226838243</v>
      </c>
      <c r="BR170" s="269">
        <f>INDEX('App Data Outliers'!$S:$S,MATCH($E170,'App Data Outliers'!$A:$A,0))</f>
        <v>10.421419234256929</v>
      </c>
      <c r="BS170" s="269">
        <f>INDEX('App Data Outliers'!$T:$T,MATCH($E170,'App Data Outliers'!$A:$A,0))</f>
        <v>3.9940053618595535</v>
      </c>
    </row>
    <row r="171" spans="1:71" s="204" customFormat="1" hidden="1">
      <c r="A171" s="241">
        <v>167</v>
      </c>
      <c r="B171" s="241" t="str">
        <f t="shared" si="30"/>
        <v>Non-Residential - BHPSD - C/I Prescriptive Rebate</v>
      </c>
      <c r="C171" s="241" t="b">
        <f t="shared" si="31"/>
        <v>1</v>
      </c>
      <c r="D171" s="241" t="str">
        <f t="shared" si="32"/>
        <v>Non-Residential - BHPSD - C/I Prescriptive Rebate_C&amp;I Prescriptive Rebate :- C&amp;I Lighting :- Customer Incentives_LED Fixtures Exterior &amp; Garage - 60W to 150W</v>
      </c>
      <c r="E171" s="241" t="str">
        <f t="shared" si="33"/>
        <v>C&amp;I_C&amp;I Prescriptive_Lighting_LED Parking Garage/Canopy (≥75W)</v>
      </c>
      <c r="F171" s="241" t="str">
        <f>INDEX('VDSM MAPPING'!E:E,MATCH($D171,'VDSM MAPPING'!$A:$A,0))</f>
        <v>C&amp;I</v>
      </c>
      <c r="G171" s="241" t="str">
        <f>INDEX('VDSM MAPPING'!F:F,MATCH($D171,'VDSM MAPPING'!$A:$A,0))</f>
        <v>C&amp;I Prescriptive</v>
      </c>
      <c r="H171" s="241" t="str">
        <f>INDEX('VDSM MAPPING'!G:G,MATCH($D171,'VDSM MAPPING'!$A:$A,0))</f>
        <v>Lighting</v>
      </c>
      <c r="I171" s="241" t="str">
        <f>INDEX('VDSM MAPPING'!H:H,MATCH($D171,'VDSM MAPPING'!$A:$A,0))</f>
        <v>LED Parking Garage/Canopy (≥75W)</v>
      </c>
      <c r="J171" s="240">
        <f t="shared" si="34"/>
        <v>-1.7564759250628483</v>
      </c>
      <c r="K171" s="240">
        <f t="shared" si="35"/>
        <v>-4.8057188404622845E-3</v>
      </c>
      <c r="L171" s="240" t="b">
        <f t="shared" si="36"/>
        <v>0</v>
      </c>
      <c r="M171" s="240" t="b">
        <f t="shared" si="37"/>
        <v>0</v>
      </c>
      <c r="N171" s="204" t="s">
        <v>289</v>
      </c>
      <c r="O171" s="204" t="s">
        <v>2519</v>
      </c>
      <c r="P171" s="350">
        <v>1</v>
      </c>
      <c r="Q171" s="204" t="s">
        <v>2519</v>
      </c>
      <c r="R171" s="204" t="s">
        <v>2518</v>
      </c>
      <c r="S171" s="204" t="s">
        <v>2517</v>
      </c>
      <c r="T171" s="204" t="s">
        <v>2517</v>
      </c>
      <c r="U171" s="204" t="s">
        <v>2517</v>
      </c>
      <c r="V171" s="204" t="s">
        <v>2516</v>
      </c>
      <c r="W171" s="204" t="s">
        <v>329</v>
      </c>
      <c r="X171" s="204" t="s">
        <v>297</v>
      </c>
      <c r="Y171" s="204" t="s">
        <v>397</v>
      </c>
      <c r="Z171" s="204" t="s">
        <v>2515</v>
      </c>
      <c r="AA171" s="204" t="s">
        <v>2514</v>
      </c>
      <c r="AB171" s="204" t="s">
        <v>2513</v>
      </c>
      <c r="AC171" s="204" t="s">
        <v>2512</v>
      </c>
      <c r="AD171" s="204" t="s">
        <v>2511</v>
      </c>
      <c r="AE171" s="204" t="s">
        <v>2510</v>
      </c>
      <c r="AF171" s="204" t="s">
        <v>2509</v>
      </c>
      <c r="AG171" s="204" t="s">
        <v>2129</v>
      </c>
      <c r="AH171" s="204" t="s">
        <v>2139</v>
      </c>
      <c r="AI171" s="204" t="s">
        <v>2193</v>
      </c>
      <c r="AJ171" s="204" t="s">
        <v>2126</v>
      </c>
      <c r="AX171" s="204">
        <v>10</v>
      </c>
      <c r="AY171" s="204">
        <v>0</v>
      </c>
      <c r="AZ171" s="204">
        <v>3.0452699999999999</v>
      </c>
      <c r="BB171" s="204">
        <v>8901.9699999999993</v>
      </c>
      <c r="BH171" s="204">
        <v>0</v>
      </c>
      <c r="BI171" s="204">
        <v>1000</v>
      </c>
      <c r="BJ171" s="204">
        <v>42740</v>
      </c>
      <c r="BK171" s="204">
        <v>42740.498401273202</v>
      </c>
      <c r="BL171" s="204" t="s">
        <v>293</v>
      </c>
      <c r="BM171" s="204" t="s">
        <v>2520</v>
      </c>
      <c r="BN171" s="269">
        <f t="shared" si="38"/>
        <v>890.19699999999989</v>
      </c>
      <c r="BO171" s="269">
        <f t="shared" si="39"/>
        <v>100</v>
      </c>
      <c r="BP171" s="269">
        <f>INDEX('App Data Outliers'!$M:$M,MATCH($E171,'App Data Outliers'!$A:$A,0))</f>
        <v>1175.7261559139786</v>
      </c>
      <c r="BQ171" s="269">
        <f>INDEX('App Data Outliers'!$N:$N,MATCH($E171,'App Data Outliers'!$A:$A,0))</f>
        <v>162.55796725694501</v>
      </c>
      <c r="BR171" s="269">
        <f>INDEX('App Data Outliers'!$S:$S,MATCH($E171,'App Data Outliers'!$A:$A,0))</f>
        <v>100.15639784946237</v>
      </c>
      <c r="BS171" s="269">
        <f>INDEX('App Data Outliers'!$T:$T,MATCH($E171,'App Data Outliers'!$A:$A,0))</f>
        <v>32.544111433560438</v>
      </c>
    </row>
    <row r="172" spans="1:71" s="204" customFormat="1" hidden="1">
      <c r="A172" s="241">
        <v>168</v>
      </c>
      <c r="B172" s="241" t="str">
        <f t="shared" si="30"/>
        <v>Non-Residential - BHPSD - C/I Prescriptive Rebate</v>
      </c>
      <c r="C172" s="241" t="b">
        <f t="shared" si="31"/>
        <v>1</v>
      </c>
      <c r="D172" s="241" t="str">
        <f t="shared" si="32"/>
        <v>Non-Residential - BHPSD - C/I Prescriptive Rebate_C&amp;I Prescriptive Rebate :- C&amp;I Lighting :- Customer Incentives_LED Fixtures Exterior &amp; Garage - 25W to 60W</v>
      </c>
      <c r="E172" s="241" t="str">
        <f t="shared" si="33"/>
        <v>C&amp;I_C&amp;I Prescriptive_Lighting_LED Parking Garage/Canopy (30-75W)</v>
      </c>
      <c r="F172" s="241" t="str">
        <f>INDEX('VDSM MAPPING'!E:E,MATCH($D172,'VDSM MAPPING'!$A:$A,0))</f>
        <v>C&amp;I</v>
      </c>
      <c r="G172" s="241" t="str">
        <f>INDEX('VDSM MAPPING'!F:F,MATCH($D172,'VDSM MAPPING'!$A:$A,0))</f>
        <v>C&amp;I Prescriptive</v>
      </c>
      <c r="H172" s="241" t="str">
        <f>INDEX('VDSM MAPPING'!G:G,MATCH($D172,'VDSM MAPPING'!$A:$A,0))</f>
        <v>Lighting</v>
      </c>
      <c r="I172" s="241" t="str">
        <f>INDEX('VDSM MAPPING'!H:H,MATCH($D172,'VDSM MAPPING'!$A:$A,0))</f>
        <v>LED Parking Garage/Canopy (30-75W)</v>
      </c>
      <c r="J172" s="240">
        <f t="shared" si="34"/>
        <v>-0.65360580667834078</v>
      </c>
      <c r="K172" s="240">
        <f t="shared" si="35"/>
        <v>0.74402665660424805</v>
      </c>
      <c r="L172" s="240" t="b">
        <f t="shared" si="36"/>
        <v>0</v>
      </c>
      <c r="M172" s="240" t="b">
        <f t="shared" si="37"/>
        <v>0</v>
      </c>
      <c r="N172" s="204" t="s">
        <v>289</v>
      </c>
      <c r="O172" s="204" t="s">
        <v>2519</v>
      </c>
      <c r="P172" s="350">
        <v>0</v>
      </c>
      <c r="Q172" s="204" t="s">
        <v>2519</v>
      </c>
      <c r="R172" s="204" t="s">
        <v>2518</v>
      </c>
      <c r="S172" s="204" t="s">
        <v>2517</v>
      </c>
      <c r="T172" s="204" t="s">
        <v>2517</v>
      </c>
      <c r="U172" s="204" t="s">
        <v>2517</v>
      </c>
      <c r="V172" s="204" t="s">
        <v>2516</v>
      </c>
      <c r="W172" s="204" t="s">
        <v>329</v>
      </c>
      <c r="X172" s="204" t="s">
        <v>297</v>
      </c>
      <c r="Y172" s="204" t="s">
        <v>397</v>
      </c>
      <c r="Z172" s="204" t="s">
        <v>2515</v>
      </c>
      <c r="AA172" s="204" t="s">
        <v>2514</v>
      </c>
      <c r="AB172" s="204" t="s">
        <v>2513</v>
      </c>
      <c r="AC172" s="204" t="s">
        <v>2512</v>
      </c>
      <c r="AD172" s="204" t="s">
        <v>2511</v>
      </c>
      <c r="AE172" s="204" t="s">
        <v>2510</v>
      </c>
      <c r="AF172" s="204" t="s">
        <v>2509</v>
      </c>
      <c r="AG172" s="204" t="s">
        <v>2129</v>
      </c>
      <c r="AH172" s="204" t="s">
        <v>2145</v>
      </c>
      <c r="AI172" s="204" t="s">
        <v>2193</v>
      </c>
      <c r="AJ172" s="204" t="s">
        <v>2126</v>
      </c>
      <c r="AX172" s="204">
        <v>7</v>
      </c>
      <c r="AY172" s="204">
        <v>0</v>
      </c>
      <c r="AZ172" s="204">
        <v>1.136436</v>
      </c>
      <c r="BB172" s="204">
        <v>3322.0459999999998</v>
      </c>
      <c r="BH172" s="204">
        <v>0</v>
      </c>
      <c r="BI172" s="204">
        <v>525</v>
      </c>
      <c r="BJ172" s="204">
        <v>42740</v>
      </c>
      <c r="BK172" s="204">
        <v>42740.498401273202</v>
      </c>
      <c r="BL172" s="204" t="s">
        <v>293</v>
      </c>
      <c r="BM172" s="204" t="s">
        <v>2508</v>
      </c>
      <c r="BN172" s="269">
        <f t="shared" si="38"/>
        <v>474.57799999999997</v>
      </c>
      <c r="BO172" s="269">
        <f t="shared" si="39"/>
        <v>75</v>
      </c>
      <c r="BP172" s="269">
        <f>INDEX('App Data Outliers'!$M:$M,MATCH($E172,'App Data Outliers'!$A:$A,0))</f>
        <v>540.38278358208959</v>
      </c>
      <c r="BQ172" s="269">
        <f>INDEX('App Data Outliers'!$N:$N,MATCH($E172,'App Data Outliers'!$A:$A,0))</f>
        <v>100.67961898397597</v>
      </c>
      <c r="BR172" s="269">
        <f>INDEX('App Data Outliers'!$S:$S,MATCH($E172,'App Data Outliers'!$A:$A,0))</f>
        <v>63.736940298507463</v>
      </c>
      <c r="BS172" s="269">
        <f>INDEX('App Data Outliers'!$T:$T,MATCH($E172,'App Data Outliers'!$A:$A,0))</f>
        <v>15.137978729011348</v>
      </c>
    </row>
    <row r="173" spans="1:71" s="204" customFormat="1" hidden="1">
      <c r="A173" s="241">
        <v>169</v>
      </c>
      <c r="B173" s="241" t="str">
        <f t="shared" si="30"/>
        <v>Non-Residential - BHPSD - C/I Prescriptive Rebate</v>
      </c>
      <c r="C173" s="241" t="b">
        <f t="shared" si="31"/>
        <v>1</v>
      </c>
      <c r="D173" s="241" t="str">
        <f t="shared" si="32"/>
        <v>Non-Residential - BHPSD - C/I Prescriptive Rebate_C&amp;I Prescriptive Rebate :- C&amp;I Lighting :- Customer Incentives_LED Replacement for T12 Linear Fluorescent Lamps - 4 ft or less</v>
      </c>
      <c r="E173" s="241" t="str">
        <f t="shared" si="33"/>
        <v>C&amp;I_C&amp;I Prescriptive_Lighting_LED Linear Replacement Lamp (≤4ft)</v>
      </c>
      <c r="F173" s="241" t="str">
        <f>INDEX('VDSM MAPPING'!E:E,MATCH($D173,'VDSM MAPPING'!$A:$A,0))</f>
        <v>C&amp;I</v>
      </c>
      <c r="G173" s="241" t="str">
        <f>INDEX('VDSM MAPPING'!F:F,MATCH($D173,'VDSM MAPPING'!$A:$A,0))</f>
        <v>C&amp;I Prescriptive</v>
      </c>
      <c r="H173" s="241" t="str">
        <f>INDEX('VDSM MAPPING'!G:G,MATCH($D173,'VDSM MAPPING'!$A:$A,0))</f>
        <v>Lighting</v>
      </c>
      <c r="I173" s="241" t="str">
        <f>INDEX('VDSM MAPPING'!H:H,MATCH($D173,'VDSM MAPPING'!$A:$A,0))</f>
        <v>LED Linear Replacement Lamp (≤4ft)</v>
      </c>
      <c r="J173" s="240">
        <f t="shared" si="34"/>
        <v>1.3746408826732119</v>
      </c>
      <c r="K173" s="240">
        <f t="shared" si="35"/>
        <v>1.1238294291255659</v>
      </c>
      <c r="L173" s="240" t="b">
        <f t="shared" si="36"/>
        <v>0</v>
      </c>
      <c r="M173" s="240" t="b">
        <f t="shared" si="37"/>
        <v>0</v>
      </c>
      <c r="N173" s="204" t="s">
        <v>289</v>
      </c>
      <c r="O173" s="204" t="s">
        <v>2507</v>
      </c>
      <c r="P173" s="350">
        <v>1</v>
      </c>
      <c r="Q173" s="204" t="s">
        <v>2507</v>
      </c>
      <c r="R173" s="204" t="s">
        <v>2506</v>
      </c>
      <c r="S173" s="204" t="s">
        <v>2505</v>
      </c>
      <c r="T173" s="204" t="s">
        <v>2504</v>
      </c>
      <c r="U173" s="204" t="s">
        <v>2504</v>
      </c>
      <c r="V173" s="204" t="s">
        <v>2503</v>
      </c>
      <c r="W173" s="204" t="s">
        <v>345</v>
      </c>
      <c r="X173" s="204" t="s">
        <v>297</v>
      </c>
      <c r="Y173" s="204" t="s">
        <v>344</v>
      </c>
      <c r="Z173" s="204" t="s">
        <v>2211</v>
      </c>
      <c r="AA173" s="204" t="s">
        <v>2210</v>
      </c>
      <c r="AB173" s="204" t="s">
        <v>298</v>
      </c>
      <c r="AC173" s="204" t="s">
        <v>297</v>
      </c>
      <c r="AD173" s="204" t="s">
        <v>296</v>
      </c>
      <c r="AE173" s="204" t="s">
        <v>2209</v>
      </c>
      <c r="AF173" s="204" t="s">
        <v>2208</v>
      </c>
      <c r="AG173" s="204" t="s">
        <v>2129</v>
      </c>
      <c r="AH173" s="204" t="s">
        <v>2147</v>
      </c>
      <c r="AI173" s="204" t="s">
        <v>2127</v>
      </c>
      <c r="AJ173" s="204" t="s">
        <v>2126</v>
      </c>
      <c r="AX173" s="204">
        <v>100</v>
      </c>
      <c r="AY173" s="204">
        <v>0</v>
      </c>
      <c r="AZ173" s="204">
        <v>2.4235199999999999</v>
      </c>
      <c r="BB173" s="204">
        <v>11356.1</v>
      </c>
      <c r="BH173" s="204">
        <v>0</v>
      </c>
      <c r="BI173" s="204">
        <v>1491</v>
      </c>
      <c r="BJ173" s="204">
        <v>42745</v>
      </c>
      <c r="BK173" s="204">
        <v>42745.681562002297</v>
      </c>
      <c r="BL173" s="204" t="s">
        <v>293</v>
      </c>
      <c r="BM173" s="204" t="s">
        <v>2502</v>
      </c>
      <c r="BN173" s="269">
        <f t="shared" si="38"/>
        <v>113.56100000000001</v>
      </c>
      <c r="BO173" s="269">
        <f t="shared" si="39"/>
        <v>14.91</v>
      </c>
      <c r="BP173" s="269">
        <f>INDEX('App Data Outliers'!$M:$M,MATCH($E173,'App Data Outliers'!$A:$A,0))</f>
        <v>71.928403166606657</v>
      </c>
      <c r="BQ173" s="269">
        <f>INDEX('App Data Outliers'!$N:$N,MATCH($E173,'App Data Outliers'!$A:$A,0))</f>
        <v>30.28616226838243</v>
      </c>
      <c r="BR173" s="269">
        <f>INDEX('App Data Outliers'!$S:$S,MATCH($E173,'App Data Outliers'!$A:$A,0))</f>
        <v>10.421419234256929</v>
      </c>
      <c r="BS173" s="269">
        <f>INDEX('App Data Outliers'!$T:$T,MATCH($E173,'App Data Outliers'!$A:$A,0))</f>
        <v>3.9940053618595535</v>
      </c>
    </row>
    <row r="174" spans="1:71" s="204" customFormat="1" hidden="1">
      <c r="A174" s="241">
        <v>170</v>
      </c>
      <c r="B174" s="241" t="str">
        <f t="shared" si="30"/>
        <v>Non-Residential - BHPSD - C/I Prescriptive Rebate</v>
      </c>
      <c r="C174" s="241" t="b">
        <f t="shared" si="31"/>
        <v>1</v>
      </c>
      <c r="D174" s="241" t="str">
        <f t="shared" si="32"/>
        <v>Non-Residential - BHPSD - C/I Prescriptive Rebate_C&amp;I Prescriptive Rebate :- C&amp;I Lighting :- Customer Incentives_LED Replacement for T8 Linear Fluorescent Lamps - 4 ft or less</v>
      </c>
      <c r="E174" s="241" t="str">
        <f t="shared" si="33"/>
        <v>C&amp;I_C&amp;I Prescriptive_Lighting_LED Linear Replacement Lamp (≤4ft)</v>
      </c>
      <c r="F174" s="241" t="str">
        <f>INDEX('VDSM MAPPING'!E:E,MATCH($D174,'VDSM MAPPING'!$A:$A,0))</f>
        <v>C&amp;I</v>
      </c>
      <c r="G174" s="241" t="str">
        <f>INDEX('VDSM MAPPING'!F:F,MATCH($D174,'VDSM MAPPING'!$A:$A,0))</f>
        <v>C&amp;I Prescriptive</v>
      </c>
      <c r="H174" s="241" t="str">
        <f>INDEX('VDSM MAPPING'!G:G,MATCH($D174,'VDSM MAPPING'!$A:$A,0))</f>
        <v>Lighting</v>
      </c>
      <c r="I174" s="241" t="str">
        <f>INDEX('VDSM MAPPING'!H:H,MATCH($D174,'VDSM MAPPING'!$A:$A,0))</f>
        <v>LED Linear Replacement Lamp (≤4ft)</v>
      </c>
      <c r="J174" s="240">
        <f t="shared" si="34"/>
        <v>-0.93294762526264974</v>
      </c>
      <c r="K174" s="240">
        <f t="shared" si="35"/>
        <v>-0.60626339097590731</v>
      </c>
      <c r="L174" s="240" t="b">
        <f t="shared" si="36"/>
        <v>0</v>
      </c>
      <c r="M174" s="240" t="b">
        <f t="shared" si="37"/>
        <v>0</v>
      </c>
      <c r="N174" s="204" t="s">
        <v>289</v>
      </c>
      <c r="O174" s="204" t="s">
        <v>2501</v>
      </c>
      <c r="P174" s="350">
        <v>1</v>
      </c>
      <c r="Q174" s="204" t="s">
        <v>2501</v>
      </c>
      <c r="R174" s="204" t="s">
        <v>2500</v>
      </c>
      <c r="S174" s="204" t="s">
        <v>2499</v>
      </c>
      <c r="T174" s="204" t="s">
        <v>2499</v>
      </c>
      <c r="U174" s="204" t="s">
        <v>2499</v>
      </c>
      <c r="V174" s="204" t="s">
        <v>2498</v>
      </c>
      <c r="W174" s="204" t="s">
        <v>329</v>
      </c>
      <c r="X174" s="204" t="s">
        <v>297</v>
      </c>
      <c r="Y174" s="204" t="s">
        <v>397</v>
      </c>
      <c r="Z174" s="204" t="s">
        <v>2497</v>
      </c>
      <c r="AA174" s="204" t="s">
        <v>2496</v>
      </c>
      <c r="AB174" s="204" t="s">
        <v>2495</v>
      </c>
      <c r="AC174" s="204" t="s">
        <v>2494</v>
      </c>
      <c r="AD174" s="204" t="s">
        <v>2493</v>
      </c>
      <c r="AE174" s="204" t="s">
        <v>2492</v>
      </c>
      <c r="AF174" s="204" t="s">
        <v>2491</v>
      </c>
      <c r="AG174" s="204" t="s">
        <v>2129</v>
      </c>
      <c r="AH174" s="204" t="s">
        <v>2173</v>
      </c>
      <c r="AI174" s="204" t="s">
        <v>2490</v>
      </c>
      <c r="AJ174" s="204" t="s">
        <v>2126</v>
      </c>
      <c r="AX174" s="204">
        <v>2965</v>
      </c>
      <c r="AY174" s="204">
        <v>0</v>
      </c>
      <c r="AZ174" s="204">
        <v>44.001786000000003</v>
      </c>
      <c r="BB174" s="204">
        <v>129490.44500000001</v>
      </c>
      <c r="BH174" s="204">
        <v>0</v>
      </c>
      <c r="BI174" s="204">
        <v>23720</v>
      </c>
      <c r="BJ174" s="204">
        <v>42829</v>
      </c>
      <c r="BK174" s="204">
        <v>42746.554173807897</v>
      </c>
      <c r="BL174" s="204" t="s">
        <v>293</v>
      </c>
      <c r="BM174" s="204" t="s">
        <v>2489</v>
      </c>
      <c r="BN174" s="269">
        <f t="shared" si="38"/>
        <v>43.673000000000002</v>
      </c>
      <c r="BO174" s="269">
        <f t="shared" si="39"/>
        <v>8</v>
      </c>
      <c r="BP174" s="269">
        <f>INDEX('App Data Outliers'!$M:$M,MATCH($E174,'App Data Outliers'!$A:$A,0))</f>
        <v>71.928403166606657</v>
      </c>
      <c r="BQ174" s="269">
        <f>INDEX('App Data Outliers'!$N:$N,MATCH($E174,'App Data Outliers'!$A:$A,0))</f>
        <v>30.28616226838243</v>
      </c>
      <c r="BR174" s="269">
        <f>INDEX('App Data Outliers'!$S:$S,MATCH($E174,'App Data Outliers'!$A:$A,0))</f>
        <v>10.421419234256929</v>
      </c>
      <c r="BS174" s="269">
        <f>INDEX('App Data Outliers'!$T:$T,MATCH($E174,'App Data Outliers'!$A:$A,0))</f>
        <v>3.9940053618595535</v>
      </c>
    </row>
    <row r="175" spans="1:71" s="204" customFormat="1" hidden="1">
      <c r="A175" s="241">
        <v>171</v>
      </c>
      <c r="B175" s="241" t="str">
        <f t="shared" si="30"/>
        <v>Non-Residential - BHPSD - C/I Prescriptive Rebate</v>
      </c>
      <c r="C175" s="241" t="b">
        <f t="shared" si="31"/>
        <v>1</v>
      </c>
      <c r="D175" s="241" t="str">
        <f t="shared" si="32"/>
        <v>Non-Residential - BHPSD - C/I Prescriptive Rebate_C&amp;I Prescriptive Rebate :- C&amp;I Lighting :- Customer Incentives_LED Fixtures Exterior &amp; Garage - 25W to 60W</v>
      </c>
      <c r="E175" s="241" t="str">
        <f t="shared" si="33"/>
        <v>C&amp;I_C&amp;I Prescriptive_Lighting_LED Parking Garage/Canopy (30-75W)</v>
      </c>
      <c r="F175" s="241" t="str">
        <f>INDEX('VDSM MAPPING'!E:E,MATCH($D175,'VDSM MAPPING'!$A:$A,0))</f>
        <v>C&amp;I</v>
      </c>
      <c r="G175" s="241" t="str">
        <f>INDEX('VDSM MAPPING'!F:F,MATCH($D175,'VDSM MAPPING'!$A:$A,0))</f>
        <v>C&amp;I Prescriptive</v>
      </c>
      <c r="H175" s="241" t="str">
        <f>INDEX('VDSM MAPPING'!G:G,MATCH($D175,'VDSM MAPPING'!$A:$A,0))</f>
        <v>Lighting</v>
      </c>
      <c r="I175" s="241" t="str">
        <f>INDEX('VDSM MAPPING'!H:H,MATCH($D175,'VDSM MAPPING'!$A:$A,0))</f>
        <v>LED Parking Garage/Canopy (30-75W)</v>
      </c>
      <c r="J175" s="240">
        <f t="shared" si="34"/>
        <v>0.69335995827537733</v>
      </c>
      <c r="K175" s="240">
        <f t="shared" si="35"/>
        <v>0.74402665660424805</v>
      </c>
      <c r="L175" s="240" t="b">
        <f t="shared" si="36"/>
        <v>0</v>
      </c>
      <c r="M175" s="240" t="b">
        <f t="shared" si="37"/>
        <v>0</v>
      </c>
      <c r="N175" s="204" t="s">
        <v>289</v>
      </c>
      <c r="O175" s="204" t="s">
        <v>2488</v>
      </c>
      <c r="P175" s="350">
        <v>1</v>
      </c>
      <c r="Q175" s="204" t="s">
        <v>2488</v>
      </c>
      <c r="R175" s="204" t="s">
        <v>2487</v>
      </c>
      <c r="S175" s="204" t="s">
        <v>2486</v>
      </c>
      <c r="T175" s="204" t="s">
        <v>2485</v>
      </c>
      <c r="U175" s="204" t="s">
        <v>2442</v>
      </c>
      <c r="V175" s="204" t="s">
        <v>2484</v>
      </c>
      <c r="W175" s="204" t="s">
        <v>329</v>
      </c>
      <c r="X175" s="204" t="s">
        <v>297</v>
      </c>
      <c r="Y175" s="204" t="s">
        <v>397</v>
      </c>
      <c r="Z175" s="204" t="s">
        <v>2132</v>
      </c>
      <c r="AA175" s="204" t="s">
        <v>2131</v>
      </c>
      <c r="AB175" s="204" t="s">
        <v>329</v>
      </c>
      <c r="AC175" s="204" t="s">
        <v>297</v>
      </c>
      <c r="AD175" s="204" t="s">
        <v>599</v>
      </c>
      <c r="AE175" s="204" t="s">
        <v>2130</v>
      </c>
      <c r="AG175" s="204" t="s">
        <v>2129</v>
      </c>
      <c r="AH175" s="204" t="s">
        <v>2145</v>
      </c>
      <c r="AI175" s="204" t="s">
        <v>2404</v>
      </c>
      <c r="AJ175" s="204" t="s">
        <v>2126</v>
      </c>
      <c r="AX175" s="204">
        <v>2</v>
      </c>
      <c r="AY175" s="204">
        <v>0</v>
      </c>
      <c r="AZ175" s="204">
        <v>0.266538</v>
      </c>
      <c r="BB175" s="204">
        <v>1220.3800000000001</v>
      </c>
      <c r="BH175" s="204">
        <v>0</v>
      </c>
      <c r="BI175" s="204">
        <v>150</v>
      </c>
      <c r="BJ175" s="204">
        <v>42752</v>
      </c>
      <c r="BK175" s="204">
        <v>42752.773998298602</v>
      </c>
      <c r="BL175" s="204" t="s">
        <v>293</v>
      </c>
      <c r="BM175" s="204" t="s">
        <v>2483</v>
      </c>
      <c r="BN175" s="269">
        <f t="shared" si="38"/>
        <v>610.19000000000005</v>
      </c>
      <c r="BO175" s="269">
        <f t="shared" si="39"/>
        <v>75</v>
      </c>
      <c r="BP175" s="269">
        <f>INDEX('App Data Outliers'!$M:$M,MATCH($E175,'App Data Outliers'!$A:$A,0))</f>
        <v>540.38278358208959</v>
      </c>
      <c r="BQ175" s="269">
        <f>INDEX('App Data Outliers'!$N:$N,MATCH($E175,'App Data Outliers'!$A:$A,0))</f>
        <v>100.67961898397597</v>
      </c>
      <c r="BR175" s="269">
        <f>INDEX('App Data Outliers'!$S:$S,MATCH($E175,'App Data Outliers'!$A:$A,0))</f>
        <v>63.736940298507463</v>
      </c>
      <c r="BS175" s="269">
        <f>INDEX('App Data Outliers'!$T:$T,MATCH($E175,'App Data Outliers'!$A:$A,0))</f>
        <v>15.137978729011348</v>
      </c>
    </row>
    <row r="176" spans="1:71" s="204" customFormat="1" hidden="1">
      <c r="A176" s="241">
        <v>172</v>
      </c>
      <c r="B176" s="241" t="str">
        <f t="shared" ref="B176:B209" si="40">IF(N176="",B175,N176)</f>
        <v>Non-Residential - BHPSD - C/I Prescriptive Rebate</v>
      </c>
      <c r="C176" s="241" t="b">
        <f t="shared" ref="C176:C209" si="41">(N176="")</f>
        <v>1</v>
      </c>
      <c r="D176" s="241" t="str">
        <f t="shared" ref="D176:D209" si="42">B176&amp;"_"&amp;AG176&amp;"_"&amp;AH176</f>
        <v>Non-Residential - BHPSD - C/I Prescriptive Rebate_C&amp;I Prescriptive Rebate :- C&amp;I Lighting :- Customer Incentives_LED Fixtures Exterior &amp; Garage - 25W to 60W</v>
      </c>
      <c r="E176" s="241" t="str">
        <f t="shared" ref="E176:E207" si="43">IFERROR(F176&amp;"_"&amp;G176&amp;"_"&amp;H176&amp;"_"&amp;I176,0)</f>
        <v>C&amp;I_C&amp;I Prescriptive_Lighting_LED Parking Garage/Canopy (30-75W)</v>
      </c>
      <c r="F176" s="241" t="str">
        <f>INDEX('VDSM MAPPING'!E:E,MATCH($D176,'VDSM MAPPING'!$A:$A,0))</f>
        <v>C&amp;I</v>
      </c>
      <c r="G176" s="241" t="str">
        <f>INDEX('VDSM MAPPING'!F:F,MATCH($D176,'VDSM MAPPING'!$A:$A,0))</f>
        <v>C&amp;I Prescriptive</v>
      </c>
      <c r="H176" s="241" t="str">
        <f>INDEX('VDSM MAPPING'!G:G,MATCH($D176,'VDSM MAPPING'!$A:$A,0))</f>
        <v>Lighting</v>
      </c>
      <c r="I176" s="241" t="str">
        <f>INDEX('VDSM MAPPING'!H:H,MATCH($D176,'VDSM MAPPING'!$A:$A,0))</f>
        <v>LED Parking Garage/Canopy (30-75W)</v>
      </c>
      <c r="J176" s="240">
        <f t="shared" ref="J176:J209" si="44">IFERROR(STANDARDIZE(BN176,BP176,BQ176),"")</f>
        <v>0.76115918188076592</v>
      </c>
      <c r="K176" s="240">
        <f t="shared" ref="K176:K209" si="45">IFERROR(STANDARDIZE($BO176,$BR176,$BS176),"")</f>
        <v>-3.0873963515973197</v>
      </c>
      <c r="L176" s="240" t="b">
        <f t="shared" ref="L176:L209" si="46">AND(ISNUMBER(J176),OR(J176&gt;=L$1,J176&lt;=-L$1))</f>
        <v>0</v>
      </c>
      <c r="M176" s="240" t="b">
        <f t="shared" ref="M176:M209" si="47">AND(ISNUMBER(K176),OR(K176&gt;=M$1,K176&lt;=-M$1))</f>
        <v>1</v>
      </c>
      <c r="N176" s="204" t="s">
        <v>289</v>
      </c>
      <c r="O176" s="204" t="s">
        <v>2481</v>
      </c>
      <c r="P176" s="350">
        <v>1</v>
      </c>
      <c r="Q176" s="204" t="s">
        <v>2481</v>
      </c>
      <c r="R176" s="204" t="s">
        <v>2480</v>
      </c>
      <c r="S176" s="204" t="s">
        <v>2479</v>
      </c>
      <c r="T176" s="204" t="s">
        <v>2479</v>
      </c>
      <c r="U176" s="204" t="s">
        <v>2479</v>
      </c>
      <c r="V176" s="204" t="s">
        <v>2478</v>
      </c>
      <c r="W176" s="204" t="s">
        <v>730</v>
      </c>
      <c r="X176" s="204" t="s">
        <v>297</v>
      </c>
      <c r="Y176" s="204" t="s">
        <v>729</v>
      </c>
      <c r="Z176" s="204" t="s">
        <v>2367</v>
      </c>
      <c r="AA176" s="204" t="s">
        <v>2366</v>
      </c>
      <c r="AB176" s="204" t="s">
        <v>2365</v>
      </c>
      <c r="AC176" s="204" t="s">
        <v>297</v>
      </c>
      <c r="AD176" s="204" t="s">
        <v>2364</v>
      </c>
      <c r="AE176" s="204" t="s">
        <v>2363</v>
      </c>
      <c r="AG176" s="204" t="s">
        <v>2129</v>
      </c>
      <c r="AH176" s="204" t="s">
        <v>2145</v>
      </c>
      <c r="AI176" s="204" t="s">
        <v>2127</v>
      </c>
      <c r="AJ176" s="204" t="s">
        <v>2126</v>
      </c>
      <c r="AX176" s="204">
        <v>5</v>
      </c>
      <c r="AY176" s="204">
        <v>0</v>
      </c>
      <c r="AZ176" s="204">
        <v>0.65839000000000003</v>
      </c>
      <c r="BB176" s="204">
        <v>3085.08</v>
      </c>
      <c r="BH176" s="204">
        <v>0</v>
      </c>
      <c r="BI176" s="204">
        <v>85</v>
      </c>
      <c r="BJ176" s="204">
        <v>42755</v>
      </c>
      <c r="BK176" s="204">
        <v>42755.638858599501</v>
      </c>
      <c r="BL176" s="204" t="s">
        <v>293</v>
      </c>
      <c r="BM176" s="204" t="s">
        <v>2477</v>
      </c>
      <c r="BN176" s="269">
        <f t="shared" ref="BN176:BN209" si="48">IFERROR(BB176/$AX176,"")</f>
        <v>617.01599999999996</v>
      </c>
      <c r="BO176" s="269">
        <f t="shared" ref="BO176:BO209" si="49">BI176/$AX176</f>
        <v>17</v>
      </c>
      <c r="BP176" s="269">
        <f>INDEX('App Data Outliers'!$M:$M,MATCH($E176,'App Data Outliers'!$A:$A,0))</f>
        <v>540.38278358208959</v>
      </c>
      <c r="BQ176" s="269">
        <f>INDEX('App Data Outliers'!$N:$N,MATCH($E176,'App Data Outliers'!$A:$A,0))</f>
        <v>100.67961898397597</v>
      </c>
      <c r="BR176" s="269">
        <f>INDEX('App Data Outliers'!$S:$S,MATCH($E176,'App Data Outliers'!$A:$A,0))</f>
        <v>63.736940298507463</v>
      </c>
      <c r="BS176" s="269">
        <f>INDEX('App Data Outliers'!$T:$T,MATCH($E176,'App Data Outliers'!$A:$A,0))</f>
        <v>15.137978729011348</v>
      </c>
    </row>
    <row r="177" spans="1:71" s="204" customFormat="1" hidden="1">
      <c r="A177" s="241">
        <v>173</v>
      </c>
      <c r="B177" s="241" t="str">
        <f t="shared" si="40"/>
        <v>Non-Residential - BHPSD - C/I Prescriptive Rebate</v>
      </c>
      <c r="C177" s="241" t="b">
        <f t="shared" si="41"/>
        <v>1</v>
      </c>
      <c r="D177" s="241" t="str">
        <f t="shared" si="42"/>
        <v>Non-Residential - BHPSD - C/I Prescriptive Rebate_C&amp;I Prescriptive Rebate :- C&amp;I Lighting :- Customer Incentives_LED Replacement for T12 Linear Fluorescent Lamps - 4 ft or less</v>
      </c>
      <c r="E177" s="241" t="str">
        <f t="shared" si="43"/>
        <v>C&amp;I_C&amp;I Prescriptive_Lighting_LED Linear Replacement Lamp (≤4ft)</v>
      </c>
      <c r="F177" s="241" t="str">
        <f>INDEX('VDSM MAPPING'!E:E,MATCH($D177,'VDSM MAPPING'!$A:$A,0))</f>
        <v>C&amp;I</v>
      </c>
      <c r="G177" s="241" t="str">
        <f>INDEX('VDSM MAPPING'!F:F,MATCH($D177,'VDSM MAPPING'!$A:$A,0))</f>
        <v>C&amp;I Prescriptive</v>
      </c>
      <c r="H177" s="241" t="str">
        <f>INDEX('VDSM MAPPING'!G:G,MATCH($D177,'VDSM MAPPING'!$A:$A,0))</f>
        <v>Lighting</v>
      </c>
      <c r="I177" s="241" t="str">
        <f>INDEX('VDSM MAPPING'!H:H,MATCH($D177,'VDSM MAPPING'!$A:$A,0))</f>
        <v>LED Linear Replacement Lamp (≤4ft)</v>
      </c>
      <c r="J177" s="240">
        <f t="shared" si="44"/>
        <v>1.3746408826732115</v>
      </c>
      <c r="K177" s="240">
        <f t="shared" si="45"/>
        <v>1.3967384267971441</v>
      </c>
      <c r="L177" s="240" t="b">
        <f t="shared" si="46"/>
        <v>0</v>
      </c>
      <c r="M177" s="240" t="b">
        <f t="shared" si="47"/>
        <v>0</v>
      </c>
      <c r="N177" s="204" t="s">
        <v>289</v>
      </c>
      <c r="O177" s="204" t="s">
        <v>2481</v>
      </c>
      <c r="P177" s="350">
        <v>0</v>
      </c>
      <c r="Q177" s="204" t="s">
        <v>2481</v>
      </c>
      <c r="R177" s="204" t="s">
        <v>2480</v>
      </c>
      <c r="S177" s="204" t="s">
        <v>2479</v>
      </c>
      <c r="T177" s="204" t="s">
        <v>2479</v>
      </c>
      <c r="U177" s="204" t="s">
        <v>2479</v>
      </c>
      <c r="V177" s="204" t="s">
        <v>2478</v>
      </c>
      <c r="W177" s="204" t="s">
        <v>730</v>
      </c>
      <c r="X177" s="204" t="s">
        <v>297</v>
      </c>
      <c r="Y177" s="204" t="s">
        <v>729</v>
      </c>
      <c r="Z177" s="204" t="s">
        <v>2367</v>
      </c>
      <c r="AA177" s="204" t="s">
        <v>2366</v>
      </c>
      <c r="AB177" s="204" t="s">
        <v>2365</v>
      </c>
      <c r="AC177" s="204" t="s">
        <v>297</v>
      </c>
      <c r="AD177" s="204" t="s">
        <v>2364</v>
      </c>
      <c r="AE177" s="204" t="s">
        <v>2363</v>
      </c>
      <c r="AG177" s="204" t="s">
        <v>2129</v>
      </c>
      <c r="AH177" s="204" t="s">
        <v>2147</v>
      </c>
      <c r="AI177" s="204" t="s">
        <v>2127</v>
      </c>
      <c r="AJ177" s="204" t="s">
        <v>2126</v>
      </c>
      <c r="AX177" s="204">
        <v>102</v>
      </c>
      <c r="AY177" s="204">
        <v>0</v>
      </c>
      <c r="AZ177" s="204">
        <v>2.4719899999999999</v>
      </c>
      <c r="BB177" s="204">
        <v>11583.222</v>
      </c>
      <c r="BH177" s="204">
        <v>0</v>
      </c>
      <c r="BI177" s="204">
        <v>1632</v>
      </c>
      <c r="BJ177" s="204">
        <v>42755</v>
      </c>
      <c r="BK177" s="204">
        <v>42755.638858599501</v>
      </c>
      <c r="BL177" s="204" t="s">
        <v>293</v>
      </c>
      <c r="BM177" s="204" t="s">
        <v>2482</v>
      </c>
      <c r="BN177" s="269">
        <f t="shared" si="48"/>
        <v>113.56099999999999</v>
      </c>
      <c r="BO177" s="269">
        <f t="shared" si="49"/>
        <v>16</v>
      </c>
      <c r="BP177" s="269">
        <f>INDEX('App Data Outliers'!$M:$M,MATCH($E177,'App Data Outliers'!$A:$A,0))</f>
        <v>71.928403166606657</v>
      </c>
      <c r="BQ177" s="269">
        <f>INDEX('App Data Outliers'!$N:$N,MATCH($E177,'App Data Outliers'!$A:$A,0))</f>
        <v>30.28616226838243</v>
      </c>
      <c r="BR177" s="269">
        <f>INDEX('App Data Outliers'!$S:$S,MATCH($E177,'App Data Outliers'!$A:$A,0))</f>
        <v>10.421419234256929</v>
      </c>
      <c r="BS177" s="269">
        <f>INDEX('App Data Outliers'!$T:$T,MATCH($E177,'App Data Outliers'!$A:$A,0))</f>
        <v>3.9940053618595535</v>
      </c>
    </row>
    <row r="178" spans="1:71" s="204" customFormat="1" hidden="1">
      <c r="A178" s="241">
        <v>174</v>
      </c>
      <c r="B178" s="241" t="str">
        <f t="shared" si="40"/>
        <v>Non-Residential - BHPSD - C/I Prescriptive Rebate</v>
      </c>
      <c r="C178" s="241" t="b">
        <f t="shared" si="41"/>
        <v>1</v>
      </c>
      <c r="D178" s="241" t="str">
        <f t="shared" si="42"/>
        <v>Non-Residential - BHPSD - C/I Prescriptive Rebate_C&amp;I Prescriptive Rebate :- C&amp;I Lighting :- Customer Incentives_LED Replacement for T12 Linear Fluorescent Lamps - 4 ft or less</v>
      </c>
      <c r="E178" s="241" t="str">
        <f t="shared" si="43"/>
        <v>C&amp;I_C&amp;I Prescriptive_Lighting_LED Linear Replacement Lamp (≤4ft)</v>
      </c>
      <c r="F178" s="241" t="str">
        <f>INDEX('VDSM MAPPING'!E:E,MATCH($D178,'VDSM MAPPING'!$A:$A,0))</f>
        <v>C&amp;I</v>
      </c>
      <c r="G178" s="241" t="str">
        <f>INDEX('VDSM MAPPING'!F:F,MATCH($D178,'VDSM MAPPING'!$A:$A,0))</f>
        <v>C&amp;I Prescriptive</v>
      </c>
      <c r="H178" s="241" t="str">
        <f>INDEX('VDSM MAPPING'!G:G,MATCH($D178,'VDSM MAPPING'!$A:$A,0))</f>
        <v>Lighting</v>
      </c>
      <c r="I178" s="241" t="str">
        <f>INDEX('VDSM MAPPING'!H:H,MATCH($D178,'VDSM MAPPING'!$A:$A,0))</f>
        <v>LED Linear Replacement Lamp (≤4ft)</v>
      </c>
      <c r="J178" s="240">
        <f t="shared" si="44"/>
        <v>1.3746408826732119</v>
      </c>
      <c r="K178" s="240">
        <f t="shared" si="45"/>
        <v>0.94606301779820789</v>
      </c>
      <c r="L178" s="240" t="b">
        <f t="shared" si="46"/>
        <v>0</v>
      </c>
      <c r="M178" s="240" t="b">
        <f t="shared" si="47"/>
        <v>0</v>
      </c>
      <c r="N178" s="204" t="s">
        <v>289</v>
      </c>
      <c r="O178" s="204" t="s">
        <v>2475</v>
      </c>
      <c r="P178" s="350">
        <v>1</v>
      </c>
      <c r="Q178" s="204" t="s">
        <v>2475</v>
      </c>
      <c r="R178" s="204" t="s">
        <v>2474</v>
      </c>
      <c r="S178" s="204" t="s">
        <v>2473</v>
      </c>
      <c r="T178" s="204" t="s">
        <v>2473</v>
      </c>
      <c r="U178" s="204" t="s">
        <v>2472</v>
      </c>
      <c r="V178" s="204" t="s">
        <v>2471</v>
      </c>
      <c r="W178" s="204" t="s">
        <v>329</v>
      </c>
      <c r="X178" s="204" t="s">
        <v>297</v>
      </c>
      <c r="Y178" s="204" t="s">
        <v>328</v>
      </c>
      <c r="Z178" s="204" t="s">
        <v>1017</v>
      </c>
      <c r="AA178" s="204" t="s">
        <v>1016</v>
      </c>
      <c r="AB178" s="204" t="s">
        <v>329</v>
      </c>
      <c r="AC178" s="204" t="s">
        <v>297</v>
      </c>
      <c r="AD178" s="204" t="s">
        <v>848</v>
      </c>
      <c r="AE178" s="204" t="s">
        <v>1015</v>
      </c>
      <c r="AF178" s="204" t="s">
        <v>1014</v>
      </c>
      <c r="AG178" s="204" t="s">
        <v>2129</v>
      </c>
      <c r="AH178" s="204" t="s">
        <v>2147</v>
      </c>
      <c r="AI178" s="204" t="s">
        <v>2127</v>
      </c>
      <c r="AJ178" s="204" t="s">
        <v>2126</v>
      </c>
      <c r="AX178" s="204">
        <v>136</v>
      </c>
      <c r="AY178" s="204">
        <v>0</v>
      </c>
      <c r="AZ178" s="204">
        <v>3.2959870000000002</v>
      </c>
      <c r="BB178" s="204">
        <v>15444.296</v>
      </c>
      <c r="BH178" s="204">
        <v>0</v>
      </c>
      <c r="BI178" s="204">
        <v>1931.2</v>
      </c>
      <c r="BJ178" s="204">
        <v>42761</v>
      </c>
      <c r="BK178" s="204">
        <v>42761.645441932902</v>
      </c>
      <c r="BL178" s="204" t="s">
        <v>293</v>
      </c>
      <c r="BM178" s="204" t="s">
        <v>2470</v>
      </c>
      <c r="BN178" s="269">
        <f t="shared" si="48"/>
        <v>113.56100000000001</v>
      </c>
      <c r="BO178" s="269">
        <f t="shared" si="49"/>
        <v>14.200000000000001</v>
      </c>
      <c r="BP178" s="269">
        <f>INDEX('App Data Outliers'!$M:$M,MATCH($E178,'App Data Outliers'!$A:$A,0))</f>
        <v>71.928403166606657</v>
      </c>
      <c r="BQ178" s="269">
        <f>INDEX('App Data Outliers'!$N:$N,MATCH($E178,'App Data Outliers'!$A:$A,0))</f>
        <v>30.28616226838243</v>
      </c>
      <c r="BR178" s="269">
        <f>INDEX('App Data Outliers'!$S:$S,MATCH($E178,'App Data Outliers'!$A:$A,0))</f>
        <v>10.421419234256929</v>
      </c>
      <c r="BS178" s="269">
        <f>INDEX('App Data Outliers'!$T:$T,MATCH($E178,'App Data Outliers'!$A:$A,0))</f>
        <v>3.9940053618595535</v>
      </c>
    </row>
    <row r="179" spans="1:71" s="204" customFormat="1" hidden="1">
      <c r="A179" s="241">
        <v>175</v>
      </c>
      <c r="B179" s="241" t="str">
        <f t="shared" si="40"/>
        <v>Non-Residential - BHPSD - C/I Prescriptive Rebate</v>
      </c>
      <c r="C179" s="241" t="b">
        <f t="shared" si="41"/>
        <v>1</v>
      </c>
      <c r="D179" s="241" t="str">
        <f t="shared" si="42"/>
        <v>Non-Residential - BHPSD - C/I Prescriptive Rebate_C&amp;I Prescriptive Rebate :- C&amp;I Lighting :- Customer Incentives_LED Fixtures Exterior &amp; Garage - 25W to 60W</v>
      </c>
      <c r="E179" s="241" t="str">
        <f t="shared" si="43"/>
        <v>C&amp;I_C&amp;I Prescriptive_Lighting_LED Parking Garage/Canopy (30-75W)</v>
      </c>
      <c r="F179" s="241" t="str">
        <f>INDEX('VDSM MAPPING'!E:E,MATCH($D179,'VDSM MAPPING'!$A:$A,0))</f>
        <v>C&amp;I</v>
      </c>
      <c r="G179" s="241" t="str">
        <f>INDEX('VDSM MAPPING'!F:F,MATCH($D179,'VDSM MAPPING'!$A:$A,0))</f>
        <v>C&amp;I Prescriptive</v>
      </c>
      <c r="H179" s="241" t="str">
        <f>INDEX('VDSM MAPPING'!G:G,MATCH($D179,'VDSM MAPPING'!$A:$A,0))</f>
        <v>Lighting</v>
      </c>
      <c r="I179" s="241" t="str">
        <f>INDEX('VDSM MAPPING'!H:H,MATCH($D179,'VDSM MAPPING'!$A:$A,0))</f>
        <v>LED Parking Garage/Canopy (30-75W)</v>
      </c>
      <c r="J179" s="240">
        <f t="shared" si="44"/>
        <v>0.76115918188076592</v>
      </c>
      <c r="K179" s="240">
        <f t="shared" si="45"/>
        <v>0.74402665660424805</v>
      </c>
      <c r="L179" s="240" t="b">
        <f t="shared" si="46"/>
        <v>0</v>
      </c>
      <c r="M179" s="240" t="b">
        <f t="shared" si="47"/>
        <v>0</v>
      </c>
      <c r="N179" s="204" t="s">
        <v>289</v>
      </c>
      <c r="O179" s="204" t="s">
        <v>2475</v>
      </c>
      <c r="P179" s="350">
        <v>0</v>
      </c>
      <c r="Q179" s="204" t="s">
        <v>2475</v>
      </c>
      <c r="R179" s="204" t="s">
        <v>2474</v>
      </c>
      <c r="S179" s="204" t="s">
        <v>2473</v>
      </c>
      <c r="T179" s="204" t="s">
        <v>2473</v>
      </c>
      <c r="U179" s="204" t="s">
        <v>2472</v>
      </c>
      <c r="V179" s="204" t="s">
        <v>2471</v>
      </c>
      <c r="W179" s="204" t="s">
        <v>329</v>
      </c>
      <c r="X179" s="204" t="s">
        <v>297</v>
      </c>
      <c r="Y179" s="204" t="s">
        <v>328</v>
      </c>
      <c r="Z179" s="204" t="s">
        <v>1017</v>
      </c>
      <c r="AA179" s="204" t="s">
        <v>1016</v>
      </c>
      <c r="AB179" s="204" t="s">
        <v>329</v>
      </c>
      <c r="AC179" s="204" t="s">
        <v>297</v>
      </c>
      <c r="AD179" s="204" t="s">
        <v>848</v>
      </c>
      <c r="AE179" s="204" t="s">
        <v>1015</v>
      </c>
      <c r="AF179" s="204" t="s">
        <v>1014</v>
      </c>
      <c r="AG179" s="204" t="s">
        <v>2129</v>
      </c>
      <c r="AH179" s="204" t="s">
        <v>2145</v>
      </c>
      <c r="AI179" s="204" t="s">
        <v>2127</v>
      </c>
      <c r="AJ179" s="204" t="s">
        <v>2126</v>
      </c>
      <c r="AX179" s="204">
        <v>1</v>
      </c>
      <c r="AY179" s="204">
        <v>0</v>
      </c>
      <c r="AZ179" s="204">
        <v>0.13167799999999999</v>
      </c>
      <c r="BB179" s="204">
        <v>617.01599999999996</v>
      </c>
      <c r="BH179" s="204">
        <v>0</v>
      </c>
      <c r="BI179" s="204">
        <v>75</v>
      </c>
      <c r="BJ179" s="204">
        <v>42761</v>
      </c>
      <c r="BK179" s="204">
        <v>42761.645441932902</v>
      </c>
      <c r="BL179" s="204" t="s">
        <v>293</v>
      </c>
      <c r="BM179" s="204" t="s">
        <v>2476</v>
      </c>
      <c r="BN179" s="269">
        <f t="shared" si="48"/>
        <v>617.01599999999996</v>
      </c>
      <c r="BO179" s="269">
        <f t="shared" si="49"/>
        <v>75</v>
      </c>
      <c r="BP179" s="269">
        <f>INDEX('App Data Outliers'!$M:$M,MATCH($E179,'App Data Outliers'!$A:$A,0))</f>
        <v>540.38278358208959</v>
      </c>
      <c r="BQ179" s="269">
        <f>INDEX('App Data Outliers'!$N:$N,MATCH($E179,'App Data Outliers'!$A:$A,0))</f>
        <v>100.67961898397597</v>
      </c>
      <c r="BR179" s="269">
        <f>INDEX('App Data Outliers'!$S:$S,MATCH($E179,'App Data Outliers'!$A:$A,0))</f>
        <v>63.736940298507463</v>
      </c>
      <c r="BS179" s="269">
        <f>INDEX('App Data Outliers'!$T:$T,MATCH($E179,'App Data Outliers'!$A:$A,0))</f>
        <v>15.137978729011348</v>
      </c>
    </row>
    <row r="180" spans="1:71" s="204" customFormat="1" hidden="1">
      <c r="A180" s="241">
        <v>176</v>
      </c>
      <c r="B180" s="241" t="str">
        <f t="shared" si="40"/>
        <v>Non-Residential - BHPSD - C/I Prescriptive Rebate</v>
      </c>
      <c r="C180" s="241" t="b">
        <f t="shared" si="41"/>
        <v>1</v>
      </c>
      <c r="D180" s="241" t="str">
        <f t="shared" si="42"/>
        <v>Non-Residential - BHPSD - C/I Prescriptive Rebate_C&amp;I Prescriptive Rebate :- C&amp;I Lighting :- Customer Incentives_Energy Star LED Lamps - 5W to 10W</v>
      </c>
      <c r="E180" s="241" t="str">
        <f t="shared" si="43"/>
        <v>C&amp;I_C&amp;I Prescriptive_Lighting_Energy Star LED Lamp (5-10W)</v>
      </c>
      <c r="F180" s="241" t="str">
        <f>INDEX('VDSM MAPPING'!E:E,MATCH($D180,'VDSM MAPPING'!$A:$A,0))</f>
        <v>C&amp;I</v>
      </c>
      <c r="G180" s="241" t="str">
        <f>INDEX('VDSM MAPPING'!F:F,MATCH($D180,'VDSM MAPPING'!$A:$A,0))</f>
        <v>C&amp;I Prescriptive</v>
      </c>
      <c r="H180" s="241" t="str">
        <f>INDEX('VDSM MAPPING'!G:G,MATCH($D180,'VDSM MAPPING'!$A:$A,0))</f>
        <v>Lighting</v>
      </c>
      <c r="I180" s="241" t="str">
        <f>INDEX('VDSM MAPPING'!H:H,MATCH($D180,'VDSM MAPPING'!$A:$A,0))</f>
        <v>Energy Star LED Lamp (5-10W)</v>
      </c>
      <c r="J180" s="240">
        <f t="shared" si="44"/>
        <v>0.28702377678926755</v>
      </c>
      <c r="K180" s="240">
        <f t="shared" si="45"/>
        <v>-1.3074589700222052</v>
      </c>
      <c r="L180" s="240" t="b">
        <f t="shared" si="46"/>
        <v>0</v>
      </c>
      <c r="M180" s="240" t="b">
        <f t="shared" si="47"/>
        <v>0</v>
      </c>
      <c r="N180" s="204" t="s">
        <v>289</v>
      </c>
      <c r="O180" s="204" t="s">
        <v>2468</v>
      </c>
      <c r="P180" s="350">
        <v>1</v>
      </c>
      <c r="Q180" s="204" t="s">
        <v>2468</v>
      </c>
      <c r="R180" s="204" t="s">
        <v>2467</v>
      </c>
      <c r="S180" s="204" t="s">
        <v>2466</v>
      </c>
      <c r="T180" s="204" t="s">
        <v>2465</v>
      </c>
      <c r="U180" s="204" t="s">
        <v>2465</v>
      </c>
      <c r="V180" s="204" t="s">
        <v>2464</v>
      </c>
      <c r="W180" s="204" t="s">
        <v>308</v>
      </c>
      <c r="X180" s="204" t="s">
        <v>297</v>
      </c>
      <c r="Y180" s="204" t="s">
        <v>307</v>
      </c>
      <c r="Z180" s="204" t="s">
        <v>2463</v>
      </c>
      <c r="AA180" s="204" t="s">
        <v>2462</v>
      </c>
      <c r="AB180" s="204" t="s">
        <v>329</v>
      </c>
      <c r="AC180" s="204" t="s">
        <v>297</v>
      </c>
      <c r="AD180" s="204" t="s">
        <v>397</v>
      </c>
      <c r="AE180" s="204" t="s">
        <v>2461</v>
      </c>
      <c r="AF180" s="204" t="s">
        <v>2460</v>
      </c>
      <c r="AG180" s="204" t="s">
        <v>2129</v>
      </c>
      <c r="AH180" s="204" t="s">
        <v>2128</v>
      </c>
      <c r="AI180" s="204" t="s">
        <v>2244</v>
      </c>
      <c r="AJ180" s="204" t="s">
        <v>2459</v>
      </c>
      <c r="AX180" s="204">
        <v>444</v>
      </c>
      <c r="AY180" s="204">
        <v>0</v>
      </c>
      <c r="AZ180" s="204">
        <v>3.4909059999999998</v>
      </c>
      <c r="BB180" s="204">
        <v>58079.64</v>
      </c>
      <c r="BH180" s="204">
        <v>0</v>
      </c>
      <c r="BI180" s="204">
        <v>943.5</v>
      </c>
      <c r="BJ180" s="204">
        <v>42769</v>
      </c>
      <c r="BK180" s="204">
        <v>42769.497099189801</v>
      </c>
      <c r="BL180" s="204" t="s">
        <v>293</v>
      </c>
      <c r="BM180" s="204" t="s">
        <v>2469</v>
      </c>
      <c r="BN180" s="269">
        <f t="shared" si="48"/>
        <v>130.81</v>
      </c>
      <c r="BO180" s="269">
        <f t="shared" si="49"/>
        <v>2.125</v>
      </c>
      <c r="BP180" s="269">
        <f>INDEX('App Data Outliers'!$M:$M,MATCH($E180,'App Data Outliers'!$A:$A,0))</f>
        <v>124.22266552020636</v>
      </c>
      <c r="BQ180" s="269">
        <f>INDEX('App Data Outliers'!$N:$N,MATCH($E180,'App Data Outliers'!$A:$A,0))</f>
        <v>22.950483592270654</v>
      </c>
      <c r="BR180" s="269">
        <f>INDEX('App Data Outliers'!$S:$S,MATCH($E180,'App Data Outliers'!$A:$A,0))</f>
        <v>4.8732072914875317</v>
      </c>
      <c r="BS180" s="269">
        <f>INDEX('App Data Outliers'!$T:$T,MATCH($E180,'App Data Outliers'!$A:$A,0))</f>
        <v>2.1019453416888925</v>
      </c>
    </row>
    <row r="181" spans="1:71" s="204" customFormat="1" hidden="1">
      <c r="A181" s="241">
        <v>177</v>
      </c>
      <c r="B181" s="241" t="str">
        <f t="shared" si="40"/>
        <v>Non-Residential - BHPSD - C/I Prescriptive Rebate</v>
      </c>
      <c r="C181" s="241" t="b">
        <f t="shared" si="41"/>
        <v>1</v>
      </c>
      <c r="D181" s="241" t="str">
        <f t="shared" si="42"/>
        <v>Non-Residential - BHPSD - C/I Prescriptive Rebate_C&amp;I Prescriptive Rebate :- C&amp;I Lighting :- Customer Incentives_LED Fixtures Exterior &amp; Garage - 60W to 150W</v>
      </c>
      <c r="E181" s="241" t="str">
        <f t="shared" si="43"/>
        <v>C&amp;I_C&amp;I Prescriptive_Lighting_LED Parking Garage/Canopy (≥75W)</v>
      </c>
      <c r="F181" s="241" t="str">
        <f>INDEX('VDSM MAPPING'!E:E,MATCH($D181,'VDSM MAPPING'!$A:$A,0))</f>
        <v>C&amp;I</v>
      </c>
      <c r="G181" s="241" t="str">
        <f>INDEX('VDSM MAPPING'!F:F,MATCH($D181,'VDSM MAPPING'!$A:$A,0))</f>
        <v>C&amp;I Prescriptive</v>
      </c>
      <c r="H181" s="241" t="str">
        <f>INDEX('VDSM MAPPING'!G:G,MATCH($D181,'VDSM MAPPING'!$A:$A,0))</f>
        <v>Lighting</v>
      </c>
      <c r="I181" s="241" t="str">
        <f>INDEX('VDSM MAPPING'!H:H,MATCH($D181,'VDSM MAPPING'!$A:$A,0))</f>
        <v>LED Parking Garage/Canopy (≥75W)</v>
      </c>
      <c r="J181" s="240">
        <f t="shared" si="44"/>
        <v>0.96852739206047811</v>
      </c>
      <c r="K181" s="240">
        <f t="shared" si="45"/>
        <v>-2.3093700991927801</v>
      </c>
      <c r="L181" s="240" t="b">
        <f t="shared" si="46"/>
        <v>0</v>
      </c>
      <c r="M181" s="240" t="b">
        <f t="shared" si="47"/>
        <v>1</v>
      </c>
      <c r="N181" s="204" t="s">
        <v>289</v>
      </c>
      <c r="O181" s="204" t="s">
        <v>2468</v>
      </c>
      <c r="P181" s="350">
        <v>0</v>
      </c>
      <c r="Q181" s="204" t="s">
        <v>2468</v>
      </c>
      <c r="R181" s="204" t="s">
        <v>2467</v>
      </c>
      <c r="S181" s="204" t="s">
        <v>2466</v>
      </c>
      <c r="T181" s="204" t="s">
        <v>2465</v>
      </c>
      <c r="U181" s="204" t="s">
        <v>2465</v>
      </c>
      <c r="V181" s="204" t="s">
        <v>2464</v>
      </c>
      <c r="W181" s="204" t="s">
        <v>308</v>
      </c>
      <c r="X181" s="204" t="s">
        <v>297</v>
      </c>
      <c r="Y181" s="204" t="s">
        <v>307</v>
      </c>
      <c r="Z181" s="204" t="s">
        <v>2463</v>
      </c>
      <c r="AA181" s="204" t="s">
        <v>2462</v>
      </c>
      <c r="AB181" s="204" t="s">
        <v>329</v>
      </c>
      <c r="AC181" s="204" t="s">
        <v>297</v>
      </c>
      <c r="AD181" s="204" t="s">
        <v>397</v>
      </c>
      <c r="AE181" s="204" t="s">
        <v>2461</v>
      </c>
      <c r="AF181" s="204" t="s">
        <v>2460</v>
      </c>
      <c r="AG181" s="204" t="s">
        <v>2129</v>
      </c>
      <c r="AH181" s="204" t="s">
        <v>2139</v>
      </c>
      <c r="AI181" s="204" t="s">
        <v>2244</v>
      </c>
      <c r="AJ181" s="204" t="s">
        <v>2459</v>
      </c>
      <c r="AX181" s="204">
        <v>9</v>
      </c>
      <c r="AY181" s="204">
        <v>0</v>
      </c>
      <c r="AZ181" s="204">
        <v>0.72117900000000001</v>
      </c>
      <c r="BB181" s="204">
        <v>11998.512000000001</v>
      </c>
      <c r="BH181" s="204">
        <v>0</v>
      </c>
      <c r="BI181" s="204">
        <v>225</v>
      </c>
      <c r="BJ181" s="204">
        <v>42769</v>
      </c>
      <c r="BK181" s="204">
        <v>42769.497099189801</v>
      </c>
      <c r="BL181" s="204" t="s">
        <v>293</v>
      </c>
      <c r="BM181" s="204" t="s">
        <v>2458</v>
      </c>
      <c r="BN181" s="269">
        <f t="shared" si="48"/>
        <v>1333.1680000000001</v>
      </c>
      <c r="BO181" s="269">
        <f t="shared" si="49"/>
        <v>25</v>
      </c>
      <c r="BP181" s="269">
        <f>INDEX('App Data Outliers'!$M:$M,MATCH($E181,'App Data Outliers'!$A:$A,0))</f>
        <v>1175.7261559139786</v>
      </c>
      <c r="BQ181" s="269">
        <f>INDEX('App Data Outliers'!$N:$N,MATCH($E181,'App Data Outliers'!$A:$A,0))</f>
        <v>162.55796725694501</v>
      </c>
      <c r="BR181" s="269">
        <f>INDEX('App Data Outliers'!$S:$S,MATCH($E181,'App Data Outliers'!$A:$A,0))</f>
        <v>100.15639784946237</v>
      </c>
      <c r="BS181" s="269">
        <f>INDEX('App Data Outliers'!$T:$T,MATCH($E181,'App Data Outliers'!$A:$A,0))</f>
        <v>32.544111433560438</v>
      </c>
    </row>
    <row r="182" spans="1:71" s="204" customFormat="1" hidden="1">
      <c r="A182" s="241">
        <v>178</v>
      </c>
      <c r="B182" s="241" t="str">
        <f t="shared" si="40"/>
        <v>Non-Residential - BHPSD - C/I Prescriptive Rebate</v>
      </c>
      <c r="C182" s="241" t="b">
        <f t="shared" si="41"/>
        <v>1</v>
      </c>
      <c r="D182" s="241" t="str">
        <f t="shared" si="42"/>
        <v>Non-Residential - BHPSD - C/I Prescriptive Rebate_C&amp;I Prescriptive Rebate :- C&amp;I Lighting :- Customer Incentives_LED Fixtures Exterior &amp; Garage - 25W to 60W</v>
      </c>
      <c r="E182" s="241" t="str">
        <f t="shared" si="43"/>
        <v>C&amp;I_C&amp;I Prescriptive_Lighting_LED Parking Garage/Canopy (30-75W)</v>
      </c>
      <c r="F182" s="241" t="str">
        <f>INDEX('VDSM MAPPING'!E:E,MATCH($D182,'VDSM MAPPING'!$A:$A,0))</f>
        <v>C&amp;I</v>
      </c>
      <c r="G182" s="241" t="str">
        <f>INDEX('VDSM MAPPING'!F:F,MATCH($D182,'VDSM MAPPING'!$A:$A,0))</f>
        <v>C&amp;I Prescriptive</v>
      </c>
      <c r="H182" s="241" t="str">
        <f>INDEX('VDSM MAPPING'!G:G,MATCH($D182,'VDSM MAPPING'!$A:$A,0))</f>
        <v>Lighting</v>
      </c>
      <c r="I182" s="241" t="str">
        <f>INDEX('VDSM MAPPING'!H:H,MATCH($D182,'VDSM MAPPING'!$A:$A,0))</f>
        <v>LED Parking Garage/Canopy (30-75W)</v>
      </c>
      <c r="J182" s="240">
        <f t="shared" si="44"/>
        <v>0.76115918188076592</v>
      </c>
      <c r="K182" s="240">
        <f t="shared" si="45"/>
        <v>0.74402665660424805</v>
      </c>
      <c r="L182" s="240" t="b">
        <f t="shared" si="46"/>
        <v>0</v>
      </c>
      <c r="M182" s="240" t="b">
        <f t="shared" si="47"/>
        <v>0</v>
      </c>
      <c r="N182" s="204" t="s">
        <v>289</v>
      </c>
      <c r="O182" s="204" t="s">
        <v>2457</v>
      </c>
      <c r="P182" s="350">
        <v>1</v>
      </c>
      <c r="Q182" s="204" t="s">
        <v>2457</v>
      </c>
      <c r="R182" s="204" t="s">
        <v>2456</v>
      </c>
      <c r="S182" s="204" t="s">
        <v>2455</v>
      </c>
      <c r="T182" s="204" t="s">
        <v>2455</v>
      </c>
      <c r="U182" s="204" t="s">
        <v>2455</v>
      </c>
      <c r="V182" s="204" t="s">
        <v>2454</v>
      </c>
      <c r="W182" s="204" t="s">
        <v>329</v>
      </c>
      <c r="X182" s="204" t="s">
        <v>297</v>
      </c>
      <c r="Y182" s="204" t="s">
        <v>328</v>
      </c>
      <c r="Z182" s="204" t="s">
        <v>2270</v>
      </c>
      <c r="AA182" s="204" t="s">
        <v>2269</v>
      </c>
      <c r="AB182" s="204" t="s">
        <v>329</v>
      </c>
      <c r="AC182" s="204" t="s">
        <v>297</v>
      </c>
      <c r="AD182" s="204" t="s">
        <v>328</v>
      </c>
      <c r="AE182" s="204" t="s">
        <v>2268</v>
      </c>
      <c r="AG182" s="204" t="s">
        <v>2129</v>
      </c>
      <c r="AH182" s="204" t="s">
        <v>2145</v>
      </c>
      <c r="AI182" s="204" t="s">
        <v>2127</v>
      </c>
      <c r="AJ182" s="204" t="s">
        <v>2126</v>
      </c>
      <c r="AX182" s="204">
        <v>25</v>
      </c>
      <c r="AY182" s="204">
        <v>0</v>
      </c>
      <c r="AZ182" s="204">
        <v>3.2919480000000001</v>
      </c>
      <c r="BB182" s="204">
        <v>15425.4</v>
      </c>
      <c r="BH182" s="204">
        <v>0</v>
      </c>
      <c r="BI182" s="204">
        <v>1875</v>
      </c>
      <c r="BJ182" s="204">
        <v>42772</v>
      </c>
      <c r="BK182" s="204">
        <v>42772.445572835597</v>
      </c>
      <c r="BL182" s="204" t="s">
        <v>293</v>
      </c>
      <c r="BM182" s="204" t="s">
        <v>2453</v>
      </c>
      <c r="BN182" s="269">
        <f t="shared" si="48"/>
        <v>617.01599999999996</v>
      </c>
      <c r="BO182" s="269">
        <f t="shared" si="49"/>
        <v>75</v>
      </c>
      <c r="BP182" s="269">
        <f>INDEX('App Data Outliers'!$M:$M,MATCH($E182,'App Data Outliers'!$A:$A,0))</f>
        <v>540.38278358208959</v>
      </c>
      <c r="BQ182" s="269">
        <f>INDEX('App Data Outliers'!$N:$N,MATCH($E182,'App Data Outliers'!$A:$A,0))</f>
        <v>100.67961898397597</v>
      </c>
      <c r="BR182" s="269">
        <f>INDEX('App Data Outliers'!$S:$S,MATCH($E182,'App Data Outliers'!$A:$A,0))</f>
        <v>63.736940298507463</v>
      </c>
      <c r="BS182" s="269">
        <f>INDEX('App Data Outliers'!$T:$T,MATCH($E182,'App Data Outliers'!$A:$A,0))</f>
        <v>15.137978729011348</v>
      </c>
    </row>
    <row r="183" spans="1:71" s="204" customFormat="1" hidden="1">
      <c r="A183" s="241">
        <v>179</v>
      </c>
      <c r="B183" s="241" t="str">
        <f t="shared" si="40"/>
        <v>Non-Residential - BHPSD - C/I Prescriptive Rebate</v>
      </c>
      <c r="C183" s="241" t="b">
        <f t="shared" si="41"/>
        <v>1</v>
      </c>
      <c r="D183" s="241" t="str">
        <f t="shared" si="42"/>
        <v>Non-Residential - BHPSD - C/I Prescriptive Rebate_C&amp;I Prescriptive Rebate :- C&amp;I Lighting :- Customer Incentives_LED Replacement for Linear Fluorescent Lamps - 5 to 8 f</v>
      </c>
      <c r="E183" s="241" t="str">
        <f t="shared" si="43"/>
        <v>C&amp;I_C&amp;I Prescriptive_Lighting_LED Linear Replacement Lamp (5-8ft)</v>
      </c>
      <c r="F183" s="241" t="str">
        <f>INDEX('VDSM MAPPING'!E:E,MATCH($D183,'VDSM MAPPING'!$A:$A,0))</f>
        <v>C&amp;I</v>
      </c>
      <c r="G183" s="241" t="str">
        <f>INDEX('VDSM MAPPING'!F:F,MATCH($D183,'VDSM MAPPING'!$A:$A,0))</f>
        <v>C&amp;I Prescriptive</v>
      </c>
      <c r="H183" s="241" t="str">
        <f>INDEX('VDSM MAPPING'!G:G,MATCH($D183,'VDSM MAPPING'!$A:$A,0))</f>
        <v>Lighting</v>
      </c>
      <c r="I183" s="241" t="str">
        <f>INDEX('VDSM MAPPING'!H:H,MATCH($D183,'VDSM MAPPING'!$A:$A,0))</f>
        <v>LED Linear Replacement Lamp (5-8ft)</v>
      </c>
      <c r="J183" s="240">
        <f t="shared" si="44"/>
        <v>-0.15639424182705158</v>
      </c>
      <c r="K183" s="240" t="str">
        <f t="shared" si="45"/>
        <v/>
      </c>
      <c r="L183" s="240" t="b">
        <f t="shared" si="46"/>
        <v>0</v>
      </c>
      <c r="M183" s="240" t="b">
        <f t="shared" si="47"/>
        <v>0</v>
      </c>
      <c r="N183" s="204" t="s">
        <v>289</v>
      </c>
      <c r="O183" s="204" t="s">
        <v>2451</v>
      </c>
      <c r="P183" s="350">
        <v>1</v>
      </c>
      <c r="Q183" s="204" t="s">
        <v>2451</v>
      </c>
      <c r="R183" s="204" t="s">
        <v>2450</v>
      </c>
      <c r="S183" s="204" t="s">
        <v>2449</v>
      </c>
      <c r="T183" s="204" t="s">
        <v>2448</v>
      </c>
      <c r="U183" s="204" t="s">
        <v>2447</v>
      </c>
      <c r="V183" s="204" t="s">
        <v>2446</v>
      </c>
      <c r="W183" s="204" t="s">
        <v>329</v>
      </c>
      <c r="X183" s="204" t="s">
        <v>297</v>
      </c>
      <c r="Y183" s="204" t="s">
        <v>397</v>
      </c>
      <c r="Z183" s="204" t="s">
        <v>2132</v>
      </c>
      <c r="AA183" s="204" t="s">
        <v>2131</v>
      </c>
      <c r="AB183" s="204" t="s">
        <v>329</v>
      </c>
      <c r="AC183" s="204" t="s">
        <v>297</v>
      </c>
      <c r="AD183" s="204" t="s">
        <v>599</v>
      </c>
      <c r="AE183" s="204" t="s">
        <v>2130</v>
      </c>
      <c r="AG183" s="204" t="s">
        <v>2129</v>
      </c>
      <c r="AH183" s="204" t="s">
        <v>2408</v>
      </c>
      <c r="AI183" s="204" t="s">
        <v>2202</v>
      </c>
      <c r="AJ183" s="204" t="s">
        <v>2126</v>
      </c>
      <c r="AX183" s="204">
        <v>16</v>
      </c>
      <c r="AY183" s="204">
        <v>0</v>
      </c>
      <c r="AZ183" s="204">
        <v>0.55389299999999997</v>
      </c>
      <c r="BB183" s="204">
        <v>2462.8960000000002</v>
      </c>
      <c r="BH183" s="204">
        <v>0</v>
      </c>
      <c r="BI183" s="204">
        <v>368</v>
      </c>
      <c r="BJ183" s="204">
        <v>42773</v>
      </c>
      <c r="BK183" s="204">
        <v>42773.443283449102</v>
      </c>
      <c r="BL183" s="204" t="s">
        <v>293</v>
      </c>
      <c r="BM183" s="204" t="s">
        <v>2445</v>
      </c>
      <c r="BN183" s="269">
        <f t="shared" si="48"/>
        <v>153.93100000000001</v>
      </c>
      <c r="BO183" s="269">
        <f t="shared" si="49"/>
        <v>23</v>
      </c>
      <c r="BP183" s="269">
        <f>INDEX('App Data Outliers'!$M:$M,MATCH($E183,'App Data Outliers'!$A:$A,0))</f>
        <v>159.23217764165389</v>
      </c>
      <c r="BQ183" s="269">
        <f>INDEX('App Data Outliers'!$N:$N,MATCH($E183,'App Data Outliers'!$A:$A,0))</f>
        <v>33.896245665592865</v>
      </c>
      <c r="BR183" s="269">
        <f>INDEX('App Data Outliers'!$S:$S,MATCH($E183,'App Data Outliers'!$A:$A,0))</f>
        <v>23</v>
      </c>
      <c r="BS183" s="269">
        <f>INDEX('App Data Outliers'!$T:$T,MATCH($E183,'App Data Outliers'!$A:$A,0))</f>
        <v>0</v>
      </c>
    </row>
    <row r="184" spans="1:71" s="204" customFormat="1" hidden="1">
      <c r="A184" s="241">
        <v>180</v>
      </c>
      <c r="B184" s="241" t="str">
        <f t="shared" si="40"/>
        <v>Non-Residential - BHPSD - C/I Prescriptive Rebate</v>
      </c>
      <c r="C184" s="241" t="b">
        <f t="shared" si="41"/>
        <v>1</v>
      </c>
      <c r="D184" s="241" t="str">
        <f t="shared" si="42"/>
        <v>Non-Residential - BHPSD - C/I Prescriptive Rebate_C&amp;I Prescriptive Rebate :- C&amp;I Lighting :- Customer Incentives_LED Replacement for T8 Linear Fluorescent Lamps - 4 ft or less</v>
      </c>
      <c r="E184" s="241" t="str">
        <f t="shared" si="43"/>
        <v>C&amp;I_C&amp;I Prescriptive_Lighting_LED Linear Replacement Lamp (≤4ft)</v>
      </c>
      <c r="F184" s="241" t="str">
        <f>INDEX('VDSM MAPPING'!E:E,MATCH($D184,'VDSM MAPPING'!$A:$A,0))</f>
        <v>C&amp;I</v>
      </c>
      <c r="G184" s="241" t="str">
        <f>INDEX('VDSM MAPPING'!F:F,MATCH($D184,'VDSM MAPPING'!$A:$A,0))</f>
        <v>C&amp;I Prescriptive</v>
      </c>
      <c r="H184" s="241" t="str">
        <f>INDEX('VDSM MAPPING'!G:G,MATCH($D184,'VDSM MAPPING'!$A:$A,0))</f>
        <v>Lighting</v>
      </c>
      <c r="I184" s="241" t="str">
        <f>INDEX('VDSM MAPPING'!H:H,MATCH($D184,'VDSM MAPPING'!$A:$A,0))</f>
        <v>LED Linear Replacement Lamp (≤4ft)</v>
      </c>
      <c r="J184" s="240">
        <f t="shared" si="44"/>
        <v>-0.73543167897040618</v>
      </c>
      <c r="K184" s="240">
        <f t="shared" si="45"/>
        <v>-0.60626339097590731</v>
      </c>
      <c r="L184" s="240" t="b">
        <f t="shared" si="46"/>
        <v>0</v>
      </c>
      <c r="M184" s="240" t="b">
        <f t="shared" si="47"/>
        <v>0</v>
      </c>
      <c r="N184" s="204" t="s">
        <v>289</v>
      </c>
      <c r="O184" s="204" t="s">
        <v>2451</v>
      </c>
      <c r="P184" s="350">
        <v>0</v>
      </c>
      <c r="Q184" s="204" t="s">
        <v>2451</v>
      </c>
      <c r="R184" s="204" t="s">
        <v>2450</v>
      </c>
      <c r="S184" s="204" t="s">
        <v>2449</v>
      </c>
      <c r="T184" s="204" t="s">
        <v>2448</v>
      </c>
      <c r="U184" s="204" t="s">
        <v>2447</v>
      </c>
      <c r="V184" s="204" t="s">
        <v>2446</v>
      </c>
      <c r="W184" s="204" t="s">
        <v>329</v>
      </c>
      <c r="X184" s="204" t="s">
        <v>297</v>
      </c>
      <c r="Y184" s="204" t="s">
        <v>397</v>
      </c>
      <c r="Z184" s="204" t="s">
        <v>2132</v>
      </c>
      <c r="AA184" s="204" t="s">
        <v>2131</v>
      </c>
      <c r="AB184" s="204" t="s">
        <v>329</v>
      </c>
      <c r="AC184" s="204" t="s">
        <v>297</v>
      </c>
      <c r="AD184" s="204" t="s">
        <v>599</v>
      </c>
      <c r="AE184" s="204" t="s">
        <v>2130</v>
      </c>
      <c r="AG184" s="204" t="s">
        <v>2129</v>
      </c>
      <c r="AH184" s="204" t="s">
        <v>2173</v>
      </c>
      <c r="AI184" s="204" t="s">
        <v>2202</v>
      </c>
      <c r="AJ184" s="204" t="s">
        <v>2126</v>
      </c>
      <c r="AX184" s="204">
        <v>20</v>
      </c>
      <c r="AY184" s="204">
        <v>0</v>
      </c>
      <c r="AZ184" s="204">
        <v>0.22334399999999999</v>
      </c>
      <c r="BB184" s="204">
        <v>993.1</v>
      </c>
      <c r="BH184" s="204">
        <v>0</v>
      </c>
      <c r="BI184" s="204">
        <v>160</v>
      </c>
      <c r="BJ184" s="204">
        <v>42773</v>
      </c>
      <c r="BK184" s="204">
        <v>42773.443283449102</v>
      </c>
      <c r="BL184" s="204" t="s">
        <v>293</v>
      </c>
      <c r="BM184" s="204" t="s">
        <v>2452</v>
      </c>
      <c r="BN184" s="269">
        <f t="shared" si="48"/>
        <v>49.655000000000001</v>
      </c>
      <c r="BO184" s="269">
        <f t="shared" si="49"/>
        <v>8</v>
      </c>
      <c r="BP184" s="269">
        <f>INDEX('App Data Outliers'!$M:$M,MATCH($E184,'App Data Outliers'!$A:$A,0))</f>
        <v>71.928403166606657</v>
      </c>
      <c r="BQ184" s="269">
        <f>INDEX('App Data Outliers'!$N:$N,MATCH($E184,'App Data Outliers'!$A:$A,0))</f>
        <v>30.28616226838243</v>
      </c>
      <c r="BR184" s="269">
        <f>INDEX('App Data Outliers'!$S:$S,MATCH($E184,'App Data Outliers'!$A:$A,0))</f>
        <v>10.421419234256929</v>
      </c>
      <c r="BS184" s="269">
        <f>INDEX('App Data Outliers'!$T:$T,MATCH($E184,'App Data Outliers'!$A:$A,0))</f>
        <v>3.9940053618595535</v>
      </c>
    </row>
    <row r="185" spans="1:71" s="204" customFormat="1" hidden="1">
      <c r="A185" s="241">
        <v>181</v>
      </c>
      <c r="B185" s="241" t="str">
        <f t="shared" si="40"/>
        <v>Non-Residential - BHPSD - C/I Prescriptive Rebate</v>
      </c>
      <c r="C185" s="241" t="b">
        <f t="shared" si="41"/>
        <v>1</v>
      </c>
      <c r="D185" s="241" t="str">
        <f t="shared" si="42"/>
        <v>Non-Residential - BHPSD - C/I Prescriptive Rebate_C&amp;I Prescriptive Rebate :- C&amp;I Lighting :- Customer Incentives_Energy Star LED Lamps - 10W or greater</v>
      </c>
      <c r="E185" s="241" t="str">
        <f t="shared" si="43"/>
        <v>C&amp;I_C&amp;I Prescriptive_Lighting_Energy Star LED Lamp (&gt;10W)</v>
      </c>
      <c r="F185" s="241" t="str">
        <f>INDEX('VDSM MAPPING'!E:E,MATCH($D185,'VDSM MAPPING'!$A:$A,0))</f>
        <v>C&amp;I</v>
      </c>
      <c r="G185" s="241" t="str">
        <f>INDEX('VDSM MAPPING'!F:F,MATCH($D185,'VDSM MAPPING'!$A:$A,0))</f>
        <v>C&amp;I Prescriptive</v>
      </c>
      <c r="H185" s="241" t="str">
        <f>INDEX('VDSM MAPPING'!G:G,MATCH($D185,'VDSM MAPPING'!$A:$A,0))</f>
        <v>Lighting</v>
      </c>
      <c r="I185" s="241" t="str">
        <f>INDEX('VDSM MAPPING'!H:H,MATCH($D185,'VDSM MAPPING'!$A:$A,0))</f>
        <v>Energy Star LED Lamp (&gt;10W)</v>
      </c>
      <c r="J185" s="240">
        <f t="shared" si="44"/>
        <v>-0.10579384246698145</v>
      </c>
      <c r="K185" s="240">
        <f t="shared" si="45"/>
        <v>0.10982312579381885</v>
      </c>
      <c r="L185" s="240" t="b">
        <f t="shared" si="46"/>
        <v>0</v>
      </c>
      <c r="M185" s="240" t="b">
        <f t="shared" si="47"/>
        <v>0</v>
      </c>
      <c r="N185" s="204" t="s">
        <v>289</v>
      </c>
      <c r="O185" s="204" t="s">
        <v>2444</v>
      </c>
      <c r="P185" s="350">
        <v>1</v>
      </c>
      <c r="Q185" s="204" t="s">
        <v>2444</v>
      </c>
      <c r="R185" s="204" t="s">
        <v>2443</v>
      </c>
      <c r="S185" s="204" t="s">
        <v>2442</v>
      </c>
      <c r="T185" s="204" t="s">
        <v>2442</v>
      </c>
      <c r="U185" s="204" t="s">
        <v>2442</v>
      </c>
      <c r="V185" s="204" t="s">
        <v>2441</v>
      </c>
      <c r="W185" s="204" t="s">
        <v>329</v>
      </c>
      <c r="X185" s="204" t="s">
        <v>297</v>
      </c>
      <c r="Y185" s="204" t="s">
        <v>328</v>
      </c>
      <c r="Z185" s="204" t="s">
        <v>2132</v>
      </c>
      <c r="AA185" s="204" t="s">
        <v>2131</v>
      </c>
      <c r="AB185" s="204" t="s">
        <v>329</v>
      </c>
      <c r="AC185" s="204" t="s">
        <v>297</v>
      </c>
      <c r="AD185" s="204" t="s">
        <v>599</v>
      </c>
      <c r="AE185" s="204" t="s">
        <v>2130</v>
      </c>
      <c r="AG185" s="204" t="s">
        <v>2129</v>
      </c>
      <c r="AH185" s="204" t="s">
        <v>2166</v>
      </c>
      <c r="AI185" s="204" t="s">
        <v>2127</v>
      </c>
      <c r="AJ185" s="204" t="s">
        <v>2126</v>
      </c>
      <c r="AX185" s="204">
        <v>6</v>
      </c>
      <c r="AY185" s="204">
        <v>0</v>
      </c>
      <c r="AZ185" s="204">
        <v>0.23023399999999999</v>
      </c>
      <c r="BB185" s="204">
        <v>1078.83</v>
      </c>
      <c r="BH185" s="204">
        <v>0</v>
      </c>
      <c r="BI185" s="204">
        <v>58.95</v>
      </c>
      <c r="BJ185" s="204">
        <v>42774</v>
      </c>
      <c r="BK185" s="204">
        <v>42774.778149849502</v>
      </c>
      <c r="BL185" s="204" t="s">
        <v>293</v>
      </c>
      <c r="BM185" s="204" t="s">
        <v>2440</v>
      </c>
      <c r="BN185" s="269">
        <f t="shared" si="48"/>
        <v>179.80499999999998</v>
      </c>
      <c r="BO185" s="269">
        <f t="shared" si="49"/>
        <v>9.8250000000000011</v>
      </c>
      <c r="BP185" s="269">
        <f>INDEX('App Data Outliers'!$M:$M,MATCH($E185,'App Data Outliers'!$A:$A,0))</f>
        <v>183.5885054112554</v>
      </c>
      <c r="BQ185" s="269">
        <f>INDEX('App Data Outliers'!$N:$N,MATCH($E185,'App Data Outliers'!$A:$A,0))</f>
        <v>35.763002108901198</v>
      </c>
      <c r="BR185" s="269">
        <f>INDEX('App Data Outliers'!$S:$S,MATCH($E185,'App Data Outliers'!$A:$A,0))</f>
        <v>9.5846103896103898</v>
      </c>
      <c r="BS185" s="269">
        <f>INDEX('App Data Outliers'!$T:$T,MATCH($E185,'App Data Outliers'!$A:$A,0))</f>
        <v>2.1888796977142775</v>
      </c>
    </row>
    <row r="186" spans="1:71" s="204" customFormat="1" hidden="1">
      <c r="A186" s="241">
        <v>182</v>
      </c>
      <c r="B186" s="241" t="str">
        <f t="shared" si="40"/>
        <v>Non-Residential - BHPSD - C/I Prescriptive Rebate</v>
      </c>
      <c r="C186" s="241" t="b">
        <f t="shared" si="41"/>
        <v>1</v>
      </c>
      <c r="D186" s="241" t="str">
        <f t="shared" si="42"/>
        <v>Non-Residential - BHPSD - C/I Prescriptive Rebate_C&amp;I Prescriptive Rebate :- C&amp;I Lighting :- Customer Incentives_Energy Star LED Lamps - 5W or less</v>
      </c>
      <c r="E186" s="241" t="str">
        <f t="shared" si="43"/>
        <v>C&amp;I_C&amp;I Prescriptive_Lighting_Energy Star LED Lamp (≤5W)</v>
      </c>
      <c r="F186" s="241" t="str">
        <f>INDEX('VDSM MAPPING'!E:E,MATCH($D186,'VDSM MAPPING'!$A:$A,0))</f>
        <v>C&amp;I</v>
      </c>
      <c r="G186" s="241" t="str">
        <f>INDEX('VDSM MAPPING'!F:F,MATCH($D186,'VDSM MAPPING'!$A:$A,0))</f>
        <v>C&amp;I Prescriptive</v>
      </c>
      <c r="H186" s="241" t="str">
        <f>INDEX('VDSM MAPPING'!G:G,MATCH($D186,'VDSM MAPPING'!$A:$A,0))</f>
        <v>Lighting</v>
      </c>
      <c r="I186" s="241" t="str">
        <f>INDEX('VDSM MAPPING'!H:H,MATCH($D186,'VDSM MAPPING'!$A:$A,0))</f>
        <v>Energy Star LED Lamp (≤5W)</v>
      </c>
      <c r="J186" s="240">
        <f t="shared" si="44"/>
        <v>1.960591133004923</v>
      </c>
      <c r="K186" s="240">
        <f t="shared" si="45"/>
        <v>-1.9605911330049151</v>
      </c>
      <c r="L186" s="240" t="b">
        <f t="shared" si="46"/>
        <v>0</v>
      </c>
      <c r="M186" s="240" t="b">
        <f t="shared" si="47"/>
        <v>0</v>
      </c>
      <c r="N186" s="204" t="s">
        <v>289</v>
      </c>
      <c r="O186" s="204" t="s">
        <v>2432</v>
      </c>
      <c r="P186" s="350">
        <v>1</v>
      </c>
      <c r="Q186" s="204" t="s">
        <v>2432</v>
      </c>
      <c r="R186" s="204" t="s">
        <v>2431</v>
      </c>
      <c r="S186" s="204" t="s">
        <v>2430</v>
      </c>
      <c r="T186" s="204" t="s">
        <v>2430</v>
      </c>
      <c r="U186" s="204" t="s">
        <v>2429</v>
      </c>
      <c r="V186" s="204" t="s">
        <v>2428</v>
      </c>
      <c r="W186" s="204" t="s">
        <v>329</v>
      </c>
      <c r="X186" s="204" t="s">
        <v>297</v>
      </c>
      <c r="Y186" s="204" t="s">
        <v>397</v>
      </c>
      <c r="Z186" s="204" t="s">
        <v>2427</v>
      </c>
      <c r="AA186" s="204" t="s">
        <v>2426</v>
      </c>
      <c r="AB186" s="204" t="s">
        <v>329</v>
      </c>
      <c r="AC186" s="204" t="s">
        <v>297</v>
      </c>
      <c r="AD186" s="204" t="s">
        <v>328</v>
      </c>
      <c r="AE186" s="204" t="s">
        <v>2425</v>
      </c>
      <c r="AF186" s="204" t="s">
        <v>2424</v>
      </c>
      <c r="AG186" s="204" t="s">
        <v>2129</v>
      </c>
      <c r="AH186" s="204" t="s">
        <v>2434</v>
      </c>
      <c r="AI186" s="204" t="s">
        <v>2378</v>
      </c>
      <c r="AJ186" s="204" t="s">
        <v>2126</v>
      </c>
      <c r="AX186" s="204">
        <v>8</v>
      </c>
      <c r="AY186" s="204">
        <v>0</v>
      </c>
      <c r="AZ186" s="204">
        <v>0.13619200000000001</v>
      </c>
      <c r="BB186" s="204">
        <v>832.8</v>
      </c>
      <c r="BH186" s="204">
        <v>0</v>
      </c>
      <c r="BI186" s="204">
        <v>30.32</v>
      </c>
      <c r="BJ186" s="204">
        <v>42796</v>
      </c>
      <c r="BK186" s="204">
        <v>42796.520584490703</v>
      </c>
      <c r="BL186" s="204" t="s">
        <v>293</v>
      </c>
      <c r="BM186" s="204" t="s">
        <v>2433</v>
      </c>
      <c r="BN186" s="269">
        <f t="shared" si="48"/>
        <v>104.1</v>
      </c>
      <c r="BO186" s="269">
        <f t="shared" si="49"/>
        <v>3.79</v>
      </c>
      <c r="BP186" s="269">
        <f>INDEX('App Data Outliers'!$M:$M,MATCH($E186,'App Data Outliers'!$A:$A,0))</f>
        <v>76.267448275862066</v>
      </c>
      <c r="BQ186" s="269">
        <f>INDEX('App Data Outliers'!$N:$N,MATCH($E186,'App Data Outliers'!$A:$A,0))</f>
        <v>14.196000000000021</v>
      </c>
      <c r="BR186" s="269">
        <f>INDEX('App Data Outliers'!$S:$S,MATCH($E186,'App Data Outliers'!$A:$A,0))</f>
        <v>4.9761576354679802</v>
      </c>
      <c r="BS186" s="269">
        <f>INDEX('App Data Outliers'!$T:$T,MATCH($E186,'App Data Outliers'!$A:$A,0))</f>
        <v>0.60500000000000331</v>
      </c>
    </row>
    <row r="187" spans="1:71" s="204" customFormat="1" hidden="1">
      <c r="A187" s="241">
        <v>183</v>
      </c>
      <c r="B187" s="241" t="str">
        <f t="shared" si="40"/>
        <v>Non-Residential - BHPSD - C/I Prescriptive Rebate</v>
      </c>
      <c r="C187" s="241" t="b">
        <f t="shared" si="41"/>
        <v>1</v>
      </c>
      <c r="D187" s="241" t="str">
        <f t="shared" si="42"/>
        <v>Non-Residential - BHPSD - C/I Prescriptive Rebate_C&amp;I Prescriptive Rebate :- C&amp;I Lighting :- Customer Incentives_Energy Star LED Lamps - 5W to 10W</v>
      </c>
      <c r="E187" s="241" t="str">
        <f t="shared" si="43"/>
        <v>C&amp;I_C&amp;I Prescriptive_Lighting_Energy Star LED Lamp (5-10W)</v>
      </c>
      <c r="F187" s="241" t="str">
        <f>INDEX('VDSM MAPPING'!E:E,MATCH($D187,'VDSM MAPPING'!$A:$A,0))</f>
        <v>C&amp;I</v>
      </c>
      <c r="G187" s="241" t="str">
        <f>INDEX('VDSM MAPPING'!F:F,MATCH($D187,'VDSM MAPPING'!$A:$A,0))</f>
        <v>C&amp;I Prescriptive</v>
      </c>
      <c r="H187" s="241" t="str">
        <f>INDEX('VDSM MAPPING'!G:G,MATCH($D187,'VDSM MAPPING'!$A:$A,0))</f>
        <v>Lighting</v>
      </c>
      <c r="I187" s="241" t="str">
        <f>INDEX('VDSM MAPPING'!H:H,MATCH($D187,'VDSM MAPPING'!$A:$A,0))</f>
        <v>Energy Star LED Lamp (5-10W)</v>
      </c>
      <c r="J187" s="240">
        <f t="shared" si="44"/>
        <v>1.3911399448918909</v>
      </c>
      <c r="K187" s="240">
        <f t="shared" si="45"/>
        <v>-0.37736818163416058</v>
      </c>
      <c r="L187" s="240" t="b">
        <f t="shared" si="46"/>
        <v>0</v>
      </c>
      <c r="M187" s="240" t="b">
        <f t="shared" si="47"/>
        <v>0</v>
      </c>
      <c r="N187" s="204" t="s">
        <v>289</v>
      </c>
      <c r="O187" s="204" t="s">
        <v>2432</v>
      </c>
      <c r="P187" s="350">
        <v>0</v>
      </c>
      <c r="Q187" s="204" t="s">
        <v>2432</v>
      </c>
      <c r="R187" s="204" t="s">
        <v>2431</v>
      </c>
      <c r="S187" s="204" t="s">
        <v>2430</v>
      </c>
      <c r="T187" s="204" t="s">
        <v>2430</v>
      </c>
      <c r="U187" s="204" t="s">
        <v>2429</v>
      </c>
      <c r="V187" s="204" t="s">
        <v>2428</v>
      </c>
      <c r="W187" s="204" t="s">
        <v>329</v>
      </c>
      <c r="X187" s="204" t="s">
        <v>297</v>
      </c>
      <c r="Y187" s="204" t="s">
        <v>397</v>
      </c>
      <c r="Z187" s="204" t="s">
        <v>2427</v>
      </c>
      <c r="AA187" s="204" t="s">
        <v>2426</v>
      </c>
      <c r="AB187" s="204" t="s">
        <v>329</v>
      </c>
      <c r="AC187" s="204" t="s">
        <v>297</v>
      </c>
      <c r="AD187" s="204" t="s">
        <v>328</v>
      </c>
      <c r="AE187" s="204" t="s">
        <v>2425</v>
      </c>
      <c r="AF187" s="204" t="s">
        <v>2424</v>
      </c>
      <c r="AG187" s="204" t="s">
        <v>2129</v>
      </c>
      <c r="AH187" s="204" t="s">
        <v>2128</v>
      </c>
      <c r="AI187" s="204" t="s">
        <v>2378</v>
      </c>
      <c r="AJ187" s="204" t="s">
        <v>2126</v>
      </c>
      <c r="AX187" s="204">
        <v>3</v>
      </c>
      <c r="AY187" s="204">
        <v>0</v>
      </c>
      <c r="AZ187" s="204">
        <v>7.6607999999999996E-2</v>
      </c>
      <c r="BB187" s="204">
        <v>468.45</v>
      </c>
      <c r="BH187" s="204">
        <v>0</v>
      </c>
      <c r="BI187" s="204">
        <v>12.24</v>
      </c>
      <c r="BJ187" s="204">
        <v>42796</v>
      </c>
      <c r="BK187" s="204">
        <v>42796.520584490703</v>
      </c>
      <c r="BL187" s="204" t="s">
        <v>293</v>
      </c>
      <c r="BM187" s="204" t="s">
        <v>2437</v>
      </c>
      <c r="BN187" s="269">
        <f t="shared" si="48"/>
        <v>156.15</v>
      </c>
      <c r="BO187" s="269">
        <f t="shared" si="49"/>
        <v>4.08</v>
      </c>
      <c r="BP187" s="269">
        <f>INDEX('App Data Outliers'!$M:$M,MATCH($E187,'App Data Outliers'!$A:$A,0))</f>
        <v>124.22266552020636</v>
      </c>
      <c r="BQ187" s="269">
        <f>INDEX('App Data Outliers'!$N:$N,MATCH($E187,'App Data Outliers'!$A:$A,0))</f>
        <v>22.950483592270654</v>
      </c>
      <c r="BR187" s="269">
        <f>INDEX('App Data Outliers'!$S:$S,MATCH($E187,'App Data Outliers'!$A:$A,0))</f>
        <v>4.8732072914875317</v>
      </c>
      <c r="BS187" s="269">
        <f>INDEX('App Data Outliers'!$T:$T,MATCH($E187,'App Data Outliers'!$A:$A,0))</f>
        <v>2.1019453416888925</v>
      </c>
    </row>
    <row r="188" spans="1:71" s="204" customFormat="1" hidden="1">
      <c r="A188" s="241">
        <v>184</v>
      </c>
      <c r="B188" s="241" t="str">
        <f t="shared" si="40"/>
        <v>Non-Residential - BHPSD - C/I Prescriptive Rebate</v>
      </c>
      <c r="C188" s="241" t="b">
        <f t="shared" si="41"/>
        <v>1</v>
      </c>
      <c r="D188" s="241" t="str">
        <f t="shared" si="42"/>
        <v>Non-Residential - BHPSD - C/I Prescriptive Rebate_C&amp;I Prescriptive Rebate :- C&amp;I Lighting :- Customer Incentives_LED Replacement for T8 Linear Fluorescent Lamps - 4 ft or less</v>
      </c>
      <c r="E188" s="241" t="str">
        <f t="shared" si="43"/>
        <v>C&amp;I_C&amp;I Prescriptive_Lighting_LED Linear Replacement Lamp (≤4ft)</v>
      </c>
      <c r="F188" s="241" t="str">
        <f>INDEX('VDSM MAPPING'!E:E,MATCH($D188,'VDSM MAPPING'!$A:$A,0))</f>
        <v>C&amp;I</v>
      </c>
      <c r="G188" s="241" t="str">
        <f>INDEX('VDSM MAPPING'!F:F,MATCH($D188,'VDSM MAPPING'!$A:$A,0))</f>
        <v>C&amp;I Prescriptive</v>
      </c>
      <c r="H188" s="241" t="str">
        <f>INDEX('VDSM MAPPING'!G:G,MATCH($D188,'VDSM MAPPING'!$A:$A,0))</f>
        <v>Lighting</v>
      </c>
      <c r="I188" s="241" t="str">
        <f>INDEX('VDSM MAPPING'!H:H,MATCH($D188,'VDSM MAPPING'!$A:$A,0))</f>
        <v>LED Linear Replacement Lamp (≤4ft)</v>
      </c>
      <c r="J188" s="240">
        <f t="shared" si="44"/>
        <v>0.20295066700511452</v>
      </c>
      <c r="K188" s="240">
        <f t="shared" si="45"/>
        <v>-0.70390972959234355</v>
      </c>
      <c r="L188" s="240" t="b">
        <f t="shared" si="46"/>
        <v>0</v>
      </c>
      <c r="M188" s="240" t="b">
        <f t="shared" si="47"/>
        <v>0</v>
      </c>
      <c r="N188" s="204" t="s">
        <v>289</v>
      </c>
      <c r="O188" s="204" t="s">
        <v>2432</v>
      </c>
      <c r="P188" s="350">
        <v>0</v>
      </c>
      <c r="Q188" s="204" t="s">
        <v>2432</v>
      </c>
      <c r="R188" s="204" t="s">
        <v>2431</v>
      </c>
      <c r="S188" s="204" t="s">
        <v>2430</v>
      </c>
      <c r="T188" s="204" t="s">
        <v>2430</v>
      </c>
      <c r="U188" s="204" t="s">
        <v>2429</v>
      </c>
      <c r="V188" s="204" t="s">
        <v>2428</v>
      </c>
      <c r="W188" s="204" t="s">
        <v>329</v>
      </c>
      <c r="X188" s="204" t="s">
        <v>297</v>
      </c>
      <c r="Y188" s="204" t="s">
        <v>397</v>
      </c>
      <c r="Z188" s="204" t="s">
        <v>2427</v>
      </c>
      <c r="AA188" s="204" t="s">
        <v>2426</v>
      </c>
      <c r="AB188" s="204" t="s">
        <v>329</v>
      </c>
      <c r="AC188" s="204" t="s">
        <v>297</v>
      </c>
      <c r="AD188" s="204" t="s">
        <v>328</v>
      </c>
      <c r="AE188" s="204" t="s">
        <v>2425</v>
      </c>
      <c r="AF188" s="204" t="s">
        <v>2424</v>
      </c>
      <c r="AG188" s="204" t="s">
        <v>2129</v>
      </c>
      <c r="AH188" s="204" t="s">
        <v>2173</v>
      </c>
      <c r="AI188" s="204" t="s">
        <v>2378</v>
      </c>
      <c r="AJ188" s="204" t="s">
        <v>2126</v>
      </c>
      <c r="AX188" s="204">
        <v>2</v>
      </c>
      <c r="AY188" s="204">
        <v>0</v>
      </c>
      <c r="AZ188" s="204">
        <v>2.5536E-2</v>
      </c>
      <c r="BB188" s="204">
        <v>156.15</v>
      </c>
      <c r="BH188" s="204">
        <v>0</v>
      </c>
      <c r="BI188" s="204">
        <v>15.22</v>
      </c>
      <c r="BJ188" s="204">
        <v>42796</v>
      </c>
      <c r="BK188" s="204">
        <v>42796.520584490703</v>
      </c>
      <c r="BL188" s="204" t="s">
        <v>293</v>
      </c>
      <c r="BM188" s="204" t="s">
        <v>2435</v>
      </c>
      <c r="BN188" s="269">
        <f t="shared" si="48"/>
        <v>78.075000000000003</v>
      </c>
      <c r="BO188" s="269">
        <f t="shared" si="49"/>
        <v>7.61</v>
      </c>
      <c r="BP188" s="269">
        <f>INDEX('App Data Outliers'!$M:$M,MATCH($E188,'App Data Outliers'!$A:$A,0))</f>
        <v>71.928403166606657</v>
      </c>
      <c r="BQ188" s="269">
        <f>INDEX('App Data Outliers'!$N:$N,MATCH($E188,'App Data Outliers'!$A:$A,0))</f>
        <v>30.28616226838243</v>
      </c>
      <c r="BR188" s="269">
        <f>INDEX('App Data Outliers'!$S:$S,MATCH($E188,'App Data Outliers'!$A:$A,0))</f>
        <v>10.421419234256929</v>
      </c>
      <c r="BS188" s="269">
        <f>INDEX('App Data Outliers'!$T:$T,MATCH($E188,'App Data Outliers'!$A:$A,0))</f>
        <v>3.9940053618595535</v>
      </c>
    </row>
    <row r="189" spans="1:71" s="204" customFormat="1" hidden="1">
      <c r="A189" s="241">
        <v>185</v>
      </c>
      <c r="B189" s="241" t="str">
        <f t="shared" si="40"/>
        <v>Non-Residential - BHPSD - C/I Prescriptive Rebate</v>
      </c>
      <c r="C189" s="241" t="b">
        <f t="shared" si="41"/>
        <v>1</v>
      </c>
      <c r="D189" s="241" t="str">
        <f t="shared" si="42"/>
        <v>Non-Residential - BHPSD - C/I Prescriptive Rebate_C&amp;I Prescriptive Rebate :- C&amp;I Lighting :- Customer Incentives_Energy Star LED Lamps - 10W or greater</v>
      </c>
      <c r="E189" s="241" t="str">
        <f t="shared" si="43"/>
        <v>C&amp;I_C&amp;I Prescriptive_Lighting_Energy Star LED Lamp (&gt;10W)</v>
      </c>
      <c r="F189" s="241" t="str">
        <f>INDEX('VDSM MAPPING'!E:E,MATCH($D189,'VDSM MAPPING'!$A:$A,0))</f>
        <v>C&amp;I</v>
      </c>
      <c r="G189" s="241" t="str">
        <f>INDEX('VDSM MAPPING'!F:F,MATCH($D189,'VDSM MAPPING'!$A:$A,0))</f>
        <v>C&amp;I Prescriptive</v>
      </c>
      <c r="H189" s="241" t="str">
        <f>INDEX('VDSM MAPPING'!G:G,MATCH($D189,'VDSM MAPPING'!$A:$A,0))</f>
        <v>Lighting</v>
      </c>
      <c r="I189" s="241" t="str">
        <f>INDEX('VDSM MAPPING'!H:H,MATCH($D189,'VDSM MAPPING'!$A:$A,0))</f>
        <v>Energy Star LED Lamp (&gt;10W)</v>
      </c>
      <c r="J189" s="240">
        <f t="shared" si="44"/>
        <v>1.7797301914120589</v>
      </c>
      <c r="K189" s="240">
        <f t="shared" si="45"/>
        <v>-0.88840441603119402</v>
      </c>
      <c r="L189" s="240" t="b">
        <f t="shared" si="46"/>
        <v>0</v>
      </c>
      <c r="M189" s="240" t="b">
        <f t="shared" si="47"/>
        <v>0</v>
      </c>
      <c r="N189" s="204" t="s">
        <v>289</v>
      </c>
      <c r="O189" s="204" t="s">
        <v>2432</v>
      </c>
      <c r="P189" s="350">
        <v>0</v>
      </c>
      <c r="Q189" s="204" t="s">
        <v>2432</v>
      </c>
      <c r="R189" s="204" t="s">
        <v>2431</v>
      </c>
      <c r="S189" s="204" t="s">
        <v>2430</v>
      </c>
      <c r="T189" s="204" t="s">
        <v>2430</v>
      </c>
      <c r="U189" s="204" t="s">
        <v>2429</v>
      </c>
      <c r="V189" s="204" t="s">
        <v>2428</v>
      </c>
      <c r="W189" s="204" t="s">
        <v>329</v>
      </c>
      <c r="X189" s="204" t="s">
        <v>297</v>
      </c>
      <c r="Y189" s="204" t="s">
        <v>397</v>
      </c>
      <c r="Z189" s="204" t="s">
        <v>2427</v>
      </c>
      <c r="AA189" s="204" t="s">
        <v>2426</v>
      </c>
      <c r="AB189" s="204" t="s">
        <v>329</v>
      </c>
      <c r="AC189" s="204" t="s">
        <v>297</v>
      </c>
      <c r="AD189" s="204" t="s">
        <v>328</v>
      </c>
      <c r="AE189" s="204" t="s">
        <v>2425</v>
      </c>
      <c r="AF189" s="204" t="s">
        <v>2424</v>
      </c>
      <c r="AG189" s="204" t="s">
        <v>2129</v>
      </c>
      <c r="AH189" s="204" t="s">
        <v>2166</v>
      </c>
      <c r="AI189" s="204" t="s">
        <v>2378</v>
      </c>
      <c r="AJ189" s="204" t="s">
        <v>2126</v>
      </c>
      <c r="AX189" s="204">
        <v>12</v>
      </c>
      <c r="AY189" s="204">
        <v>0</v>
      </c>
      <c r="AZ189" s="204">
        <v>0.485184</v>
      </c>
      <c r="BB189" s="204">
        <v>2966.8440000000001</v>
      </c>
      <c r="BH189" s="204">
        <v>0</v>
      </c>
      <c r="BI189" s="204">
        <v>91.68</v>
      </c>
      <c r="BJ189" s="204">
        <v>42796</v>
      </c>
      <c r="BK189" s="204">
        <v>42796.520584490703</v>
      </c>
      <c r="BL189" s="204" t="s">
        <v>293</v>
      </c>
      <c r="BM189" s="204" t="s">
        <v>2436</v>
      </c>
      <c r="BN189" s="269">
        <f t="shared" si="48"/>
        <v>247.23699999999999</v>
      </c>
      <c r="BO189" s="269">
        <f t="shared" si="49"/>
        <v>7.6400000000000006</v>
      </c>
      <c r="BP189" s="269">
        <f>INDEX('App Data Outliers'!$M:$M,MATCH($E189,'App Data Outliers'!$A:$A,0))</f>
        <v>183.5885054112554</v>
      </c>
      <c r="BQ189" s="269">
        <f>INDEX('App Data Outliers'!$N:$N,MATCH($E189,'App Data Outliers'!$A:$A,0))</f>
        <v>35.763002108901198</v>
      </c>
      <c r="BR189" s="269">
        <f>INDEX('App Data Outliers'!$S:$S,MATCH($E189,'App Data Outliers'!$A:$A,0))</f>
        <v>9.5846103896103898</v>
      </c>
      <c r="BS189" s="269">
        <f>INDEX('App Data Outliers'!$T:$T,MATCH($E189,'App Data Outliers'!$A:$A,0))</f>
        <v>2.1888796977142775</v>
      </c>
    </row>
    <row r="190" spans="1:71" s="204" customFormat="1" hidden="1">
      <c r="A190" s="241">
        <v>186</v>
      </c>
      <c r="B190" s="241" t="str">
        <f t="shared" si="40"/>
        <v>Non-Residential - BHPSD - C/I Prescriptive Rebate</v>
      </c>
      <c r="C190" s="241" t="b">
        <f t="shared" si="41"/>
        <v>1</v>
      </c>
      <c r="D190" s="241" t="str">
        <f t="shared" si="42"/>
        <v>Non-Residential - BHPSD - C/I Prescriptive Rebate_C&amp;I Prescriptive Rebate :- C&amp;I Lighting :- Customer Incentives_LED Replacement for T8 Linear Fluorescent Lamps - 4 ft or less</v>
      </c>
      <c r="E190" s="241" t="str">
        <f t="shared" si="43"/>
        <v>C&amp;I_C&amp;I Prescriptive_Lighting_LED Linear Replacement Lamp (≤4ft)</v>
      </c>
      <c r="F190" s="241" t="str">
        <f>INDEX('VDSM MAPPING'!E:E,MATCH($D190,'VDSM MAPPING'!$A:$A,0))</f>
        <v>C&amp;I</v>
      </c>
      <c r="G190" s="241" t="str">
        <f>INDEX('VDSM MAPPING'!F:F,MATCH($D190,'VDSM MAPPING'!$A:$A,0))</f>
        <v>C&amp;I Prescriptive</v>
      </c>
      <c r="H190" s="241" t="str">
        <f>INDEX('VDSM MAPPING'!G:G,MATCH($D190,'VDSM MAPPING'!$A:$A,0))</f>
        <v>Lighting</v>
      </c>
      <c r="I190" s="241" t="str">
        <f>INDEX('VDSM MAPPING'!H:H,MATCH($D190,'VDSM MAPPING'!$A:$A,0))</f>
        <v>LED Linear Replacement Lamp (≤4ft)</v>
      </c>
      <c r="J190" s="240">
        <f t="shared" si="44"/>
        <v>0.20295066700511452</v>
      </c>
      <c r="K190" s="240">
        <f t="shared" si="45"/>
        <v>-0.8891873977363508</v>
      </c>
      <c r="L190" s="240" t="b">
        <f t="shared" si="46"/>
        <v>0</v>
      </c>
      <c r="M190" s="240" t="b">
        <f t="shared" si="47"/>
        <v>0</v>
      </c>
      <c r="N190" s="204" t="s">
        <v>289</v>
      </c>
      <c r="O190" s="204" t="s">
        <v>2432</v>
      </c>
      <c r="P190" s="350">
        <v>0</v>
      </c>
      <c r="Q190" s="204" t="s">
        <v>2432</v>
      </c>
      <c r="R190" s="204" t="s">
        <v>2431</v>
      </c>
      <c r="S190" s="204" t="s">
        <v>2430</v>
      </c>
      <c r="T190" s="204" t="s">
        <v>2430</v>
      </c>
      <c r="U190" s="204" t="s">
        <v>2429</v>
      </c>
      <c r="V190" s="204" t="s">
        <v>2428</v>
      </c>
      <c r="W190" s="204" t="s">
        <v>329</v>
      </c>
      <c r="X190" s="204" t="s">
        <v>297</v>
      </c>
      <c r="Y190" s="204" t="s">
        <v>397</v>
      </c>
      <c r="Z190" s="204" t="s">
        <v>2427</v>
      </c>
      <c r="AA190" s="204" t="s">
        <v>2426</v>
      </c>
      <c r="AB190" s="204" t="s">
        <v>329</v>
      </c>
      <c r="AC190" s="204" t="s">
        <v>297</v>
      </c>
      <c r="AD190" s="204" t="s">
        <v>328</v>
      </c>
      <c r="AE190" s="204" t="s">
        <v>2425</v>
      </c>
      <c r="AF190" s="204" t="s">
        <v>2424</v>
      </c>
      <c r="AG190" s="204" t="s">
        <v>2129</v>
      </c>
      <c r="AH190" s="204" t="s">
        <v>2173</v>
      </c>
      <c r="AI190" s="204" t="s">
        <v>2378</v>
      </c>
      <c r="AJ190" s="204" t="s">
        <v>2126</v>
      </c>
      <c r="AX190" s="204">
        <v>2</v>
      </c>
      <c r="AY190" s="204">
        <v>0</v>
      </c>
      <c r="AZ190" s="204">
        <v>2.5536E-2</v>
      </c>
      <c r="BB190" s="204">
        <v>156.15</v>
      </c>
      <c r="BH190" s="204">
        <v>0</v>
      </c>
      <c r="BI190" s="204">
        <v>13.74</v>
      </c>
      <c r="BJ190" s="204">
        <v>42796</v>
      </c>
      <c r="BK190" s="204">
        <v>42796.520584490703</v>
      </c>
      <c r="BL190" s="204" t="s">
        <v>293</v>
      </c>
      <c r="BM190" s="204" t="s">
        <v>2423</v>
      </c>
      <c r="BN190" s="269">
        <f t="shared" si="48"/>
        <v>78.075000000000003</v>
      </c>
      <c r="BO190" s="269">
        <f t="shared" si="49"/>
        <v>6.87</v>
      </c>
      <c r="BP190" s="269">
        <f>INDEX('App Data Outliers'!$M:$M,MATCH($E190,'App Data Outliers'!$A:$A,0))</f>
        <v>71.928403166606657</v>
      </c>
      <c r="BQ190" s="269">
        <f>INDEX('App Data Outliers'!$N:$N,MATCH($E190,'App Data Outliers'!$A:$A,0))</f>
        <v>30.28616226838243</v>
      </c>
      <c r="BR190" s="269">
        <f>INDEX('App Data Outliers'!$S:$S,MATCH($E190,'App Data Outliers'!$A:$A,0))</f>
        <v>10.421419234256929</v>
      </c>
      <c r="BS190" s="269">
        <f>INDEX('App Data Outliers'!$T:$T,MATCH($E190,'App Data Outliers'!$A:$A,0))</f>
        <v>3.9940053618595535</v>
      </c>
    </row>
    <row r="191" spans="1:71" s="204" customFormat="1" hidden="1">
      <c r="A191" s="241">
        <v>187</v>
      </c>
      <c r="B191" s="241" t="str">
        <f t="shared" si="40"/>
        <v>Non-Residential - BHPSD - C/I Prescriptive Rebate</v>
      </c>
      <c r="C191" s="241" t="b">
        <f t="shared" si="41"/>
        <v>1</v>
      </c>
      <c r="D191" s="241" t="str">
        <f t="shared" si="42"/>
        <v>Non-Residential - BHPSD - C/I Prescriptive Rebate_C&amp;I Prescriptive Rebate :- C&amp;I Lighting :- Customer Incentives_Energy Star LED Lamps - 5W to 10W</v>
      </c>
      <c r="E191" s="241" t="str">
        <f t="shared" si="43"/>
        <v>C&amp;I_C&amp;I Prescriptive_Lighting_Energy Star LED Lamp (5-10W)</v>
      </c>
      <c r="F191" s="241" t="str">
        <f>INDEX('VDSM MAPPING'!E:E,MATCH($D191,'VDSM MAPPING'!$A:$A,0))</f>
        <v>C&amp;I</v>
      </c>
      <c r="G191" s="241" t="str">
        <f>INDEX('VDSM MAPPING'!F:F,MATCH($D191,'VDSM MAPPING'!$A:$A,0))</f>
        <v>C&amp;I Prescriptive</v>
      </c>
      <c r="H191" s="241" t="str">
        <f>INDEX('VDSM MAPPING'!G:G,MATCH($D191,'VDSM MAPPING'!$A:$A,0))</f>
        <v>Lighting</v>
      </c>
      <c r="I191" s="241" t="str">
        <f>INDEX('VDSM MAPPING'!H:H,MATCH($D191,'VDSM MAPPING'!$A:$A,0))</f>
        <v>Energy Star LED Lamp (5-10W)</v>
      </c>
      <c r="J191" s="240">
        <f t="shared" si="44"/>
        <v>1.3911399448918909</v>
      </c>
      <c r="K191" s="240">
        <f t="shared" si="45"/>
        <v>0.39334643585363099</v>
      </c>
      <c r="L191" s="240" t="b">
        <f t="shared" si="46"/>
        <v>0</v>
      </c>
      <c r="M191" s="240" t="b">
        <f t="shared" si="47"/>
        <v>0</v>
      </c>
      <c r="N191" s="204" t="s">
        <v>289</v>
      </c>
      <c r="O191" s="204" t="s">
        <v>2432</v>
      </c>
      <c r="P191" s="350">
        <v>0</v>
      </c>
      <c r="Q191" s="204" t="s">
        <v>2432</v>
      </c>
      <c r="R191" s="204" t="s">
        <v>2431</v>
      </c>
      <c r="S191" s="204" t="s">
        <v>2430</v>
      </c>
      <c r="T191" s="204" t="s">
        <v>2430</v>
      </c>
      <c r="U191" s="204" t="s">
        <v>2429</v>
      </c>
      <c r="V191" s="204" t="s">
        <v>2428</v>
      </c>
      <c r="W191" s="204" t="s">
        <v>329</v>
      </c>
      <c r="X191" s="204" t="s">
        <v>297</v>
      </c>
      <c r="Y191" s="204" t="s">
        <v>397</v>
      </c>
      <c r="Z191" s="204" t="s">
        <v>2427</v>
      </c>
      <c r="AA191" s="204" t="s">
        <v>2426</v>
      </c>
      <c r="AB191" s="204" t="s">
        <v>329</v>
      </c>
      <c r="AC191" s="204" t="s">
        <v>297</v>
      </c>
      <c r="AD191" s="204" t="s">
        <v>328</v>
      </c>
      <c r="AE191" s="204" t="s">
        <v>2425</v>
      </c>
      <c r="AF191" s="204" t="s">
        <v>2424</v>
      </c>
      <c r="AG191" s="204" t="s">
        <v>2129</v>
      </c>
      <c r="AH191" s="204" t="s">
        <v>2128</v>
      </c>
      <c r="AI191" s="204" t="s">
        <v>2378</v>
      </c>
      <c r="AJ191" s="204" t="s">
        <v>2126</v>
      </c>
      <c r="AX191" s="204">
        <v>20</v>
      </c>
      <c r="AY191" s="204">
        <v>0</v>
      </c>
      <c r="AZ191" s="204">
        <v>0.51071999999999995</v>
      </c>
      <c r="BB191" s="204">
        <v>3123</v>
      </c>
      <c r="BH191" s="204">
        <v>0</v>
      </c>
      <c r="BI191" s="204">
        <v>114</v>
      </c>
      <c r="BJ191" s="204">
        <v>42796</v>
      </c>
      <c r="BK191" s="204">
        <v>42796.520584490703</v>
      </c>
      <c r="BL191" s="204" t="s">
        <v>293</v>
      </c>
      <c r="BM191" s="204" t="s">
        <v>2439</v>
      </c>
      <c r="BN191" s="269">
        <f t="shared" si="48"/>
        <v>156.15</v>
      </c>
      <c r="BO191" s="269">
        <f t="shared" si="49"/>
        <v>5.7</v>
      </c>
      <c r="BP191" s="269">
        <f>INDEX('App Data Outliers'!$M:$M,MATCH($E191,'App Data Outliers'!$A:$A,0))</f>
        <v>124.22266552020636</v>
      </c>
      <c r="BQ191" s="269">
        <f>INDEX('App Data Outliers'!$N:$N,MATCH($E191,'App Data Outliers'!$A:$A,0))</f>
        <v>22.950483592270654</v>
      </c>
      <c r="BR191" s="269">
        <f>INDEX('App Data Outliers'!$S:$S,MATCH($E191,'App Data Outliers'!$A:$A,0))</f>
        <v>4.8732072914875317</v>
      </c>
      <c r="BS191" s="269">
        <f>INDEX('App Data Outliers'!$T:$T,MATCH($E191,'App Data Outliers'!$A:$A,0))</f>
        <v>2.1019453416888925</v>
      </c>
    </row>
    <row r="192" spans="1:71" s="204" customFormat="1" hidden="1">
      <c r="A192" s="241">
        <v>188</v>
      </c>
      <c r="B192" s="241" t="str">
        <f t="shared" si="40"/>
        <v>Non-Residential - BHPSD - C/I Prescriptive Rebate</v>
      </c>
      <c r="C192" s="241" t="b">
        <f t="shared" si="41"/>
        <v>1</v>
      </c>
      <c r="D192" s="241" t="str">
        <f t="shared" si="42"/>
        <v>Non-Residential - BHPSD - C/I Prescriptive Rebate_C&amp;I Prescriptive Rebate :- C&amp;I Lighting :- Customer Incentives_Energy Star LED Lamps - 5W to 10W</v>
      </c>
      <c r="E192" s="241" t="str">
        <f t="shared" si="43"/>
        <v>C&amp;I_C&amp;I Prescriptive_Lighting_Energy Star LED Lamp (5-10W)</v>
      </c>
      <c r="F192" s="241" t="str">
        <f>INDEX('VDSM MAPPING'!E:E,MATCH($D192,'VDSM MAPPING'!$A:$A,0))</f>
        <v>C&amp;I</v>
      </c>
      <c r="G192" s="241" t="str">
        <f>INDEX('VDSM MAPPING'!F:F,MATCH($D192,'VDSM MAPPING'!$A:$A,0))</f>
        <v>C&amp;I Prescriptive</v>
      </c>
      <c r="H192" s="241" t="str">
        <f>INDEX('VDSM MAPPING'!G:G,MATCH($D192,'VDSM MAPPING'!$A:$A,0))</f>
        <v>Lighting</v>
      </c>
      <c r="I192" s="241" t="str">
        <f>INDEX('VDSM MAPPING'!H:H,MATCH($D192,'VDSM MAPPING'!$A:$A,0))</f>
        <v>Energy Star LED Lamp (5-10W)</v>
      </c>
      <c r="J192" s="240">
        <f t="shared" si="44"/>
        <v>1.3911399448918909</v>
      </c>
      <c r="K192" s="240">
        <f t="shared" si="45"/>
        <v>-0.52009311079856657</v>
      </c>
      <c r="L192" s="240" t="b">
        <f t="shared" si="46"/>
        <v>0</v>
      </c>
      <c r="M192" s="240" t="b">
        <f t="shared" si="47"/>
        <v>0</v>
      </c>
      <c r="N192" s="204" t="s">
        <v>289</v>
      </c>
      <c r="O192" s="204" t="s">
        <v>2432</v>
      </c>
      <c r="P192" s="350">
        <v>0</v>
      </c>
      <c r="Q192" s="204" t="s">
        <v>2432</v>
      </c>
      <c r="R192" s="204" t="s">
        <v>2431</v>
      </c>
      <c r="S192" s="204" t="s">
        <v>2430</v>
      </c>
      <c r="T192" s="204" t="s">
        <v>2430</v>
      </c>
      <c r="U192" s="204" t="s">
        <v>2429</v>
      </c>
      <c r="V192" s="204" t="s">
        <v>2428</v>
      </c>
      <c r="W192" s="204" t="s">
        <v>329</v>
      </c>
      <c r="X192" s="204" t="s">
        <v>297</v>
      </c>
      <c r="Y192" s="204" t="s">
        <v>397</v>
      </c>
      <c r="Z192" s="204" t="s">
        <v>2427</v>
      </c>
      <c r="AA192" s="204" t="s">
        <v>2426</v>
      </c>
      <c r="AB192" s="204" t="s">
        <v>329</v>
      </c>
      <c r="AC192" s="204" t="s">
        <v>297</v>
      </c>
      <c r="AD192" s="204" t="s">
        <v>328</v>
      </c>
      <c r="AE192" s="204" t="s">
        <v>2425</v>
      </c>
      <c r="AF192" s="204" t="s">
        <v>2424</v>
      </c>
      <c r="AG192" s="204" t="s">
        <v>2129</v>
      </c>
      <c r="AH192" s="204" t="s">
        <v>2128</v>
      </c>
      <c r="AI192" s="204" t="s">
        <v>2378</v>
      </c>
      <c r="AJ192" s="204" t="s">
        <v>2126</v>
      </c>
      <c r="AX192" s="204">
        <v>12</v>
      </c>
      <c r="AY192" s="204">
        <v>0</v>
      </c>
      <c r="AZ192" s="204">
        <v>0.30643199999999998</v>
      </c>
      <c r="BB192" s="204">
        <v>1873.8</v>
      </c>
      <c r="BH192" s="204">
        <v>0</v>
      </c>
      <c r="BI192" s="204">
        <v>45.36</v>
      </c>
      <c r="BJ192" s="204">
        <v>42796</v>
      </c>
      <c r="BK192" s="204">
        <v>42796.520584490703</v>
      </c>
      <c r="BL192" s="204" t="s">
        <v>293</v>
      </c>
      <c r="BM192" s="204" t="s">
        <v>2438</v>
      </c>
      <c r="BN192" s="269">
        <f t="shared" si="48"/>
        <v>156.15</v>
      </c>
      <c r="BO192" s="269">
        <f t="shared" si="49"/>
        <v>3.78</v>
      </c>
      <c r="BP192" s="269">
        <f>INDEX('App Data Outliers'!$M:$M,MATCH($E192,'App Data Outliers'!$A:$A,0))</f>
        <v>124.22266552020636</v>
      </c>
      <c r="BQ192" s="269">
        <f>INDEX('App Data Outliers'!$N:$N,MATCH($E192,'App Data Outliers'!$A:$A,0))</f>
        <v>22.950483592270654</v>
      </c>
      <c r="BR192" s="269">
        <f>INDEX('App Data Outliers'!$S:$S,MATCH($E192,'App Data Outliers'!$A:$A,0))</f>
        <v>4.8732072914875317</v>
      </c>
      <c r="BS192" s="269">
        <f>INDEX('App Data Outliers'!$T:$T,MATCH($E192,'App Data Outliers'!$A:$A,0))</f>
        <v>2.1019453416888925</v>
      </c>
    </row>
    <row r="193" spans="1:71" s="204" customFormat="1" hidden="1">
      <c r="A193" s="241">
        <v>189</v>
      </c>
      <c r="B193" s="241" t="str">
        <f t="shared" si="40"/>
        <v>Non-Residential - BHPSD - C/I Prescriptive Rebate</v>
      </c>
      <c r="C193" s="241" t="b">
        <f t="shared" si="41"/>
        <v>1</v>
      </c>
      <c r="D193" s="241" t="str">
        <f t="shared" si="42"/>
        <v>Non-Residential - BHPSD - C/I Prescriptive Rebate_C&amp;I Prescriptive Rebate :- C&amp;I Lighting :- Customer Incentives_Energy Star LED Lamps - 5W to 10W</v>
      </c>
      <c r="E193" s="241" t="str">
        <f t="shared" si="43"/>
        <v>C&amp;I_C&amp;I Prescriptive_Lighting_Energy Star LED Lamp (5-10W)</v>
      </c>
      <c r="F193" s="241" t="str">
        <f>INDEX('VDSM MAPPING'!E:E,MATCH($D193,'VDSM MAPPING'!$A:$A,0))</f>
        <v>C&amp;I</v>
      </c>
      <c r="G193" s="241" t="str">
        <f>INDEX('VDSM MAPPING'!F:F,MATCH($D193,'VDSM MAPPING'!$A:$A,0))</f>
        <v>C&amp;I Prescriptive</v>
      </c>
      <c r="H193" s="241" t="str">
        <f>INDEX('VDSM MAPPING'!G:G,MATCH($D193,'VDSM MAPPING'!$A:$A,0))</f>
        <v>Lighting</v>
      </c>
      <c r="I193" s="241" t="str">
        <f>INDEX('VDSM MAPPING'!H:H,MATCH($D193,'VDSM MAPPING'!$A:$A,0))</f>
        <v>Energy Star LED Lamp (5-10W)</v>
      </c>
      <c r="J193" s="240">
        <f t="shared" si="44"/>
        <v>-0.46455080030631873</v>
      </c>
      <c r="K193" s="240">
        <f t="shared" si="45"/>
        <v>-0.28697572649670333</v>
      </c>
      <c r="L193" s="240" t="b">
        <f t="shared" si="46"/>
        <v>0</v>
      </c>
      <c r="M193" s="240" t="b">
        <f t="shared" si="47"/>
        <v>0</v>
      </c>
      <c r="N193" s="204" t="s">
        <v>289</v>
      </c>
      <c r="O193" s="204" t="s">
        <v>2421</v>
      </c>
      <c r="P193" s="350">
        <v>1</v>
      </c>
      <c r="Q193" s="204" t="s">
        <v>2421</v>
      </c>
      <c r="R193" s="204" t="s">
        <v>2420</v>
      </c>
      <c r="S193" s="204" t="s">
        <v>2419</v>
      </c>
      <c r="T193" s="204" t="s">
        <v>2419</v>
      </c>
      <c r="U193" s="204" t="s">
        <v>2419</v>
      </c>
      <c r="V193" s="204" t="s">
        <v>2418</v>
      </c>
      <c r="W193" s="204" t="s">
        <v>337</v>
      </c>
      <c r="X193" s="204" t="s">
        <v>297</v>
      </c>
      <c r="Y193" s="204" t="s">
        <v>336</v>
      </c>
      <c r="Z193" s="204" t="s">
        <v>601</v>
      </c>
      <c r="AA193" s="204" t="s">
        <v>600</v>
      </c>
      <c r="AB193" s="204" t="s">
        <v>329</v>
      </c>
      <c r="AC193" s="204" t="s">
        <v>297</v>
      </c>
      <c r="AD193" s="204" t="s">
        <v>599</v>
      </c>
      <c r="AE193" s="204" t="s">
        <v>598</v>
      </c>
      <c r="AG193" s="204" t="s">
        <v>2129</v>
      </c>
      <c r="AH193" s="204" t="s">
        <v>2128</v>
      </c>
      <c r="AI193" s="204" t="s">
        <v>2127</v>
      </c>
      <c r="AJ193" s="204" t="s">
        <v>2126</v>
      </c>
      <c r="AX193" s="204">
        <v>3</v>
      </c>
      <c r="AY193" s="204">
        <v>0</v>
      </c>
      <c r="AZ193" s="204">
        <v>7.2706000000000007E-2</v>
      </c>
      <c r="BB193" s="204">
        <v>340.68299999999999</v>
      </c>
      <c r="BH193" s="204">
        <v>0</v>
      </c>
      <c r="BI193" s="204">
        <v>12.81</v>
      </c>
      <c r="BJ193" s="204">
        <v>42796</v>
      </c>
      <c r="BK193" s="204">
        <v>42796.677917673602</v>
      </c>
      <c r="BL193" s="204" t="s">
        <v>293</v>
      </c>
      <c r="BM193" s="204" t="s">
        <v>2417</v>
      </c>
      <c r="BN193" s="269">
        <f t="shared" si="48"/>
        <v>113.56099999999999</v>
      </c>
      <c r="BO193" s="269">
        <f t="shared" si="49"/>
        <v>4.2700000000000005</v>
      </c>
      <c r="BP193" s="269">
        <f>INDEX('App Data Outliers'!$M:$M,MATCH($E193,'App Data Outliers'!$A:$A,0))</f>
        <v>124.22266552020636</v>
      </c>
      <c r="BQ193" s="269">
        <f>INDEX('App Data Outliers'!$N:$N,MATCH($E193,'App Data Outliers'!$A:$A,0))</f>
        <v>22.950483592270654</v>
      </c>
      <c r="BR193" s="269">
        <f>INDEX('App Data Outliers'!$S:$S,MATCH($E193,'App Data Outliers'!$A:$A,0))</f>
        <v>4.8732072914875317</v>
      </c>
      <c r="BS193" s="269">
        <f>INDEX('App Data Outliers'!$T:$T,MATCH($E193,'App Data Outliers'!$A:$A,0))</f>
        <v>2.1019453416888925</v>
      </c>
    </row>
    <row r="194" spans="1:71" s="204" customFormat="1" hidden="1">
      <c r="A194" s="241">
        <v>190</v>
      </c>
      <c r="B194" s="241" t="str">
        <f t="shared" si="40"/>
        <v>Non-Residential - BHPSD - C/I Prescriptive Rebate</v>
      </c>
      <c r="C194" s="241" t="b">
        <f t="shared" si="41"/>
        <v>1</v>
      </c>
      <c r="D194" s="241" t="str">
        <f t="shared" si="42"/>
        <v>Non-Residential - BHPSD - C/I Prescriptive Rebate_C&amp;I Prescriptive Rebate :- C&amp;I Lighting :- Customer Incentives_LED Fixtures Exterior &amp; Garage - 25W to 60W</v>
      </c>
      <c r="E194" s="241" t="str">
        <f t="shared" si="43"/>
        <v>C&amp;I_C&amp;I Prescriptive_Lighting_LED Parking Garage/Canopy (30-75W)</v>
      </c>
      <c r="F194" s="241" t="str">
        <f>INDEX('VDSM MAPPING'!E:E,MATCH($D194,'VDSM MAPPING'!$A:$A,0))</f>
        <v>C&amp;I</v>
      </c>
      <c r="G194" s="241" t="str">
        <f>INDEX('VDSM MAPPING'!F:F,MATCH($D194,'VDSM MAPPING'!$A:$A,0))</f>
        <v>C&amp;I Prescriptive</v>
      </c>
      <c r="H194" s="241" t="str">
        <f>INDEX('VDSM MAPPING'!G:G,MATCH($D194,'VDSM MAPPING'!$A:$A,0))</f>
        <v>Lighting</v>
      </c>
      <c r="I194" s="241" t="str">
        <f>INDEX('VDSM MAPPING'!H:H,MATCH($D194,'VDSM MAPPING'!$A:$A,0))</f>
        <v>LED Parking Garage/Canopy (30-75W)</v>
      </c>
      <c r="J194" s="240">
        <f t="shared" si="44"/>
        <v>0.76115918188076592</v>
      </c>
      <c r="K194" s="240">
        <f t="shared" si="45"/>
        <v>0.74402665660424805</v>
      </c>
      <c r="L194" s="240" t="b">
        <f t="shared" si="46"/>
        <v>0</v>
      </c>
      <c r="M194" s="240" t="b">
        <f t="shared" si="47"/>
        <v>0</v>
      </c>
      <c r="N194" s="204" t="s">
        <v>289</v>
      </c>
      <c r="O194" s="204" t="s">
        <v>2421</v>
      </c>
      <c r="P194" s="350">
        <v>0</v>
      </c>
      <c r="Q194" s="204" t="s">
        <v>2421</v>
      </c>
      <c r="R194" s="204" t="s">
        <v>2420</v>
      </c>
      <c r="S194" s="204" t="s">
        <v>2419</v>
      </c>
      <c r="T194" s="204" t="s">
        <v>2419</v>
      </c>
      <c r="U194" s="204" t="s">
        <v>2419</v>
      </c>
      <c r="V194" s="204" t="s">
        <v>2418</v>
      </c>
      <c r="W194" s="204" t="s">
        <v>337</v>
      </c>
      <c r="X194" s="204" t="s">
        <v>297</v>
      </c>
      <c r="Y194" s="204" t="s">
        <v>336</v>
      </c>
      <c r="Z194" s="204" t="s">
        <v>601</v>
      </c>
      <c r="AA194" s="204" t="s">
        <v>600</v>
      </c>
      <c r="AB194" s="204" t="s">
        <v>329</v>
      </c>
      <c r="AC194" s="204" t="s">
        <v>297</v>
      </c>
      <c r="AD194" s="204" t="s">
        <v>599</v>
      </c>
      <c r="AE194" s="204" t="s">
        <v>598</v>
      </c>
      <c r="AG194" s="204" t="s">
        <v>2129</v>
      </c>
      <c r="AH194" s="204" t="s">
        <v>2145</v>
      </c>
      <c r="AI194" s="204" t="s">
        <v>2127</v>
      </c>
      <c r="AJ194" s="204" t="s">
        <v>2126</v>
      </c>
      <c r="AX194" s="204">
        <v>1</v>
      </c>
      <c r="AY194" s="204">
        <v>0</v>
      </c>
      <c r="AZ194" s="204">
        <v>0.13167799999999999</v>
      </c>
      <c r="BB194" s="204">
        <v>617.01599999999996</v>
      </c>
      <c r="BH194" s="204">
        <v>0</v>
      </c>
      <c r="BI194" s="204">
        <v>75</v>
      </c>
      <c r="BJ194" s="204">
        <v>42796</v>
      </c>
      <c r="BK194" s="204">
        <v>42796.677917673602</v>
      </c>
      <c r="BL194" s="204" t="s">
        <v>293</v>
      </c>
      <c r="BM194" s="204" t="s">
        <v>2422</v>
      </c>
      <c r="BN194" s="269">
        <f t="shared" si="48"/>
        <v>617.01599999999996</v>
      </c>
      <c r="BO194" s="269">
        <f t="shared" si="49"/>
        <v>75</v>
      </c>
      <c r="BP194" s="269">
        <f>INDEX('App Data Outliers'!$M:$M,MATCH($E194,'App Data Outliers'!$A:$A,0))</f>
        <v>540.38278358208959</v>
      </c>
      <c r="BQ194" s="269">
        <f>INDEX('App Data Outliers'!$N:$N,MATCH($E194,'App Data Outliers'!$A:$A,0))</f>
        <v>100.67961898397597</v>
      </c>
      <c r="BR194" s="269">
        <f>INDEX('App Data Outliers'!$S:$S,MATCH($E194,'App Data Outliers'!$A:$A,0))</f>
        <v>63.736940298507463</v>
      </c>
      <c r="BS194" s="269">
        <f>INDEX('App Data Outliers'!$T:$T,MATCH($E194,'App Data Outliers'!$A:$A,0))</f>
        <v>15.137978729011348</v>
      </c>
    </row>
    <row r="195" spans="1:71" s="204" customFormat="1" hidden="1">
      <c r="A195" s="241">
        <v>191</v>
      </c>
      <c r="B195" s="241" t="str">
        <f t="shared" si="40"/>
        <v>Non-Residential - BHPSD - C/I Prescriptive Rebate</v>
      </c>
      <c r="C195" s="241" t="b">
        <f t="shared" si="41"/>
        <v>1</v>
      </c>
      <c r="D195" s="241" t="str">
        <f t="shared" si="42"/>
        <v>Non-Residential - BHPSD - C/I Prescriptive Rebate_C&amp;I Prescriptive Rebate :- C&amp;I Lighting :- Customer Incentives_LED Replacement for Linear Fluorescent Lamps - 5 to 8 f</v>
      </c>
      <c r="E195" s="241" t="str">
        <f t="shared" si="43"/>
        <v>C&amp;I_C&amp;I Prescriptive_Lighting_LED Linear Replacement Lamp (5-8ft)</v>
      </c>
      <c r="F195" s="241" t="str">
        <f>INDEX('VDSM MAPPING'!E:E,MATCH($D195,'VDSM MAPPING'!$A:$A,0))</f>
        <v>C&amp;I</v>
      </c>
      <c r="G195" s="241" t="str">
        <f>INDEX('VDSM MAPPING'!F:F,MATCH($D195,'VDSM MAPPING'!$A:$A,0))</f>
        <v>C&amp;I Prescriptive</v>
      </c>
      <c r="H195" s="241" t="str">
        <f>INDEX('VDSM MAPPING'!G:G,MATCH($D195,'VDSM MAPPING'!$A:$A,0))</f>
        <v>Lighting</v>
      </c>
      <c r="I195" s="241" t="str">
        <f>INDEX('VDSM MAPPING'!H:H,MATCH($D195,'VDSM MAPPING'!$A:$A,0))</f>
        <v>LED Linear Replacement Lamp (5-8ft)</v>
      </c>
      <c r="J195" s="240">
        <f t="shared" si="44"/>
        <v>2.4427431632168606</v>
      </c>
      <c r="K195" s="240" t="str">
        <f t="shared" si="45"/>
        <v/>
      </c>
      <c r="L195" s="240" t="b">
        <f t="shared" si="46"/>
        <v>1</v>
      </c>
      <c r="M195" s="240" t="b">
        <f t="shared" si="47"/>
        <v>0</v>
      </c>
      <c r="N195" s="204" t="s">
        <v>289</v>
      </c>
      <c r="O195" s="204" t="s">
        <v>2412</v>
      </c>
      <c r="P195" s="350">
        <v>1</v>
      </c>
      <c r="Q195" s="204" t="s">
        <v>2412</v>
      </c>
      <c r="R195" s="204" t="s">
        <v>2411</v>
      </c>
      <c r="S195" s="204" t="s">
        <v>2410</v>
      </c>
      <c r="T195" s="204" t="s">
        <v>2410</v>
      </c>
      <c r="U195" s="204" t="s">
        <v>2410</v>
      </c>
      <c r="V195" s="204" t="s">
        <v>2409</v>
      </c>
      <c r="W195" s="204" t="s">
        <v>329</v>
      </c>
      <c r="X195" s="204" t="s">
        <v>297</v>
      </c>
      <c r="Y195" s="204" t="s">
        <v>328</v>
      </c>
      <c r="Z195" s="204" t="s">
        <v>2356</v>
      </c>
      <c r="AA195" s="204" t="s">
        <v>2355</v>
      </c>
      <c r="AB195" s="204" t="s">
        <v>329</v>
      </c>
      <c r="AC195" s="204" t="s">
        <v>297</v>
      </c>
      <c r="AD195" s="204" t="s">
        <v>328</v>
      </c>
      <c r="AE195" s="204" t="s">
        <v>2354</v>
      </c>
      <c r="AF195" s="204" t="s">
        <v>2353</v>
      </c>
      <c r="AG195" s="204" t="s">
        <v>2129</v>
      </c>
      <c r="AH195" s="204" t="s">
        <v>2408</v>
      </c>
      <c r="AI195" s="204" t="s">
        <v>2378</v>
      </c>
      <c r="AJ195" s="204" t="s">
        <v>2126</v>
      </c>
      <c r="AX195" s="204">
        <v>20</v>
      </c>
      <c r="AY195" s="204">
        <v>0</v>
      </c>
      <c r="AZ195" s="204">
        <v>0.79161599999999999</v>
      </c>
      <c r="BB195" s="204">
        <v>4840.6400000000003</v>
      </c>
      <c r="BH195" s="204">
        <v>0</v>
      </c>
      <c r="BI195" s="204">
        <v>460</v>
      </c>
      <c r="BJ195" s="204">
        <v>42796</v>
      </c>
      <c r="BK195" s="204">
        <v>42796.702790740703</v>
      </c>
      <c r="BL195" s="204" t="s">
        <v>293</v>
      </c>
      <c r="BM195" s="204" t="s">
        <v>2407</v>
      </c>
      <c r="BN195" s="269">
        <f t="shared" si="48"/>
        <v>242.03200000000001</v>
      </c>
      <c r="BO195" s="269">
        <f t="shared" si="49"/>
        <v>23</v>
      </c>
      <c r="BP195" s="269">
        <f>INDEX('App Data Outliers'!$M:$M,MATCH($E195,'App Data Outliers'!$A:$A,0))</f>
        <v>159.23217764165389</v>
      </c>
      <c r="BQ195" s="269">
        <f>INDEX('App Data Outliers'!$N:$N,MATCH($E195,'App Data Outliers'!$A:$A,0))</f>
        <v>33.896245665592865</v>
      </c>
      <c r="BR195" s="269">
        <f>INDEX('App Data Outliers'!$S:$S,MATCH($E195,'App Data Outliers'!$A:$A,0))</f>
        <v>23</v>
      </c>
      <c r="BS195" s="269">
        <f>INDEX('App Data Outliers'!$T:$T,MATCH($E195,'App Data Outliers'!$A:$A,0))</f>
        <v>0</v>
      </c>
    </row>
    <row r="196" spans="1:71" s="204" customFormat="1" hidden="1">
      <c r="A196" s="241">
        <v>192</v>
      </c>
      <c r="B196" s="241" t="str">
        <f t="shared" si="40"/>
        <v>Non-Residential - BHPSD - C/I Prescriptive Rebate</v>
      </c>
      <c r="C196" s="241" t="b">
        <f t="shared" si="41"/>
        <v>1</v>
      </c>
      <c r="D196" s="241" t="str">
        <f t="shared" si="42"/>
        <v>Non-Residential - BHPSD - C/I Prescriptive Rebate_C&amp;I Prescriptive Rebate :- C&amp;I Lighting :- Customer Incentives_Energy Star LED Lamps - 5W to 10W</v>
      </c>
      <c r="E196" s="241" t="str">
        <f t="shared" si="43"/>
        <v>C&amp;I_C&amp;I Prescriptive_Lighting_Energy Star LED Lamp (5-10W)</v>
      </c>
      <c r="F196" s="241" t="str">
        <f>INDEX('VDSM MAPPING'!E:E,MATCH($D196,'VDSM MAPPING'!$A:$A,0))</f>
        <v>C&amp;I</v>
      </c>
      <c r="G196" s="241" t="str">
        <f>INDEX('VDSM MAPPING'!F:F,MATCH($D196,'VDSM MAPPING'!$A:$A,0))</f>
        <v>C&amp;I Prescriptive</v>
      </c>
      <c r="H196" s="241" t="str">
        <f>INDEX('VDSM MAPPING'!G:G,MATCH($D196,'VDSM MAPPING'!$A:$A,0))</f>
        <v>Lighting</v>
      </c>
      <c r="I196" s="241" t="str">
        <f>INDEX('VDSM MAPPING'!H:H,MATCH($D196,'VDSM MAPPING'!$A:$A,0))</f>
        <v>Energy Star LED Lamp (5-10W)</v>
      </c>
      <c r="J196" s="240">
        <f t="shared" si="44"/>
        <v>1.3911399448918909</v>
      </c>
      <c r="K196" s="240">
        <f t="shared" si="45"/>
        <v>-1.0101153675963599</v>
      </c>
      <c r="L196" s="240" t="b">
        <f t="shared" si="46"/>
        <v>0</v>
      </c>
      <c r="M196" s="240" t="b">
        <f t="shared" si="47"/>
        <v>0</v>
      </c>
      <c r="N196" s="204" t="s">
        <v>289</v>
      </c>
      <c r="O196" s="204" t="s">
        <v>2412</v>
      </c>
      <c r="P196" s="350">
        <v>0</v>
      </c>
      <c r="Q196" s="204" t="s">
        <v>2412</v>
      </c>
      <c r="R196" s="204" t="s">
        <v>2411</v>
      </c>
      <c r="S196" s="204" t="s">
        <v>2410</v>
      </c>
      <c r="T196" s="204" t="s">
        <v>2410</v>
      </c>
      <c r="U196" s="204" t="s">
        <v>2410</v>
      </c>
      <c r="V196" s="204" t="s">
        <v>2409</v>
      </c>
      <c r="W196" s="204" t="s">
        <v>329</v>
      </c>
      <c r="X196" s="204" t="s">
        <v>297</v>
      </c>
      <c r="Y196" s="204" t="s">
        <v>328</v>
      </c>
      <c r="Z196" s="204" t="s">
        <v>2356</v>
      </c>
      <c r="AA196" s="204" t="s">
        <v>2355</v>
      </c>
      <c r="AB196" s="204" t="s">
        <v>329</v>
      </c>
      <c r="AC196" s="204" t="s">
        <v>297</v>
      </c>
      <c r="AD196" s="204" t="s">
        <v>328</v>
      </c>
      <c r="AE196" s="204" t="s">
        <v>2354</v>
      </c>
      <c r="AF196" s="204" t="s">
        <v>2353</v>
      </c>
      <c r="AG196" s="204" t="s">
        <v>2129</v>
      </c>
      <c r="AH196" s="204" t="s">
        <v>2128</v>
      </c>
      <c r="AI196" s="204" t="s">
        <v>2378</v>
      </c>
      <c r="AJ196" s="204" t="s">
        <v>2126</v>
      </c>
      <c r="AX196" s="204">
        <v>101</v>
      </c>
      <c r="AY196" s="204">
        <v>0</v>
      </c>
      <c r="AZ196" s="204">
        <v>2.5791360000000001</v>
      </c>
      <c r="BB196" s="204">
        <v>15771.15</v>
      </c>
      <c r="BH196" s="204">
        <v>0</v>
      </c>
      <c r="BI196" s="204">
        <v>277.75</v>
      </c>
      <c r="BJ196" s="204">
        <v>42796</v>
      </c>
      <c r="BK196" s="204">
        <v>42796.702790740703</v>
      </c>
      <c r="BL196" s="204" t="s">
        <v>293</v>
      </c>
      <c r="BM196" s="204" t="s">
        <v>2414</v>
      </c>
      <c r="BN196" s="269">
        <f t="shared" si="48"/>
        <v>156.15</v>
      </c>
      <c r="BO196" s="269">
        <f t="shared" si="49"/>
        <v>2.75</v>
      </c>
      <c r="BP196" s="269">
        <f>INDEX('App Data Outliers'!$M:$M,MATCH($E196,'App Data Outliers'!$A:$A,0))</f>
        <v>124.22266552020636</v>
      </c>
      <c r="BQ196" s="269">
        <f>INDEX('App Data Outliers'!$N:$N,MATCH($E196,'App Data Outliers'!$A:$A,0))</f>
        <v>22.950483592270654</v>
      </c>
      <c r="BR196" s="269">
        <f>INDEX('App Data Outliers'!$S:$S,MATCH($E196,'App Data Outliers'!$A:$A,0))</f>
        <v>4.8732072914875317</v>
      </c>
      <c r="BS196" s="269">
        <f>INDEX('App Data Outliers'!$T:$T,MATCH($E196,'App Data Outliers'!$A:$A,0))</f>
        <v>2.1019453416888925</v>
      </c>
    </row>
    <row r="197" spans="1:71" s="204" customFormat="1" hidden="1">
      <c r="A197" s="241">
        <v>193</v>
      </c>
      <c r="B197" s="241" t="str">
        <f t="shared" si="40"/>
        <v>Non-Residential - BHPSD - C/I Prescriptive Rebate</v>
      </c>
      <c r="C197" s="241" t="b">
        <f t="shared" si="41"/>
        <v>1</v>
      </c>
      <c r="D197" s="241" t="str">
        <f t="shared" si="42"/>
        <v>Non-Residential - BHPSD - C/I Prescriptive Rebate_C&amp;I Prescriptive Rebate :- C&amp;I Lighting :- Customer Incentives_LED Replacement for T8 Linear Fluorescent Lamps - 4 ft or less</v>
      </c>
      <c r="E197" s="241" t="str">
        <f t="shared" si="43"/>
        <v>C&amp;I_C&amp;I Prescriptive_Lighting_LED Linear Replacement Lamp (≤4ft)</v>
      </c>
      <c r="F197" s="241" t="str">
        <f>INDEX('VDSM MAPPING'!E:E,MATCH($D197,'VDSM MAPPING'!$A:$A,0))</f>
        <v>C&amp;I</v>
      </c>
      <c r="G197" s="241" t="str">
        <f>INDEX('VDSM MAPPING'!F:F,MATCH($D197,'VDSM MAPPING'!$A:$A,0))</f>
        <v>C&amp;I Prescriptive</v>
      </c>
      <c r="H197" s="241" t="str">
        <f>INDEX('VDSM MAPPING'!G:G,MATCH($D197,'VDSM MAPPING'!$A:$A,0))</f>
        <v>Lighting</v>
      </c>
      <c r="I197" s="241" t="str">
        <f>INDEX('VDSM MAPPING'!H:H,MATCH($D197,'VDSM MAPPING'!$A:$A,0))</f>
        <v>LED Linear Replacement Lamp (≤4ft)</v>
      </c>
      <c r="J197" s="240">
        <f t="shared" si="44"/>
        <v>0.20295066700511452</v>
      </c>
      <c r="K197" s="240">
        <f t="shared" si="45"/>
        <v>-0.88417989319191814</v>
      </c>
      <c r="L197" s="240" t="b">
        <f t="shared" si="46"/>
        <v>0</v>
      </c>
      <c r="M197" s="240" t="b">
        <f t="shared" si="47"/>
        <v>0</v>
      </c>
      <c r="N197" s="204" t="s">
        <v>289</v>
      </c>
      <c r="O197" s="204" t="s">
        <v>2412</v>
      </c>
      <c r="P197" s="350">
        <v>0</v>
      </c>
      <c r="Q197" s="204" t="s">
        <v>2412</v>
      </c>
      <c r="R197" s="204" t="s">
        <v>2411</v>
      </c>
      <c r="S197" s="204" t="s">
        <v>2410</v>
      </c>
      <c r="T197" s="204" t="s">
        <v>2410</v>
      </c>
      <c r="U197" s="204" t="s">
        <v>2410</v>
      </c>
      <c r="V197" s="204" t="s">
        <v>2409</v>
      </c>
      <c r="W197" s="204" t="s">
        <v>329</v>
      </c>
      <c r="X197" s="204" t="s">
        <v>297</v>
      </c>
      <c r="Y197" s="204" t="s">
        <v>328</v>
      </c>
      <c r="Z197" s="204" t="s">
        <v>2356</v>
      </c>
      <c r="AA197" s="204" t="s">
        <v>2355</v>
      </c>
      <c r="AB197" s="204" t="s">
        <v>329</v>
      </c>
      <c r="AC197" s="204" t="s">
        <v>297</v>
      </c>
      <c r="AD197" s="204" t="s">
        <v>328</v>
      </c>
      <c r="AE197" s="204" t="s">
        <v>2354</v>
      </c>
      <c r="AF197" s="204" t="s">
        <v>2353</v>
      </c>
      <c r="AG197" s="204" t="s">
        <v>2129</v>
      </c>
      <c r="AH197" s="204" t="s">
        <v>2173</v>
      </c>
      <c r="AI197" s="204" t="s">
        <v>2378</v>
      </c>
      <c r="AJ197" s="204" t="s">
        <v>2126</v>
      </c>
      <c r="AX197" s="204">
        <v>24</v>
      </c>
      <c r="AY197" s="204">
        <v>0</v>
      </c>
      <c r="AZ197" s="204">
        <v>0.30643199999999998</v>
      </c>
      <c r="BB197" s="204">
        <v>1873.8</v>
      </c>
      <c r="BH197" s="204">
        <v>0</v>
      </c>
      <c r="BI197" s="204">
        <v>165.36</v>
      </c>
      <c r="BJ197" s="204">
        <v>42796</v>
      </c>
      <c r="BK197" s="204">
        <v>42796.702790740703</v>
      </c>
      <c r="BL197" s="204" t="s">
        <v>293</v>
      </c>
      <c r="BM197" s="204" t="s">
        <v>2415</v>
      </c>
      <c r="BN197" s="269">
        <f t="shared" si="48"/>
        <v>78.075000000000003</v>
      </c>
      <c r="BO197" s="269">
        <f t="shared" si="49"/>
        <v>6.8900000000000006</v>
      </c>
      <c r="BP197" s="269">
        <f>INDEX('App Data Outliers'!$M:$M,MATCH($E197,'App Data Outliers'!$A:$A,0))</f>
        <v>71.928403166606657</v>
      </c>
      <c r="BQ197" s="269">
        <f>INDEX('App Data Outliers'!$N:$N,MATCH($E197,'App Data Outliers'!$A:$A,0))</f>
        <v>30.28616226838243</v>
      </c>
      <c r="BR197" s="269">
        <f>INDEX('App Data Outliers'!$S:$S,MATCH($E197,'App Data Outliers'!$A:$A,0))</f>
        <v>10.421419234256929</v>
      </c>
      <c r="BS197" s="269">
        <f>INDEX('App Data Outliers'!$T:$T,MATCH($E197,'App Data Outliers'!$A:$A,0))</f>
        <v>3.9940053618595535</v>
      </c>
    </row>
    <row r="198" spans="1:71" s="204" customFormat="1" hidden="1">
      <c r="A198" s="241">
        <v>194</v>
      </c>
      <c r="B198" s="241" t="str">
        <f t="shared" si="40"/>
        <v>Non-Residential - BHPSD - C/I Prescriptive Rebate</v>
      </c>
      <c r="C198" s="241" t="b">
        <f t="shared" si="41"/>
        <v>1</v>
      </c>
      <c r="D198" s="241" t="str">
        <f t="shared" si="42"/>
        <v>Non-Residential - BHPSD - C/I Prescriptive Rebate_C&amp;I Prescriptive Rebate :- C&amp;I Lighting :- Customer Incentives_LED Fixtures Exterior &amp; Garage - 25W or less</v>
      </c>
      <c r="E198" s="241" t="str">
        <f t="shared" si="43"/>
        <v>C&amp;I_C&amp;I Prescriptive_Lighting_LED Parking Garage/Canopy (&lt;30W)</v>
      </c>
      <c r="F198" s="241" t="str">
        <f>INDEX('VDSM MAPPING'!E:E,MATCH($D198,'VDSM MAPPING'!$A:$A,0))</f>
        <v>C&amp;I</v>
      </c>
      <c r="G198" s="241" t="str">
        <f>INDEX('VDSM MAPPING'!F:F,MATCH($D198,'VDSM MAPPING'!$A:$A,0))</f>
        <v>C&amp;I Prescriptive</v>
      </c>
      <c r="H198" s="241" t="str">
        <f>INDEX('VDSM MAPPING'!G:G,MATCH($D198,'VDSM MAPPING'!$A:$A,0))</f>
        <v>Lighting</v>
      </c>
      <c r="I198" s="241" t="str">
        <f>INDEX('VDSM MAPPING'!H:H,MATCH($D198,'VDSM MAPPING'!$A:$A,0))</f>
        <v>LED Parking Garage/Canopy (&lt;30W)</v>
      </c>
      <c r="J198" s="240">
        <f t="shared" si="44"/>
        <v>1.0213764617139034</v>
      </c>
      <c r="K198" s="240">
        <f t="shared" si="45"/>
        <v>-6.7654237626589869E-2</v>
      </c>
      <c r="L198" s="240" t="b">
        <f t="shared" si="46"/>
        <v>0</v>
      </c>
      <c r="M198" s="240" t="b">
        <f t="shared" si="47"/>
        <v>0</v>
      </c>
      <c r="N198" s="204" t="s">
        <v>289</v>
      </c>
      <c r="O198" s="204" t="s">
        <v>2412</v>
      </c>
      <c r="P198" s="350">
        <v>0</v>
      </c>
      <c r="Q198" s="204" t="s">
        <v>2412</v>
      </c>
      <c r="R198" s="204" t="s">
        <v>2411</v>
      </c>
      <c r="S198" s="204" t="s">
        <v>2410</v>
      </c>
      <c r="T198" s="204" t="s">
        <v>2410</v>
      </c>
      <c r="U198" s="204" t="s">
        <v>2410</v>
      </c>
      <c r="V198" s="204" t="s">
        <v>2409</v>
      </c>
      <c r="W198" s="204" t="s">
        <v>329</v>
      </c>
      <c r="X198" s="204" t="s">
        <v>297</v>
      </c>
      <c r="Y198" s="204" t="s">
        <v>328</v>
      </c>
      <c r="Z198" s="204" t="s">
        <v>2356</v>
      </c>
      <c r="AA198" s="204" t="s">
        <v>2355</v>
      </c>
      <c r="AB198" s="204" t="s">
        <v>329</v>
      </c>
      <c r="AC198" s="204" t="s">
        <v>297</v>
      </c>
      <c r="AD198" s="204" t="s">
        <v>328</v>
      </c>
      <c r="AE198" s="204" t="s">
        <v>2354</v>
      </c>
      <c r="AF198" s="204" t="s">
        <v>2353</v>
      </c>
      <c r="AG198" s="204" t="s">
        <v>2129</v>
      </c>
      <c r="AH198" s="204" t="s">
        <v>2218</v>
      </c>
      <c r="AI198" s="204" t="s">
        <v>2378</v>
      </c>
      <c r="AJ198" s="204" t="s">
        <v>2126</v>
      </c>
      <c r="AX198" s="204">
        <v>14</v>
      </c>
      <c r="AY198" s="204">
        <v>0</v>
      </c>
      <c r="AZ198" s="204">
        <v>1.5745070000000001</v>
      </c>
      <c r="BB198" s="204">
        <v>9627.94</v>
      </c>
      <c r="BH198" s="204">
        <v>0</v>
      </c>
      <c r="BI198" s="204">
        <v>126.56</v>
      </c>
      <c r="BJ198" s="204">
        <v>42796</v>
      </c>
      <c r="BK198" s="204">
        <v>42796.702790740703</v>
      </c>
      <c r="BL198" s="204" t="s">
        <v>293</v>
      </c>
      <c r="BM198" s="204" t="s">
        <v>2416</v>
      </c>
      <c r="BN198" s="269">
        <f t="shared" si="48"/>
        <v>687.71</v>
      </c>
      <c r="BO198" s="269">
        <f t="shared" si="49"/>
        <v>9.0400000000000009</v>
      </c>
      <c r="BP198" s="269">
        <f>INDEX('App Data Outliers'!$M:$M,MATCH($E198,'App Data Outliers'!$A:$A,0))</f>
        <v>597.39996296296295</v>
      </c>
      <c r="BQ198" s="269">
        <f>INDEX('App Data Outliers'!$N:$N,MATCH($E198,'App Data Outliers'!$A:$A,0))</f>
        <v>88.419931751211379</v>
      </c>
      <c r="BR198" s="269">
        <f>INDEX('App Data Outliers'!$S:$S,MATCH($E198,'App Data Outliers'!$A:$A,0))</f>
        <v>9.8725925925925928</v>
      </c>
      <c r="BS198" s="269">
        <f>INDEX('App Data Outliers'!$T:$T,MATCH($E198,'App Data Outliers'!$A:$A,0))</f>
        <v>12.306584506768004</v>
      </c>
    </row>
    <row r="199" spans="1:71" s="204" customFormat="1" hidden="1">
      <c r="A199" s="241">
        <v>199</v>
      </c>
      <c r="B199" s="241" t="str">
        <f t="shared" si="40"/>
        <v>Non-Residential - BHPSD - C/I Prescriptive Rebate</v>
      </c>
      <c r="C199" s="241" t="b">
        <f t="shared" si="41"/>
        <v>1</v>
      </c>
      <c r="D199" s="241" t="str">
        <f t="shared" si="42"/>
        <v>Non-Residential - BHPSD - C/I Prescriptive Rebate_C&amp;I Prescriptive Rebate :- C&amp;I Lighting :- Customer Incentives_Energy Star LED Lamps - 10W or greater</v>
      </c>
      <c r="E199" s="241" t="str">
        <f t="shared" si="43"/>
        <v>C&amp;I_C&amp;I Prescriptive_Lighting_Energy Star LED Lamp (&gt;10W)</v>
      </c>
      <c r="F199" s="241" t="str">
        <f>INDEX('VDSM MAPPING'!E:E,MATCH($D199,'VDSM MAPPING'!$A:$A,0))</f>
        <v>C&amp;I</v>
      </c>
      <c r="G199" s="241" t="str">
        <f>INDEX('VDSM MAPPING'!F:F,MATCH($D199,'VDSM MAPPING'!$A:$A,0))</f>
        <v>C&amp;I Prescriptive</v>
      </c>
      <c r="H199" s="241" t="str">
        <f>INDEX('VDSM MAPPING'!G:G,MATCH($D199,'VDSM MAPPING'!$A:$A,0))</f>
        <v>Lighting</v>
      </c>
      <c r="I199" s="241" t="str">
        <f>INDEX('VDSM MAPPING'!H:H,MATCH($D199,'VDSM MAPPING'!$A:$A,0))</f>
        <v>Energy Star LED Lamp (&gt;10W)</v>
      </c>
      <c r="J199" s="240">
        <f t="shared" si="44"/>
        <v>1.7797301914120589</v>
      </c>
      <c r="K199" s="240">
        <f t="shared" si="45"/>
        <v>-1.4686098980072886</v>
      </c>
      <c r="L199" s="240" t="b">
        <f t="shared" si="46"/>
        <v>0</v>
      </c>
      <c r="M199" s="240" t="b">
        <f t="shared" si="47"/>
        <v>0</v>
      </c>
      <c r="N199" s="204" t="s">
        <v>289</v>
      </c>
      <c r="O199" s="204" t="s">
        <v>2412</v>
      </c>
      <c r="P199" s="350">
        <v>0</v>
      </c>
      <c r="Q199" s="204" t="s">
        <v>2412</v>
      </c>
      <c r="R199" s="204" t="s">
        <v>2411</v>
      </c>
      <c r="S199" s="204" t="s">
        <v>2410</v>
      </c>
      <c r="T199" s="204" t="s">
        <v>2410</v>
      </c>
      <c r="U199" s="204" t="s">
        <v>2410</v>
      </c>
      <c r="V199" s="204" t="s">
        <v>2409</v>
      </c>
      <c r="W199" s="204" t="s">
        <v>329</v>
      </c>
      <c r="X199" s="204" t="s">
        <v>297</v>
      </c>
      <c r="Y199" s="204" t="s">
        <v>328</v>
      </c>
      <c r="Z199" s="204" t="s">
        <v>2356</v>
      </c>
      <c r="AA199" s="204" t="s">
        <v>2355</v>
      </c>
      <c r="AB199" s="204" t="s">
        <v>329</v>
      </c>
      <c r="AC199" s="204" t="s">
        <v>297</v>
      </c>
      <c r="AD199" s="204" t="s">
        <v>328</v>
      </c>
      <c r="AE199" s="204" t="s">
        <v>2354</v>
      </c>
      <c r="AF199" s="204" t="s">
        <v>2353</v>
      </c>
      <c r="AG199" s="204" t="s">
        <v>2129</v>
      </c>
      <c r="AH199" s="204" t="s">
        <v>2166</v>
      </c>
      <c r="AI199" s="204" t="s">
        <v>2378</v>
      </c>
      <c r="AJ199" s="204" t="s">
        <v>2126</v>
      </c>
      <c r="AX199" s="204">
        <v>38</v>
      </c>
      <c r="AY199" s="204">
        <v>0</v>
      </c>
      <c r="AZ199" s="204">
        <v>1.536416</v>
      </c>
      <c r="BB199" s="242">
        <v>9395.0059999999994</v>
      </c>
      <c r="BH199" s="204">
        <v>0</v>
      </c>
      <c r="BI199" s="204">
        <v>242.06</v>
      </c>
      <c r="BJ199" s="204">
        <v>42796</v>
      </c>
      <c r="BK199" s="204">
        <v>42796.702790740703</v>
      </c>
      <c r="BL199" s="204" t="s">
        <v>293</v>
      </c>
      <c r="BM199" s="204" t="s">
        <v>2413</v>
      </c>
      <c r="BN199" s="243">
        <f t="shared" si="48"/>
        <v>247.23699999999999</v>
      </c>
      <c r="BO199" s="243">
        <f t="shared" si="49"/>
        <v>6.37</v>
      </c>
      <c r="BP199" s="242">
        <f>INDEX('App Data Outliers'!$M:$M,MATCH($E199,'App Data Outliers'!$A:$A,0))</f>
        <v>183.5885054112554</v>
      </c>
      <c r="BQ199" s="242">
        <f>INDEX('App Data Outliers'!$N:$N,MATCH($E199,'App Data Outliers'!$A:$A,0))</f>
        <v>35.763002108901198</v>
      </c>
      <c r="BR199" s="242">
        <f>INDEX('App Data Outliers'!$S:$S,MATCH($E199,'App Data Outliers'!$A:$A,0))</f>
        <v>9.5846103896103898</v>
      </c>
      <c r="BS199" s="242">
        <f>INDEX('App Data Outliers'!$T:$T,MATCH($E199,'App Data Outliers'!$A:$A,0))</f>
        <v>2.1888796977142775</v>
      </c>
    </row>
    <row r="200" spans="1:71" s="204" customFormat="1" hidden="1">
      <c r="A200" s="241">
        <v>196</v>
      </c>
      <c r="B200" s="241" t="str">
        <f t="shared" si="40"/>
        <v>Non-Residential - BHPSD - C/I Prescriptive Rebate</v>
      </c>
      <c r="C200" s="241" t="b">
        <f t="shared" si="41"/>
        <v>1</v>
      </c>
      <c r="D200" s="241" t="str">
        <f t="shared" si="42"/>
        <v>Non-Residential - BHPSD - C/I Prescriptive Rebate_C&amp;I Prescriptive Rebate :- C&amp;I Lighting :- Customer Incentives_LED Replacement for T8 Linear Fluorescent Lamps - 4 ft or less</v>
      </c>
      <c r="E200" s="241" t="str">
        <f t="shared" si="43"/>
        <v>C&amp;I_C&amp;I Prescriptive_Lighting_LED Linear Replacement Lamp (≤4ft)</v>
      </c>
      <c r="F200" s="241" t="str">
        <f>INDEX('VDSM MAPPING'!E:E,MATCH($D200,'VDSM MAPPING'!$A:$A,0))</f>
        <v>C&amp;I</v>
      </c>
      <c r="G200" s="241" t="str">
        <f>INDEX('VDSM MAPPING'!F:F,MATCH($D200,'VDSM MAPPING'!$A:$A,0))</f>
        <v>C&amp;I Prescriptive</v>
      </c>
      <c r="H200" s="241" t="str">
        <f>INDEX('VDSM MAPPING'!G:G,MATCH($D200,'VDSM MAPPING'!$A:$A,0))</f>
        <v>Lighting</v>
      </c>
      <c r="I200" s="241" t="str">
        <f>INDEX('VDSM MAPPING'!H:H,MATCH($D200,'VDSM MAPPING'!$A:$A,0))</f>
        <v>LED Linear Replacement Lamp (≤4ft)</v>
      </c>
      <c r="J200" s="240">
        <f t="shared" si="44"/>
        <v>-0.52091126722505232</v>
      </c>
      <c r="K200" s="240">
        <f t="shared" si="45"/>
        <v>-0.60626339097590731</v>
      </c>
      <c r="L200" s="240" t="b">
        <f t="shared" si="46"/>
        <v>0</v>
      </c>
      <c r="M200" s="240" t="b">
        <f t="shared" si="47"/>
        <v>0</v>
      </c>
      <c r="N200" s="204" t="s">
        <v>289</v>
      </c>
      <c r="O200" s="204" t="s">
        <v>2406</v>
      </c>
      <c r="P200" s="350">
        <v>1</v>
      </c>
      <c r="Q200" s="204" t="s">
        <v>2406</v>
      </c>
      <c r="R200" s="204" t="s">
        <v>2405</v>
      </c>
      <c r="S200" s="204" t="s">
        <v>2052</v>
      </c>
      <c r="T200" s="204" t="s">
        <v>2052</v>
      </c>
      <c r="U200" s="204" t="s">
        <v>2052</v>
      </c>
      <c r="V200" s="204" t="s">
        <v>2051</v>
      </c>
      <c r="W200" s="204" t="s">
        <v>928</v>
      </c>
      <c r="X200" s="204" t="s">
        <v>297</v>
      </c>
      <c r="Y200" s="204" t="s">
        <v>412</v>
      </c>
      <c r="Z200" s="204" t="s">
        <v>2270</v>
      </c>
      <c r="AA200" s="204" t="s">
        <v>2269</v>
      </c>
      <c r="AB200" s="204" t="s">
        <v>329</v>
      </c>
      <c r="AC200" s="204" t="s">
        <v>297</v>
      </c>
      <c r="AD200" s="204" t="s">
        <v>328</v>
      </c>
      <c r="AE200" s="204" t="s">
        <v>2268</v>
      </c>
      <c r="AG200" s="204" t="s">
        <v>2129</v>
      </c>
      <c r="AH200" s="204" t="s">
        <v>2173</v>
      </c>
      <c r="AI200" s="204" t="s">
        <v>2404</v>
      </c>
      <c r="AJ200" s="204" t="s">
        <v>2126</v>
      </c>
      <c r="AX200" s="204">
        <v>32</v>
      </c>
      <c r="AY200" s="204">
        <v>0</v>
      </c>
      <c r="AZ200" s="204">
        <v>0.39244800000000002</v>
      </c>
      <c r="BB200" s="204">
        <v>1796.864</v>
      </c>
      <c r="BH200" s="204">
        <v>0</v>
      </c>
      <c r="BI200" s="204">
        <v>256</v>
      </c>
      <c r="BJ200" s="204">
        <v>42796</v>
      </c>
      <c r="BK200" s="204">
        <v>42796.756497071801</v>
      </c>
      <c r="BL200" s="204" t="s">
        <v>293</v>
      </c>
      <c r="BM200" s="204" t="s">
        <v>2403</v>
      </c>
      <c r="BN200" s="269">
        <f t="shared" si="48"/>
        <v>56.152000000000001</v>
      </c>
      <c r="BO200" s="269">
        <f t="shared" si="49"/>
        <v>8</v>
      </c>
      <c r="BP200" s="269">
        <f>INDEX('App Data Outliers'!$M:$M,MATCH($E200,'App Data Outliers'!$A:$A,0))</f>
        <v>71.928403166606657</v>
      </c>
      <c r="BQ200" s="269">
        <f>INDEX('App Data Outliers'!$N:$N,MATCH($E200,'App Data Outliers'!$A:$A,0))</f>
        <v>30.28616226838243</v>
      </c>
      <c r="BR200" s="269">
        <f>INDEX('App Data Outliers'!$S:$S,MATCH($E200,'App Data Outliers'!$A:$A,0))</f>
        <v>10.421419234256929</v>
      </c>
      <c r="BS200" s="269">
        <f>INDEX('App Data Outliers'!$T:$T,MATCH($E200,'App Data Outliers'!$A:$A,0))</f>
        <v>3.9940053618595535</v>
      </c>
    </row>
    <row r="201" spans="1:71" s="204" customFormat="1" hidden="1">
      <c r="A201" s="241">
        <v>197</v>
      </c>
      <c r="B201" s="241" t="str">
        <f t="shared" si="40"/>
        <v>Non-Residential - BHPSD - C/I Prescriptive Rebate</v>
      </c>
      <c r="C201" s="241" t="b">
        <f t="shared" si="41"/>
        <v>1</v>
      </c>
      <c r="D201" s="241" t="str">
        <f t="shared" si="42"/>
        <v>Non-Residential - BHPSD - C/I Prescriptive Rebate_C&amp;I Prescriptive Rebate :- C&amp;I Lighting :- Customer Incentives_LED Replacement for T8 Linear Fluorescent Lamps - 4 ft or less</v>
      </c>
      <c r="E201" s="241" t="str">
        <f t="shared" si="43"/>
        <v>C&amp;I_C&amp;I Prescriptive_Lighting_LED Linear Replacement Lamp (≤4ft)</v>
      </c>
      <c r="F201" s="241" t="str">
        <f>INDEX('VDSM MAPPING'!E:E,MATCH($D201,'VDSM MAPPING'!$A:$A,0))</f>
        <v>C&amp;I</v>
      </c>
      <c r="G201" s="241" t="str">
        <f>INDEX('VDSM MAPPING'!F:F,MATCH($D201,'VDSM MAPPING'!$A:$A,0))</f>
        <v>C&amp;I Prescriptive</v>
      </c>
      <c r="H201" s="241" t="str">
        <f>INDEX('VDSM MAPPING'!G:G,MATCH($D201,'VDSM MAPPING'!$A:$A,0))</f>
        <v>Lighting</v>
      </c>
      <c r="I201" s="241" t="str">
        <f>INDEX('VDSM MAPPING'!H:H,MATCH($D201,'VDSM MAPPING'!$A:$A,0))</f>
        <v>LED Linear Replacement Lamp (≤4ft)</v>
      </c>
      <c r="J201" s="240">
        <f t="shared" si="44"/>
        <v>-1.2224527768992919</v>
      </c>
      <c r="K201" s="240">
        <f t="shared" si="45"/>
        <v>-0.60626339097590731</v>
      </c>
      <c r="L201" s="240" t="b">
        <f t="shared" si="46"/>
        <v>0</v>
      </c>
      <c r="M201" s="240" t="b">
        <f t="shared" si="47"/>
        <v>0</v>
      </c>
      <c r="N201" s="204" t="s">
        <v>289</v>
      </c>
      <c r="O201" s="204" t="s">
        <v>2398</v>
      </c>
      <c r="P201" s="350">
        <v>1</v>
      </c>
      <c r="Q201" s="204" t="s">
        <v>2398</v>
      </c>
      <c r="R201" s="204" t="s">
        <v>2397</v>
      </c>
      <c r="S201" s="204" t="s">
        <v>2396</v>
      </c>
      <c r="T201" s="204" t="s">
        <v>2396</v>
      </c>
      <c r="U201" s="204" t="s">
        <v>2396</v>
      </c>
      <c r="V201" s="204" t="s">
        <v>2395</v>
      </c>
      <c r="W201" s="204" t="s">
        <v>568</v>
      </c>
      <c r="X201" s="204" t="s">
        <v>297</v>
      </c>
      <c r="Y201" s="204" t="s">
        <v>567</v>
      </c>
      <c r="Z201" s="204" t="s">
        <v>2211</v>
      </c>
      <c r="AA201" s="204" t="s">
        <v>2210</v>
      </c>
      <c r="AB201" s="204" t="s">
        <v>298</v>
      </c>
      <c r="AC201" s="204" t="s">
        <v>297</v>
      </c>
      <c r="AD201" s="204" t="s">
        <v>296</v>
      </c>
      <c r="AE201" s="204" t="s">
        <v>2209</v>
      </c>
      <c r="AF201" s="204" t="s">
        <v>2208</v>
      </c>
      <c r="AG201" s="204" t="s">
        <v>2129</v>
      </c>
      <c r="AH201" s="204" t="s">
        <v>2173</v>
      </c>
      <c r="AI201" s="204" t="s">
        <v>2373</v>
      </c>
      <c r="AJ201" s="204" t="s">
        <v>2126</v>
      </c>
      <c r="AX201" s="204">
        <v>512</v>
      </c>
      <c r="AY201" s="204">
        <v>0</v>
      </c>
      <c r="AZ201" s="204">
        <v>1.9464189999999999</v>
      </c>
      <c r="BB201" s="204">
        <v>17871.36</v>
      </c>
      <c r="BH201" s="204">
        <v>0</v>
      </c>
      <c r="BI201" s="204">
        <v>4096</v>
      </c>
      <c r="BJ201" s="204">
        <v>42796</v>
      </c>
      <c r="BK201" s="204">
        <v>42796.784825659699</v>
      </c>
      <c r="BL201" s="204" t="s">
        <v>293</v>
      </c>
      <c r="BM201" s="204" t="s">
        <v>2402</v>
      </c>
      <c r="BN201" s="269">
        <f t="shared" si="48"/>
        <v>34.905000000000001</v>
      </c>
      <c r="BO201" s="269">
        <f t="shared" si="49"/>
        <v>8</v>
      </c>
      <c r="BP201" s="269">
        <f>INDEX('App Data Outliers'!$M:$M,MATCH($E201,'App Data Outliers'!$A:$A,0))</f>
        <v>71.928403166606657</v>
      </c>
      <c r="BQ201" s="269">
        <f>INDEX('App Data Outliers'!$N:$N,MATCH($E201,'App Data Outliers'!$A:$A,0))</f>
        <v>30.28616226838243</v>
      </c>
      <c r="BR201" s="269">
        <f>INDEX('App Data Outliers'!$S:$S,MATCH($E201,'App Data Outliers'!$A:$A,0))</f>
        <v>10.421419234256929</v>
      </c>
      <c r="BS201" s="269">
        <f>INDEX('App Data Outliers'!$T:$T,MATCH($E201,'App Data Outliers'!$A:$A,0))</f>
        <v>3.9940053618595535</v>
      </c>
    </row>
    <row r="202" spans="1:71" s="204" customFormat="1" hidden="1">
      <c r="A202" s="241">
        <v>198</v>
      </c>
      <c r="B202" s="241" t="str">
        <f t="shared" si="40"/>
        <v>Non-Residential - BHPSD - C/I Prescriptive Rebate</v>
      </c>
      <c r="C202" s="241" t="b">
        <f t="shared" si="41"/>
        <v>1</v>
      </c>
      <c r="D202" s="241" t="str">
        <f t="shared" si="42"/>
        <v>Non-Residential - BHPSD - C/I Prescriptive Rebate_C&amp;I Prescriptive Rebate :- C&amp;I Lighting :- Customer Incentives_LED Fixtures Exterior &amp; Garage - 60W to 150W</v>
      </c>
      <c r="E202" s="241" t="str">
        <f t="shared" si="43"/>
        <v>C&amp;I_C&amp;I Prescriptive_Lighting_LED Parking Garage/Canopy (≥75W)</v>
      </c>
      <c r="F202" s="241" t="str">
        <f>INDEX('VDSM MAPPING'!E:E,MATCH($D202,'VDSM MAPPING'!$A:$A,0))</f>
        <v>C&amp;I</v>
      </c>
      <c r="G202" s="241" t="str">
        <f>INDEX('VDSM MAPPING'!F:F,MATCH($D202,'VDSM MAPPING'!$A:$A,0))</f>
        <v>C&amp;I Prescriptive</v>
      </c>
      <c r="H202" s="241" t="str">
        <f>INDEX('VDSM MAPPING'!G:G,MATCH($D202,'VDSM MAPPING'!$A:$A,0))</f>
        <v>Lighting</v>
      </c>
      <c r="I202" s="241" t="str">
        <f>INDEX('VDSM MAPPING'!H:H,MATCH($D202,'VDSM MAPPING'!$A:$A,0))</f>
        <v>LED Parking Garage/Canopy (≥75W)</v>
      </c>
      <c r="J202" s="240">
        <f t="shared" si="44"/>
        <v>-2.8558806667419399</v>
      </c>
      <c r="K202" s="240">
        <f t="shared" si="45"/>
        <v>-4.8057188404622845E-3</v>
      </c>
      <c r="L202" s="240" t="b">
        <f t="shared" si="46"/>
        <v>1</v>
      </c>
      <c r="M202" s="240" t="b">
        <f t="shared" si="47"/>
        <v>0</v>
      </c>
      <c r="N202" s="204" t="s">
        <v>289</v>
      </c>
      <c r="O202" s="204" t="s">
        <v>2398</v>
      </c>
      <c r="P202" s="350">
        <v>0</v>
      </c>
      <c r="Q202" s="204" t="s">
        <v>2398</v>
      </c>
      <c r="R202" s="204" t="s">
        <v>2397</v>
      </c>
      <c r="S202" s="204" t="s">
        <v>2396</v>
      </c>
      <c r="T202" s="204" t="s">
        <v>2396</v>
      </c>
      <c r="U202" s="204" t="s">
        <v>2396</v>
      </c>
      <c r="V202" s="204" t="s">
        <v>2395</v>
      </c>
      <c r="W202" s="204" t="s">
        <v>568</v>
      </c>
      <c r="X202" s="204" t="s">
        <v>297</v>
      </c>
      <c r="Y202" s="204" t="s">
        <v>567</v>
      </c>
      <c r="Z202" s="204" t="s">
        <v>2211</v>
      </c>
      <c r="AA202" s="204" t="s">
        <v>2210</v>
      </c>
      <c r="AB202" s="204" t="s">
        <v>298</v>
      </c>
      <c r="AC202" s="204" t="s">
        <v>297</v>
      </c>
      <c r="AD202" s="204" t="s">
        <v>296</v>
      </c>
      <c r="AE202" s="204" t="s">
        <v>2209</v>
      </c>
      <c r="AF202" s="204" t="s">
        <v>2208</v>
      </c>
      <c r="AG202" s="204" t="s">
        <v>2129</v>
      </c>
      <c r="AH202" s="204" t="s">
        <v>2139</v>
      </c>
      <c r="AI202" s="204" t="s">
        <v>2373</v>
      </c>
      <c r="AJ202" s="204" t="s">
        <v>2126</v>
      </c>
      <c r="AX202" s="204">
        <v>1</v>
      </c>
      <c r="AY202" s="204">
        <v>0</v>
      </c>
      <c r="AZ202" s="204">
        <v>7.7489000000000002E-2</v>
      </c>
      <c r="BB202" s="204">
        <v>711.48</v>
      </c>
      <c r="BH202" s="204">
        <v>0</v>
      </c>
      <c r="BI202" s="204">
        <v>100</v>
      </c>
      <c r="BJ202" s="204">
        <v>42796</v>
      </c>
      <c r="BK202" s="204">
        <v>42796.784825659699</v>
      </c>
      <c r="BL202" s="204" t="s">
        <v>293</v>
      </c>
      <c r="BM202" s="204" t="s">
        <v>2399</v>
      </c>
      <c r="BN202" s="269">
        <f t="shared" si="48"/>
        <v>711.48</v>
      </c>
      <c r="BO202" s="269">
        <f t="shared" si="49"/>
        <v>100</v>
      </c>
      <c r="BP202" s="269">
        <f>INDEX('App Data Outliers'!$M:$M,MATCH($E202,'App Data Outliers'!$A:$A,0))</f>
        <v>1175.7261559139786</v>
      </c>
      <c r="BQ202" s="269">
        <f>INDEX('App Data Outliers'!$N:$N,MATCH($E202,'App Data Outliers'!$A:$A,0))</f>
        <v>162.55796725694501</v>
      </c>
      <c r="BR202" s="269">
        <f>INDEX('App Data Outliers'!$S:$S,MATCH($E202,'App Data Outliers'!$A:$A,0))</f>
        <v>100.15639784946237</v>
      </c>
      <c r="BS202" s="269">
        <f>INDEX('App Data Outliers'!$T:$T,MATCH($E202,'App Data Outliers'!$A:$A,0))</f>
        <v>32.544111433560438</v>
      </c>
    </row>
    <row r="203" spans="1:71" s="204" customFormat="1" hidden="1">
      <c r="A203" s="241">
        <v>140</v>
      </c>
      <c r="B203" s="241" t="str">
        <f t="shared" si="40"/>
        <v>Non-Residential - BHPSD - C/I Prescriptive Rebate</v>
      </c>
      <c r="C203" s="241" t="b">
        <f t="shared" si="41"/>
        <v>1</v>
      </c>
      <c r="D203" s="241" t="str">
        <f t="shared" si="42"/>
        <v>Non-Residential - BHPSD - C/I Prescriptive Rebate_C&amp;I Prescriptive Rebate :- C&amp;I Lighting :- Customer Incentives_LED Fixtures Exterior &amp; Garage - 25W to 60W</v>
      </c>
      <c r="E203" s="241" t="str">
        <f t="shared" si="43"/>
        <v>C&amp;I_C&amp;I Prescriptive_Lighting_LED Parking Garage/Canopy (30-75W)</v>
      </c>
      <c r="F203" s="241" t="str">
        <f>INDEX('VDSM MAPPING'!E:E,MATCH($D203,'VDSM MAPPING'!$A:$A,0))</f>
        <v>C&amp;I</v>
      </c>
      <c r="G203" s="241" t="str">
        <f>INDEX('VDSM MAPPING'!F:F,MATCH($D203,'VDSM MAPPING'!$A:$A,0))</f>
        <v>C&amp;I Prescriptive</v>
      </c>
      <c r="H203" s="241" t="str">
        <f>INDEX('VDSM MAPPING'!G:G,MATCH($D203,'VDSM MAPPING'!$A:$A,0))</f>
        <v>Lighting</v>
      </c>
      <c r="I203" s="241" t="str">
        <f>INDEX('VDSM MAPPING'!H:H,MATCH($D203,'VDSM MAPPING'!$A:$A,0))</f>
        <v>LED Parking Garage/Canopy (30-75W)</v>
      </c>
      <c r="J203" s="240">
        <f t="shared" si="44"/>
        <v>-1.5999443105533322</v>
      </c>
      <c r="K203" s="240">
        <f t="shared" si="45"/>
        <v>0.74402665660424805</v>
      </c>
      <c r="L203" s="240" t="b">
        <f t="shared" si="46"/>
        <v>0</v>
      </c>
      <c r="M203" s="240" t="b">
        <f t="shared" si="47"/>
        <v>0</v>
      </c>
      <c r="N203" s="204" t="s">
        <v>289</v>
      </c>
      <c r="O203" s="204" t="s">
        <v>2398</v>
      </c>
      <c r="P203" s="350">
        <v>0</v>
      </c>
      <c r="Q203" s="204" t="s">
        <v>2398</v>
      </c>
      <c r="R203" s="204" t="s">
        <v>2397</v>
      </c>
      <c r="S203" s="204" t="s">
        <v>2396</v>
      </c>
      <c r="T203" s="204" t="s">
        <v>2396</v>
      </c>
      <c r="U203" s="204" t="s">
        <v>2396</v>
      </c>
      <c r="V203" s="204" t="s">
        <v>2395</v>
      </c>
      <c r="W203" s="204" t="s">
        <v>568</v>
      </c>
      <c r="X203" s="204" t="s">
        <v>297</v>
      </c>
      <c r="Y203" s="204" t="s">
        <v>567</v>
      </c>
      <c r="Z203" s="204" t="s">
        <v>2211</v>
      </c>
      <c r="AA203" s="204" t="s">
        <v>2210</v>
      </c>
      <c r="AB203" s="204" t="s">
        <v>298</v>
      </c>
      <c r="AC203" s="204" t="s">
        <v>297</v>
      </c>
      <c r="AD203" s="204" t="s">
        <v>296</v>
      </c>
      <c r="AE203" s="204" t="s">
        <v>2209</v>
      </c>
      <c r="AF203" s="204" t="s">
        <v>2208</v>
      </c>
      <c r="AG203" s="204" t="s">
        <v>2129</v>
      </c>
      <c r="AH203" s="204" t="s">
        <v>2145</v>
      </c>
      <c r="AI203" s="204" t="s">
        <v>2373</v>
      </c>
      <c r="AJ203" s="204" t="s">
        <v>2126</v>
      </c>
      <c r="AX203" s="204">
        <v>4</v>
      </c>
      <c r="AY203" s="204">
        <v>0</v>
      </c>
      <c r="AZ203" s="204">
        <v>0.165243</v>
      </c>
      <c r="BB203" s="242">
        <v>1517.204</v>
      </c>
      <c r="BH203" s="204">
        <v>0</v>
      </c>
      <c r="BI203" s="204">
        <v>300</v>
      </c>
      <c r="BJ203" s="204">
        <v>42796</v>
      </c>
      <c r="BK203" s="204">
        <v>42796.784825659699</v>
      </c>
      <c r="BL203" s="204" t="s">
        <v>293</v>
      </c>
      <c r="BM203" s="204" t="s">
        <v>2394</v>
      </c>
      <c r="BN203" s="243">
        <f t="shared" si="48"/>
        <v>379.30099999999999</v>
      </c>
      <c r="BO203" s="243">
        <f t="shared" si="49"/>
        <v>75</v>
      </c>
      <c r="BP203" s="242">
        <f>INDEX('App Data Outliers'!$M:$M,MATCH($E203,'App Data Outliers'!$A:$A,0))</f>
        <v>540.38278358208959</v>
      </c>
      <c r="BQ203" s="242">
        <f>INDEX('App Data Outliers'!$N:$N,MATCH($E203,'App Data Outliers'!$A:$A,0))</f>
        <v>100.67961898397597</v>
      </c>
      <c r="BR203" s="242">
        <f>INDEX('App Data Outliers'!$S:$S,MATCH($E203,'App Data Outliers'!$A:$A,0))</f>
        <v>63.736940298507463</v>
      </c>
      <c r="BS203" s="242">
        <f>INDEX('App Data Outliers'!$T:$T,MATCH($E203,'App Data Outliers'!$A:$A,0))</f>
        <v>15.137978729011348</v>
      </c>
    </row>
    <row r="204" spans="1:71" s="204" customFormat="1" hidden="1">
      <c r="A204" s="241">
        <v>203</v>
      </c>
      <c r="B204" s="241" t="str">
        <f t="shared" si="40"/>
        <v>Non-Residential - BHPSD - C/I Prescriptive Rebate</v>
      </c>
      <c r="C204" s="241" t="b">
        <f t="shared" si="41"/>
        <v>1</v>
      </c>
      <c r="D204" s="241" t="str">
        <f t="shared" si="42"/>
        <v>Non-Residential - BHPSD - C/I Prescriptive Rebate_C&amp;I Prescriptive Rebate :- C&amp;I Lighting :- Customer Incentives_LED Replacement for T8 Linear Fluorescent Lamps - 4 ft or less</v>
      </c>
      <c r="E204" s="241" t="str">
        <f t="shared" si="43"/>
        <v>C&amp;I_C&amp;I Prescriptive_Lighting_LED Linear Replacement Lamp (≤4ft)</v>
      </c>
      <c r="F204" s="241" t="str">
        <f>INDEX('VDSM MAPPING'!E:E,MATCH($D204,'VDSM MAPPING'!$A:$A,0))</f>
        <v>C&amp;I</v>
      </c>
      <c r="G204" s="241" t="str">
        <f>INDEX('VDSM MAPPING'!F:F,MATCH($D204,'VDSM MAPPING'!$A:$A,0))</f>
        <v>C&amp;I Prescriptive</v>
      </c>
      <c r="H204" s="241" t="str">
        <f>INDEX('VDSM MAPPING'!G:G,MATCH($D204,'VDSM MAPPING'!$A:$A,0))</f>
        <v>Lighting</v>
      </c>
      <c r="I204" s="241" t="str">
        <f>INDEX('VDSM MAPPING'!H:H,MATCH($D204,'VDSM MAPPING'!$A:$A,0))</f>
        <v>LED Linear Replacement Lamp (≤4ft)</v>
      </c>
      <c r="J204" s="240">
        <f t="shared" si="44"/>
        <v>-1.2224527768992919</v>
      </c>
      <c r="K204" s="240">
        <f t="shared" si="45"/>
        <v>-0.60626339097590731</v>
      </c>
      <c r="L204" s="240" t="b">
        <f t="shared" si="46"/>
        <v>0</v>
      </c>
      <c r="M204" s="240" t="b">
        <f t="shared" si="47"/>
        <v>0</v>
      </c>
      <c r="N204" s="204" t="s">
        <v>289</v>
      </c>
      <c r="O204" s="204" t="s">
        <v>2398</v>
      </c>
      <c r="P204" s="350">
        <v>0</v>
      </c>
      <c r="Q204" s="204" t="s">
        <v>2398</v>
      </c>
      <c r="R204" s="204" t="s">
        <v>2397</v>
      </c>
      <c r="S204" s="204" t="s">
        <v>2396</v>
      </c>
      <c r="T204" s="204" t="s">
        <v>2396</v>
      </c>
      <c r="U204" s="204" t="s">
        <v>2396</v>
      </c>
      <c r="V204" s="204" t="s">
        <v>2395</v>
      </c>
      <c r="W204" s="204" t="s">
        <v>568</v>
      </c>
      <c r="X204" s="204" t="s">
        <v>297</v>
      </c>
      <c r="Y204" s="204" t="s">
        <v>567</v>
      </c>
      <c r="Z204" s="204" t="s">
        <v>2211</v>
      </c>
      <c r="AA204" s="204" t="s">
        <v>2210</v>
      </c>
      <c r="AB204" s="204" t="s">
        <v>298</v>
      </c>
      <c r="AC204" s="204" t="s">
        <v>297</v>
      </c>
      <c r="AD204" s="204" t="s">
        <v>296</v>
      </c>
      <c r="AE204" s="204" t="s">
        <v>2209</v>
      </c>
      <c r="AF204" s="204" t="s">
        <v>2208</v>
      </c>
      <c r="AG204" s="204" t="s">
        <v>2129</v>
      </c>
      <c r="AH204" s="204" t="s">
        <v>2173</v>
      </c>
      <c r="AI204" s="204" t="s">
        <v>2373</v>
      </c>
      <c r="AJ204" s="204" t="s">
        <v>2126</v>
      </c>
      <c r="AX204" s="204">
        <v>100</v>
      </c>
      <c r="AY204" s="204">
        <v>0</v>
      </c>
      <c r="AZ204" s="204">
        <v>0.38016</v>
      </c>
      <c r="BB204" s="242">
        <v>3490.5</v>
      </c>
      <c r="BH204" s="204">
        <v>0</v>
      </c>
      <c r="BI204" s="204">
        <v>800</v>
      </c>
      <c r="BJ204" s="204">
        <v>42796</v>
      </c>
      <c r="BK204" s="204">
        <v>42796.784825659699</v>
      </c>
      <c r="BL204" s="204" t="s">
        <v>293</v>
      </c>
      <c r="BM204" s="204" t="s">
        <v>2401</v>
      </c>
      <c r="BN204" s="243">
        <f t="shared" si="48"/>
        <v>34.905000000000001</v>
      </c>
      <c r="BO204" s="243">
        <f t="shared" si="49"/>
        <v>8</v>
      </c>
      <c r="BP204" s="242">
        <f>INDEX('App Data Outliers'!$M:$M,MATCH($E204,'App Data Outliers'!$A:$A,0))</f>
        <v>71.928403166606657</v>
      </c>
      <c r="BQ204" s="242">
        <f>INDEX('App Data Outliers'!$N:$N,MATCH($E204,'App Data Outliers'!$A:$A,0))</f>
        <v>30.28616226838243</v>
      </c>
      <c r="BR204" s="242">
        <f>INDEX('App Data Outliers'!$S:$S,MATCH($E204,'App Data Outliers'!$A:$A,0))</f>
        <v>10.421419234256929</v>
      </c>
      <c r="BS204" s="242">
        <f>INDEX('App Data Outliers'!$T:$T,MATCH($E204,'App Data Outliers'!$A:$A,0))</f>
        <v>3.9940053618595535</v>
      </c>
    </row>
    <row r="205" spans="1:71" s="204" customFormat="1" hidden="1">
      <c r="A205" s="241">
        <v>201</v>
      </c>
      <c r="B205" s="241" t="str">
        <f t="shared" si="40"/>
        <v>Non-Residential - BHPSD - C/I Prescriptive Rebate</v>
      </c>
      <c r="C205" s="241" t="b">
        <f t="shared" si="41"/>
        <v>1</v>
      </c>
      <c r="D205" s="241" t="str">
        <f t="shared" si="42"/>
        <v>Non-Residential - BHPSD - C/I Prescriptive Rebate_C&amp;I Prescriptive Rebate :- C&amp;I Lighting :- Customer Incentives_Energy Star LED Lamps - 10W or greater</v>
      </c>
      <c r="E205" s="241" t="str">
        <f t="shared" si="43"/>
        <v>C&amp;I_C&amp;I Prescriptive_Lighting_Energy Star LED Lamp (&gt;10W)</v>
      </c>
      <c r="F205" s="241" t="str">
        <f>INDEX('VDSM MAPPING'!E:E,MATCH($D205,'VDSM MAPPING'!$A:$A,0))</f>
        <v>C&amp;I</v>
      </c>
      <c r="G205" s="241" t="str">
        <f>INDEX('VDSM MAPPING'!F:F,MATCH($D205,'VDSM MAPPING'!$A:$A,0))</f>
        <v>C&amp;I Prescriptive</v>
      </c>
      <c r="H205" s="241" t="str">
        <f>INDEX('VDSM MAPPING'!G:G,MATCH($D205,'VDSM MAPPING'!$A:$A,0))</f>
        <v>Lighting</v>
      </c>
      <c r="I205" s="241" t="str">
        <f>INDEX('VDSM MAPPING'!H:H,MATCH($D205,'VDSM MAPPING'!$A:$A,0))</f>
        <v>Energy Star LED Lamp (&gt;10W)</v>
      </c>
      <c r="J205" s="240">
        <f t="shared" si="44"/>
        <v>-2.0427676957542755</v>
      </c>
      <c r="K205" s="240">
        <f t="shared" si="45"/>
        <v>1.3319094756253556</v>
      </c>
      <c r="L205" s="240" t="b">
        <f t="shared" si="46"/>
        <v>1</v>
      </c>
      <c r="M205" s="240" t="b">
        <f t="shared" si="47"/>
        <v>0</v>
      </c>
      <c r="N205" s="204" t="s">
        <v>289</v>
      </c>
      <c r="O205" s="204" t="s">
        <v>2398</v>
      </c>
      <c r="P205" s="350">
        <v>0</v>
      </c>
      <c r="Q205" s="204" t="s">
        <v>2398</v>
      </c>
      <c r="R205" s="204" t="s">
        <v>2397</v>
      </c>
      <c r="S205" s="204" t="s">
        <v>2396</v>
      </c>
      <c r="T205" s="204" t="s">
        <v>2396</v>
      </c>
      <c r="U205" s="204" t="s">
        <v>2396</v>
      </c>
      <c r="V205" s="204" t="s">
        <v>2395</v>
      </c>
      <c r="W205" s="204" t="s">
        <v>568</v>
      </c>
      <c r="X205" s="204" t="s">
        <v>297</v>
      </c>
      <c r="Y205" s="204" t="s">
        <v>567</v>
      </c>
      <c r="Z205" s="204" t="s">
        <v>2211</v>
      </c>
      <c r="AA205" s="204" t="s">
        <v>2210</v>
      </c>
      <c r="AB205" s="204" t="s">
        <v>298</v>
      </c>
      <c r="AC205" s="204" t="s">
        <v>297</v>
      </c>
      <c r="AD205" s="204" t="s">
        <v>296</v>
      </c>
      <c r="AE205" s="204" t="s">
        <v>2209</v>
      </c>
      <c r="AF205" s="204" t="s">
        <v>2208</v>
      </c>
      <c r="AG205" s="204" t="s">
        <v>2129</v>
      </c>
      <c r="AH205" s="204" t="s">
        <v>2166</v>
      </c>
      <c r="AI205" s="204" t="s">
        <v>2373</v>
      </c>
      <c r="AJ205" s="204" t="s">
        <v>2126</v>
      </c>
      <c r="AX205" s="204">
        <v>28</v>
      </c>
      <c r="AY205" s="204">
        <v>0</v>
      </c>
      <c r="AZ205" s="204">
        <v>0.33707500000000001</v>
      </c>
      <c r="BB205" s="204">
        <v>3094.924</v>
      </c>
      <c r="BH205" s="204">
        <v>0</v>
      </c>
      <c r="BI205" s="204">
        <v>350</v>
      </c>
      <c r="BJ205" s="204">
        <v>42796</v>
      </c>
      <c r="BK205" s="204">
        <v>42796.784825659699</v>
      </c>
      <c r="BL205" s="204" t="s">
        <v>293</v>
      </c>
      <c r="BM205" s="204" t="s">
        <v>2400</v>
      </c>
      <c r="BN205" s="269">
        <f t="shared" si="48"/>
        <v>110.533</v>
      </c>
      <c r="BO205" s="269">
        <f t="shared" si="49"/>
        <v>12.5</v>
      </c>
      <c r="BP205" s="269">
        <f>INDEX('App Data Outliers'!$M:$M,MATCH($E205,'App Data Outliers'!$A:$A,0))</f>
        <v>183.5885054112554</v>
      </c>
      <c r="BQ205" s="269">
        <f>INDEX('App Data Outliers'!$N:$N,MATCH($E205,'App Data Outliers'!$A:$A,0))</f>
        <v>35.763002108901198</v>
      </c>
      <c r="BR205" s="269">
        <f>INDEX('App Data Outliers'!$S:$S,MATCH($E205,'App Data Outliers'!$A:$A,0))</f>
        <v>9.5846103896103898</v>
      </c>
      <c r="BS205" s="269">
        <f>INDEX('App Data Outliers'!$T:$T,MATCH($E205,'App Data Outliers'!$A:$A,0))</f>
        <v>2.1888796977142775</v>
      </c>
    </row>
    <row r="206" spans="1:71" s="204" customFormat="1" hidden="1">
      <c r="A206" s="241">
        <v>202</v>
      </c>
      <c r="B206" s="241" t="str">
        <f t="shared" si="40"/>
        <v>Non-Residential - BHPSD - C/I Prescriptive Rebate</v>
      </c>
      <c r="C206" s="241" t="b">
        <f t="shared" si="41"/>
        <v>1</v>
      </c>
      <c r="D206" s="241" t="str">
        <f t="shared" si="42"/>
        <v>Non-Residential - BHPSD - C/I Prescriptive Rebate_C&amp;I Prescriptive Rebate :- C&amp;I Lighting :- Customer Incentives_LED Fixtures Exterior &amp; Garage - 25W to 60W</v>
      </c>
      <c r="E206" s="241" t="str">
        <f t="shared" si="43"/>
        <v>C&amp;I_C&amp;I Prescriptive_Lighting_LED Parking Garage/Canopy (30-75W)</v>
      </c>
      <c r="F206" s="241" t="str">
        <f>INDEX('VDSM MAPPING'!E:E,MATCH($D206,'VDSM MAPPING'!$A:$A,0))</f>
        <v>C&amp;I</v>
      </c>
      <c r="G206" s="241" t="str">
        <f>INDEX('VDSM MAPPING'!F:F,MATCH($D206,'VDSM MAPPING'!$A:$A,0))</f>
        <v>C&amp;I Prescriptive</v>
      </c>
      <c r="H206" s="241" t="str">
        <f>INDEX('VDSM MAPPING'!G:G,MATCH($D206,'VDSM MAPPING'!$A:$A,0))</f>
        <v>Lighting</v>
      </c>
      <c r="I206" s="241" t="str">
        <f>INDEX('VDSM MAPPING'!H:H,MATCH($D206,'VDSM MAPPING'!$A:$A,0))</f>
        <v>LED Parking Garage/Canopy (30-75W)</v>
      </c>
      <c r="J206" s="240">
        <f t="shared" si="44"/>
        <v>-7.9239829286255527E-3</v>
      </c>
      <c r="K206" s="240">
        <f t="shared" si="45"/>
        <v>0.74402665660424805</v>
      </c>
      <c r="L206" s="240" t="b">
        <f t="shared" si="46"/>
        <v>0</v>
      </c>
      <c r="M206" s="240" t="b">
        <f t="shared" si="47"/>
        <v>0</v>
      </c>
      <c r="N206" s="204" t="s">
        <v>289</v>
      </c>
      <c r="O206" s="204" t="s">
        <v>2393</v>
      </c>
      <c r="P206" s="350">
        <v>1</v>
      </c>
      <c r="Q206" s="204" t="s">
        <v>2393</v>
      </c>
      <c r="R206" s="204" t="s">
        <v>2392</v>
      </c>
      <c r="S206" s="204" t="s">
        <v>2391</v>
      </c>
      <c r="T206" s="204" t="s">
        <v>2391</v>
      </c>
      <c r="U206" s="204" t="s">
        <v>2391</v>
      </c>
      <c r="V206" s="204" t="s">
        <v>2390</v>
      </c>
      <c r="W206" s="204" t="s">
        <v>329</v>
      </c>
      <c r="X206" s="204" t="s">
        <v>297</v>
      </c>
      <c r="Y206" s="204" t="s">
        <v>397</v>
      </c>
      <c r="Z206" s="204" t="s">
        <v>2389</v>
      </c>
      <c r="AA206" s="204" t="s">
        <v>2388</v>
      </c>
      <c r="AB206" s="204" t="s">
        <v>329</v>
      </c>
      <c r="AC206" s="204" t="s">
        <v>297</v>
      </c>
      <c r="AD206" s="204" t="s">
        <v>397</v>
      </c>
      <c r="AE206" s="204" t="s">
        <v>2387</v>
      </c>
      <c r="AF206" s="204" t="s">
        <v>2386</v>
      </c>
      <c r="AG206" s="204" t="s">
        <v>2129</v>
      </c>
      <c r="AH206" s="204" t="s">
        <v>2145</v>
      </c>
      <c r="AI206" s="204" t="s">
        <v>2202</v>
      </c>
      <c r="AJ206" s="204" t="s">
        <v>2126</v>
      </c>
      <c r="AX206" s="204">
        <v>5</v>
      </c>
      <c r="AY206" s="204">
        <v>0</v>
      </c>
      <c r="AZ206" s="204">
        <v>0.60675100000000004</v>
      </c>
      <c r="BB206" s="204">
        <v>2697.9250000000002</v>
      </c>
      <c r="BH206" s="204">
        <v>0</v>
      </c>
      <c r="BI206" s="204">
        <v>375</v>
      </c>
      <c r="BJ206" s="204">
        <v>42797</v>
      </c>
      <c r="BK206" s="204">
        <v>42797.695157523201</v>
      </c>
      <c r="BL206" s="204" t="s">
        <v>293</v>
      </c>
      <c r="BM206" s="204" t="s">
        <v>2385</v>
      </c>
      <c r="BN206" s="269">
        <f t="shared" si="48"/>
        <v>539.58500000000004</v>
      </c>
      <c r="BO206" s="269">
        <f t="shared" si="49"/>
        <v>75</v>
      </c>
      <c r="BP206" s="269">
        <f>INDEX('App Data Outliers'!$M:$M,MATCH($E206,'App Data Outliers'!$A:$A,0))</f>
        <v>540.38278358208959</v>
      </c>
      <c r="BQ206" s="269">
        <f>INDEX('App Data Outliers'!$N:$N,MATCH($E206,'App Data Outliers'!$A:$A,0))</f>
        <v>100.67961898397597</v>
      </c>
      <c r="BR206" s="269">
        <f>INDEX('App Data Outliers'!$S:$S,MATCH($E206,'App Data Outliers'!$A:$A,0))</f>
        <v>63.736940298507463</v>
      </c>
      <c r="BS206" s="269">
        <f>INDEX('App Data Outliers'!$T:$T,MATCH($E206,'App Data Outliers'!$A:$A,0))</f>
        <v>15.137978729011348</v>
      </c>
    </row>
    <row r="207" spans="1:71" s="204" customFormat="1" hidden="1">
      <c r="A207" s="241">
        <v>195</v>
      </c>
      <c r="B207" s="241" t="str">
        <f t="shared" si="40"/>
        <v>Non-Residential - BHPSD - C/I Prescriptive Rebate</v>
      </c>
      <c r="C207" s="241" t="b">
        <f t="shared" si="41"/>
        <v>1</v>
      </c>
      <c r="D207" s="241" t="str">
        <f t="shared" si="42"/>
        <v>Non-Residential - BHPSD - C/I Prescriptive Rebate_C&amp;I Prescriptive Rebate :- C&amp;I Lighting :- Customer Incentives_LED Replacement for T12 Linear Fluorescent Lamps - 4 ft or less</v>
      </c>
      <c r="E207" s="241" t="str">
        <f t="shared" si="43"/>
        <v>C&amp;I_C&amp;I Prescriptive_Lighting_LED Linear Replacement Lamp (≤4ft)</v>
      </c>
      <c r="F207" s="241" t="str">
        <f>INDEX('VDSM MAPPING'!E:E,MATCH($D207,'VDSM MAPPING'!$A:$A,0))</f>
        <v>C&amp;I</v>
      </c>
      <c r="G207" s="241" t="str">
        <f>INDEX('VDSM MAPPING'!F:F,MATCH($D207,'VDSM MAPPING'!$A:$A,0))</f>
        <v>C&amp;I Prescriptive</v>
      </c>
      <c r="H207" s="241" t="str">
        <f>INDEX('VDSM MAPPING'!G:G,MATCH($D207,'VDSM MAPPING'!$A:$A,0))</f>
        <v>Lighting</v>
      </c>
      <c r="I207" s="241" t="str">
        <f>INDEX('VDSM MAPPING'!H:H,MATCH($D207,'VDSM MAPPING'!$A:$A,0))</f>
        <v>LED Linear Replacement Lamp (≤4ft)</v>
      </c>
      <c r="J207" s="240">
        <f t="shared" si="44"/>
        <v>2.780860648076148</v>
      </c>
      <c r="K207" s="240">
        <f t="shared" si="45"/>
        <v>-0.10029762054961784</v>
      </c>
      <c r="L207" s="240" t="b">
        <f t="shared" si="46"/>
        <v>1</v>
      </c>
      <c r="M207" s="240" t="b">
        <f t="shared" si="47"/>
        <v>0</v>
      </c>
      <c r="N207" s="204" t="s">
        <v>289</v>
      </c>
      <c r="O207" s="204" t="s">
        <v>2383</v>
      </c>
      <c r="P207" s="350">
        <v>1</v>
      </c>
      <c r="Q207" s="204" t="s">
        <v>2383</v>
      </c>
      <c r="R207" s="204" t="s">
        <v>2382</v>
      </c>
      <c r="S207" s="204" t="s">
        <v>2381</v>
      </c>
      <c r="T207" s="204" t="s">
        <v>2380</v>
      </c>
      <c r="U207" s="204" t="s">
        <v>2380</v>
      </c>
      <c r="V207" s="204" t="s">
        <v>2379</v>
      </c>
      <c r="W207" s="204" t="s">
        <v>298</v>
      </c>
      <c r="X207" s="204" t="s">
        <v>297</v>
      </c>
      <c r="Y207" s="204" t="s">
        <v>296</v>
      </c>
      <c r="Z207" s="204" t="s">
        <v>601</v>
      </c>
      <c r="AA207" s="204" t="s">
        <v>600</v>
      </c>
      <c r="AB207" s="204" t="s">
        <v>329</v>
      </c>
      <c r="AC207" s="204" t="s">
        <v>297</v>
      </c>
      <c r="AD207" s="204" t="s">
        <v>599</v>
      </c>
      <c r="AE207" s="204" t="s">
        <v>598</v>
      </c>
      <c r="AG207" s="204" t="s">
        <v>2129</v>
      </c>
      <c r="AH207" s="204" t="s">
        <v>2147</v>
      </c>
      <c r="AI207" s="204" t="s">
        <v>2378</v>
      </c>
      <c r="AJ207" s="204" t="s">
        <v>2126</v>
      </c>
      <c r="AX207" s="204">
        <v>24</v>
      </c>
      <c r="AY207" s="204">
        <v>0</v>
      </c>
      <c r="AZ207" s="204">
        <v>0.61286399999999996</v>
      </c>
      <c r="BB207" s="242">
        <v>3747.6</v>
      </c>
      <c r="BH207" s="204">
        <v>0</v>
      </c>
      <c r="BI207" s="204">
        <v>240.49992</v>
      </c>
      <c r="BJ207" s="204">
        <v>42801</v>
      </c>
      <c r="BK207" s="204">
        <v>42801.629139780103</v>
      </c>
      <c r="BL207" s="204" t="s">
        <v>293</v>
      </c>
      <c r="BM207" s="204" t="s">
        <v>2384</v>
      </c>
      <c r="BN207" s="243">
        <f t="shared" si="48"/>
        <v>156.15</v>
      </c>
      <c r="BO207" s="243">
        <f t="shared" si="49"/>
        <v>10.02083</v>
      </c>
      <c r="BP207" s="242">
        <f>INDEX('App Data Outliers'!$M:$M,MATCH($E207,'App Data Outliers'!$A:$A,0))</f>
        <v>71.928403166606657</v>
      </c>
      <c r="BQ207" s="242">
        <f>INDEX('App Data Outliers'!$N:$N,MATCH($E207,'App Data Outliers'!$A:$A,0))</f>
        <v>30.28616226838243</v>
      </c>
      <c r="BR207" s="242">
        <f>INDEX('App Data Outliers'!$S:$S,MATCH($E207,'App Data Outliers'!$A:$A,0))</f>
        <v>10.421419234256929</v>
      </c>
      <c r="BS207" s="242">
        <f>INDEX('App Data Outliers'!$T:$T,MATCH($E207,'App Data Outliers'!$A:$A,0))</f>
        <v>3.9940053618595535</v>
      </c>
    </row>
    <row r="208" spans="1:71" s="204" customFormat="1" hidden="1">
      <c r="A208" s="241">
        <v>204</v>
      </c>
      <c r="B208" s="241" t="str">
        <f t="shared" si="40"/>
        <v>Non-Residential - BHPSD - C/I Prescriptive Rebate</v>
      </c>
      <c r="C208" s="241" t="b">
        <f t="shared" si="41"/>
        <v>1</v>
      </c>
      <c r="D208" s="241" t="str">
        <f t="shared" si="42"/>
        <v>Non-Residential - BHPSD - C/I Prescriptive Rebate_C&amp;I Prescriptive Rebate :- C&amp;I Lighting :- Customer Incentives_Energy Star LED Lamps - 5W to 10W</v>
      </c>
      <c r="E208" s="241" t="str">
        <f t="shared" ref="E208:E209" si="50">IFERROR(F208&amp;"_"&amp;G208&amp;"_"&amp;H208&amp;"_"&amp;I208,0)</f>
        <v>C&amp;I_C&amp;I Prescriptive_Lighting_Energy Star LED Lamp (5-10W)</v>
      </c>
      <c r="F208" s="241" t="str">
        <f>INDEX('VDSM MAPPING'!E:E,MATCH($D208,'VDSM MAPPING'!$A:$A,0))</f>
        <v>C&amp;I</v>
      </c>
      <c r="G208" s="241" t="str">
        <f>INDEX('VDSM MAPPING'!F:F,MATCH($D208,'VDSM MAPPING'!$A:$A,0))</f>
        <v>C&amp;I Prescriptive</v>
      </c>
      <c r="H208" s="241" t="str">
        <f>INDEX('VDSM MAPPING'!G:G,MATCH($D208,'VDSM MAPPING'!$A:$A,0))</f>
        <v>Lighting</v>
      </c>
      <c r="I208" s="241" t="str">
        <f>INDEX('VDSM MAPPING'!H:H,MATCH($D208,'VDSM MAPPING'!$A:$A,0))</f>
        <v>Energy Star LED Lamp (5-10W)</v>
      </c>
      <c r="J208" s="240">
        <f t="shared" si="44"/>
        <v>1.3911399448918909</v>
      </c>
      <c r="K208" s="240">
        <f t="shared" si="45"/>
        <v>0.12403876701331371</v>
      </c>
      <c r="L208" s="240" t="b">
        <f t="shared" si="46"/>
        <v>0</v>
      </c>
      <c r="M208" s="240" t="b">
        <f t="shared" si="47"/>
        <v>0</v>
      </c>
      <c r="N208" s="204" t="s">
        <v>289</v>
      </c>
      <c r="O208" s="204" t="s">
        <v>2383</v>
      </c>
      <c r="P208" s="350">
        <v>0</v>
      </c>
      <c r="Q208" s="204" t="s">
        <v>2383</v>
      </c>
      <c r="R208" s="204" t="s">
        <v>2382</v>
      </c>
      <c r="S208" s="204" t="s">
        <v>2381</v>
      </c>
      <c r="T208" s="204" t="s">
        <v>2380</v>
      </c>
      <c r="U208" s="204" t="s">
        <v>2380</v>
      </c>
      <c r="V208" s="204" t="s">
        <v>2379</v>
      </c>
      <c r="W208" s="204" t="s">
        <v>298</v>
      </c>
      <c r="X208" s="204" t="s">
        <v>297</v>
      </c>
      <c r="Y208" s="204" t="s">
        <v>296</v>
      </c>
      <c r="Z208" s="204" t="s">
        <v>601</v>
      </c>
      <c r="AA208" s="204" t="s">
        <v>600</v>
      </c>
      <c r="AB208" s="204" t="s">
        <v>329</v>
      </c>
      <c r="AC208" s="204" t="s">
        <v>297</v>
      </c>
      <c r="AD208" s="204" t="s">
        <v>599</v>
      </c>
      <c r="AE208" s="204" t="s">
        <v>598</v>
      </c>
      <c r="AG208" s="204" t="s">
        <v>2129</v>
      </c>
      <c r="AH208" s="204" t="s">
        <v>2128</v>
      </c>
      <c r="AI208" s="204" t="s">
        <v>2378</v>
      </c>
      <c r="AJ208" s="204" t="s">
        <v>2126</v>
      </c>
      <c r="AX208" s="204">
        <v>56</v>
      </c>
      <c r="AY208" s="204">
        <v>0</v>
      </c>
      <c r="AZ208" s="204">
        <v>1.430016</v>
      </c>
      <c r="BB208" s="204">
        <v>8744.4</v>
      </c>
      <c r="BH208" s="204">
        <v>0</v>
      </c>
      <c r="BI208" s="204">
        <v>287.50008000000003</v>
      </c>
      <c r="BJ208" s="204">
        <v>42801</v>
      </c>
      <c r="BK208" s="204">
        <v>42801.629139780103</v>
      </c>
      <c r="BL208" s="204" t="s">
        <v>293</v>
      </c>
      <c r="BM208" s="204" t="s">
        <v>2377</v>
      </c>
      <c r="BN208" s="269">
        <f t="shared" si="48"/>
        <v>156.15</v>
      </c>
      <c r="BO208" s="269">
        <f t="shared" si="49"/>
        <v>5.1339300000000003</v>
      </c>
      <c r="BP208" s="269">
        <f>INDEX('App Data Outliers'!$M:$M,MATCH($E208,'App Data Outliers'!$A:$A,0))</f>
        <v>124.22266552020636</v>
      </c>
      <c r="BQ208" s="269">
        <f>INDEX('App Data Outliers'!$N:$N,MATCH($E208,'App Data Outliers'!$A:$A,0))</f>
        <v>22.950483592270654</v>
      </c>
      <c r="BR208" s="269">
        <f>INDEX('App Data Outliers'!$S:$S,MATCH($E208,'App Data Outliers'!$A:$A,0))</f>
        <v>4.8732072914875317</v>
      </c>
      <c r="BS208" s="269">
        <f>INDEX('App Data Outliers'!$T:$T,MATCH($E208,'App Data Outliers'!$A:$A,0))</f>
        <v>2.1019453416888925</v>
      </c>
    </row>
    <row r="209" spans="1:71" s="204" customFormat="1" hidden="1">
      <c r="A209" s="241">
        <v>200</v>
      </c>
      <c r="B209" s="241" t="str">
        <f t="shared" si="40"/>
        <v>Non-Residential - BHPSD - C/I Prescriptive Rebate</v>
      </c>
      <c r="C209" s="241" t="b">
        <f t="shared" si="41"/>
        <v>1</v>
      </c>
      <c r="D209" s="241" t="str">
        <f t="shared" si="42"/>
        <v>Non-Residential - BHPSD - C/I Prescriptive Rebate_C&amp;I Prescriptive Rebate :- C&amp;I Lighting :- Customer Incentives_Energy Star LED Lamps - 10W or greater</v>
      </c>
      <c r="E209" s="241" t="str">
        <f t="shared" si="50"/>
        <v>C&amp;I_C&amp;I Prescriptive_Lighting_Energy Star LED Lamp (&gt;10W)</v>
      </c>
      <c r="F209" s="241" t="str">
        <f>INDEX('VDSM MAPPING'!E:E,MATCH($D209,'VDSM MAPPING'!$A:$A,0))</f>
        <v>C&amp;I</v>
      </c>
      <c r="G209" s="241" t="str">
        <f>INDEX('VDSM MAPPING'!F:F,MATCH($D209,'VDSM MAPPING'!$A:$A,0))</f>
        <v>C&amp;I Prescriptive</v>
      </c>
      <c r="H209" s="241" t="str">
        <f>INDEX('VDSM MAPPING'!G:G,MATCH($D209,'VDSM MAPPING'!$A:$A,0))</f>
        <v>Lighting</v>
      </c>
      <c r="I209" s="241" t="str">
        <f>INDEX('VDSM MAPPING'!H:H,MATCH($D209,'VDSM MAPPING'!$A:$A,0))</f>
        <v>Energy Star LED Lamp (&gt;10W)</v>
      </c>
      <c r="J209" s="240">
        <f t="shared" si="44"/>
        <v>-2.042767695754276</v>
      </c>
      <c r="K209" s="240">
        <f t="shared" si="45"/>
        <v>-0.6462714196159739</v>
      </c>
      <c r="L209" s="240" t="b">
        <f t="shared" si="46"/>
        <v>1</v>
      </c>
      <c r="M209" s="240" t="b">
        <f t="shared" si="47"/>
        <v>0</v>
      </c>
      <c r="N209" s="204" t="s">
        <v>289</v>
      </c>
      <c r="O209" s="204" t="s">
        <v>2375</v>
      </c>
      <c r="P209" s="350">
        <v>1</v>
      </c>
      <c r="Q209" s="204" t="s">
        <v>2375</v>
      </c>
      <c r="R209" s="204" t="s">
        <v>660</v>
      </c>
      <c r="S209" s="204" t="s">
        <v>710</v>
      </c>
      <c r="T209" s="204" t="s">
        <v>2374</v>
      </c>
      <c r="U209" s="204" t="s">
        <v>710</v>
      </c>
      <c r="V209" s="204" t="s">
        <v>657</v>
      </c>
      <c r="W209" s="204" t="s">
        <v>531</v>
      </c>
      <c r="X209" s="204" t="s">
        <v>297</v>
      </c>
      <c r="Y209" s="204" t="s">
        <v>530</v>
      </c>
      <c r="Z209" s="204" t="s">
        <v>2340</v>
      </c>
      <c r="AA209" s="204" t="s">
        <v>2339</v>
      </c>
      <c r="AB209" s="204" t="s">
        <v>298</v>
      </c>
      <c r="AC209" s="204" t="s">
        <v>297</v>
      </c>
      <c r="AD209" s="204" t="s">
        <v>296</v>
      </c>
      <c r="AE209" s="204" t="s">
        <v>2338</v>
      </c>
      <c r="AG209" s="204" t="s">
        <v>2129</v>
      </c>
      <c r="AH209" s="204" t="s">
        <v>2166</v>
      </c>
      <c r="AI209" s="204" t="s">
        <v>2373</v>
      </c>
      <c r="AJ209" s="204" t="s">
        <v>2126</v>
      </c>
      <c r="AX209" s="204">
        <v>10</v>
      </c>
      <c r="AY209" s="204">
        <v>0</v>
      </c>
      <c r="AZ209" s="204">
        <v>0.120384</v>
      </c>
      <c r="BB209" s="242">
        <v>1105.33</v>
      </c>
      <c r="BH209" s="204">
        <v>0</v>
      </c>
      <c r="BI209" s="204">
        <v>81.7</v>
      </c>
      <c r="BJ209" s="204">
        <v>42803</v>
      </c>
      <c r="BK209" s="204">
        <v>42803.467709340301</v>
      </c>
      <c r="BL209" s="204" t="s">
        <v>293</v>
      </c>
      <c r="BM209" s="204" t="s">
        <v>2376</v>
      </c>
      <c r="BN209" s="243">
        <f t="shared" si="48"/>
        <v>110.53299999999999</v>
      </c>
      <c r="BO209" s="243">
        <f t="shared" si="49"/>
        <v>8.17</v>
      </c>
      <c r="BP209" s="242">
        <f>INDEX('App Data Outliers'!$M:$M,MATCH($E209,'App Data Outliers'!$A:$A,0))</f>
        <v>183.5885054112554</v>
      </c>
      <c r="BQ209" s="242">
        <f>INDEX('App Data Outliers'!$N:$N,MATCH($E209,'App Data Outliers'!$A:$A,0))</f>
        <v>35.763002108901198</v>
      </c>
      <c r="BR209" s="242">
        <f>INDEX('App Data Outliers'!$S:$S,MATCH($E209,'App Data Outliers'!$A:$A,0))</f>
        <v>9.5846103896103898</v>
      </c>
      <c r="BS209" s="242">
        <f>INDEX('App Data Outliers'!$T:$T,MATCH($E209,'App Data Outliers'!$A:$A,0))</f>
        <v>2.1888796977142775</v>
      </c>
    </row>
    <row r="210" spans="1:71" s="204" customFormat="1" hidden="1">
      <c r="A210" s="241">
        <v>206</v>
      </c>
      <c r="B210" s="241" t="str">
        <f t="shared" ref="B210:B260" si="51">IF(N210="",B209,N210)</f>
        <v>Non-Residential - BHPSD - C/I Prescriptive Rebate</v>
      </c>
      <c r="C210" s="241" t="b">
        <f t="shared" ref="C210:C260" si="52">(N210="")</f>
        <v>1</v>
      </c>
      <c r="D210" s="241" t="str">
        <f t="shared" ref="D210:D260" si="53">B210&amp;"_"&amp;AG210&amp;"_"&amp;AH210</f>
        <v>Non-Residential - BHPSD - C/I Prescriptive Rebate_C&amp;I Prescriptive Rebate :- C&amp;I Lighting :- Customer Incentives_LED Fixtures Exterior &amp; Garage - 25W to 60W</v>
      </c>
      <c r="E210" s="241" t="str">
        <f t="shared" ref="E210:E260" si="54">IFERROR(F210&amp;"_"&amp;G210&amp;"_"&amp;H210&amp;"_"&amp;I210,0)</f>
        <v>C&amp;I_C&amp;I Prescriptive_Lighting_LED Parking Garage/Canopy (30-75W)</v>
      </c>
      <c r="F210" s="241" t="str">
        <f>INDEX('VDSM MAPPING'!E:E,MATCH($D210,'VDSM MAPPING'!$A:$A,0))</f>
        <v>C&amp;I</v>
      </c>
      <c r="G210" s="241" t="str">
        <f>INDEX('VDSM MAPPING'!F:F,MATCH($D210,'VDSM MAPPING'!$A:$A,0))</f>
        <v>C&amp;I Prescriptive</v>
      </c>
      <c r="H210" s="241" t="str">
        <f>INDEX('VDSM MAPPING'!G:G,MATCH($D210,'VDSM MAPPING'!$A:$A,0))</f>
        <v>Lighting</v>
      </c>
      <c r="I210" s="241" t="str">
        <f>INDEX('VDSM MAPPING'!H:H,MATCH($D210,'VDSM MAPPING'!$A:$A,0))</f>
        <v>LED Parking Garage/Canopy (30-75W)</v>
      </c>
      <c r="J210" s="240">
        <f t="shared" ref="J210:J261" si="55">IFERROR(STANDARDIZE(BN210,BP210,BQ210),"")</f>
        <v>-1.5999443105533315</v>
      </c>
      <c r="K210" s="240">
        <f t="shared" ref="K210:K261" si="56">IFERROR(STANDARDIZE($BO210,$BR210,$BS210),"")</f>
        <v>0.74402665660424805</v>
      </c>
      <c r="L210" s="240" t="b">
        <f t="shared" ref="L210:L261" si="57">AND(ISNUMBER(J210),OR(J210&gt;=L$1,J210&lt;=-L$1))</f>
        <v>0</v>
      </c>
      <c r="M210" s="240" t="b">
        <f t="shared" ref="M210:M261" si="58">AND(ISNUMBER(K210),OR(K210&gt;=M$1,K210&lt;=-M$1))</f>
        <v>0</v>
      </c>
      <c r="N210" s="204" t="s">
        <v>289</v>
      </c>
      <c r="O210" s="204" t="s">
        <v>2375</v>
      </c>
      <c r="P210" s="350">
        <v>0</v>
      </c>
      <c r="Q210" s="204" t="s">
        <v>2375</v>
      </c>
      <c r="R210" s="204" t="s">
        <v>660</v>
      </c>
      <c r="S210" s="204" t="s">
        <v>710</v>
      </c>
      <c r="T210" s="204" t="s">
        <v>2374</v>
      </c>
      <c r="U210" s="204" t="s">
        <v>710</v>
      </c>
      <c r="V210" s="204" t="s">
        <v>657</v>
      </c>
      <c r="W210" s="204" t="s">
        <v>531</v>
      </c>
      <c r="X210" s="204" t="s">
        <v>297</v>
      </c>
      <c r="Y210" s="204" t="s">
        <v>530</v>
      </c>
      <c r="Z210" s="204" t="s">
        <v>2340</v>
      </c>
      <c r="AA210" s="204" t="s">
        <v>2339</v>
      </c>
      <c r="AB210" s="204" t="s">
        <v>298</v>
      </c>
      <c r="AC210" s="204" t="s">
        <v>297</v>
      </c>
      <c r="AD210" s="204" t="s">
        <v>296</v>
      </c>
      <c r="AE210" s="204" t="s">
        <v>2338</v>
      </c>
      <c r="AG210" s="204" t="s">
        <v>2129</v>
      </c>
      <c r="AH210" s="204" t="s">
        <v>2145</v>
      </c>
      <c r="AI210" s="204" t="s">
        <v>2373</v>
      </c>
      <c r="AJ210" s="204" t="s">
        <v>2126</v>
      </c>
      <c r="AX210" s="204">
        <v>37</v>
      </c>
      <c r="AY210" s="204">
        <v>0</v>
      </c>
      <c r="AZ210" s="204">
        <v>1.528497</v>
      </c>
      <c r="BB210" s="204">
        <v>14034.137000000001</v>
      </c>
      <c r="BH210" s="204">
        <v>0</v>
      </c>
      <c r="BI210" s="204">
        <v>2775</v>
      </c>
      <c r="BJ210" s="204">
        <v>42803</v>
      </c>
      <c r="BK210" s="204">
        <v>42803.467709340301</v>
      </c>
      <c r="BL210" s="204" t="s">
        <v>293</v>
      </c>
      <c r="BM210" s="204" t="s">
        <v>2372</v>
      </c>
      <c r="BN210" s="269">
        <f t="shared" ref="BN210:BN261" si="59">IFERROR(BB210/$AX210,"")</f>
        <v>379.30100000000004</v>
      </c>
      <c r="BO210" s="269">
        <f t="shared" ref="BO210:BO261" si="60">BI210/$AX210</f>
        <v>75</v>
      </c>
      <c r="BP210" s="269">
        <f>INDEX('App Data Outliers'!$M:$M,MATCH($E210,'App Data Outliers'!$A:$A,0))</f>
        <v>540.38278358208959</v>
      </c>
      <c r="BQ210" s="269">
        <f>INDEX('App Data Outliers'!$N:$N,MATCH($E210,'App Data Outliers'!$A:$A,0))</f>
        <v>100.67961898397597</v>
      </c>
      <c r="BR210" s="269">
        <f>INDEX('App Data Outliers'!$S:$S,MATCH($E210,'App Data Outliers'!$A:$A,0))</f>
        <v>63.736940298507463</v>
      </c>
      <c r="BS210" s="269">
        <f>INDEX('App Data Outliers'!$T:$T,MATCH($E210,'App Data Outliers'!$A:$A,0))</f>
        <v>15.137978729011348</v>
      </c>
    </row>
    <row r="211" spans="1:71" s="204" customFormat="1" hidden="1">
      <c r="A211" s="241">
        <v>207</v>
      </c>
      <c r="B211" s="241" t="str">
        <f t="shared" si="51"/>
        <v>Non-Residential - BHPSD - C/I Prescriptive Rebate</v>
      </c>
      <c r="C211" s="241" t="b">
        <f t="shared" si="52"/>
        <v>1</v>
      </c>
      <c r="D211" s="241" t="str">
        <f t="shared" si="53"/>
        <v>Non-Residential - BHPSD - C/I Prescriptive Rebate_C&amp;I Prescriptive Rebate :- C&amp;I Lighting :- Customer Incentives_LED Replacement for T12 Linear Fluorescent Lamps - 4 ft or less</v>
      </c>
      <c r="E211" s="241" t="str">
        <f t="shared" si="54"/>
        <v>C&amp;I_C&amp;I Prescriptive_Lighting_LED Linear Replacement Lamp (≤4ft)</v>
      </c>
      <c r="F211" s="241" t="str">
        <f>INDEX('VDSM MAPPING'!E:E,MATCH($D211,'VDSM MAPPING'!$A:$A,0))</f>
        <v>C&amp;I</v>
      </c>
      <c r="G211" s="241" t="str">
        <f>INDEX('VDSM MAPPING'!F:F,MATCH($D211,'VDSM MAPPING'!$A:$A,0))</f>
        <v>C&amp;I Prescriptive</v>
      </c>
      <c r="H211" s="241" t="str">
        <f>INDEX('VDSM MAPPING'!G:G,MATCH($D211,'VDSM MAPPING'!$A:$A,0))</f>
        <v>Lighting</v>
      </c>
      <c r="I211" s="241" t="str">
        <f>INDEX('VDSM MAPPING'!H:H,MATCH($D211,'VDSM MAPPING'!$A:$A,0))</f>
        <v>LED Linear Replacement Lamp (≤4ft)</v>
      </c>
      <c r="J211" s="240">
        <f t="shared" si="55"/>
        <v>1.3746408826732119</v>
      </c>
      <c r="K211" s="240">
        <f t="shared" si="56"/>
        <v>1.3967384267971441</v>
      </c>
      <c r="L211" s="240" t="b">
        <f t="shared" si="57"/>
        <v>0</v>
      </c>
      <c r="M211" s="240" t="b">
        <f t="shared" si="58"/>
        <v>0</v>
      </c>
      <c r="N211" s="204" t="s">
        <v>289</v>
      </c>
      <c r="O211" s="204" t="s">
        <v>2371</v>
      </c>
      <c r="P211" s="350">
        <v>1</v>
      </c>
      <c r="Q211" s="204" t="s">
        <v>2371</v>
      </c>
      <c r="R211" s="204" t="s">
        <v>2370</v>
      </c>
      <c r="S211" s="204" t="s">
        <v>2369</v>
      </c>
      <c r="T211" s="204" t="s">
        <v>2369</v>
      </c>
      <c r="U211" s="204" t="s">
        <v>2369</v>
      </c>
      <c r="V211" s="204" t="s">
        <v>2368</v>
      </c>
      <c r="W211" s="204" t="s">
        <v>320</v>
      </c>
      <c r="X211" s="204" t="s">
        <v>297</v>
      </c>
      <c r="Y211" s="204" t="s">
        <v>319</v>
      </c>
      <c r="Z211" s="204" t="s">
        <v>2367</v>
      </c>
      <c r="AA211" s="204" t="s">
        <v>2366</v>
      </c>
      <c r="AB211" s="204" t="s">
        <v>2365</v>
      </c>
      <c r="AC211" s="204" t="s">
        <v>297</v>
      </c>
      <c r="AD211" s="204" t="s">
        <v>2364</v>
      </c>
      <c r="AE211" s="204" t="s">
        <v>2363</v>
      </c>
      <c r="AG211" s="204" t="s">
        <v>2129</v>
      </c>
      <c r="AH211" s="204" t="s">
        <v>2147</v>
      </c>
      <c r="AI211" s="204" t="s">
        <v>2127</v>
      </c>
      <c r="AJ211" s="204" t="s">
        <v>2126</v>
      </c>
      <c r="AX211" s="204">
        <v>100</v>
      </c>
      <c r="AY211" s="204">
        <v>0</v>
      </c>
      <c r="AZ211" s="204">
        <v>2.4235199999999999</v>
      </c>
      <c r="BB211" s="204">
        <v>11356.1</v>
      </c>
      <c r="BH211" s="204">
        <v>0</v>
      </c>
      <c r="BI211" s="204">
        <v>1600</v>
      </c>
      <c r="BJ211" s="204">
        <v>42837</v>
      </c>
      <c r="BK211" s="204">
        <v>42803.631562499999</v>
      </c>
      <c r="BL211" s="204" t="s">
        <v>293</v>
      </c>
      <c r="BM211" s="204" t="s">
        <v>2362</v>
      </c>
      <c r="BN211" s="269">
        <f t="shared" si="59"/>
        <v>113.56100000000001</v>
      </c>
      <c r="BO211" s="269">
        <f t="shared" si="60"/>
        <v>16</v>
      </c>
      <c r="BP211" s="269">
        <f>INDEX('App Data Outliers'!$M:$M,MATCH($E211,'App Data Outliers'!$A:$A,0))</f>
        <v>71.928403166606657</v>
      </c>
      <c r="BQ211" s="269">
        <f>INDEX('App Data Outliers'!$N:$N,MATCH($E211,'App Data Outliers'!$A:$A,0))</f>
        <v>30.28616226838243</v>
      </c>
      <c r="BR211" s="269">
        <f>INDEX('App Data Outliers'!$S:$S,MATCH($E211,'App Data Outliers'!$A:$A,0))</f>
        <v>10.421419234256929</v>
      </c>
      <c r="BS211" s="269">
        <f>INDEX('App Data Outliers'!$T:$T,MATCH($E211,'App Data Outliers'!$A:$A,0))</f>
        <v>3.9940053618595535</v>
      </c>
    </row>
    <row r="212" spans="1:71" s="204" customFormat="1" hidden="1">
      <c r="A212" s="241">
        <v>208</v>
      </c>
      <c r="B212" s="241" t="str">
        <f t="shared" si="51"/>
        <v>Non-Residential - BHPSD - C/I Prescriptive Rebate</v>
      </c>
      <c r="C212" s="241" t="b">
        <f t="shared" si="52"/>
        <v>1</v>
      </c>
      <c r="D212" s="241" t="str">
        <f t="shared" si="53"/>
        <v>Non-Residential - BHPSD - C/I Prescriptive Rebate_C&amp;I Prescriptive Rebate :- C&amp;I Lighting :- Customer Incentives_LED Fixtures Exterior &amp; Garage - 25W or less</v>
      </c>
      <c r="E212" s="241" t="str">
        <f t="shared" si="54"/>
        <v>C&amp;I_C&amp;I Prescriptive_Lighting_LED Parking Garage/Canopy (&lt;30W)</v>
      </c>
      <c r="F212" s="241" t="str">
        <f>INDEX('VDSM MAPPING'!E:E,MATCH($D212,'VDSM MAPPING'!$A:$A,0))</f>
        <v>C&amp;I</v>
      </c>
      <c r="G212" s="241" t="str">
        <f>INDEX('VDSM MAPPING'!F:F,MATCH($D212,'VDSM MAPPING'!$A:$A,0))</f>
        <v>C&amp;I Prescriptive</v>
      </c>
      <c r="H212" s="241" t="str">
        <f>INDEX('VDSM MAPPING'!G:G,MATCH($D212,'VDSM MAPPING'!$A:$A,0))</f>
        <v>Lighting</v>
      </c>
      <c r="I212" s="241" t="str">
        <f>INDEX('VDSM MAPPING'!H:H,MATCH($D212,'VDSM MAPPING'!$A:$A,0))</f>
        <v>LED Parking Garage/Canopy (&lt;30W)</v>
      </c>
      <c r="J212" s="240">
        <f t="shared" si="55"/>
        <v>-1.0999438818457408</v>
      </c>
      <c r="K212" s="240">
        <f t="shared" si="56"/>
        <v>-9.1218858650442228E-2</v>
      </c>
      <c r="L212" s="240" t="b">
        <f t="shared" si="57"/>
        <v>0</v>
      </c>
      <c r="M212" s="240" t="b">
        <f t="shared" si="58"/>
        <v>0</v>
      </c>
      <c r="N212" s="204" t="s">
        <v>289</v>
      </c>
      <c r="O212" s="204" t="s">
        <v>2360</v>
      </c>
      <c r="P212" s="350">
        <v>1</v>
      </c>
      <c r="Q212" s="204" t="s">
        <v>2360</v>
      </c>
      <c r="R212" s="204" t="s">
        <v>2359</v>
      </c>
      <c r="S212" s="204" t="s">
        <v>2358</v>
      </c>
      <c r="T212" s="204" t="s">
        <v>2358</v>
      </c>
      <c r="U212" s="204" t="s">
        <v>2358</v>
      </c>
      <c r="V212" s="204" t="s">
        <v>2357</v>
      </c>
      <c r="W212" s="204" t="s">
        <v>413</v>
      </c>
      <c r="X212" s="204" t="s">
        <v>297</v>
      </c>
      <c r="Y212" s="204" t="s">
        <v>412</v>
      </c>
      <c r="Z212" s="204" t="s">
        <v>2356</v>
      </c>
      <c r="AA212" s="204" t="s">
        <v>2355</v>
      </c>
      <c r="AB212" s="204" t="s">
        <v>329</v>
      </c>
      <c r="AC212" s="204" t="s">
        <v>297</v>
      </c>
      <c r="AD212" s="204" t="s">
        <v>328</v>
      </c>
      <c r="AE212" s="204" t="s">
        <v>2354</v>
      </c>
      <c r="AF212" s="204" t="s">
        <v>2353</v>
      </c>
      <c r="AG212" s="204" t="s">
        <v>2129</v>
      </c>
      <c r="AH212" s="204" t="s">
        <v>2218</v>
      </c>
      <c r="AI212" s="204" t="s">
        <v>2127</v>
      </c>
      <c r="AJ212" s="204" t="s">
        <v>2126</v>
      </c>
      <c r="AX212" s="204">
        <v>12</v>
      </c>
      <c r="AY212" s="204">
        <v>0</v>
      </c>
      <c r="AZ212" s="204">
        <v>1.2808299999999999</v>
      </c>
      <c r="BB212" s="204">
        <v>6001.7160000000003</v>
      </c>
      <c r="BH212" s="204">
        <v>0</v>
      </c>
      <c r="BI212" s="204">
        <v>105</v>
      </c>
      <c r="BJ212" s="204">
        <v>42811</v>
      </c>
      <c r="BK212" s="204">
        <v>42811.6521103009</v>
      </c>
      <c r="BL212" s="204" t="s">
        <v>293</v>
      </c>
      <c r="BM212" s="204" t="s">
        <v>2352</v>
      </c>
      <c r="BN212" s="269">
        <f t="shared" si="59"/>
        <v>500.14300000000003</v>
      </c>
      <c r="BO212" s="269">
        <f t="shared" si="60"/>
        <v>8.75</v>
      </c>
      <c r="BP212" s="269">
        <f>INDEX('App Data Outliers'!$M:$M,MATCH($E212,'App Data Outliers'!$A:$A,0))</f>
        <v>597.39996296296295</v>
      </c>
      <c r="BQ212" s="269">
        <f>INDEX('App Data Outliers'!$N:$N,MATCH($E212,'App Data Outliers'!$A:$A,0))</f>
        <v>88.419931751211379</v>
      </c>
      <c r="BR212" s="269">
        <f>INDEX('App Data Outliers'!$S:$S,MATCH($E212,'App Data Outliers'!$A:$A,0))</f>
        <v>9.8725925925925928</v>
      </c>
      <c r="BS212" s="269">
        <f>INDEX('App Data Outliers'!$T:$T,MATCH($E212,'App Data Outliers'!$A:$A,0))</f>
        <v>12.306584506768004</v>
      </c>
    </row>
    <row r="213" spans="1:71" s="204" customFormat="1" hidden="1">
      <c r="A213" s="241">
        <v>209</v>
      </c>
      <c r="B213" s="241" t="str">
        <f t="shared" si="51"/>
        <v>Non-Residential - BHPSD - C/I Prescriptive Rebate</v>
      </c>
      <c r="C213" s="241" t="b">
        <f t="shared" si="52"/>
        <v>1</v>
      </c>
      <c r="D213" s="241" t="str">
        <f t="shared" si="53"/>
        <v>Non-Residential - BHPSD - C/I Prescriptive Rebate_C&amp;I Prescriptive Rebate :- C&amp;I Lighting :- Customer Incentives_LED Replacement for T8 Linear Fluorescent Lamps - 4 ft or less</v>
      </c>
      <c r="E213" s="241" t="str">
        <f t="shared" si="54"/>
        <v>C&amp;I_C&amp;I Prescriptive_Lighting_LED Linear Replacement Lamp (≤4ft)</v>
      </c>
      <c r="F213" s="241" t="str">
        <f>INDEX('VDSM MAPPING'!E:E,MATCH($D213,'VDSM MAPPING'!$A:$A,0))</f>
        <v>C&amp;I</v>
      </c>
      <c r="G213" s="241" t="str">
        <f>INDEX('VDSM MAPPING'!F:F,MATCH($D213,'VDSM MAPPING'!$A:$A,0))</f>
        <v>C&amp;I Prescriptive</v>
      </c>
      <c r="H213" s="241" t="str">
        <f>INDEX('VDSM MAPPING'!G:G,MATCH($D213,'VDSM MAPPING'!$A:$A,0))</f>
        <v>Lighting</v>
      </c>
      <c r="I213" s="241" t="str">
        <f>INDEX('VDSM MAPPING'!H:H,MATCH($D213,'VDSM MAPPING'!$A:$A,0))</f>
        <v>LED Linear Replacement Lamp (≤4ft)</v>
      </c>
      <c r="J213" s="240">
        <f t="shared" si="55"/>
        <v>-0.50014270650659343</v>
      </c>
      <c r="K213" s="240">
        <f t="shared" si="56"/>
        <v>-0.87782787367730541</v>
      </c>
      <c r="L213" s="240" t="b">
        <f t="shared" si="57"/>
        <v>0</v>
      </c>
      <c r="M213" s="240" t="b">
        <f t="shared" si="58"/>
        <v>0</v>
      </c>
      <c r="N213" s="204" t="s">
        <v>289</v>
      </c>
      <c r="O213" s="204" t="s">
        <v>2360</v>
      </c>
      <c r="P213" s="350">
        <v>0</v>
      </c>
      <c r="Q213" s="204" t="s">
        <v>2360</v>
      </c>
      <c r="R213" s="204" t="s">
        <v>2359</v>
      </c>
      <c r="S213" s="204" t="s">
        <v>2358</v>
      </c>
      <c r="T213" s="204" t="s">
        <v>2358</v>
      </c>
      <c r="U213" s="204" t="s">
        <v>2358</v>
      </c>
      <c r="V213" s="204" t="s">
        <v>2357</v>
      </c>
      <c r="W213" s="204" t="s">
        <v>413</v>
      </c>
      <c r="X213" s="204" t="s">
        <v>297</v>
      </c>
      <c r="Y213" s="204" t="s">
        <v>412</v>
      </c>
      <c r="Z213" s="204" t="s">
        <v>2356</v>
      </c>
      <c r="AA213" s="204" t="s">
        <v>2355</v>
      </c>
      <c r="AB213" s="204" t="s">
        <v>329</v>
      </c>
      <c r="AC213" s="204" t="s">
        <v>297</v>
      </c>
      <c r="AD213" s="204" t="s">
        <v>328</v>
      </c>
      <c r="AE213" s="204" t="s">
        <v>2354</v>
      </c>
      <c r="AF213" s="204" t="s">
        <v>2353</v>
      </c>
      <c r="AG213" s="204" t="s">
        <v>2129</v>
      </c>
      <c r="AH213" s="204" t="s">
        <v>2173</v>
      </c>
      <c r="AI213" s="204" t="s">
        <v>2127</v>
      </c>
      <c r="AJ213" s="204" t="s">
        <v>2126</v>
      </c>
      <c r="AX213" s="204">
        <v>514</v>
      </c>
      <c r="AY213" s="204">
        <v>0</v>
      </c>
      <c r="AZ213" s="204">
        <v>6.2284459999999999</v>
      </c>
      <c r="BB213" s="204">
        <v>29185.434000000001</v>
      </c>
      <c r="BH213" s="204">
        <v>0</v>
      </c>
      <c r="BI213" s="204">
        <v>3554.50018</v>
      </c>
      <c r="BJ213" s="204">
        <v>42811</v>
      </c>
      <c r="BK213" s="204">
        <v>42811.6521103009</v>
      </c>
      <c r="BL213" s="204" t="s">
        <v>293</v>
      </c>
      <c r="BM213" s="204" t="s">
        <v>2361</v>
      </c>
      <c r="BN213" s="269">
        <f t="shared" si="59"/>
        <v>56.780999999999999</v>
      </c>
      <c r="BO213" s="269">
        <f t="shared" si="60"/>
        <v>6.9153700000000002</v>
      </c>
      <c r="BP213" s="269">
        <f>INDEX('App Data Outliers'!$M:$M,MATCH($E213,'App Data Outliers'!$A:$A,0))</f>
        <v>71.928403166606657</v>
      </c>
      <c r="BQ213" s="269">
        <f>INDEX('App Data Outliers'!$N:$N,MATCH($E213,'App Data Outliers'!$A:$A,0))</f>
        <v>30.28616226838243</v>
      </c>
      <c r="BR213" s="269">
        <f>INDEX('App Data Outliers'!$S:$S,MATCH($E213,'App Data Outliers'!$A:$A,0))</f>
        <v>10.421419234256929</v>
      </c>
      <c r="BS213" s="269">
        <f>INDEX('App Data Outliers'!$T:$T,MATCH($E213,'App Data Outliers'!$A:$A,0))</f>
        <v>3.9940053618595535</v>
      </c>
    </row>
    <row r="214" spans="1:71" s="204" customFormat="1" hidden="1">
      <c r="A214" s="241">
        <v>210</v>
      </c>
      <c r="B214" s="241" t="str">
        <f t="shared" si="51"/>
        <v>Non-Residential - BHPSD - C/I Prescriptive Rebate</v>
      </c>
      <c r="C214" s="241" t="b">
        <f t="shared" si="52"/>
        <v>1</v>
      </c>
      <c r="D214" s="241" t="str">
        <f t="shared" si="53"/>
        <v>Non-Residential - BHPSD - C/I Prescriptive Rebate_C&amp;I Prescriptive Rebate :- C&amp;I Lighting :- Customer Incentives_Energy Star LED Lamps - 10W or greater</v>
      </c>
      <c r="E214" s="241" t="str">
        <f t="shared" si="54"/>
        <v>C&amp;I_C&amp;I Prescriptive_Lighting_Energy Star LED Lamp (&gt;10W)</v>
      </c>
      <c r="F214" s="241" t="str">
        <f>INDEX('VDSM MAPPING'!E:E,MATCH($D214,'VDSM MAPPING'!$A:$A,0))</f>
        <v>C&amp;I</v>
      </c>
      <c r="G214" s="241" t="str">
        <f>INDEX('VDSM MAPPING'!F:F,MATCH($D214,'VDSM MAPPING'!$A:$A,0))</f>
        <v>C&amp;I Prescriptive</v>
      </c>
      <c r="H214" s="241" t="str">
        <f>INDEX('VDSM MAPPING'!G:G,MATCH($D214,'VDSM MAPPING'!$A:$A,0))</f>
        <v>Lighting</v>
      </c>
      <c r="I214" s="241" t="str">
        <f>INDEX('VDSM MAPPING'!H:H,MATCH($D214,'VDSM MAPPING'!$A:$A,0))</f>
        <v>Energy Star LED Lamp (&gt;10W)</v>
      </c>
      <c r="J214" s="240">
        <f t="shared" si="55"/>
        <v>-0.73672521481907827</v>
      </c>
      <c r="K214" s="240">
        <f t="shared" si="56"/>
        <v>0.76084108785360927</v>
      </c>
      <c r="L214" s="240" t="b">
        <f t="shared" si="57"/>
        <v>0</v>
      </c>
      <c r="M214" s="240" t="b">
        <f t="shared" si="58"/>
        <v>0</v>
      </c>
      <c r="N214" s="204" t="s">
        <v>289</v>
      </c>
      <c r="O214" s="204" t="s">
        <v>2350</v>
      </c>
      <c r="P214" s="350">
        <v>1</v>
      </c>
      <c r="Q214" s="204" t="s">
        <v>2350</v>
      </c>
      <c r="R214" s="204" t="s">
        <v>2349</v>
      </c>
      <c r="S214" s="204" t="s">
        <v>2348</v>
      </c>
      <c r="T214" s="204" t="s">
        <v>2347</v>
      </c>
      <c r="U214" s="204" t="s">
        <v>2347</v>
      </c>
      <c r="V214" s="204" t="s">
        <v>2346</v>
      </c>
      <c r="W214" s="204" t="s">
        <v>329</v>
      </c>
      <c r="X214" s="204" t="s">
        <v>297</v>
      </c>
      <c r="Y214" s="204" t="s">
        <v>397</v>
      </c>
      <c r="Z214" s="204" t="s">
        <v>1017</v>
      </c>
      <c r="AA214" s="204" t="s">
        <v>1016</v>
      </c>
      <c r="AB214" s="204" t="s">
        <v>329</v>
      </c>
      <c r="AC214" s="204" t="s">
        <v>297</v>
      </c>
      <c r="AD214" s="204" t="s">
        <v>848</v>
      </c>
      <c r="AE214" s="204" t="s">
        <v>1015</v>
      </c>
      <c r="AF214" s="204" t="s">
        <v>1014</v>
      </c>
      <c r="AG214" s="204" t="s">
        <v>2129</v>
      </c>
      <c r="AH214" s="204" t="s">
        <v>2166</v>
      </c>
      <c r="AI214" s="204" t="s">
        <v>2202</v>
      </c>
      <c r="AJ214" s="204" t="s">
        <v>2126</v>
      </c>
      <c r="AX214" s="204">
        <v>10</v>
      </c>
      <c r="AY214" s="204">
        <v>0</v>
      </c>
      <c r="AZ214" s="204">
        <v>0.353628</v>
      </c>
      <c r="BB214" s="204">
        <v>1572.41</v>
      </c>
      <c r="BH214" s="204">
        <v>0</v>
      </c>
      <c r="BI214" s="204">
        <v>112.5</v>
      </c>
      <c r="BJ214" s="204">
        <v>42823</v>
      </c>
      <c r="BK214" s="204">
        <v>42823.785489467598</v>
      </c>
      <c r="BL214" s="204" t="s">
        <v>293</v>
      </c>
      <c r="BM214" s="204" t="s">
        <v>2345</v>
      </c>
      <c r="BN214" s="269">
        <f t="shared" si="59"/>
        <v>157.24100000000001</v>
      </c>
      <c r="BO214" s="269">
        <f t="shared" si="60"/>
        <v>11.25</v>
      </c>
      <c r="BP214" s="269">
        <f>INDEX('App Data Outliers'!$M:$M,MATCH($E214,'App Data Outliers'!$A:$A,0))</f>
        <v>183.5885054112554</v>
      </c>
      <c r="BQ214" s="269">
        <f>INDEX('App Data Outliers'!$N:$N,MATCH($E214,'App Data Outliers'!$A:$A,0))</f>
        <v>35.763002108901198</v>
      </c>
      <c r="BR214" s="269">
        <f>INDEX('App Data Outliers'!$S:$S,MATCH($E214,'App Data Outliers'!$A:$A,0))</f>
        <v>9.5846103896103898</v>
      </c>
      <c r="BS214" s="269">
        <f>INDEX('App Data Outliers'!$T:$T,MATCH($E214,'App Data Outliers'!$A:$A,0))</f>
        <v>2.1888796977142775</v>
      </c>
    </row>
    <row r="215" spans="1:71" s="204" customFormat="1" hidden="1">
      <c r="A215" s="241">
        <v>211</v>
      </c>
      <c r="B215" s="241" t="str">
        <f t="shared" si="51"/>
        <v>Non-Residential - BHPSD - C/I Prescriptive Rebate</v>
      </c>
      <c r="C215" s="241" t="b">
        <f t="shared" si="52"/>
        <v>1</v>
      </c>
      <c r="D215" s="241" t="str">
        <f t="shared" si="53"/>
        <v>Non-Residential - BHPSD - C/I Prescriptive Rebate_C&amp;I Prescriptive Rebate :- C&amp;I Lighting :- Customer Incentives_LED Replacement for T8 Linear Fluorescent Lamps - 4 ft or less</v>
      </c>
      <c r="E215" s="241" t="str">
        <f t="shared" si="54"/>
        <v>C&amp;I_C&amp;I Prescriptive_Lighting_LED Linear Replacement Lamp (≤4ft)</v>
      </c>
      <c r="F215" s="241" t="str">
        <f>INDEX('VDSM MAPPING'!E:E,MATCH($D215,'VDSM MAPPING'!$A:$A,0))</f>
        <v>C&amp;I</v>
      </c>
      <c r="G215" s="241" t="str">
        <f>INDEX('VDSM MAPPING'!F:F,MATCH($D215,'VDSM MAPPING'!$A:$A,0))</f>
        <v>C&amp;I Prescriptive</v>
      </c>
      <c r="H215" s="241" t="str">
        <f>INDEX('VDSM MAPPING'!G:G,MATCH($D215,'VDSM MAPPING'!$A:$A,0))</f>
        <v>Lighting</v>
      </c>
      <c r="I215" s="241" t="str">
        <f>INDEX('VDSM MAPPING'!H:H,MATCH($D215,'VDSM MAPPING'!$A:$A,0))</f>
        <v>LED Linear Replacement Lamp (≤4ft)</v>
      </c>
      <c r="J215" s="240">
        <f t="shared" si="55"/>
        <v>-0.73543167897040618</v>
      </c>
      <c r="K215" s="240">
        <f t="shared" si="56"/>
        <v>-0.60626339097590731</v>
      </c>
      <c r="L215" s="240" t="b">
        <f t="shared" si="57"/>
        <v>0</v>
      </c>
      <c r="M215" s="240" t="b">
        <f t="shared" si="58"/>
        <v>0</v>
      </c>
      <c r="N215" s="204" t="s">
        <v>289</v>
      </c>
      <c r="O215" s="204" t="s">
        <v>2350</v>
      </c>
      <c r="P215" s="350">
        <v>0</v>
      </c>
      <c r="Q215" s="204" t="s">
        <v>2350</v>
      </c>
      <c r="R215" s="204" t="s">
        <v>2349</v>
      </c>
      <c r="S215" s="204" t="s">
        <v>2348</v>
      </c>
      <c r="T215" s="204" t="s">
        <v>2347</v>
      </c>
      <c r="U215" s="204" t="s">
        <v>2347</v>
      </c>
      <c r="V215" s="204" t="s">
        <v>2346</v>
      </c>
      <c r="W215" s="204" t="s">
        <v>329</v>
      </c>
      <c r="X215" s="204" t="s">
        <v>297</v>
      </c>
      <c r="Y215" s="204" t="s">
        <v>397</v>
      </c>
      <c r="Z215" s="204" t="s">
        <v>1017</v>
      </c>
      <c r="AA215" s="204" t="s">
        <v>1016</v>
      </c>
      <c r="AB215" s="204" t="s">
        <v>329</v>
      </c>
      <c r="AC215" s="204" t="s">
        <v>297</v>
      </c>
      <c r="AD215" s="204" t="s">
        <v>848</v>
      </c>
      <c r="AE215" s="204" t="s">
        <v>1015</v>
      </c>
      <c r="AF215" s="204" t="s">
        <v>1014</v>
      </c>
      <c r="AG215" s="204" t="s">
        <v>2129</v>
      </c>
      <c r="AH215" s="204" t="s">
        <v>2173</v>
      </c>
      <c r="AI215" s="204" t="s">
        <v>2202</v>
      </c>
      <c r="AJ215" s="204" t="s">
        <v>2126</v>
      </c>
      <c r="AX215" s="204">
        <v>24</v>
      </c>
      <c r="AY215" s="204">
        <v>0</v>
      </c>
      <c r="AZ215" s="204">
        <v>0.268013</v>
      </c>
      <c r="BB215" s="204">
        <v>1191.72</v>
      </c>
      <c r="BH215" s="204">
        <v>0</v>
      </c>
      <c r="BI215" s="204">
        <v>192</v>
      </c>
      <c r="BJ215" s="204">
        <v>42823</v>
      </c>
      <c r="BK215" s="204">
        <v>42823.785489467598</v>
      </c>
      <c r="BL215" s="204" t="s">
        <v>293</v>
      </c>
      <c r="BM215" s="204" t="s">
        <v>2351</v>
      </c>
      <c r="BN215" s="269">
        <f t="shared" si="59"/>
        <v>49.655000000000001</v>
      </c>
      <c r="BO215" s="269">
        <f t="shared" si="60"/>
        <v>8</v>
      </c>
      <c r="BP215" s="269">
        <f>INDEX('App Data Outliers'!$M:$M,MATCH($E215,'App Data Outliers'!$A:$A,0))</f>
        <v>71.928403166606657</v>
      </c>
      <c r="BQ215" s="269">
        <f>INDEX('App Data Outliers'!$N:$N,MATCH($E215,'App Data Outliers'!$A:$A,0))</f>
        <v>30.28616226838243</v>
      </c>
      <c r="BR215" s="269">
        <f>INDEX('App Data Outliers'!$S:$S,MATCH($E215,'App Data Outliers'!$A:$A,0))</f>
        <v>10.421419234256929</v>
      </c>
      <c r="BS215" s="269">
        <f>INDEX('App Data Outliers'!$T:$T,MATCH($E215,'App Data Outliers'!$A:$A,0))</f>
        <v>3.9940053618595535</v>
      </c>
    </row>
    <row r="216" spans="1:71" s="204" customFormat="1" hidden="1">
      <c r="A216" s="241">
        <v>212</v>
      </c>
      <c r="B216" s="241" t="str">
        <f t="shared" si="51"/>
        <v>Non-Residential - BHPSD - C/I Prescriptive Rebate</v>
      </c>
      <c r="C216" s="241" t="b">
        <f t="shared" si="52"/>
        <v>1</v>
      </c>
      <c r="D216" s="241" t="str">
        <f t="shared" si="53"/>
        <v>Non-Residential - BHPSD - C/I Prescriptive Rebate_C&amp;I Prescriptive Rebate :- C&amp;I Lighting :- Customer Incentives_LED Fixtures Exterior &amp; Garage - 60W to 150W</v>
      </c>
      <c r="E216" s="241" t="str">
        <f t="shared" si="54"/>
        <v>C&amp;I_C&amp;I Prescriptive_Lighting_LED Parking Garage/Canopy (≥75W)</v>
      </c>
      <c r="F216" s="241" t="str">
        <f>INDEX('VDSM MAPPING'!E:E,MATCH($D216,'VDSM MAPPING'!$A:$A,0))</f>
        <v>C&amp;I</v>
      </c>
      <c r="G216" s="241" t="str">
        <f>INDEX('VDSM MAPPING'!F:F,MATCH($D216,'VDSM MAPPING'!$A:$A,0))</f>
        <v>C&amp;I Prescriptive</v>
      </c>
      <c r="H216" s="241" t="str">
        <f>INDEX('VDSM MAPPING'!G:G,MATCH($D216,'VDSM MAPPING'!$A:$A,0))</f>
        <v>Lighting</v>
      </c>
      <c r="I216" s="241" t="str">
        <f>INDEX('VDSM MAPPING'!H:H,MATCH($D216,'VDSM MAPPING'!$A:$A,0))</f>
        <v>LED Parking Garage/Canopy (≥75W)</v>
      </c>
      <c r="J216" s="240">
        <f t="shared" si="55"/>
        <v>-0.11286531336220813</v>
      </c>
      <c r="K216" s="240">
        <f t="shared" si="56"/>
        <v>-4.8057188404622845E-3</v>
      </c>
      <c r="L216" s="240" t="b">
        <f t="shared" si="57"/>
        <v>0</v>
      </c>
      <c r="M216" s="240" t="b">
        <f t="shared" si="58"/>
        <v>0</v>
      </c>
      <c r="N216" s="204" t="s">
        <v>289</v>
      </c>
      <c r="O216" s="204" t="s">
        <v>2344</v>
      </c>
      <c r="P216" s="350">
        <v>1</v>
      </c>
      <c r="Q216" s="204" t="s">
        <v>2344</v>
      </c>
      <c r="R216" s="204" t="s">
        <v>2343</v>
      </c>
      <c r="S216" s="204" t="s">
        <v>2342</v>
      </c>
      <c r="T216" s="204" t="s">
        <v>2342</v>
      </c>
      <c r="U216" s="204" t="s">
        <v>2342</v>
      </c>
      <c r="V216" s="204" t="s">
        <v>2341</v>
      </c>
      <c r="W216" s="204" t="s">
        <v>413</v>
      </c>
      <c r="X216" s="204" t="s">
        <v>297</v>
      </c>
      <c r="Y216" s="204" t="s">
        <v>412</v>
      </c>
      <c r="Z216" s="204" t="s">
        <v>2340</v>
      </c>
      <c r="AA216" s="204" t="s">
        <v>2339</v>
      </c>
      <c r="AB216" s="204" t="s">
        <v>298</v>
      </c>
      <c r="AC216" s="204" t="s">
        <v>297</v>
      </c>
      <c r="AD216" s="204" t="s">
        <v>296</v>
      </c>
      <c r="AE216" s="204" t="s">
        <v>2338</v>
      </c>
      <c r="AG216" s="204" t="s">
        <v>2129</v>
      </c>
      <c r="AH216" s="204" t="s">
        <v>2139</v>
      </c>
      <c r="AI216" s="204" t="s">
        <v>2127</v>
      </c>
      <c r="AJ216" s="204" t="s">
        <v>2126</v>
      </c>
      <c r="AX216" s="204">
        <v>1</v>
      </c>
      <c r="AY216" s="204">
        <v>0</v>
      </c>
      <c r="AZ216" s="204">
        <v>0.24699699999999999</v>
      </c>
      <c r="BB216" s="204">
        <v>1157.3789999999999</v>
      </c>
      <c r="BH216" s="204">
        <v>0</v>
      </c>
      <c r="BI216" s="204">
        <v>100</v>
      </c>
      <c r="BJ216" s="204">
        <v>42829</v>
      </c>
      <c r="BK216" s="204">
        <v>42825.459288078702</v>
      </c>
      <c r="BL216" s="204" t="s">
        <v>293</v>
      </c>
      <c r="BM216" s="204" t="s">
        <v>2337</v>
      </c>
      <c r="BN216" s="269">
        <f t="shared" si="59"/>
        <v>1157.3789999999999</v>
      </c>
      <c r="BO216" s="269">
        <f t="shared" si="60"/>
        <v>100</v>
      </c>
      <c r="BP216" s="269">
        <f>INDEX('App Data Outliers'!$M:$M,MATCH($E216,'App Data Outliers'!$A:$A,0))</f>
        <v>1175.7261559139786</v>
      </c>
      <c r="BQ216" s="269">
        <f>INDEX('App Data Outliers'!$N:$N,MATCH($E216,'App Data Outliers'!$A:$A,0))</f>
        <v>162.55796725694501</v>
      </c>
      <c r="BR216" s="269">
        <f>INDEX('App Data Outliers'!$S:$S,MATCH($E216,'App Data Outliers'!$A:$A,0))</f>
        <v>100.15639784946237</v>
      </c>
      <c r="BS216" s="269">
        <f>INDEX('App Data Outliers'!$T:$T,MATCH($E216,'App Data Outliers'!$A:$A,0))</f>
        <v>32.544111433560438</v>
      </c>
    </row>
    <row r="217" spans="1:71" s="204" customFormat="1" hidden="1">
      <c r="A217" s="241">
        <v>213</v>
      </c>
      <c r="B217" s="241" t="str">
        <f t="shared" si="51"/>
        <v>Non-Residential - BHPSD - C/I Prescriptive Rebate</v>
      </c>
      <c r="C217" s="241" t="b">
        <f t="shared" si="52"/>
        <v>1</v>
      </c>
      <c r="D217" s="241" t="str">
        <f t="shared" si="53"/>
        <v>Non-Residential - BHPSD - C/I Prescriptive Rebate_C&amp;I Prescriptive Rebate :- C&amp;I Lighting :- Customer Incentives_LED Fixtures Exterior &amp; Garage - 60W to 150W</v>
      </c>
      <c r="E217" s="241" t="str">
        <f t="shared" si="54"/>
        <v>C&amp;I_C&amp;I Prescriptive_Lighting_LED Parking Garage/Canopy (≥75W)</v>
      </c>
      <c r="F217" s="241" t="str">
        <f>INDEX('VDSM MAPPING'!E:E,MATCH($D217,'VDSM MAPPING'!$A:$A,0))</f>
        <v>C&amp;I</v>
      </c>
      <c r="G217" s="241" t="str">
        <f>INDEX('VDSM MAPPING'!F:F,MATCH($D217,'VDSM MAPPING'!$A:$A,0))</f>
        <v>C&amp;I Prescriptive</v>
      </c>
      <c r="H217" s="241" t="str">
        <f>INDEX('VDSM MAPPING'!G:G,MATCH($D217,'VDSM MAPPING'!$A:$A,0))</f>
        <v>Lighting</v>
      </c>
      <c r="I217" s="241" t="str">
        <f>INDEX('VDSM MAPPING'!H:H,MATCH($D217,'VDSM MAPPING'!$A:$A,0))</f>
        <v>LED Parking Garage/Canopy (≥75W)</v>
      </c>
      <c r="J217" s="240">
        <f t="shared" si="55"/>
        <v>0.1268030379184058</v>
      </c>
      <c r="K217" s="240">
        <f t="shared" si="56"/>
        <v>-4.8057188404622845E-3</v>
      </c>
      <c r="L217" s="240" t="b">
        <f t="shared" si="57"/>
        <v>0</v>
      </c>
      <c r="M217" s="240" t="b">
        <f t="shared" si="58"/>
        <v>0</v>
      </c>
      <c r="N217" s="204" t="s">
        <v>289</v>
      </c>
      <c r="O217" s="204" t="s">
        <v>2336</v>
      </c>
      <c r="P217" s="350">
        <v>1</v>
      </c>
      <c r="Q217" s="204" t="s">
        <v>2336</v>
      </c>
      <c r="R217" s="204" t="s">
        <v>2335</v>
      </c>
      <c r="S217" s="204" t="s">
        <v>2334</v>
      </c>
      <c r="T217" s="204" t="s">
        <v>2334</v>
      </c>
      <c r="U217" s="204" t="s">
        <v>2334</v>
      </c>
      <c r="V217" s="204" t="s">
        <v>2333</v>
      </c>
      <c r="W217" s="204" t="s">
        <v>337</v>
      </c>
      <c r="X217" s="204" t="s">
        <v>297</v>
      </c>
      <c r="Y217" s="204" t="s">
        <v>336</v>
      </c>
      <c r="Z217" s="204" t="s">
        <v>2257</v>
      </c>
      <c r="AA217" s="204" t="s">
        <v>2256</v>
      </c>
      <c r="AB217" s="204" t="s">
        <v>337</v>
      </c>
      <c r="AC217" s="204" t="s">
        <v>297</v>
      </c>
      <c r="AD217" s="204" t="s">
        <v>336</v>
      </c>
      <c r="AE217" s="204" t="s">
        <v>2255</v>
      </c>
      <c r="AF217" s="204" t="s">
        <v>2254</v>
      </c>
      <c r="AG217" s="204" t="s">
        <v>2129</v>
      </c>
      <c r="AH217" s="204" t="s">
        <v>2139</v>
      </c>
      <c r="AI217" s="204" t="s">
        <v>2332</v>
      </c>
      <c r="AJ217" s="204" t="s">
        <v>2126</v>
      </c>
      <c r="AX217" s="204">
        <v>8</v>
      </c>
      <c r="AY217" s="204">
        <v>0</v>
      </c>
      <c r="AZ217" s="204">
        <v>2.0657939999999999</v>
      </c>
      <c r="BB217" s="204">
        <v>9570.7119999999995</v>
      </c>
      <c r="BH217" s="204">
        <v>0</v>
      </c>
      <c r="BI217" s="204">
        <v>800</v>
      </c>
      <c r="BJ217" s="204">
        <v>42828</v>
      </c>
      <c r="BK217" s="204">
        <v>42825.490190659701</v>
      </c>
      <c r="BL217" s="204" t="s">
        <v>293</v>
      </c>
      <c r="BM217" s="204" t="s">
        <v>2331</v>
      </c>
      <c r="BN217" s="269">
        <f t="shared" si="59"/>
        <v>1196.3389999999999</v>
      </c>
      <c r="BO217" s="269">
        <f t="shared" si="60"/>
        <v>100</v>
      </c>
      <c r="BP217" s="269">
        <f>INDEX('App Data Outliers'!$M:$M,MATCH($E217,'App Data Outliers'!$A:$A,0))</f>
        <v>1175.7261559139786</v>
      </c>
      <c r="BQ217" s="269">
        <f>INDEX('App Data Outliers'!$N:$N,MATCH($E217,'App Data Outliers'!$A:$A,0))</f>
        <v>162.55796725694501</v>
      </c>
      <c r="BR217" s="269">
        <f>INDEX('App Data Outliers'!$S:$S,MATCH($E217,'App Data Outliers'!$A:$A,0))</f>
        <v>100.15639784946237</v>
      </c>
      <c r="BS217" s="269">
        <f>INDEX('App Data Outliers'!$T:$T,MATCH($E217,'App Data Outliers'!$A:$A,0))</f>
        <v>32.544111433560438</v>
      </c>
    </row>
    <row r="218" spans="1:71" s="204" customFormat="1" hidden="1">
      <c r="A218" s="241">
        <v>214</v>
      </c>
      <c r="B218" s="241" t="str">
        <f t="shared" si="51"/>
        <v>Non-Residential - BHPSD - C/I Prescriptive Rebate</v>
      </c>
      <c r="C218" s="241" t="b">
        <f t="shared" si="52"/>
        <v>1</v>
      </c>
      <c r="D218" s="241" t="str">
        <f t="shared" si="53"/>
        <v>Non-Residential - BHPSD - C/I Prescriptive Rebate_C&amp;I Prescriptive Rebate :- C&amp;I Lighting :- Customer Incentives_Energy Star LED Lamps - 10W or greater</v>
      </c>
      <c r="E218" s="241" t="str">
        <f t="shared" si="54"/>
        <v>C&amp;I_C&amp;I Prescriptive_Lighting_Energy Star LED Lamp (&gt;10W)</v>
      </c>
      <c r="F218" s="241" t="str">
        <f>INDEX('VDSM MAPPING'!E:E,MATCH($D218,'VDSM MAPPING'!$A:$A,0))</f>
        <v>C&amp;I</v>
      </c>
      <c r="G218" s="241" t="str">
        <f>INDEX('VDSM MAPPING'!F:F,MATCH($D218,'VDSM MAPPING'!$A:$A,0))</f>
        <v>C&amp;I Prescriptive</v>
      </c>
      <c r="H218" s="241" t="str">
        <f>INDEX('VDSM MAPPING'!G:G,MATCH($D218,'VDSM MAPPING'!$A:$A,0))</f>
        <v>Lighting</v>
      </c>
      <c r="I218" s="241" t="str">
        <f>INDEX('VDSM MAPPING'!H:H,MATCH($D218,'VDSM MAPPING'!$A:$A,0))</f>
        <v>Energy Star LED Lamp (&gt;10W)</v>
      </c>
      <c r="J218" s="240">
        <f t="shared" si="55"/>
        <v>0.85651351347600191</v>
      </c>
      <c r="K218" s="240">
        <f t="shared" si="56"/>
        <v>0.56896210956230164</v>
      </c>
      <c r="L218" s="240" t="b">
        <f t="shared" si="57"/>
        <v>0</v>
      </c>
      <c r="M218" s="240" t="b">
        <f t="shared" si="58"/>
        <v>0</v>
      </c>
      <c r="N218" s="204" t="s">
        <v>289</v>
      </c>
      <c r="O218" s="204" t="s">
        <v>2319</v>
      </c>
      <c r="P218" s="350">
        <v>1</v>
      </c>
      <c r="Q218" s="204" t="s">
        <v>2319</v>
      </c>
      <c r="R218" s="204" t="s">
        <v>2318</v>
      </c>
      <c r="S218" s="204" t="s">
        <v>2317</v>
      </c>
      <c r="T218" s="204" t="s">
        <v>2317</v>
      </c>
      <c r="U218" s="204" t="s">
        <v>2317</v>
      </c>
      <c r="V218" s="204" t="s">
        <v>2316</v>
      </c>
      <c r="W218" s="204" t="s">
        <v>329</v>
      </c>
      <c r="X218" s="204" t="s">
        <v>297</v>
      </c>
      <c r="Y218" s="204" t="s">
        <v>397</v>
      </c>
      <c r="Z218" s="204" t="s">
        <v>2315</v>
      </c>
      <c r="AA218" s="204" t="s">
        <v>2314</v>
      </c>
      <c r="AB218" s="204" t="s">
        <v>2313</v>
      </c>
      <c r="AC218" s="204" t="s">
        <v>2312</v>
      </c>
      <c r="AD218" s="204" t="s">
        <v>2311</v>
      </c>
      <c r="AE218" s="204" t="s">
        <v>2310</v>
      </c>
      <c r="AG218" s="204" t="s">
        <v>2129</v>
      </c>
      <c r="AH218" s="204" t="s">
        <v>2166</v>
      </c>
      <c r="AI218" s="204" t="s">
        <v>2309</v>
      </c>
      <c r="AJ218" s="204" t="s">
        <v>2126</v>
      </c>
      <c r="AX218" s="204">
        <v>98</v>
      </c>
      <c r="AY218" s="204">
        <v>0</v>
      </c>
      <c r="AZ218" s="204">
        <v>4.1057100000000002</v>
      </c>
      <c r="BB218" s="204">
        <v>20993.56</v>
      </c>
      <c r="BH218" s="204">
        <v>0</v>
      </c>
      <c r="BI218" s="204">
        <v>1061.3399999999999</v>
      </c>
      <c r="BJ218" s="204">
        <v>42836</v>
      </c>
      <c r="BK218" s="204">
        <v>42836.753146099501</v>
      </c>
      <c r="BL218" s="204" t="s">
        <v>293</v>
      </c>
      <c r="BM218" s="204" t="s">
        <v>2325</v>
      </c>
      <c r="BN218" s="269">
        <f t="shared" si="59"/>
        <v>214.22000000000003</v>
      </c>
      <c r="BO218" s="269">
        <f t="shared" si="60"/>
        <v>10.829999999999998</v>
      </c>
      <c r="BP218" s="269">
        <f>INDEX('App Data Outliers'!$M:$M,MATCH($E218,'App Data Outliers'!$A:$A,0))</f>
        <v>183.5885054112554</v>
      </c>
      <c r="BQ218" s="269">
        <f>INDEX('App Data Outliers'!$N:$N,MATCH($E218,'App Data Outliers'!$A:$A,0))</f>
        <v>35.763002108901198</v>
      </c>
      <c r="BR218" s="269">
        <f>INDEX('App Data Outliers'!$S:$S,MATCH($E218,'App Data Outliers'!$A:$A,0))</f>
        <v>9.5846103896103898</v>
      </c>
      <c r="BS218" s="269">
        <f>INDEX('App Data Outliers'!$T:$T,MATCH($E218,'App Data Outliers'!$A:$A,0))</f>
        <v>2.1888796977142775</v>
      </c>
    </row>
    <row r="219" spans="1:71" s="204" customFormat="1" hidden="1">
      <c r="A219" s="241">
        <v>215</v>
      </c>
      <c r="B219" s="241" t="str">
        <f t="shared" si="51"/>
        <v>Non-Residential - BHPSD - C/I Prescriptive Rebate</v>
      </c>
      <c r="C219" s="241" t="b">
        <f t="shared" si="52"/>
        <v>1</v>
      </c>
      <c r="D219" s="241" t="str">
        <f t="shared" si="53"/>
        <v>Non-Residential - BHPSD - C/I Prescriptive Rebate_C&amp;I Prescriptive Rebate :- C&amp;I Lighting :- Customer Incentives_LED Replacement for T8 Linear Fluorescent Lamps - 4 ft or less</v>
      </c>
      <c r="E219" s="241" t="str">
        <f t="shared" si="54"/>
        <v>C&amp;I_C&amp;I Prescriptive_Lighting_LED Linear Replacement Lamp (≤4ft)</v>
      </c>
      <c r="F219" s="241" t="str">
        <f>INDEX('VDSM MAPPING'!E:E,MATCH($D219,'VDSM MAPPING'!$A:$A,0))</f>
        <v>C&amp;I</v>
      </c>
      <c r="G219" s="241" t="str">
        <f>INDEX('VDSM MAPPING'!F:F,MATCH($D219,'VDSM MAPPING'!$A:$A,0))</f>
        <v>C&amp;I Prescriptive</v>
      </c>
      <c r="H219" s="241" t="str">
        <f>INDEX('VDSM MAPPING'!G:G,MATCH($D219,'VDSM MAPPING'!$A:$A,0))</f>
        <v>Lighting</v>
      </c>
      <c r="I219" s="241" t="str">
        <f>INDEX('VDSM MAPPING'!H:H,MATCH($D219,'VDSM MAPPING'!$A:$A,0))</f>
        <v>LED Linear Replacement Lamp (≤4ft)</v>
      </c>
      <c r="J219" s="240">
        <f t="shared" si="55"/>
        <v>-0.14129895787668634</v>
      </c>
      <c r="K219" s="240">
        <f t="shared" si="56"/>
        <v>-0.60626339097590731</v>
      </c>
      <c r="L219" s="240" t="b">
        <f t="shared" si="57"/>
        <v>0</v>
      </c>
      <c r="M219" s="240" t="b">
        <f t="shared" si="58"/>
        <v>0</v>
      </c>
      <c r="N219" s="204" t="s">
        <v>289</v>
      </c>
      <c r="O219" s="204" t="s">
        <v>2319</v>
      </c>
      <c r="P219" s="350">
        <v>0</v>
      </c>
      <c r="Q219" s="204" t="s">
        <v>2319</v>
      </c>
      <c r="R219" s="204" t="s">
        <v>2318</v>
      </c>
      <c r="S219" s="204" t="s">
        <v>2317</v>
      </c>
      <c r="T219" s="204" t="s">
        <v>2317</v>
      </c>
      <c r="U219" s="204" t="s">
        <v>2317</v>
      </c>
      <c r="V219" s="204" t="s">
        <v>2316</v>
      </c>
      <c r="W219" s="204" t="s">
        <v>329</v>
      </c>
      <c r="X219" s="204" t="s">
        <v>297</v>
      </c>
      <c r="Y219" s="204" t="s">
        <v>397</v>
      </c>
      <c r="Z219" s="204" t="s">
        <v>2315</v>
      </c>
      <c r="AA219" s="204" t="s">
        <v>2314</v>
      </c>
      <c r="AB219" s="204" t="s">
        <v>2313</v>
      </c>
      <c r="AC219" s="204" t="s">
        <v>2312</v>
      </c>
      <c r="AD219" s="204" t="s">
        <v>2311</v>
      </c>
      <c r="AE219" s="204" t="s">
        <v>2310</v>
      </c>
      <c r="AG219" s="204" t="s">
        <v>2129</v>
      </c>
      <c r="AH219" s="204" t="s">
        <v>2173</v>
      </c>
      <c r="AI219" s="204" t="s">
        <v>2309</v>
      </c>
      <c r="AJ219" s="204" t="s">
        <v>2126</v>
      </c>
      <c r="AX219" s="204">
        <v>16</v>
      </c>
      <c r="AY219" s="204">
        <v>0</v>
      </c>
      <c r="AZ219" s="204">
        <v>0.21168000000000001</v>
      </c>
      <c r="BB219" s="204">
        <v>1082.384</v>
      </c>
      <c r="BH219" s="204">
        <v>0</v>
      </c>
      <c r="BI219" s="204">
        <v>128</v>
      </c>
      <c r="BJ219" s="204">
        <v>42836</v>
      </c>
      <c r="BK219" s="204">
        <v>42836.753146099501</v>
      </c>
      <c r="BL219" s="204" t="s">
        <v>293</v>
      </c>
      <c r="BM219" s="204" t="s">
        <v>2324</v>
      </c>
      <c r="BN219" s="269">
        <f t="shared" si="59"/>
        <v>67.649000000000001</v>
      </c>
      <c r="BO219" s="269">
        <f t="shared" si="60"/>
        <v>8</v>
      </c>
      <c r="BP219" s="269">
        <f>INDEX('App Data Outliers'!$M:$M,MATCH($E219,'App Data Outliers'!$A:$A,0))</f>
        <v>71.928403166606657</v>
      </c>
      <c r="BQ219" s="269">
        <f>INDEX('App Data Outliers'!$N:$N,MATCH($E219,'App Data Outliers'!$A:$A,0))</f>
        <v>30.28616226838243</v>
      </c>
      <c r="BR219" s="269">
        <f>INDEX('App Data Outliers'!$S:$S,MATCH($E219,'App Data Outliers'!$A:$A,0))</f>
        <v>10.421419234256929</v>
      </c>
      <c r="BS219" s="269">
        <f>INDEX('App Data Outliers'!$T:$T,MATCH($E219,'App Data Outliers'!$A:$A,0))</f>
        <v>3.9940053618595535</v>
      </c>
    </row>
    <row r="220" spans="1:71" s="204" customFormat="1" hidden="1">
      <c r="A220" s="241">
        <v>216</v>
      </c>
      <c r="B220" s="241" t="str">
        <f t="shared" si="51"/>
        <v>Non-Residential - BHPSD - C/I Prescriptive Rebate</v>
      </c>
      <c r="C220" s="241" t="b">
        <f t="shared" si="52"/>
        <v>1</v>
      </c>
      <c r="D220" s="241" t="str">
        <f t="shared" si="53"/>
        <v>Non-Residential - BHPSD - C/I Prescriptive Rebate_C&amp;I Prescriptive Rebate :- C&amp;I Lighting :- Customer Incentives_LED Fixtures Exterior &amp; Garage - 25W to 60W</v>
      </c>
      <c r="E220" s="241" t="str">
        <f t="shared" si="54"/>
        <v>C&amp;I_C&amp;I Prescriptive_Lighting_LED Parking Garage/Canopy (30-75W)</v>
      </c>
      <c r="F220" s="241" t="str">
        <f>INDEX('VDSM MAPPING'!E:E,MATCH($D220,'VDSM MAPPING'!$A:$A,0))</f>
        <v>C&amp;I</v>
      </c>
      <c r="G220" s="241" t="str">
        <f>INDEX('VDSM MAPPING'!F:F,MATCH($D220,'VDSM MAPPING'!$A:$A,0))</f>
        <v>C&amp;I Prescriptive</v>
      </c>
      <c r="H220" s="241" t="str">
        <f>INDEX('VDSM MAPPING'!G:G,MATCH($D220,'VDSM MAPPING'!$A:$A,0))</f>
        <v>Lighting</v>
      </c>
      <c r="I220" s="241" t="str">
        <f>INDEX('VDSM MAPPING'!H:H,MATCH($D220,'VDSM MAPPING'!$A:$A,0))</f>
        <v>LED Parking Garage/Canopy (30-75W)</v>
      </c>
      <c r="J220" s="240">
        <f t="shared" si="55"/>
        <v>1.934167196728303</v>
      </c>
      <c r="K220" s="240">
        <f t="shared" si="56"/>
        <v>0.74402665660424805</v>
      </c>
      <c r="L220" s="240" t="b">
        <f t="shared" si="57"/>
        <v>0</v>
      </c>
      <c r="M220" s="240" t="b">
        <f t="shared" si="58"/>
        <v>0</v>
      </c>
      <c r="N220" s="204" t="s">
        <v>289</v>
      </c>
      <c r="O220" s="204" t="s">
        <v>2319</v>
      </c>
      <c r="P220" s="350">
        <v>0</v>
      </c>
      <c r="Q220" s="204" t="s">
        <v>2319</v>
      </c>
      <c r="R220" s="204" t="s">
        <v>2318</v>
      </c>
      <c r="S220" s="204" t="s">
        <v>2317</v>
      </c>
      <c r="T220" s="204" t="s">
        <v>2317</v>
      </c>
      <c r="U220" s="204" t="s">
        <v>2317</v>
      </c>
      <c r="V220" s="204" t="s">
        <v>2316</v>
      </c>
      <c r="W220" s="204" t="s">
        <v>329</v>
      </c>
      <c r="X220" s="204" t="s">
        <v>297</v>
      </c>
      <c r="Y220" s="204" t="s">
        <v>397</v>
      </c>
      <c r="Z220" s="204" t="s">
        <v>2315</v>
      </c>
      <c r="AA220" s="204" t="s">
        <v>2314</v>
      </c>
      <c r="AB220" s="204" t="s">
        <v>2313</v>
      </c>
      <c r="AC220" s="204" t="s">
        <v>2312</v>
      </c>
      <c r="AD220" s="204" t="s">
        <v>2311</v>
      </c>
      <c r="AE220" s="204" t="s">
        <v>2310</v>
      </c>
      <c r="AG220" s="204" t="s">
        <v>2129</v>
      </c>
      <c r="AH220" s="204" t="s">
        <v>2145</v>
      </c>
      <c r="AI220" s="204" t="s">
        <v>2309</v>
      </c>
      <c r="AJ220" s="204" t="s">
        <v>2126</v>
      </c>
      <c r="AX220" s="204">
        <v>1</v>
      </c>
      <c r="AY220" s="204">
        <v>0</v>
      </c>
      <c r="AZ220" s="204">
        <v>0.143766</v>
      </c>
      <c r="BB220" s="204">
        <v>735.11400000000003</v>
      </c>
      <c r="BH220" s="204">
        <v>0</v>
      </c>
      <c r="BI220" s="204">
        <v>75</v>
      </c>
      <c r="BJ220" s="204">
        <v>42836</v>
      </c>
      <c r="BK220" s="204">
        <v>42836.753146099501</v>
      </c>
      <c r="BL220" s="204" t="s">
        <v>293</v>
      </c>
      <c r="BM220" s="204" t="s">
        <v>2322</v>
      </c>
      <c r="BN220" s="269">
        <f t="shared" si="59"/>
        <v>735.11400000000003</v>
      </c>
      <c r="BO220" s="269">
        <f t="shared" si="60"/>
        <v>75</v>
      </c>
      <c r="BP220" s="269">
        <f>INDEX('App Data Outliers'!$M:$M,MATCH($E220,'App Data Outliers'!$A:$A,0))</f>
        <v>540.38278358208959</v>
      </c>
      <c r="BQ220" s="269">
        <f>INDEX('App Data Outliers'!$N:$N,MATCH($E220,'App Data Outliers'!$A:$A,0))</f>
        <v>100.67961898397597</v>
      </c>
      <c r="BR220" s="269">
        <f>INDEX('App Data Outliers'!$S:$S,MATCH($E220,'App Data Outliers'!$A:$A,0))</f>
        <v>63.736940298507463</v>
      </c>
      <c r="BS220" s="269">
        <f>INDEX('App Data Outliers'!$T:$T,MATCH($E220,'App Data Outliers'!$A:$A,0))</f>
        <v>15.137978729011348</v>
      </c>
    </row>
    <row r="221" spans="1:71" s="204" customFormat="1" hidden="1">
      <c r="A221" s="241">
        <v>217</v>
      </c>
      <c r="B221" s="241" t="str">
        <f t="shared" si="51"/>
        <v>Non-Residential - BHPSD - C/I Prescriptive Rebate</v>
      </c>
      <c r="C221" s="241" t="b">
        <f t="shared" si="52"/>
        <v>1</v>
      </c>
      <c r="D221" s="241" t="str">
        <f t="shared" si="53"/>
        <v>Non-Residential - BHPSD - C/I Prescriptive Rebate_C&amp;I Prescriptive Rebate :- C&amp;I Lighting :- Customer Incentives_LED Fixtures Exterior &amp; Garage - 60W to 150W</v>
      </c>
      <c r="E221" s="241" t="str">
        <f t="shared" si="54"/>
        <v>C&amp;I_C&amp;I Prescriptive_Lighting_LED Parking Garage/Canopy (≥75W)</v>
      </c>
      <c r="F221" s="241" t="str">
        <f>INDEX('VDSM MAPPING'!E:E,MATCH($D221,'VDSM MAPPING'!$A:$A,0))</f>
        <v>C&amp;I</v>
      </c>
      <c r="G221" s="241" t="str">
        <f>INDEX('VDSM MAPPING'!F:F,MATCH($D221,'VDSM MAPPING'!$A:$A,0))</f>
        <v>C&amp;I Prescriptive</v>
      </c>
      <c r="H221" s="241" t="str">
        <f>INDEX('VDSM MAPPING'!G:G,MATCH($D221,'VDSM MAPPING'!$A:$A,0))</f>
        <v>Lighting</v>
      </c>
      <c r="I221" s="241" t="str">
        <f>INDEX('VDSM MAPPING'!H:H,MATCH($D221,'VDSM MAPPING'!$A:$A,0))</f>
        <v>LED Parking Garage/Canopy (≥75W)</v>
      </c>
      <c r="J221" s="240">
        <f t="shared" si="55"/>
        <v>1.2498731837909414</v>
      </c>
      <c r="K221" s="240">
        <f t="shared" si="56"/>
        <v>-4.8057188404622845E-3</v>
      </c>
      <c r="L221" s="240" t="b">
        <f t="shared" si="57"/>
        <v>0</v>
      </c>
      <c r="M221" s="240" t="b">
        <f t="shared" si="58"/>
        <v>0</v>
      </c>
      <c r="N221" s="204" t="s">
        <v>289</v>
      </c>
      <c r="O221" s="204" t="s">
        <v>2319</v>
      </c>
      <c r="P221" s="350">
        <v>0</v>
      </c>
      <c r="Q221" s="204" t="s">
        <v>2319</v>
      </c>
      <c r="R221" s="204" t="s">
        <v>2318</v>
      </c>
      <c r="S221" s="204" t="s">
        <v>2317</v>
      </c>
      <c r="T221" s="204" t="s">
        <v>2317</v>
      </c>
      <c r="U221" s="204" t="s">
        <v>2317</v>
      </c>
      <c r="V221" s="204" t="s">
        <v>2316</v>
      </c>
      <c r="W221" s="204" t="s">
        <v>329</v>
      </c>
      <c r="X221" s="204" t="s">
        <v>297</v>
      </c>
      <c r="Y221" s="204" t="s">
        <v>397</v>
      </c>
      <c r="Z221" s="204" t="s">
        <v>2315</v>
      </c>
      <c r="AA221" s="204" t="s">
        <v>2314</v>
      </c>
      <c r="AB221" s="204" t="s">
        <v>2313</v>
      </c>
      <c r="AC221" s="204" t="s">
        <v>2312</v>
      </c>
      <c r="AD221" s="204" t="s">
        <v>2311</v>
      </c>
      <c r="AE221" s="204" t="s">
        <v>2310</v>
      </c>
      <c r="AG221" s="204" t="s">
        <v>2129</v>
      </c>
      <c r="AH221" s="204" t="s">
        <v>2139</v>
      </c>
      <c r="AI221" s="204" t="s">
        <v>2309</v>
      </c>
      <c r="AJ221" s="204" t="s">
        <v>2126</v>
      </c>
      <c r="AX221" s="204">
        <v>11</v>
      </c>
      <c r="AY221" s="204">
        <v>0</v>
      </c>
      <c r="AZ221" s="204">
        <v>2.9663870000000001</v>
      </c>
      <c r="BB221" s="204">
        <v>15167.933000000001</v>
      </c>
      <c r="BH221" s="204">
        <v>0</v>
      </c>
      <c r="BI221" s="204">
        <v>1100</v>
      </c>
      <c r="BJ221" s="204">
        <v>42836</v>
      </c>
      <c r="BK221" s="204">
        <v>42836.753146099501</v>
      </c>
      <c r="BL221" s="204" t="s">
        <v>293</v>
      </c>
      <c r="BM221" s="204" t="s">
        <v>2321</v>
      </c>
      <c r="BN221" s="269">
        <f t="shared" si="59"/>
        <v>1378.903</v>
      </c>
      <c r="BO221" s="269">
        <f t="shared" si="60"/>
        <v>100</v>
      </c>
      <c r="BP221" s="269">
        <f>INDEX('App Data Outliers'!$M:$M,MATCH($E221,'App Data Outliers'!$A:$A,0))</f>
        <v>1175.7261559139786</v>
      </c>
      <c r="BQ221" s="269">
        <f>INDEX('App Data Outliers'!$N:$N,MATCH($E221,'App Data Outliers'!$A:$A,0))</f>
        <v>162.55796725694501</v>
      </c>
      <c r="BR221" s="269">
        <f>INDEX('App Data Outliers'!$S:$S,MATCH($E221,'App Data Outliers'!$A:$A,0))</f>
        <v>100.15639784946237</v>
      </c>
      <c r="BS221" s="269">
        <f>INDEX('App Data Outliers'!$T:$T,MATCH($E221,'App Data Outliers'!$A:$A,0))</f>
        <v>32.544111433560438</v>
      </c>
    </row>
    <row r="222" spans="1:71" s="204" customFormat="1" hidden="1">
      <c r="A222" s="241">
        <v>218</v>
      </c>
      <c r="B222" s="241" t="str">
        <f t="shared" si="51"/>
        <v>Non-Residential - BHPSD - C/I Prescriptive Rebate</v>
      </c>
      <c r="C222" s="241" t="b">
        <f t="shared" si="52"/>
        <v>1</v>
      </c>
      <c r="D222" s="241" t="str">
        <f t="shared" si="53"/>
        <v>Non-Residential - BHPSD - C/I Prescriptive Rebate_C&amp;I Prescriptive Rebate :- C&amp;I Lighting :- Customer Incentives_Energy Star LED Lamps - 5W to 10W</v>
      </c>
      <c r="E222" s="241" t="str">
        <f t="shared" si="54"/>
        <v>C&amp;I_C&amp;I Prescriptive_Lighting_Energy Star LED Lamp (5-10W)</v>
      </c>
      <c r="F222" s="241" t="str">
        <f>INDEX('VDSM MAPPING'!E:E,MATCH($D222,'VDSM MAPPING'!$A:$A,0))</f>
        <v>C&amp;I</v>
      </c>
      <c r="G222" s="241" t="str">
        <f>INDEX('VDSM MAPPING'!F:F,MATCH($D222,'VDSM MAPPING'!$A:$A,0))</f>
        <v>C&amp;I Prescriptive</v>
      </c>
      <c r="H222" s="241" t="str">
        <f>INDEX('VDSM MAPPING'!G:G,MATCH($D222,'VDSM MAPPING'!$A:$A,0))</f>
        <v>Lighting</v>
      </c>
      <c r="I222" s="241" t="str">
        <f>INDEX('VDSM MAPPING'!H:H,MATCH($D222,'VDSM MAPPING'!$A:$A,0))</f>
        <v>Energy Star LED Lamp (5-10W)</v>
      </c>
      <c r="J222" s="240">
        <f t="shared" si="55"/>
        <v>0.48253163970467655</v>
      </c>
      <c r="K222" s="240">
        <f t="shared" si="56"/>
        <v>1.7254457747214187</v>
      </c>
      <c r="L222" s="240" t="b">
        <f t="shared" si="57"/>
        <v>0</v>
      </c>
      <c r="M222" s="240" t="b">
        <f t="shared" si="58"/>
        <v>0</v>
      </c>
      <c r="N222" s="204" t="s">
        <v>289</v>
      </c>
      <c r="O222" s="204" t="s">
        <v>2319</v>
      </c>
      <c r="P222" s="350">
        <v>0</v>
      </c>
      <c r="Q222" s="204" t="s">
        <v>2319</v>
      </c>
      <c r="R222" s="204" t="s">
        <v>2318</v>
      </c>
      <c r="S222" s="204" t="s">
        <v>2317</v>
      </c>
      <c r="T222" s="204" t="s">
        <v>2317</v>
      </c>
      <c r="U222" s="204" t="s">
        <v>2317</v>
      </c>
      <c r="V222" s="204" t="s">
        <v>2316</v>
      </c>
      <c r="W222" s="204" t="s">
        <v>329</v>
      </c>
      <c r="X222" s="204" t="s">
        <v>297</v>
      </c>
      <c r="Y222" s="204" t="s">
        <v>397</v>
      </c>
      <c r="Z222" s="204" t="s">
        <v>2315</v>
      </c>
      <c r="AA222" s="204" t="s">
        <v>2314</v>
      </c>
      <c r="AB222" s="204" t="s">
        <v>2313</v>
      </c>
      <c r="AC222" s="204" t="s">
        <v>2312</v>
      </c>
      <c r="AD222" s="204" t="s">
        <v>2311</v>
      </c>
      <c r="AE222" s="204" t="s">
        <v>2310</v>
      </c>
      <c r="AG222" s="204" t="s">
        <v>2129</v>
      </c>
      <c r="AH222" s="204" t="s">
        <v>2128</v>
      </c>
      <c r="AI222" s="204" t="s">
        <v>2309</v>
      </c>
      <c r="AJ222" s="204" t="s">
        <v>2126</v>
      </c>
      <c r="AX222" s="204">
        <v>8</v>
      </c>
      <c r="AY222" s="204">
        <v>0</v>
      </c>
      <c r="AZ222" s="204">
        <v>0.21168000000000001</v>
      </c>
      <c r="BB222" s="204">
        <v>1082.376</v>
      </c>
      <c r="BH222" s="204">
        <v>0</v>
      </c>
      <c r="BI222" s="204">
        <v>68</v>
      </c>
      <c r="BJ222" s="204">
        <v>42836</v>
      </c>
      <c r="BK222" s="204">
        <v>42836.753146099501</v>
      </c>
      <c r="BL222" s="204" t="s">
        <v>293</v>
      </c>
      <c r="BM222" s="204" t="s">
        <v>2320</v>
      </c>
      <c r="BN222" s="269">
        <f t="shared" si="59"/>
        <v>135.297</v>
      </c>
      <c r="BO222" s="269">
        <f t="shared" si="60"/>
        <v>8.5</v>
      </c>
      <c r="BP222" s="269">
        <f>INDEX('App Data Outliers'!$M:$M,MATCH($E222,'App Data Outliers'!$A:$A,0))</f>
        <v>124.22266552020636</v>
      </c>
      <c r="BQ222" s="269">
        <f>INDEX('App Data Outliers'!$N:$N,MATCH($E222,'App Data Outliers'!$A:$A,0))</f>
        <v>22.950483592270654</v>
      </c>
      <c r="BR222" s="269">
        <f>INDEX('App Data Outliers'!$S:$S,MATCH($E222,'App Data Outliers'!$A:$A,0))</f>
        <v>4.8732072914875317</v>
      </c>
      <c r="BS222" s="269">
        <f>INDEX('App Data Outliers'!$T:$T,MATCH($E222,'App Data Outliers'!$A:$A,0))</f>
        <v>2.1019453416888925</v>
      </c>
    </row>
    <row r="223" spans="1:71" s="204" customFormat="1" hidden="1">
      <c r="A223" s="241">
        <v>219</v>
      </c>
      <c r="B223" s="241" t="str">
        <f t="shared" si="51"/>
        <v>Non-Residential - BHPSD - C/I Prescriptive Rebate</v>
      </c>
      <c r="C223" s="241" t="b">
        <f t="shared" si="52"/>
        <v>1</v>
      </c>
      <c r="D223" s="241" t="str">
        <f t="shared" si="53"/>
        <v>Non-Residential - BHPSD - C/I Prescriptive Rebate_C&amp;I Prescriptive Rebate :- C&amp;I Lighting :- Customer Incentives_Energy Star LED Lamps - 5W to 10W</v>
      </c>
      <c r="E223" s="241" t="str">
        <f t="shared" si="54"/>
        <v>C&amp;I_C&amp;I Prescriptive_Lighting_Energy Star LED Lamp (5-10W)</v>
      </c>
      <c r="F223" s="241" t="str">
        <f>INDEX('VDSM MAPPING'!E:E,MATCH($D223,'VDSM MAPPING'!$A:$A,0))</f>
        <v>C&amp;I</v>
      </c>
      <c r="G223" s="241" t="str">
        <f>INDEX('VDSM MAPPING'!F:F,MATCH($D223,'VDSM MAPPING'!$A:$A,0))</f>
        <v>C&amp;I Prescriptive</v>
      </c>
      <c r="H223" s="241" t="str">
        <f>INDEX('VDSM MAPPING'!G:G,MATCH($D223,'VDSM MAPPING'!$A:$A,0))</f>
        <v>Lighting</v>
      </c>
      <c r="I223" s="241" t="str">
        <f>INDEX('VDSM MAPPING'!H:H,MATCH($D223,'VDSM MAPPING'!$A:$A,0))</f>
        <v>Energy Star LED Lamp (5-10W)</v>
      </c>
      <c r="J223" s="240">
        <f t="shared" si="55"/>
        <v>0.48253163970467655</v>
      </c>
      <c r="K223" s="240">
        <f t="shared" si="56"/>
        <v>0.77394624695871317</v>
      </c>
      <c r="L223" s="240" t="b">
        <f t="shared" si="57"/>
        <v>0</v>
      </c>
      <c r="M223" s="240" t="b">
        <f t="shared" si="58"/>
        <v>0</v>
      </c>
      <c r="N223" s="204" t="s">
        <v>289</v>
      </c>
      <c r="O223" s="204" t="s">
        <v>2319</v>
      </c>
      <c r="P223" s="350">
        <v>0</v>
      </c>
      <c r="Q223" s="204" t="s">
        <v>2319</v>
      </c>
      <c r="R223" s="204" t="s">
        <v>2318</v>
      </c>
      <c r="S223" s="204" t="s">
        <v>2317</v>
      </c>
      <c r="T223" s="204" t="s">
        <v>2317</v>
      </c>
      <c r="U223" s="204" t="s">
        <v>2317</v>
      </c>
      <c r="V223" s="204" t="s">
        <v>2316</v>
      </c>
      <c r="W223" s="204" t="s">
        <v>329</v>
      </c>
      <c r="X223" s="204" t="s">
        <v>297</v>
      </c>
      <c r="Y223" s="204" t="s">
        <v>397</v>
      </c>
      <c r="Z223" s="204" t="s">
        <v>2315</v>
      </c>
      <c r="AA223" s="204" t="s">
        <v>2314</v>
      </c>
      <c r="AB223" s="204" t="s">
        <v>2313</v>
      </c>
      <c r="AC223" s="204" t="s">
        <v>2312</v>
      </c>
      <c r="AD223" s="204" t="s">
        <v>2311</v>
      </c>
      <c r="AE223" s="204" t="s">
        <v>2310</v>
      </c>
      <c r="AG223" s="204" t="s">
        <v>2129</v>
      </c>
      <c r="AH223" s="204" t="s">
        <v>2128</v>
      </c>
      <c r="AI223" s="204" t="s">
        <v>2309</v>
      </c>
      <c r="AJ223" s="204" t="s">
        <v>2126</v>
      </c>
      <c r="AX223" s="204">
        <v>12</v>
      </c>
      <c r="AY223" s="204">
        <v>0</v>
      </c>
      <c r="AZ223" s="204">
        <v>0.31752000000000002</v>
      </c>
      <c r="BB223" s="204">
        <v>1623.5640000000001</v>
      </c>
      <c r="BH223" s="204">
        <v>0</v>
      </c>
      <c r="BI223" s="204">
        <v>78</v>
      </c>
      <c r="BJ223" s="204">
        <v>42836</v>
      </c>
      <c r="BK223" s="204">
        <v>42836.753146099501</v>
      </c>
      <c r="BL223" s="204" t="s">
        <v>293</v>
      </c>
      <c r="BM223" s="204" t="s">
        <v>2308</v>
      </c>
      <c r="BN223" s="269">
        <f t="shared" si="59"/>
        <v>135.297</v>
      </c>
      <c r="BO223" s="269">
        <f t="shared" si="60"/>
        <v>6.5</v>
      </c>
      <c r="BP223" s="269">
        <f>INDEX('App Data Outliers'!$M:$M,MATCH($E223,'App Data Outliers'!$A:$A,0))</f>
        <v>124.22266552020636</v>
      </c>
      <c r="BQ223" s="269">
        <f>INDEX('App Data Outliers'!$N:$N,MATCH($E223,'App Data Outliers'!$A:$A,0))</f>
        <v>22.950483592270654</v>
      </c>
      <c r="BR223" s="269">
        <f>INDEX('App Data Outliers'!$S:$S,MATCH($E223,'App Data Outliers'!$A:$A,0))</f>
        <v>4.8732072914875317</v>
      </c>
      <c r="BS223" s="269">
        <f>INDEX('App Data Outliers'!$T:$T,MATCH($E223,'App Data Outliers'!$A:$A,0))</f>
        <v>2.1019453416888925</v>
      </c>
    </row>
    <row r="224" spans="1:71" s="204" customFormat="1" hidden="1">
      <c r="A224" s="241">
        <v>220</v>
      </c>
      <c r="B224" s="241" t="str">
        <f t="shared" si="51"/>
        <v>Non-Residential - BHPSD - C/I Prescriptive Rebate</v>
      </c>
      <c r="C224" s="241" t="b">
        <f t="shared" si="52"/>
        <v>1</v>
      </c>
      <c r="D224" s="241" t="str">
        <f t="shared" si="53"/>
        <v>Non-Residential - BHPSD - C/I Prescriptive Rebate_C&amp;I Prescriptive Rebate :- C&amp;I Lighting :- Customer Incentives_LED Fixtures Exterior &amp; Garage - 25W to 60W</v>
      </c>
      <c r="E224" s="241" t="str">
        <f t="shared" si="54"/>
        <v>C&amp;I_C&amp;I Prescriptive_Lighting_LED Parking Garage/Canopy (30-75W)</v>
      </c>
      <c r="F224" s="241" t="str">
        <f>INDEX('VDSM MAPPING'!E:E,MATCH($D224,'VDSM MAPPING'!$A:$A,0))</f>
        <v>C&amp;I</v>
      </c>
      <c r="G224" s="241" t="str">
        <f>INDEX('VDSM MAPPING'!F:F,MATCH($D224,'VDSM MAPPING'!$A:$A,0))</f>
        <v>C&amp;I Prescriptive</v>
      </c>
      <c r="H224" s="241" t="str">
        <f>INDEX('VDSM MAPPING'!G:G,MATCH($D224,'VDSM MAPPING'!$A:$A,0))</f>
        <v>Lighting</v>
      </c>
      <c r="I224" s="241" t="str">
        <f>INDEX('VDSM MAPPING'!H:H,MATCH($D224,'VDSM MAPPING'!$A:$A,0))</f>
        <v>LED Parking Garage/Canopy (30-75W)</v>
      </c>
      <c r="J224" s="240">
        <f t="shared" si="55"/>
        <v>1.9341671967283018</v>
      </c>
      <c r="K224" s="240">
        <f t="shared" si="56"/>
        <v>-2.7901307733747842</v>
      </c>
      <c r="L224" s="240" t="b">
        <f t="shared" si="57"/>
        <v>0</v>
      </c>
      <c r="M224" s="240" t="b">
        <f t="shared" si="58"/>
        <v>1</v>
      </c>
      <c r="N224" s="204" t="s">
        <v>289</v>
      </c>
      <c r="O224" s="204" t="s">
        <v>2319</v>
      </c>
      <c r="P224" s="350">
        <v>0</v>
      </c>
      <c r="Q224" s="204" t="s">
        <v>2319</v>
      </c>
      <c r="R224" s="204" t="s">
        <v>2318</v>
      </c>
      <c r="S224" s="204" t="s">
        <v>2317</v>
      </c>
      <c r="T224" s="204" t="s">
        <v>2317</v>
      </c>
      <c r="U224" s="204" t="s">
        <v>2317</v>
      </c>
      <c r="V224" s="204" t="s">
        <v>2316</v>
      </c>
      <c r="W224" s="204" t="s">
        <v>329</v>
      </c>
      <c r="X224" s="204" t="s">
        <v>297</v>
      </c>
      <c r="Y224" s="204" t="s">
        <v>397</v>
      </c>
      <c r="Z224" s="204" t="s">
        <v>2315</v>
      </c>
      <c r="AA224" s="204" t="s">
        <v>2314</v>
      </c>
      <c r="AB224" s="204" t="s">
        <v>2313</v>
      </c>
      <c r="AC224" s="204" t="s">
        <v>2312</v>
      </c>
      <c r="AD224" s="204" t="s">
        <v>2311</v>
      </c>
      <c r="AE224" s="204" t="s">
        <v>2310</v>
      </c>
      <c r="AG224" s="204" t="s">
        <v>2129</v>
      </c>
      <c r="AH224" s="204" t="s">
        <v>2145</v>
      </c>
      <c r="AI224" s="204" t="s">
        <v>2309</v>
      </c>
      <c r="AJ224" s="204" t="s">
        <v>2126</v>
      </c>
      <c r="AX224" s="204">
        <v>51</v>
      </c>
      <c r="AY224" s="204">
        <v>0</v>
      </c>
      <c r="AZ224" s="204">
        <v>7.3320660000000002</v>
      </c>
      <c r="BB224" s="204">
        <v>37490.813999999998</v>
      </c>
      <c r="BH224" s="204">
        <v>0</v>
      </c>
      <c r="BI224" s="204">
        <v>1096.5</v>
      </c>
      <c r="BJ224" s="204">
        <v>42836</v>
      </c>
      <c r="BK224" s="204">
        <v>42836.753146099501</v>
      </c>
      <c r="BL224" s="204" t="s">
        <v>293</v>
      </c>
      <c r="BM224" s="204" t="s">
        <v>2329</v>
      </c>
      <c r="BN224" s="269">
        <f t="shared" si="59"/>
        <v>735.11399999999992</v>
      </c>
      <c r="BO224" s="269">
        <f t="shared" si="60"/>
        <v>21.5</v>
      </c>
      <c r="BP224" s="269">
        <f>INDEX('App Data Outliers'!$M:$M,MATCH($E224,'App Data Outliers'!$A:$A,0))</f>
        <v>540.38278358208959</v>
      </c>
      <c r="BQ224" s="269">
        <f>INDEX('App Data Outliers'!$N:$N,MATCH($E224,'App Data Outliers'!$A:$A,0))</f>
        <v>100.67961898397597</v>
      </c>
      <c r="BR224" s="269">
        <f>INDEX('App Data Outliers'!$S:$S,MATCH($E224,'App Data Outliers'!$A:$A,0))</f>
        <v>63.736940298507463</v>
      </c>
      <c r="BS224" s="269">
        <f>INDEX('App Data Outliers'!$T:$T,MATCH($E224,'App Data Outliers'!$A:$A,0))</f>
        <v>15.137978729011348</v>
      </c>
    </row>
    <row r="225" spans="1:71" s="204" customFormat="1" hidden="1">
      <c r="A225" s="241">
        <v>221</v>
      </c>
      <c r="B225" s="241" t="str">
        <f t="shared" si="51"/>
        <v>Non-Residential - BHPSD - C/I Prescriptive Rebate</v>
      </c>
      <c r="C225" s="241" t="b">
        <f t="shared" si="52"/>
        <v>1</v>
      </c>
      <c r="D225" s="241" t="str">
        <f t="shared" si="53"/>
        <v>Non-Residential - BHPSD - C/I Prescriptive Rebate_C&amp;I Prescriptive Rebate :- C&amp;I Lighting :- Customer Incentives_LED Replacement for T8 Linear Fluorescent Lamps - 4 ft or less</v>
      </c>
      <c r="E225" s="241" t="str">
        <f t="shared" si="54"/>
        <v>C&amp;I_C&amp;I Prescriptive_Lighting_LED Linear Replacement Lamp (≤4ft)</v>
      </c>
      <c r="F225" s="241" t="str">
        <f>INDEX('VDSM MAPPING'!E:E,MATCH($D225,'VDSM MAPPING'!$A:$A,0))</f>
        <v>C&amp;I</v>
      </c>
      <c r="G225" s="241" t="str">
        <f>INDEX('VDSM MAPPING'!F:F,MATCH($D225,'VDSM MAPPING'!$A:$A,0))</f>
        <v>C&amp;I Prescriptive</v>
      </c>
      <c r="H225" s="241" t="str">
        <f>INDEX('VDSM MAPPING'!G:G,MATCH($D225,'VDSM MAPPING'!$A:$A,0))</f>
        <v>Lighting</v>
      </c>
      <c r="I225" s="241" t="str">
        <f>INDEX('VDSM MAPPING'!H:H,MATCH($D225,'VDSM MAPPING'!$A:$A,0))</f>
        <v>LED Linear Replacement Lamp (≤4ft)</v>
      </c>
      <c r="J225" s="240">
        <f t="shared" si="55"/>
        <v>-0.14129895787668634</v>
      </c>
      <c r="K225" s="240">
        <f t="shared" si="56"/>
        <v>-0.60626339097590731</v>
      </c>
      <c r="L225" s="240" t="b">
        <f t="shared" si="57"/>
        <v>0</v>
      </c>
      <c r="M225" s="240" t="b">
        <f t="shared" si="58"/>
        <v>0</v>
      </c>
      <c r="N225" s="204" t="s">
        <v>289</v>
      </c>
      <c r="O225" s="204" t="s">
        <v>2319</v>
      </c>
      <c r="P225" s="350">
        <v>0</v>
      </c>
      <c r="Q225" s="204" t="s">
        <v>2319</v>
      </c>
      <c r="R225" s="204" t="s">
        <v>2318</v>
      </c>
      <c r="S225" s="204" t="s">
        <v>2317</v>
      </c>
      <c r="T225" s="204" t="s">
        <v>2317</v>
      </c>
      <c r="U225" s="204" t="s">
        <v>2317</v>
      </c>
      <c r="V225" s="204" t="s">
        <v>2316</v>
      </c>
      <c r="W225" s="204" t="s">
        <v>329</v>
      </c>
      <c r="X225" s="204" t="s">
        <v>297</v>
      </c>
      <c r="Y225" s="204" t="s">
        <v>397</v>
      </c>
      <c r="Z225" s="204" t="s">
        <v>2315</v>
      </c>
      <c r="AA225" s="204" t="s">
        <v>2314</v>
      </c>
      <c r="AB225" s="204" t="s">
        <v>2313</v>
      </c>
      <c r="AC225" s="204" t="s">
        <v>2312</v>
      </c>
      <c r="AD225" s="204" t="s">
        <v>2311</v>
      </c>
      <c r="AE225" s="204" t="s">
        <v>2310</v>
      </c>
      <c r="AG225" s="204" t="s">
        <v>2129</v>
      </c>
      <c r="AH225" s="204" t="s">
        <v>2173</v>
      </c>
      <c r="AI225" s="204" t="s">
        <v>2309</v>
      </c>
      <c r="AJ225" s="204" t="s">
        <v>2126</v>
      </c>
      <c r="AX225" s="204">
        <v>60</v>
      </c>
      <c r="AY225" s="204">
        <v>0</v>
      </c>
      <c r="AZ225" s="204">
        <v>0.79379999999999995</v>
      </c>
      <c r="BB225" s="204">
        <v>4058.94</v>
      </c>
      <c r="BH225" s="204">
        <v>0</v>
      </c>
      <c r="BI225" s="204">
        <v>480</v>
      </c>
      <c r="BJ225" s="204">
        <v>42836</v>
      </c>
      <c r="BK225" s="204">
        <v>42836.753146099501</v>
      </c>
      <c r="BL225" s="204" t="s">
        <v>293</v>
      </c>
      <c r="BM225" s="204" t="s">
        <v>2328</v>
      </c>
      <c r="BN225" s="269">
        <f t="shared" si="59"/>
        <v>67.649000000000001</v>
      </c>
      <c r="BO225" s="269">
        <f t="shared" si="60"/>
        <v>8</v>
      </c>
      <c r="BP225" s="269">
        <f>INDEX('App Data Outliers'!$M:$M,MATCH($E225,'App Data Outliers'!$A:$A,0))</f>
        <v>71.928403166606657</v>
      </c>
      <c r="BQ225" s="269">
        <f>INDEX('App Data Outliers'!$N:$N,MATCH($E225,'App Data Outliers'!$A:$A,0))</f>
        <v>30.28616226838243</v>
      </c>
      <c r="BR225" s="269">
        <f>INDEX('App Data Outliers'!$S:$S,MATCH($E225,'App Data Outliers'!$A:$A,0))</f>
        <v>10.421419234256929</v>
      </c>
      <c r="BS225" s="269">
        <f>INDEX('App Data Outliers'!$T:$T,MATCH($E225,'App Data Outliers'!$A:$A,0))</f>
        <v>3.9940053618595535</v>
      </c>
    </row>
    <row r="226" spans="1:71" s="204" customFormat="1" hidden="1">
      <c r="A226" s="241">
        <v>222</v>
      </c>
      <c r="B226" s="241" t="str">
        <f t="shared" si="51"/>
        <v>Non-Residential - BHPSD - C/I Prescriptive Rebate</v>
      </c>
      <c r="C226" s="241" t="b">
        <f t="shared" si="52"/>
        <v>1</v>
      </c>
      <c r="D226" s="241" t="str">
        <f t="shared" si="53"/>
        <v>Non-Residential - BHPSD - C/I Prescriptive Rebate_C&amp;I Prescriptive Rebate :- C&amp;I Lighting :- Customer Incentives_LED Replacement for T8 Linear Fluorescent Lamps - 4 ft or less</v>
      </c>
      <c r="E226" s="241" t="str">
        <f t="shared" si="54"/>
        <v>C&amp;I_C&amp;I Prescriptive_Lighting_LED Linear Replacement Lamp (≤4ft)</v>
      </c>
      <c r="F226" s="241" t="str">
        <f>INDEX('VDSM MAPPING'!E:E,MATCH($D226,'VDSM MAPPING'!$A:$A,0))</f>
        <v>C&amp;I</v>
      </c>
      <c r="G226" s="241" t="str">
        <f>INDEX('VDSM MAPPING'!F:F,MATCH($D226,'VDSM MAPPING'!$A:$A,0))</f>
        <v>C&amp;I Prescriptive</v>
      </c>
      <c r="H226" s="241" t="str">
        <f>INDEX('VDSM MAPPING'!G:G,MATCH($D226,'VDSM MAPPING'!$A:$A,0))</f>
        <v>Lighting</v>
      </c>
      <c r="I226" s="241" t="str">
        <f>INDEX('VDSM MAPPING'!H:H,MATCH($D226,'VDSM MAPPING'!$A:$A,0))</f>
        <v>LED Linear Replacement Lamp (≤4ft)</v>
      </c>
      <c r="J226" s="240">
        <f t="shared" si="55"/>
        <v>-0.14129895787668634</v>
      </c>
      <c r="K226" s="240">
        <f t="shared" si="56"/>
        <v>-0.94470059311593102</v>
      </c>
      <c r="L226" s="240" t="b">
        <f t="shared" si="57"/>
        <v>0</v>
      </c>
      <c r="M226" s="240" t="b">
        <f t="shared" si="58"/>
        <v>0</v>
      </c>
      <c r="N226" s="204" t="s">
        <v>289</v>
      </c>
      <c r="O226" s="204" t="s">
        <v>2319</v>
      </c>
      <c r="P226" s="350">
        <v>0</v>
      </c>
      <c r="Q226" s="204" t="s">
        <v>2319</v>
      </c>
      <c r="R226" s="204" t="s">
        <v>2318</v>
      </c>
      <c r="S226" s="204" t="s">
        <v>2317</v>
      </c>
      <c r="T226" s="204" t="s">
        <v>2317</v>
      </c>
      <c r="U226" s="204" t="s">
        <v>2317</v>
      </c>
      <c r="V226" s="204" t="s">
        <v>2316</v>
      </c>
      <c r="W226" s="204" t="s">
        <v>329</v>
      </c>
      <c r="X226" s="204" t="s">
        <v>297</v>
      </c>
      <c r="Y226" s="204" t="s">
        <v>397</v>
      </c>
      <c r="Z226" s="204" t="s">
        <v>2315</v>
      </c>
      <c r="AA226" s="204" t="s">
        <v>2314</v>
      </c>
      <c r="AB226" s="204" t="s">
        <v>2313</v>
      </c>
      <c r="AC226" s="204" t="s">
        <v>2312</v>
      </c>
      <c r="AD226" s="204" t="s">
        <v>2311</v>
      </c>
      <c r="AE226" s="204" t="s">
        <v>2310</v>
      </c>
      <c r="AG226" s="204" t="s">
        <v>2129</v>
      </c>
      <c r="AH226" s="204" t="s">
        <v>2173</v>
      </c>
      <c r="AI226" s="204" t="s">
        <v>2309</v>
      </c>
      <c r="AJ226" s="204" t="s">
        <v>2126</v>
      </c>
      <c r="AX226" s="204">
        <v>372</v>
      </c>
      <c r="AY226" s="204">
        <v>0</v>
      </c>
      <c r="AZ226" s="204">
        <v>4.9215600000000004</v>
      </c>
      <c r="BB226" s="204">
        <v>25165.428</v>
      </c>
      <c r="BH226" s="204">
        <v>0</v>
      </c>
      <c r="BI226" s="204">
        <v>2473.1601599999999</v>
      </c>
      <c r="BJ226" s="204">
        <v>42836</v>
      </c>
      <c r="BK226" s="204">
        <v>42836.753146099501</v>
      </c>
      <c r="BL226" s="204" t="s">
        <v>293</v>
      </c>
      <c r="BM226" s="204" t="s">
        <v>2330</v>
      </c>
      <c r="BN226" s="269">
        <f t="shared" si="59"/>
        <v>67.649000000000001</v>
      </c>
      <c r="BO226" s="269">
        <f t="shared" si="60"/>
        <v>6.6482799999999997</v>
      </c>
      <c r="BP226" s="269">
        <f>INDEX('App Data Outliers'!$M:$M,MATCH($E226,'App Data Outliers'!$A:$A,0))</f>
        <v>71.928403166606657</v>
      </c>
      <c r="BQ226" s="269">
        <f>INDEX('App Data Outliers'!$N:$N,MATCH($E226,'App Data Outliers'!$A:$A,0))</f>
        <v>30.28616226838243</v>
      </c>
      <c r="BR226" s="269">
        <f>INDEX('App Data Outliers'!$S:$S,MATCH($E226,'App Data Outliers'!$A:$A,0))</f>
        <v>10.421419234256929</v>
      </c>
      <c r="BS226" s="269">
        <f>INDEX('App Data Outliers'!$T:$T,MATCH($E226,'App Data Outliers'!$A:$A,0))</f>
        <v>3.9940053618595535</v>
      </c>
    </row>
    <row r="227" spans="1:71" s="204" customFormat="1" hidden="1">
      <c r="A227" s="241">
        <v>223</v>
      </c>
      <c r="B227" s="241" t="str">
        <f t="shared" si="51"/>
        <v>Non-Residential - BHPSD - C/I Prescriptive Rebate</v>
      </c>
      <c r="C227" s="241" t="b">
        <f t="shared" si="52"/>
        <v>1</v>
      </c>
      <c r="D227" s="241" t="str">
        <f t="shared" si="53"/>
        <v>Non-Residential - BHPSD - C/I Prescriptive Rebate_C&amp;I Prescriptive Rebate :- C&amp;I Lighting :- Customer Incentives_Energy Star LED Lamps - 5W to 10W</v>
      </c>
      <c r="E227" s="241" t="str">
        <f t="shared" si="54"/>
        <v>C&amp;I_C&amp;I Prescriptive_Lighting_Energy Star LED Lamp (5-10W)</v>
      </c>
      <c r="F227" s="241" t="str">
        <f>INDEX('VDSM MAPPING'!E:E,MATCH($D227,'VDSM MAPPING'!$A:$A,0))</f>
        <v>C&amp;I</v>
      </c>
      <c r="G227" s="241" t="str">
        <f>INDEX('VDSM MAPPING'!F:F,MATCH($D227,'VDSM MAPPING'!$A:$A,0))</f>
        <v>C&amp;I Prescriptive</v>
      </c>
      <c r="H227" s="241" t="str">
        <f>INDEX('VDSM MAPPING'!G:G,MATCH($D227,'VDSM MAPPING'!$A:$A,0))</f>
        <v>Lighting</v>
      </c>
      <c r="I227" s="241" t="str">
        <f>INDEX('VDSM MAPPING'!H:H,MATCH($D227,'VDSM MAPPING'!$A:$A,0))</f>
        <v>Energy Star LED Lamp (5-10W)</v>
      </c>
      <c r="J227" s="240">
        <f t="shared" si="55"/>
        <v>0.48253163970467655</v>
      </c>
      <c r="K227" s="240">
        <f t="shared" si="56"/>
        <v>1.4875708927807423</v>
      </c>
      <c r="L227" s="240" t="b">
        <f t="shared" si="57"/>
        <v>0</v>
      </c>
      <c r="M227" s="240" t="b">
        <f t="shared" si="58"/>
        <v>0</v>
      </c>
      <c r="N227" s="204" t="s">
        <v>289</v>
      </c>
      <c r="O227" s="204" t="s">
        <v>2319</v>
      </c>
      <c r="P227" s="350">
        <v>0</v>
      </c>
      <c r="Q227" s="204" t="s">
        <v>2319</v>
      </c>
      <c r="R227" s="204" t="s">
        <v>2318</v>
      </c>
      <c r="S227" s="204" t="s">
        <v>2317</v>
      </c>
      <c r="T227" s="204" t="s">
        <v>2317</v>
      </c>
      <c r="U227" s="204" t="s">
        <v>2317</v>
      </c>
      <c r="V227" s="204" t="s">
        <v>2316</v>
      </c>
      <c r="W227" s="204" t="s">
        <v>329</v>
      </c>
      <c r="X227" s="204" t="s">
        <v>297</v>
      </c>
      <c r="Y227" s="204" t="s">
        <v>397</v>
      </c>
      <c r="Z227" s="204" t="s">
        <v>2315</v>
      </c>
      <c r="AA227" s="204" t="s">
        <v>2314</v>
      </c>
      <c r="AB227" s="204" t="s">
        <v>2313</v>
      </c>
      <c r="AC227" s="204" t="s">
        <v>2312</v>
      </c>
      <c r="AD227" s="204" t="s">
        <v>2311</v>
      </c>
      <c r="AE227" s="204" t="s">
        <v>2310</v>
      </c>
      <c r="AG227" s="204" t="s">
        <v>2129</v>
      </c>
      <c r="AH227" s="204" t="s">
        <v>2128</v>
      </c>
      <c r="AI227" s="204" t="s">
        <v>2309</v>
      </c>
      <c r="AJ227" s="204" t="s">
        <v>2126</v>
      </c>
      <c r="AX227" s="204">
        <v>28</v>
      </c>
      <c r="AY227" s="204">
        <v>0</v>
      </c>
      <c r="AZ227" s="204">
        <v>0.74087999999999998</v>
      </c>
      <c r="BB227" s="204">
        <v>3788.3159999999998</v>
      </c>
      <c r="BH227" s="204">
        <v>0</v>
      </c>
      <c r="BI227" s="204">
        <v>224</v>
      </c>
      <c r="BJ227" s="204">
        <v>42836</v>
      </c>
      <c r="BK227" s="204">
        <v>42836.753146099501</v>
      </c>
      <c r="BL227" s="204" t="s">
        <v>293</v>
      </c>
      <c r="BM227" s="204" t="s">
        <v>2326</v>
      </c>
      <c r="BN227" s="269">
        <f t="shared" si="59"/>
        <v>135.297</v>
      </c>
      <c r="BO227" s="269">
        <f t="shared" si="60"/>
        <v>8</v>
      </c>
      <c r="BP227" s="269">
        <f>INDEX('App Data Outliers'!$M:$M,MATCH($E227,'App Data Outliers'!$A:$A,0))</f>
        <v>124.22266552020636</v>
      </c>
      <c r="BQ227" s="269">
        <f>INDEX('App Data Outliers'!$N:$N,MATCH($E227,'App Data Outliers'!$A:$A,0))</f>
        <v>22.950483592270654</v>
      </c>
      <c r="BR227" s="269">
        <f>INDEX('App Data Outliers'!$S:$S,MATCH($E227,'App Data Outliers'!$A:$A,0))</f>
        <v>4.8732072914875317</v>
      </c>
      <c r="BS227" s="269">
        <f>INDEX('App Data Outliers'!$T:$T,MATCH($E227,'App Data Outliers'!$A:$A,0))</f>
        <v>2.1019453416888925</v>
      </c>
    </row>
    <row r="228" spans="1:71" s="204" customFormat="1" hidden="1">
      <c r="A228" s="241">
        <v>224</v>
      </c>
      <c r="B228" s="241" t="str">
        <f t="shared" si="51"/>
        <v>Non-Residential - BHPSD - C/I Prescriptive Rebate</v>
      </c>
      <c r="C228" s="241" t="b">
        <f t="shared" si="52"/>
        <v>1</v>
      </c>
      <c r="D228" s="241" t="str">
        <f t="shared" si="53"/>
        <v>Non-Residential - BHPSD - C/I Prescriptive Rebate_C&amp;I Prescriptive Rebate :- C&amp;I Lighting :- Customer Incentives_LED Replacement for T8 Linear Fluorescent Lamps - 4 ft or less</v>
      </c>
      <c r="E228" s="241" t="str">
        <f t="shared" si="54"/>
        <v>C&amp;I_C&amp;I Prescriptive_Lighting_LED Linear Replacement Lamp (≤4ft)</v>
      </c>
      <c r="F228" s="241" t="str">
        <f>INDEX('VDSM MAPPING'!E:E,MATCH($D228,'VDSM MAPPING'!$A:$A,0))</f>
        <v>C&amp;I</v>
      </c>
      <c r="G228" s="241" t="str">
        <f>INDEX('VDSM MAPPING'!F:F,MATCH($D228,'VDSM MAPPING'!$A:$A,0))</f>
        <v>C&amp;I Prescriptive</v>
      </c>
      <c r="H228" s="241" t="str">
        <f>INDEX('VDSM MAPPING'!G:G,MATCH($D228,'VDSM MAPPING'!$A:$A,0))</f>
        <v>Lighting</v>
      </c>
      <c r="I228" s="241" t="str">
        <f>INDEX('VDSM MAPPING'!H:H,MATCH($D228,'VDSM MAPPING'!$A:$A,0))</f>
        <v>LED Linear Replacement Lamp (≤4ft)</v>
      </c>
      <c r="J228" s="240">
        <f t="shared" si="55"/>
        <v>-0.14129895787668634</v>
      </c>
      <c r="K228" s="240">
        <f t="shared" si="56"/>
        <v>-0.60626339097590731</v>
      </c>
      <c r="L228" s="240" t="b">
        <f t="shared" si="57"/>
        <v>0</v>
      </c>
      <c r="M228" s="240" t="b">
        <f t="shared" si="58"/>
        <v>0</v>
      </c>
      <c r="N228" s="204" t="s">
        <v>289</v>
      </c>
      <c r="O228" s="204" t="s">
        <v>2319</v>
      </c>
      <c r="P228" s="350">
        <v>0</v>
      </c>
      <c r="Q228" s="204" t="s">
        <v>2319</v>
      </c>
      <c r="R228" s="204" t="s">
        <v>2318</v>
      </c>
      <c r="S228" s="204" t="s">
        <v>2317</v>
      </c>
      <c r="T228" s="204" t="s">
        <v>2317</v>
      </c>
      <c r="U228" s="204" t="s">
        <v>2317</v>
      </c>
      <c r="V228" s="204" t="s">
        <v>2316</v>
      </c>
      <c r="W228" s="204" t="s">
        <v>329</v>
      </c>
      <c r="X228" s="204" t="s">
        <v>297</v>
      </c>
      <c r="Y228" s="204" t="s">
        <v>397</v>
      </c>
      <c r="Z228" s="204" t="s">
        <v>2315</v>
      </c>
      <c r="AA228" s="204" t="s">
        <v>2314</v>
      </c>
      <c r="AB228" s="204" t="s">
        <v>2313</v>
      </c>
      <c r="AC228" s="204" t="s">
        <v>2312</v>
      </c>
      <c r="AD228" s="204" t="s">
        <v>2311</v>
      </c>
      <c r="AE228" s="204" t="s">
        <v>2310</v>
      </c>
      <c r="AG228" s="204" t="s">
        <v>2129</v>
      </c>
      <c r="AH228" s="204" t="s">
        <v>2173</v>
      </c>
      <c r="AI228" s="204" t="s">
        <v>2309</v>
      </c>
      <c r="AJ228" s="204" t="s">
        <v>2126</v>
      </c>
      <c r="AX228" s="204">
        <v>11</v>
      </c>
      <c r="AY228" s="204">
        <v>0</v>
      </c>
      <c r="AZ228" s="204">
        <v>0.14552999999999999</v>
      </c>
      <c r="BB228" s="204">
        <v>744.13900000000001</v>
      </c>
      <c r="BH228" s="204">
        <v>0</v>
      </c>
      <c r="BI228" s="204">
        <v>88</v>
      </c>
      <c r="BJ228" s="204">
        <v>42836</v>
      </c>
      <c r="BK228" s="204">
        <v>42836.753146099501</v>
      </c>
      <c r="BL228" s="204" t="s">
        <v>293</v>
      </c>
      <c r="BM228" s="204" t="s">
        <v>2327</v>
      </c>
      <c r="BN228" s="269">
        <f t="shared" si="59"/>
        <v>67.649000000000001</v>
      </c>
      <c r="BO228" s="269">
        <f t="shared" si="60"/>
        <v>8</v>
      </c>
      <c r="BP228" s="269">
        <f>INDEX('App Data Outliers'!$M:$M,MATCH($E228,'App Data Outliers'!$A:$A,0))</f>
        <v>71.928403166606657</v>
      </c>
      <c r="BQ228" s="269">
        <f>INDEX('App Data Outliers'!$N:$N,MATCH($E228,'App Data Outliers'!$A:$A,0))</f>
        <v>30.28616226838243</v>
      </c>
      <c r="BR228" s="269">
        <f>INDEX('App Data Outliers'!$S:$S,MATCH($E228,'App Data Outliers'!$A:$A,0))</f>
        <v>10.421419234256929</v>
      </c>
      <c r="BS228" s="269">
        <f>INDEX('App Data Outliers'!$T:$T,MATCH($E228,'App Data Outliers'!$A:$A,0))</f>
        <v>3.9940053618595535</v>
      </c>
    </row>
    <row r="229" spans="1:71" s="204" customFormat="1" hidden="1">
      <c r="A229" s="241">
        <v>225</v>
      </c>
      <c r="B229" s="241" t="str">
        <f t="shared" si="51"/>
        <v>Non-Residential - BHPSD - C/I Prescriptive Rebate</v>
      </c>
      <c r="C229" s="241" t="b">
        <f t="shared" si="52"/>
        <v>1</v>
      </c>
      <c r="D229" s="241" t="str">
        <f t="shared" si="53"/>
        <v>Non-Residential - BHPSD - C/I Prescriptive Rebate_C&amp;I Prescriptive Rebate :- C&amp;I Lighting :- Customer Incentives_LED Replacement for T8 Linear Fluorescent Lamps - 4 ft or less</v>
      </c>
      <c r="E229" s="241" t="str">
        <f t="shared" si="54"/>
        <v>C&amp;I_C&amp;I Prescriptive_Lighting_LED Linear Replacement Lamp (≤4ft)</v>
      </c>
      <c r="F229" s="241" t="str">
        <f>INDEX('VDSM MAPPING'!E:E,MATCH($D229,'VDSM MAPPING'!$A:$A,0))</f>
        <v>C&amp;I</v>
      </c>
      <c r="G229" s="241" t="str">
        <f>INDEX('VDSM MAPPING'!F:F,MATCH($D229,'VDSM MAPPING'!$A:$A,0))</f>
        <v>C&amp;I Prescriptive</v>
      </c>
      <c r="H229" s="241" t="str">
        <f>INDEX('VDSM MAPPING'!G:G,MATCH($D229,'VDSM MAPPING'!$A:$A,0))</f>
        <v>Lighting</v>
      </c>
      <c r="I229" s="241" t="str">
        <f>INDEX('VDSM MAPPING'!H:H,MATCH($D229,'VDSM MAPPING'!$A:$A,0))</f>
        <v>LED Linear Replacement Lamp (≤4ft)</v>
      </c>
      <c r="J229" s="240">
        <f t="shared" si="55"/>
        <v>-0.14129895787668634</v>
      </c>
      <c r="K229" s="240">
        <f t="shared" si="56"/>
        <v>-0.60626339097590731</v>
      </c>
      <c r="L229" s="240" t="b">
        <f t="shared" si="57"/>
        <v>0</v>
      </c>
      <c r="M229" s="240" t="b">
        <f t="shared" si="58"/>
        <v>0</v>
      </c>
      <c r="N229" s="204" t="s">
        <v>289</v>
      </c>
      <c r="O229" s="204" t="s">
        <v>2319</v>
      </c>
      <c r="P229" s="350">
        <v>0</v>
      </c>
      <c r="Q229" s="204" t="s">
        <v>2319</v>
      </c>
      <c r="R229" s="204" t="s">
        <v>2318</v>
      </c>
      <c r="S229" s="204" t="s">
        <v>2317</v>
      </c>
      <c r="T229" s="204" t="s">
        <v>2317</v>
      </c>
      <c r="U229" s="204" t="s">
        <v>2317</v>
      </c>
      <c r="V229" s="204" t="s">
        <v>2316</v>
      </c>
      <c r="W229" s="204" t="s">
        <v>329</v>
      </c>
      <c r="X229" s="204" t="s">
        <v>297</v>
      </c>
      <c r="Y229" s="204" t="s">
        <v>397</v>
      </c>
      <c r="Z229" s="204" t="s">
        <v>2315</v>
      </c>
      <c r="AA229" s="204" t="s">
        <v>2314</v>
      </c>
      <c r="AB229" s="204" t="s">
        <v>2313</v>
      </c>
      <c r="AC229" s="204" t="s">
        <v>2312</v>
      </c>
      <c r="AD229" s="204" t="s">
        <v>2311</v>
      </c>
      <c r="AE229" s="204" t="s">
        <v>2310</v>
      </c>
      <c r="AG229" s="204" t="s">
        <v>2129</v>
      </c>
      <c r="AH229" s="204" t="s">
        <v>2173</v>
      </c>
      <c r="AI229" s="204" t="s">
        <v>2309</v>
      </c>
      <c r="AJ229" s="204" t="s">
        <v>2126</v>
      </c>
      <c r="AX229" s="204">
        <v>1</v>
      </c>
      <c r="AY229" s="204">
        <v>0</v>
      </c>
      <c r="AZ229" s="204">
        <v>1.323E-2</v>
      </c>
      <c r="BB229" s="204">
        <v>67.649000000000001</v>
      </c>
      <c r="BH229" s="204">
        <v>0</v>
      </c>
      <c r="BI229" s="204">
        <v>8</v>
      </c>
      <c r="BJ229" s="204">
        <v>42836</v>
      </c>
      <c r="BK229" s="204">
        <v>42836.753146099501</v>
      </c>
      <c r="BL229" s="204" t="s">
        <v>293</v>
      </c>
      <c r="BM229" s="204" t="s">
        <v>2323</v>
      </c>
      <c r="BN229" s="269">
        <f t="shared" si="59"/>
        <v>67.649000000000001</v>
      </c>
      <c r="BO229" s="269">
        <f t="shared" si="60"/>
        <v>8</v>
      </c>
      <c r="BP229" s="269">
        <f>INDEX('App Data Outliers'!$M:$M,MATCH($E229,'App Data Outliers'!$A:$A,0))</f>
        <v>71.928403166606657</v>
      </c>
      <c r="BQ229" s="269">
        <f>INDEX('App Data Outliers'!$N:$N,MATCH($E229,'App Data Outliers'!$A:$A,0))</f>
        <v>30.28616226838243</v>
      </c>
      <c r="BR229" s="269">
        <f>INDEX('App Data Outliers'!$S:$S,MATCH($E229,'App Data Outliers'!$A:$A,0))</f>
        <v>10.421419234256929</v>
      </c>
      <c r="BS229" s="269">
        <f>INDEX('App Data Outliers'!$T:$T,MATCH($E229,'App Data Outliers'!$A:$A,0))</f>
        <v>3.9940053618595535</v>
      </c>
    </row>
    <row r="230" spans="1:71" s="204" customFormat="1" hidden="1">
      <c r="A230" s="241">
        <v>226</v>
      </c>
      <c r="B230" s="241" t="str">
        <f t="shared" si="51"/>
        <v>Non-Residential - BHPSD - C/I Prescriptive Rebate</v>
      </c>
      <c r="C230" s="241" t="b">
        <f t="shared" si="52"/>
        <v>1</v>
      </c>
      <c r="D230" s="241" t="str">
        <f t="shared" si="53"/>
        <v>Non-Residential - BHPSD - C/I Prescriptive Rebate_C&amp;I Prescriptive Rebate :- C&amp;I Lighting :- Customer Incentives_Energy Star LED Lamps - 10W or greater</v>
      </c>
      <c r="E230" s="241" t="str">
        <f t="shared" si="54"/>
        <v>C&amp;I_C&amp;I Prescriptive_Lighting_Energy Star LED Lamp (&gt;10W)</v>
      </c>
      <c r="F230" s="241" t="str">
        <f>INDEX('VDSM MAPPING'!E:E,MATCH($D230,'VDSM MAPPING'!$A:$A,0))</f>
        <v>C&amp;I</v>
      </c>
      <c r="G230" s="241" t="str">
        <f>INDEX('VDSM MAPPING'!F:F,MATCH($D230,'VDSM MAPPING'!$A:$A,0))</f>
        <v>C&amp;I Prescriptive</v>
      </c>
      <c r="H230" s="241" t="str">
        <f>INDEX('VDSM MAPPING'!G:G,MATCH($D230,'VDSM MAPPING'!$A:$A,0))</f>
        <v>Lighting</v>
      </c>
      <c r="I230" s="241" t="str">
        <f>INDEX('VDSM MAPPING'!H:H,MATCH($D230,'VDSM MAPPING'!$A:$A,0))</f>
        <v>Energy Star LED Lamp (&gt;10W)</v>
      </c>
      <c r="J230" s="240">
        <f t="shared" si="55"/>
        <v>-0.10579384246698066</v>
      </c>
      <c r="K230" s="240">
        <f t="shared" si="56"/>
        <v>-0.80617056819206268</v>
      </c>
      <c r="L230" s="240" t="b">
        <f t="shared" si="57"/>
        <v>0</v>
      </c>
      <c r="M230" s="240" t="b">
        <f t="shared" si="58"/>
        <v>0</v>
      </c>
      <c r="N230" s="204" t="s">
        <v>289</v>
      </c>
      <c r="O230" s="204" t="s">
        <v>2304</v>
      </c>
      <c r="P230" s="350">
        <v>1</v>
      </c>
      <c r="Q230" s="204" t="s">
        <v>2304</v>
      </c>
      <c r="R230" s="204" t="s">
        <v>2303</v>
      </c>
      <c r="S230" s="204" t="s">
        <v>2301</v>
      </c>
      <c r="T230" s="204" t="s">
        <v>2302</v>
      </c>
      <c r="U230" s="204" t="s">
        <v>2301</v>
      </c>
      <c r="V230" s="204" t="s">
        <v>2300</v>
      </c>
      <c r="W230" s="204" t="s">
        <v>329</v>
      </c>
      <c r="X230" s="204" t="s">
        <v>297</v>
      </c>
      <c r="Y230" s="204" t="s">
        <v>397</v>
      </c>
      <c r="Z230" s="204" t="s">
        <v>2299</v>
      </c>
      <c r="AA230" s="204" t="s">
        <v>2298</v>
      </c>
      <c r="AB230" s="204" t="s">
        <v>329</v>
      </c>
      <c r="AC230" s="204" t="s">
        <v>297</v>
      </c>
      <c r="AD230" s="204" t="s">
        <v>397</v>
      </c>
      <c r="AE230" s="204" t="s">
        <v>2297</v>
      </c>
      <c r="AG230" s="204" t="s">
        <v>2129</v>
      </c>
      <c r="AH230" s="204" t="s">
        <v>2166</v>
      </c>
      <c r="AI230" s="204" t="s">
        <v>2127</v>
      </c>
      <c r="AJ230" s="204" t="s">
        <v>2126</v>
      </c>
      <c r="AX230" s="204">
        <v>8</v>
      </c>
      <c r="AY230" s="204">
        <v>0</v>
      </c>
      <c r="AZ230" s="204">
        <v>0.306979</v>
      </c>
      <c r="BB230" s="204">
        <v>1438.44</v>
      </c>
      <c r="BH230" s="204">
        <v>0</v>
      </c>
      <c r="BI230" s="204">
        <v>62.56</v>
      </c>
      <c r="BJ230" s="204">
        <v>42837</v>
      </c>
      <c r="BK230" s="204">
        <v>42837.652539618102</v>
      </c>
      <c r="BL230" s="204" t="s">
        <v>293</v>
      </c>
      <c r="BM230" s="204" t="s">
        <v>2306</v>
      </c>
      <c r="BN230" s="269">
        <f t="shared" si="59"/>
        <v>179.80500000000001</v>
      </c>
      <c r="BO230" s="269">
        <f t="shared" si="60"/>
        <v>7.82</v>
      </c>
      <c r="BP230" s="269">
        <f>INDEX('App Data Outliers'!$M:$M,MATCH($E230,'App Data Outliers'!$A:$A,0))</f>
        <v>183.5885054112554</v>
      </c>
      <c r="BQ230" s="269">
        <f>INDEX('App Data Outliers'!$N:$N,MATCH($E230,'App Data Outliers'!$A:$A,0))</f>
        <v>35.763002108901198</v>
      </c>
      <c r="BR230" s="269">
        <f>INDEX('App Data Outliers'!$S:$S,MATCH($E230,'App Data Outliers'!$A:$A,0))</f>
        <v>9.5846103896103898</v>
      </c>
      <c r="BS230" s="269">
        <f>INDEX('App Data Outliers'!$T:$T,MATCH($E230,'App Data Outliers'!$A:$A,0))</f>
        <v>2.1888796977142775</v>
      </c>
    </row>
    <row r="231" spans="1:71" s="204" customFormat="1" hidden="1">
      <c r="A231" s="241">
        <v>227</v>
      </c>
      <c r="B231" s="241" t="str">
        <f t="shared" si="51"/>
        <v>Non-Residential - BHPSD - C/I Prescriptive Rebate</v>
      </c>
      <c r="C231" s="241" t="b">
        <f t="shared" si="52"/>
        <v>1</v>
      </c>
      <c r="D231" s="241" t="str">
        <f t="shared" si="53"/>
        <v>Non-Residential - BHPSD - C/I Prescriptive Rebate_C&amp;I Prescriptive Rebate :- C&amp;I Lighting :- Customer Incentives_Energy Star LED Lamps - 5W to 10W</v>
      </c>
      <c r="E231" s="241" t="str">
        <f t="shared" si="54"/>
        <v>C&amp;I_C&amp;I Prescriptive_Lighting_Energy Star LED Lamp (5-10W)</v>
      </c>
      <c r="F231" s="241" t="str">
        <f>INDEX('VDSM MAPPING'!E:E,MATCH($D231,'VDSM MAPPING'!$A:$A,0))</f>
        <v>C&amp;I</v>
      </c>
      <c r="G231" s="241" t="str">
        <f>INDEX('VDSM MAPPING'!F:F,MATCH($D231,'VDSM MAPPING'!$A:$A,0))</f>
        <v>C&amp;I Prescriptive</v>
      </c>
      <c r="H231" s="241" t="str">
        <f>INDEX('VDSM MAPPING'!G:G,MATCH($D231,'VDSM MAPPING'!$A:$A,0))</f>
        <v>Lighting</v>
      </c>
      <c r="I231" s="241" t="str">
        <f>INDEX('VDSM MAPPING'!H:H,MATCH($D231,'VDSM MAPPING'!$A:$A,0))</f>
        <v>Energy Star LED Lamp (5-10W)</v>
      </c>
      <c r="J231" s="240">
        <f t="shared" si="55"/>
        <v>-0.46455080030631873</v>
      </c>
      <c r="K231" s="240">
        <f t="shared" si="56"/>
        <v>1.4162084281985392</v>
      </c>
      <c r="L231" s="240" t="b">
        <f t="shared" si="57"/>
        <v>0</v>
      </c>
      <c r="M231" s="240" t="b">
        <f t="shared" si="58"/>
        <v>0</v>
      </c>
      <c r="N231" s="204" t="s">
        <v>289</v>
      </c>
      <c r="O231" s="204" t="s">
        <v>2304</v>
      </c>
      <c r="P231" s="350">
        <v>0</v>
      </c>
      <c r="Q231" s="204" t="s">
        <v>2304</v>
      </c>
      <c r="R231" s="204" t="s">
        <v>2303</v>
      </c>
      <c r="S231" s="204" t="s">
        <v>2301</v>
      </c>
      <c r="T231" s="204" t="s">
        <v>2302</v>
      </c>
      <c r="U231" s="204" t="s">
        <v>2301</v>
      </c>
      <c r="V231" s="204" t="s">
        <v>2300</v>
      </c>
      <c r="W231" s="204" t="s">
        <v>329</v>
      </c>
      <c r="X231" s="204" t="s">
        <v>297</v>
      </c>
      <c r="Y231" s="204" t="s">
        <v>397</v>
      </c>
      <c r="Z231" s="204" t="s">
        <v>2299</v>
      </c>
      <c r="AA231" s="204" t="s">
        <v>2298</v>
      </c>
      <c r="AB231" s="204" t="s">
        <v>329</v>
      </c>
      <c r="AC231" s="204" t="s">
        <v>297</v>
      </c>
      <c r="AD231" s="204" t="s">
        <v>397</v>
      </c>
      <c r="AE231" s="204" t="s">
        <v>2297</v>
      </c>
      <c r="AG231" s="204" t="s">
        <v>2129</v>
      </c>
      <c r="AH231" s="204" t="s">
        <v>2128</v>
      </c>
      <c r="AI231" s="204" t="s">
        <v>2127</v>
      </c>
      <c r="AJ231" s="204" t="s">
        <v>2126</v>
      </c>
      <c r="AX231" s="204">
        <v>20</v>
      </c>
      <c r="AY231" s="204">
        <v>0</v>
      </c>
      <c r="AZ231" s="204">
        <v>0.48470400000000002</v>
      </c>
      <c r="BB231" s="204">
        <v>2271.2199999999998</v>
      </c>
      <c r="BH231" s="204">
        <v>0</v>
      </c>
      <c r="BI231" s="204">
        <v>157</v>
      </c>
      <c r="BJ231" s="204">
        <v>42837</v>
      </c>
      <c r="BK231" s="204">
        <v>42837.652539618102</v>
      </c>
      <c r="BL231" s="204" t="s">
        <v>293</v>
      </c>
      <c r="BM231" s="204" t="s">
        <v>2307</v>
      </c>
      <c r="BN231" s="269">
        <f t="shared" si="59"/>
        <v>113.56099999999999</v>
      </c>
      <c r="BO231" s="269">
        <f t="shared" si="60"/>
        <v>7.85</v>
      </c>
      <c r="BP231" s="269">
        <f>INDEX('App Data Outliers'!$M:$M,MATCH($E231,'App Data Outliers'!$A:$A,0))</f>
        <v>124.22266552020636</v>
      </c>
      <c r="BQ231" s="269">
        <f>INDEX('App Data Outliers'!$N:$N,MATCH($E231,'App Data Outliers'!$A:$A,0))</f>
        <v>22.950483592270654</v>
      </c>
      <c r="BR231" s="269">
        <f>INDEX('App Data Outliers'!$S:$S,MATCH($E231,'App Data Outliers'!$A:$A,0))</f>
        <v>4.8732072914875317</v>
      </c>
      <c r="BS231" s="269">
        <f>INDEX('App Data Outliers'!$T:$T,MATCH($E231,'App Data Outliers'!$A:$A,0))</f>
        <v>2.1019453416888925</v>
      </c>
    </row>
    <row r="232" spans="1:71" s="204" customFormat="1" hidden="1">
      <c r="A232" s="241">
        <v>228</v>
      </c>
      <c r="B232" s="241" t="str">
        <f t="shared" si="51"/>
        <v>Non-Residential - BHPSD - C/I Prescriptive Rebate</v>
      </c>
      <c r="C232" s="241" t="b">
        <f t="shared" si="52"/>
        <v>1</v>
      </c>
      <c r="D232" s="241" t="str">
        <f t="shared" si="53"/>
        <v>Non-Residential - BHPSD - C/I Prescriptive Rebate_C&amp;I Prescriptive Rebate :- C&amp;I Lighting :- Customer Incentives_Energy Star LED Lamps - 10W or greater</v>
      </c>
      <c r="E232" s="241" t="str">
        <f t="shared" si="54"/>
        <v>C&amp;I_C&amp;I Prescriptive_Lighting_Energy Star LED Lamp (&gt;10W)</v>
      </c>
      <c r="F232" s="241" t="str">
        <f>INDEX('VDSM MAPPING'!E:E,MATCH($D232,'VDSM MAPPING'!$A:$A,0))</f>
        <v>C&amp;I</v>
      </c>
      <c r="G232" s="241" t="str">
        <f>INDEX('VDSM MAPPING'!F:F,MATCH($D232,'VDSM MAPPING'!$A:$A,0))</f>
        <v>C&amp;I Prescriptive</v>
      </c>
      <c r="H232" s="241" t="str">
        <f>INDEX('VDSM MAPPING'!G:G,MATCH($D232,'VDSM MAPPING'!$A:$A,0))</f>
        <v>Lighting</v>
      </c>
      <c r="I232" s="241" t="str">
        <f>INDEX('VDSM MAPPING'!H:H,MATCH($D232,'VDSM MAPPING'!$A:$A,0))</f>
        <v>Energy Star LED Lamp (&gt;10W)</v>
      </c>
      <c r="J232" s="240">
        <f t="shared" si="55"/>
        <v>-0.10579384246698066</v>
      </c>
      <c r="K232" s="240">
        <f t="shared" si="56"/>
        <v>-0.64170287251379998</v>
      </c>
      <c r="L232" s="240" t="b">
        <f t="shared" si="57"/>
        <v>0</v>
      </c>
      <c r="M232" s="240" t="b">
        <f t="shared" si="58"/>
        <v>0</v>
      </c>
      <c r="N232" s="204" t="s">
        <v>289</v>
      </c>
      <c r="O232" s="204" t="s">
        <v>2304</v>
      </c>
      <c r="P232" s="350">
        <v>0</v>
      </c>
      <c r="Q232" s="204" t="s">
        <v>2304</v>
      </c>
      <c r="R232" s="204" t="s">
        <v>2303</v>
      </c>
      <c r="S232" s="204" t="s">
        <v>2301</v>
      </c>
      <c r="T232" s="204" t="s">
        <v>2302</v>
      </c>
      <c r="U232" s="204" t="s">
        <v>2301</v>
      </c>
      <c r="V232" s="204" t="s">
        <v>2300</v>
      </c>
      <c r="W232" s="204" t="s">
        <v>329</v>
      </c>
      <c r="X232" s="204" t="s">
        <v>297</v>
      </c>
      <c r="Y232" s="204" t="s">
        <v>397</v>
      </c>
      <c r="Z232" s="204" t="s">
        <v>2299</v>
      </c>
      <c r="AA232" s="204" t="s">
        <v>2298</v>
      </c>
      <c r="AB232" s="204" t="s">
        <v>329</v>
      </c>
      <c r="AC232" s="204" t="s">
        <v>297</v>
      </c>
      <c r="AD232" s="204" t="s">
        <v>397</v>
      </c>
      <c r="AE232" s="204" t="s">
        <v>2297</v>
      </c>
      <c r="AG232" s="204" t="s">
        <v>2129</v>
      </c>
      <c r="AH232" s="204" t="s">
        <v>2166</v>
      </c>
      <c r="AI232" s="204" t="s">
        <v>2127</v>
      </c>
      <c r="AJ232" s="204" t="s">
        <v>2126</v>
      </c>
      <c r="AX232" s="204">
        <v>128</v>
      </c>
      <c r="AY232" s="204">
        <v>0</v>
      </c>
      <c r="AZ232" s="204">
        <v>4.9116669999999996</v>
      </c>
      <c r="BB232" s="204">
        <v>23015.040000000001</v>
      </c>
      <c r="BH232" s="204">
        <v>0</v>
      </c>
      <c r="BI232" s="204">
        <v>1047.04</v>
      </c>
      <c r="BJ232" s="204">
        <v>42837</v>
      </c>
      <c r="BK232" s="204">
        <v>42837.652539618102</v>
      </c>
      <c r="BL232" s="204" t="s">
        <v>293</v>
      </c>
      <c r="BM232" s="204" t="s">
        <v>2305</v>
      </c>
      <c r="BN232" s="269">
        <f t="shared" si="59"/>
        <v>179.80500000000001</v>
      </c>
      <c r="BO232" s="269">
        <f t="shared" si="60"/>
        <v>8.18</v>
      </c>
      <c r="BP232" s="269">
        <f>INDEX('App Data Outliers'!$M:$M,MATCH($E232,'App Data Outliers'!$A:$A,0))</f>
        <v>183.5885054112554</v>
      </c>
      <c r="BQ232" s="269">
        <f>INDEX('App Data Outliers'!$N:$N,MATCH($E232,'App Data Outliers'!$A:$A,0))</f>
        <v>35.763002108901198</v>
      </c>
      <c r="BR232" s="269">
        <f>INDEX('App Data Outliers'!$S:$S,MATCH($E232,'App Data Outliers'!$A:$A,0))</f>
        <v>9.5846103896103898</v>
      </c>
      <c r="BS232" s="269">
        <f>INDEX('App Data Outliers'!$T:$T,MATCH($E232,'App Data Outliers'!$A:$A,0))</f>
        <v>2.1888796977142775</v>
      </c>
    </row>
    <row r="233" spans="1:71" s="204" customFormat="1" hidden="1">
      <c r="A233" s="241">
        <v>229</v>
      </c>
      <c r="B233" s="241" t="str">
        <f t="shared" si="51"/>
        <v>Non-Residential - BHPSD - C/I Prescriptive Rebate</v>
      </c>
      <c r="C233" s="241" t="b">
        <f t="shared" si="52"/>
        <v>1</v>
      </c>
      <c r="D233" s="241" t="str">
        <f t="shared" si="53"/>
        <v>Non-Residential - BHPSD - C/I Prescriptive Rebate_C&amp;I Prescriptive Rebate :- C&amp;I Lighting :- Customer Incentives_Energy Star LED Lamps - 5W to 10W</v>
      </c>
      <c r="E233" s="241" t="str">
        <f t="shared" si="54"/>
        <v>C&amp;I_C&amp;I Prescriptive_Lighting_Energy Star LED Lamp (5-10W)</v>
      </c>
      <c r="F233" s="241" t="str">
        <f>INDEX('VDSM MAPPING'!E:E,MATCH($D233,'VDSM MAPPING'!$A:$A,0))</f>
        <v>C&amp;I</v>
      </c>
      <c r="G233" s="241" t="str">
        <f>INDEX('VDSM MAPPING'!F:F,MATCH($D233,'VDSM MAPPING'!$A:$A,0))</f>
        <v>C&amp;I Prescriptive</v>
      </c>
      <c r="H233" s="241" t="str">
        <f>INDEX('VDSM MAPPING'!G:G,MATCH($D233,'VDSM MAPPING'!$A:$A,0))</f>
        <v>Lighting</v>
      </c>
      <c r="I233" s="241" t="str">
        <f>INDEX('VDSM MAPPING'!H:H,MATCH($D233,'VDSM MAPPING'!$A:$A,0))</f>
        <v>Energy Star LED Lamp (5-10W)</v>
      </c>
      <c r="J233" s="240">
        <f t="shared" si="55"/>
        <v>-0.46455080030631873</v>
      </c>
      <c r="K233" s="240">
        <f t="shared" si="56"/>
        <v>1.4162084281985392</v>
      </c>
      <c r="L233" s="240" t="b">
        <f t="shared" si="57"/>
        <v>0</v>
      </c>
      <c r="M233" s="240" t="b">
        <f t="shared" si="58"/>
        <v>0</v>
      </c>
      <c r="N233" s="204" t="s">
        <v>289</v>
      </c>
      <c r="O233" s="204" t="s">
        <v>2304</v>
      </c>
      <c r="P233" s="350">
        <v>0</v>
      </c>
      <c r="Q233" s="204" t="s">
        <v>2304</v>
      </c>
      <c r="R233" s="204" t="s">
        <v>2303</v>
      </c>
      <c r="S233" s="204" t="s">
        <v>2301</v>
      </c>
      <c r="T233" s="204" t="s">
        <v>2302</v>
      </c>
      <c r="U233" s="204" t="s">
        <v>2301</v>
      </c>
      <c r="V233" s="204" t="s">
        <v>2300</v>
      </c>
      <c r="W233" s="204" t="s">
        <v>329</v>
      </c>
      <c r="X233" s="204" t="s">
        <v>297</v>
      </c>
      <c r="Y233" s="204" t="s">
        <v>397</v>
      </c>
      <c r="Z233" s="204" t="s">
        <v>2299</v>
      </c>
      <c r="AA233" s="204" t="s">
        <v>2298</v>
      </c>
      <c r="AB233" s="204" t="s">
        <v>329</v>
      </c>
      <c r="AC233" s="204" t="s">
        <v>297</v>
      </c>
      <c r="AD233" s="204" t="s">
        <v>397</v>
      </c>
      <c r="AE233" s="204" t="s">
        <v>2297</v>
      </c>
      <c r="AG233" s="204" t="s">
        <v>2129</v>
      </c>
      <c r="AH233" s="204" t="s">
        <v>2128</v>
      </c>
      <c r="AI233" s="204" t="s">
        <v>2127</v>
      </c>
      <c r="AJ233" s="204" t="s">
        <v>2126</v>
      </c>
      <c r="AX233" s="204">
        <v>20</v>
      </c>
      <c r="AY233" s="204">
        <v>0</v>
      </c>
      <c r="AZ233" s="204">
        <v>0.48470400000000002</v>
      </c>
      <c r="BB233" s="204">
        <v>2271.2199999999998</v>
      </c>
      <c r="BH233" s="204">
        <v>0</v>
      </c>
      <c r="BI233" s="204">
        <v>157</v>
      </c>
      <c r="BJ233" s="204">
        <v>42837</v>
      </c>
      <c r="BK233" s="204">
        <v>42837.652539618102</v>
      </c>
      <c r="BL233" s="204" t="s">
        <v>293</v>
      </c>
      <c r="BM233" s="204" t="s">
        <v>2296</v>
      </c>
      <c r="BN233" s="269">
        <f t="shared" si="59"/>
        <v>113.56099999999999</v>
      </c>
      <c r="BO233" s="269">
        <f t="shared" si="60"/>
        <v>7.85</v>
      </c>
      <c r="BP233" s="269">
        <f>INDEX('App Data Outliers'!$M:$M,MATCH($E233,'App Data Outliers'!$A:$A,0))</f>
        <v>124.22266552020636</v>
      </c>
      <c r="BQ233" s="269">
        <f>INDEX('App Data Outliers'!$N:$N,MATCH($E233,'App Data Outliers'!$A:$A,0))</f>
        <v>22.950483592270654</v>
      </c>
      <c r="BR233" s="269">
        <f>INDEX('App Data Outliers'!$S:$S,MATCH($E233,'App Data Outliers'!$A:$A,0))</f>
        <v>4.8732072914875317</v>
      </c>
      <c r="BS233" s="269">
        <f>INDEX('App Data Outliers'!$T:$T,MATCH($E233,'App Data Outliers'!$A:$A,0))</f>
        <v>2.1019453416888925</v>
      </c>
    </row>
    <row r="234" spans="1:71" s="204" customFormat="1" hidden="1">
      <c r="A234" s="241">
        <v>230</v>
      </c>
      <c r="B234" s="241" t="str">
        <f t="shared" si="51"/>
        <v>Non-Residential - BHPSD - C/I Prescriptive Rebate</v>
      </c>
      <c r="C234" s="241" t="b">
        <f t="shared" si="52"/>
        <v>1</v>
      </c>
      <c r="D234" s="241" t="str">
        <f t="shared" si="53"/>
        <v>Non-Residential - BHPSD - C/I Prescriptive Rebate_C&amp;I Prescriptive Rebate :- C&amp;I Lighting :- Customer Incentives_Energy Star LED Lamps - 10W or greater</v>
      </c>
      <c r="E234" s="241" t="str">
        <f t="shared" si="54"/>
        <v>C&amp;I_C&amp;I Prescriptive_Lighting_Energy Star LED Lamp (&gt;10W)</v>
      </c>
      <c r="F234" s="241" t="str">
        <f>INDEX('VDSM MAPPING'!E:E,MATCH($D234,'VDSM MAPPING'!$A:$A,0))</f>
        <v>C&amp;I</v>
      </c>
      <c r="G234" s="241" t="str">
        <f>INDEX('VDSM MAPPING'!F:F,MATCH($D234,'VDSM MAPPING'!$A:$A,0))</f>
        <v>C&amp;I Prescriptive</v>
      </c>
      <c r="H234" s="241" t="str">
        <f>INDEX('VDSM MAPPING'!G:G,MATCH($D234,'VDSM MAPPING'!$A:$A,0))</f>
        <v>Lighting</v>
      </c>
      <c r="I234" s="241" t="str">
        <f>INDEX('VDSM MAPPING'!H:H,MATCH($D234,'VDSM MAPPING'!$A:$A,0))</f>
        <v>Energy Star LED Lamp (&gt;10W)</v>
      </c>
      <c r="J234" s="240">
        <f t="shared" si="55"/>
        <v>-0.73672521481907827</v>
      </c>
      <c r="K234" s="240">
        <f t="shared" si="56"/>
        <v>1.3319094756253556</v>
      </c>
      <c r="L234" s="240" t="b">
        <f t="shared" si="57"/>
        <v>0</v>
      </c>
      <c r="M234" s="240" t="b">
        <f t="shared" si="58"/>
        <v>0</v>
      </c>
      <c r="N234" s="204" t="s">
        <v>289</v>
      </c>
      <c r="O234" s="204" t="s">
        <v>2294</v>
      </c>
      <c r="P234" s="350">
        <v>1</v>
      </c>
      <c r="Q234" s="204" t="s">
        <v>2294</v>
      </c>
      <c r="R234" s="204" t="s">
        <v>2293</v>
      </c>
      <c r="S234" s="204" t="s">
        <v>2292</v>
      </c>
      <c r="T234" s="204" t="s">
        <v>2292</v>
      </c>
      <c r="U234" s="204" t="s">
        <v>2292</v>
      </c>
      <c r="V234" s="204" t="s">
        <v>2291</v>
      </c>
      <c r="W234" s="204" t="s">
        <v>329</v>
      </c>
      <c r="X234" s="204" t="s">
        <v>297</v>
      </c>
      <c r="Y234" s="204" t="s">
        <v>328</v>
      </c>
      <c r="Z234" s="204" t="s">
        <v>2211</v>
      </c>
      <c r="AA234" s="204" t="s">
        <v>2210</v>
      </c>
      <c r="AB234" s="204" t="s">
        <v>298</v>
      </c>
      <c r="AC234" s="204" t="s">
        <v>297</v>
      </c>
      <c r="AD234" s="204" t="s">
        <v>296</v>
      </c>
      <c r="AE234" s="204" t="s">
        <v>2209</v>
      </c>
      <c r="AF234" s="204" t="s">
        <v>2208</v>
      </c>
      <c r="AG234" s="204" t="s">
        <v>2129</v>
      </c>
      <c r="AH234" s="204" t="s">
        <v>2166</v>
      </c>
      <c r="AI234" s="204" t="s">
        <v>2202</v>
      </c>
      <c r="AJ234" s="204" t="s">
        <v>2126</v>
      </c>
      <c r="AX234" s="204">
        <v>1</v>
      </c>
      <c r="AY234" s="204">
        <v>0</v>
      </c>
      <c r="AZ234" s="204">
        <v>3.5362999999999999E-2</v>
      </c>
      <c r="BB234" s="204">
        <v>157.24100000000001</v>
      </c>
      <c r="BH234" s="204">
        <v>0</v>
      </c>
      <c r="BI234" s="204">
        <v>12.5</v>
      </c>
      <c r="BJ234" s="204">
        <v>42838</v>
      </c>
      <c r="BK234" s="204">
        <v>42838.684498611103</v>
      </c>
      <c r="BL234" s="204" t="s">
        <v>293</v>
      </c>
      <c r="BM234" s="204" t="s">
        <v>2295</v>
      </c>
      <c r="BN234" s="269">
        <f t="shared" si="59"/>
        <v>157.24100000000001</v>
      </c>
      <c r="BO234" s="269">
        <f t="shared" si="60"/>
        <v>12.5</v>
      </c>
      <c r="BP234" s="269">
        <f>INDEX('App Data Outliers'!$M:$M,MATCH($E234,'App Data Outliers'!$A:$A,0))</f>
        <v>183.5885054112554</v>
      </c>
      <c r="BQ234" s="269">
        <f>INDEX('App Data Outliers'!$N:$N,MATCH($E234,'App Data Outliers'!$A:$A,0))</f>
        <v>35.763002108901198</v>
      </c>
      <c r="BR234" s="269">
        <f>INDEX('App Data Outliers'!$S:$S,MATCH($E234,'App Data Outliers'!$A:$A,0))</f>
        <v>9.5846103896103898</v>
      </c>
      <c r="BS234" s="269">
        <f>INDEX('App Data Outliers'!$T:$T,MATCH($E234,'App Data Outliers'!$A:$A,0))</f>
        <v>2.1888796977142775</v>
      </c>
    </row>
    <row r="235" spans="1:71" s="204" customFormat="1" hidden="1">
      <c r="A235" s="241">
        <v>231</v>
      </c>
      <c r="B235" s="241" t="str">
        <f t="shared" si="51"/>
        <v>Non-Residential - BHPSD - C/I Prescriptive Rebate</v>
      </c>
      <c r="C235" s="241" t="b">
        <f t="shared" si="52"/>
        <v>1</v>
      </c>
      <c r="D235" s="241" t="str">
        <f t="shared" si="53"/>
        <v>Non-Residential - BHPSD - C/I Prescriptive Rebate_C&amp;I Prescriptive Rebate :- C&amp;I Lighting :- Customer Incentives_LED Replacement for T12 Linear Fluorescent Lamps - 4 ft or less</v>
      </c>
      <c r="E235" s="241" t="str">
        <f t="shared" si="54"/>
        <v>C&amp;I_C&amp;I Prescriptive_Lighting_LED Linear Replacement Lamp (≤4ft)</v>
      </c>
      <c r="F235" s="241" t="str">
        <f>INDEX('VDSM MAPPING'!E:E,MATCH($D235,'VDSM MAPPING'!$A:$A,0))</f>
        <v>C&amp;I</v>
      </c>
      <c r="G235" s="241" t="str">
        <f>INDEX('VDSM MAPPING'!F:F,MATCH($D235,'VDSM MAPPING'!$A:$A,0))</f>
        <v>C&amp;I Prescriptive</v>
      </c>
      <c r="H235" s="241" t="str">
        <f>INDEX('VDSM MAPPING'!G:G,MATCH($D235,'VDSM MAPPING'!$A:$A,0))</f>
        <v>Lighting</v>
      </c>
      <c r="I235" s="241" t="str">
        <f>INDEX('VDSM MAPPING'!H:H,MATCH($D235,'VDSM MAPPING'!$A:$A,0))</f>
        <v>LED Linear Replacement Lamp (≤4ft)</v>
      </c>
      <c r="J235" s="240">
        <f t="shared" si="55"/>
        <v>0.90409595612510674</v>
      </c>
      <c r="K235" s="240">
        <f t="shared" si="56"/>
        <v>1.3967384267971441</v>
      </c>
      <c r="L235" s="240" t="b">
        <f t="shared" si="57"/>
        <v>0</v>
      </c>
      <c r="M235" s="240" t="b">
        <f t="shared" si="58"/>
        <v>0</v>
      </c>
      <c r="N235" s="204" t="s">
        <v>289</v>
      </c>
      <c r="O235" s="204" t="s">
        <v>2294</v>
      </c>
      <c r="P235" s="350">
        <v>0</v>
      </c>
      <c r="Q235" s="204" t="s">
        <v>2294</v>
      </c>
      <c r="R235" s="204" t="s">
        <v>2293</v>
      </c>
      <c r="S235" s="204" t="s">
        <v>2292</v>
      </c>
      <c r="T235" s="204" t="s">
        <v>2292</v>
      </c>
      <c r="U235" s="204" t="s">
        <v>2292</v>
      </c>
      <c r="V235" s="204" t="s">
        <v>2291</v>
      </c>
      <c r="W235" s="204" t="s">
        <v>329</v>
      </c>
      <c r="X235" s="204" t="s">
        <v>297</v>
      </c>
      <c r="Y235" s="204" t="s">
        <v>328</v>
      </c>
      <c r="Z235" s="204" t="s">
        <v>2211</v>
      </c>
      <c r="AA235" s="204" t="s">
        <v>2210</v>
      </c>
      <c r="AB235" s="204" t="s">
        <v>298</v>
      </c>
      <c r="AC235" s="204" t="s">
        <v>297</v>
      </c>
      <c r="AD235" s="204" t="s">
        <v>296</v>
      </c>
      <c r="AE235" s="204" t="s">
        <v>2209</v>
      </c>
      <c r="AF235" s="204" t="s">
        <v>2208</v>
      </c>
      <c r="AG235" s="204" t="s">
        <v>2129</v>
      </c>
      <c r="AH235" s="204" t="s">
        <v>2147</v>
      </c>
      <c r="AI235" s="204" t="s">
        <v>2202</v>
      </c>
      <c r="AJ235" s="204" t="s">
        <v>2126</v>
      </c>
      <c r="AX235" s="204">
        <v>96</v>
      </c>
      <c r="AY235" s="204">
        <v>0</v>
      </c>
      <c r="AZ235" s="204">
        <v>2.1441020000000002</v>
      </c>
      <c r="BB235" s="204">
        <v>9533.76</v>
      </c>
      <c r="BH235" s="204">
        <v>0</v>
      </c>
      <c r="BI235" s="204">
        <v>1536</v>
      </c>
      <c r="BJ235" s="204">
        <v>42838</v>
      </c>
      <c r="BK235" s="204">
        <v>42838.684498611103</v>
      </c>
      <c r="BL235" s="204" t="s">
        <v>293</v>
      </c>
      <c r="BM235" s="204" t="s">
        <v>2290</v>
      </c>
      <c r="BN235" s="269">
        <f t="shared" si="59"/>
        <v>99.31</v>
      </c>
      <c r="BO235" s="269">
        <f t="shared" si="60"/>
        <v>16</v>
      </c>
      <c r="BP235" s="269">
        <f>INDEX('App Data Outliers'!$M:$M,MATCH($E235,'App Data Outliers'!$A:$A,0))</f>
        <v>71.928403166606657</v>
      </c>
      <c r="BQ235" s="269">
        <f>INDEX('App Data Outliers'!$N:$N,MATCH($E235,'App Data Outliers'!$A:$A,0))</f>
        <v>30.28616226838243</v>
      </c>
      <c r="BR235" s="269">
        <f>INDEX('App Data Outliers'!$S:$S,MATCH($E235,'App Data Outliers'!$A:$A,0))</f>
        <v>10.421419234256929</v>
      </c>
      <c r="BS235" s="269">
        <f>INDEX('App Data Outliers'!$T:$T,MATCH($E235,'App Data Outliers'!$A:$A,0))</f>
        <v>3.9940053618595535</v>
      </c>
    </row>
    <row r="236" spans="1:71" s="204" customFormat="1" hidden="1">
      <c r="A236" s="241">
        <v>232</v>
      </c>
      <c r="B236" s="241" t="str">
        <f t="shared" si="51"/>
        <v>Non-Residential - BHPSD - C/I Prescriptive Rebate</v>
      </c>
      <c r="C236" s="241" t="b">
        <f t="shared" si="52"/>
        <v>1</v>
      </c>
      <c r="D236" s="241" t="str">
        <f t="shared" si="53"/>
        <v>Non-Residential - BHPSD - C/I Prescriptive Rebate_C&amp;I Prescriptive Rebate :- C&amp;I Lighting :- Customer Incentives_Energy Star LED Lamps - 10W or greater</v>
      </c>
      <c r="E236" s="241" t="str">
        <f t="shared" si="54"/>
        <v>C&amp;I_C&amp;I Prescriptive_Lighting_Energy Star LED Lamp (&gt;10W)</v>
      </c>
      <c r="F236" s="241" t="str">
        <f>INDEX('VDSM MAPPING'!E:E,MATCH($D236,'VDSM MAPPING'!$A:$A,0))</f>
        <v>C&amp;I</v>
      </c>
      <c r="G236" s="241" t="str">
        <f>INDEX('VDSM MAPPING'!F:F,MATCH($D236,'VDSM MAPPING'!$A:$A,0))</f>
        <v>C&amp;I Prescriptive</v>
      </c>
      <c r="H236" s="241" t="str">
        <f>INDEX('VDSM MAPPING'!G:G,MATCH($D236,'VDSM MAPPING'!$A:$A,0))</f>
        <v>Lighting</v>
      </c>
      <c r="I236" s="241" t="str">
        <f>INDEX('VDSM MAPPING'!H:H,MATCH($D236,'VDSM MAPPING'!$A:$A,0))</f>
        <v>Energy Star LED Lamp (&gt;10W)</v>
      </c>
      <c r="J236" s="240">
        <f t="shared" si="55"/>
        <v>-0.10579384246698145</v>
      </c>
      <c r="K236" s="240">
        <f t="shared" si="56"/>
        <v>1.3319094756253556</v>
      </c>
      <c r="L236" s="240" t="b">
        <f t="shared" si="57"/>
        <v>0</v>
      </c>
      <c r="M236" s="240" t="b">
        <f t="shared" si="58"/>
        <v>0</v>
      </c>
      <c r="N236" s="204" t="s">
        <v>289</v>
      </c>
      <c r="O236" s="204" t="s">
        <v>2288</v>
      </c>
      <c r="P236" s="350">
        <v>1</v>
      </c>
      <c r="Q236" s="204" t="s">
        <v>2288</v>
      </c>
      <c r="R236" s="204" t="s">
        <v>2287</v>
      </c>
      <c r="S236" s="204" t="s">
        <v>2213</v>
      </c>
      <c r="T236" s="204" t="s">
        <v>2213</v>
      </c>
      <c r="U236" s="204" t="s">
        <v>2213</v>
      </c>
      <c r="V236" s="204" t="s">
        <v>2286</v>
      </c>
      <c r="W236" s="204" t="s">
        <v>329</v>
      </c>
      <c r="X236" s="204" t="s">
        <v>297</v>
      </c>
      <c r="Y236" s="204" t="s">
        <v>397</v>
      </c>
      <c r="Z236" s="204" t="s">
        <v>2211</v>
      </c>
      <c r="AA236" s="204" t="s">
        <v>2210</v>
      </c>
      <c r="AB236" s="204" t="s">
        <v>298</v>
      </c>
      <c r="AC236" s="204" t="s">
        <v>297</v>
      </c>
      <c r="AD236" s="204" t="s">
        <v>296</v>
      </c>
      <c r="AE236" s="204" t="s">
        <v>2209</v>
      </c>
      <c r="AF236" s="204" t="s">
        <v>2208</v>
      </c>
      <c r="AG236" s="204" t="s">
        <v>2129</v>
      </c>
      <c r="AH236" s="204" t="s">
        <v>2166</v>
      </c>
      <c r="AI236" s="204" t="s">
        <v>2127</v>
      </c>
      <c r="AJ236" s="204" t="s">
        <v>2126</v>
      </c>
      <c r="AX236" s="204">
        <v>9</v>
      </c>
      <c r="AY236" s="204">
        <v>0</v>
      </c>
      <c r="AZ236" s="204">
        <v>0.34535199999999999</v>
      </c>
      <c r="BB236" s="204">
        <v>1618.2449999999999</v>
      </c>
      <c r="BH236" s="204">
        <v>0</v>
      </c>
      <c r="BI236" s="204">
        <v>112.5</v>
      </c>
      <c r="BJ236" s="204">
        <v>42839</v>
      </c>
      <c r="BK236" s="204">
        <v>42839.452269097201</v>
      </c>
      <c r="BL236" s="204" t="s">
        <v>293</v>
      </c>
      <c r="BM236" s="204" t="s">
        <v>2289</v>
      </c>
      <c r="BN236" s="269">
        <f t="shared" si="59"/>
        <v>179.80499999999998</v>
      </c>
      <c r="BO236" s="269">
        <f t="shared" si="60"/>
        <v>12.5</v>
      </c>
      <c r="BP236" s="269">
        <f>INDEX('App Data Outliers'!$M:$M,MATCH($E236,'App Data Outliers'!$A:$A,0))</f>
        <v>183.5885054112554</v>
      </c>
      <c r="BQ236" s="269">
        <f>INDEX('App Data Outliers'!$N:$N,MATCH($E236,'App Data Outliers'!$A:$A,0))</f>
        <v>35.763002108901198</v>
      </c>
      <c r="BR236" s="269">
        <f>INDEX('App Data Outliers'!$S:$S,MATCH($E236,'App Data Outliers'!$A:$A,0))</f>
        <v>9.5846103896103898</v>
      </c>
      <c r="BS236" s="269">
        <f>INDEX('App Data Outliers'!$T:$T,MATCH($E236,'App Data Outliers'!$A:$A,0))</f>
        <v>2.1888796977142775</v>
      </c>
    </row>
    <row r="237" spans="1:71" s="204" customFormat="1" hidden="1">
      <c r="A237" s="241">
        <v>233</v>
      </c>
      <c r="B237" s="241" t="str">
        <f t="shared" si="51"/>
        <v>Non-Residential - BHPSD - C/I Prescriptive Rebate</v>
      </c>
      <c r="C237" s="241" t="b">
        <f t="shared" si="52"/>
        <v>1</v>
      </c>
      <c r="D237" s="241" t="str">
        <f t="shared" si="53"/>
        <v>Non-Residential - BHPSD - C/I Prescriptive Rebate_C&amp;I Prescriptive Rebate :- C&amp;I Lighting :- Customer Incentives_LED Replacement for T8 Linear Fluorescent Lamps - 4 ft or less</v>
      </c>
      <c r="E237" s="241" t="str">
        <f t="shared" si="54"/>
        <v>C&amp;I_C&amp;I Prescriptive_Lighting_LED Linear Replacement Lamp (≤4ft)</v>
      </c>
      <c r="F237" s="241" t="str">
        <f>INDEX('VDSM MAPPING'!E:E,MATCH($D237,'VDSM MAPPING'!$A:$A,0))</f>
        <v>C&amp;I</v>
      </c>
      <c r="G237" s="241" t="str">
        <f>INDEX('VDSM MAPPING'!F:F,MATCH($D237,'VDSM MAPPING'!$A:$A,0))</f>
        <v>C&amp;I Prescriptive</v>
      </c>
      <c r="H237" s="241" t="str">
        <f>INDEX('VDSM MAPPING'!G:G,MATCH($D237,'VDSM MAPPING'!$A:$A,0))</f>
        <v>Lighting</v>
      </c>
      <c r="I237" s="241" t="str">
        <f>INDEX('VDSM MAPPING'!H:H,MATCH($D237,'VDSM MAPPING'!$A:$A,0))</f>
        <v>LED Linear Replacement Lamp (≤4ft)</v>
      </c>
      <c r="J237" s="240">
        <f t="shared" si="55"/>
        <v>-0.50014270650659343</v>
      </c>
      <c r="K237" s="240">
        <f t="shared" si="56"/>
        <v>-0.60626339097590731</v>
      </c>
      <c r="L237" s="240" t="b">
        <f t="shared" si="57"/>
        <v>0</v>
      </c>
      <c r="M237" s="240" t="b">
        <f t="shared" si="58"/>
        <v>0</v>
      </c>
      <c r="N237" s="204" t="s">
        <v>289</v>
      </c>
      <c r="O237" s="204" t="s">
        <v>2288</v>
      </c>
      <c r="P237" s="350">
        <v>0</v>
      </c>
      <c r="Q237" s="204" t="s">
        <v>2288</v>
      </c>
      <c r="R237" s="204" t="s">
        <v>2287</v>
      </c>
      <c r="S237" s="204" t="s">
        <v>2213</v>
      </c>
      <c r="T237" s="204" t="s">
        <v>2213</v>
      </c>
      <c r="U237" s="204" t="s">
        <v>2213</v>
      </c>
      <c r="V237" s="204" t="s">
        <v>2286</v>
      </c>
      <c r="W237" s="204" t="s">
        <v>329</v>
      </c>
      <c r="X237" s="204" t="s">
        <v>297</v>
      </c>
      <c r="Y237" s="204" t="s">
        <v>397</v>
      </c>
      <c r="Z237" s="204" t="s">
        <v>2211</v>
      </c>
      <c r="AA237" s="204" t="s">
        <v>2210</v>
      </c>
      <c r="AB237" s="204" t="s">
        <v>298</v>
      </c>
      <c r="AC237" s="204" t="s">
        <v>297</v>
      </c>
      <c r="AD237" s="204" t="s">
        <v>296</v>
      </c>
      <c r="AE237" s="204" t="s">
        <v>2209</v>
      </c>
      <c r="AF237" s="204" t="s">
        <v>2208</v>
      </c>
      <c r="AG237" s="204" t="s">
        <v>2129</v>
      </c>
      <c r="AH237" s="204" t="s">
        <v>2173</v>
      </c>
      <c r="AI237" s="204" t="s">
        <v>2127</v>
      </c>
      <c r="AJ237" s="204" t="s">
        <v>2126</v>
      </c>
      <c r="AX237" s="204">
        <v>66</v>
      </c>
      <c r="AY237" s="204">
        <v>0</v>
      </c>
      <c r="AZ237" s="204">
        <v>0.79976199999999997</v>
      </c>
      <c r="BB237" s="204">
        <v>3747.5459999999998</v>
      </c>
      <c r="BH237" s="204">
        <v>0</v>
      </c>
      <c r="BI237" s="204">
        <v>528</v>
      </c>
      <c r="BJ237" s="204">
        <v>42839</v>
      </c>
      <c r="BK237" s="204">
        <v>42839.452269097201</v>
      </c>
      <c r="BL237" s="204" t="s">
        <v>293</v>
      </c>
      <c r="BM237" s="204" t="s">
        <v>2285</v>
      </c>
      <c r="BN237" s="269">
        <f t="shared" si="59"/>
        <v>56.780999999999999</v>
      </c>
      <c r="BO237" s="269">
        <f t="shared" si="60"/>
        <v>8</v>
      </c>
      <c r="BP237" s="269">
        <f>INDEX('App Data Outliers'!$M:$M,MATCH($E237,'App Data Outliers'!$A:$A,0))</f>
        <v>71.928403166606657</v>
      </c>
      <c r="BQ237" s="269">
        <f>INDEX('App Data Outliers'!$N:$N,MATCH($E237,'App Data Outliers'!$A:$A,0))</f>
        <v>30.28616226838243</v>
      </c>
      <c r="BR237" s="269">
        <f>INDEX('App Data Outliers'!$S:$S,MATCH($E237,'App Data Outliers'!$A:$A,0))</f>
        <v>10.421419234256929</v>
      </c>
      <c r="BS237" s="269">
        <f>INDEX('App Data Outliers'!$T:$T,MATCH($E237,'App Data Outliers'!$A:$A,0))</f>
        <v>3.9940053618595535</v>
      </c>
    </row>
    <row r="238" spans="1:71" s="204" customFormat="1" hidden="1">
      <c r="A238" s="241">
        <v>234</v>
      </c>
      <c r="B238" s="241" t="str">
        <f t="shared" si="51"/>
        <v>Non-Residential - BHPSD - C/I Prescriptive Rebate</v>
      </c>
      <c r="C238" s="241" t="b">
        <f t="shared" si="52"/>
        <v>1</v>
      </c>
      <c r="D238" s="241" t="str">
        <f t="shared" si="53"/>
        <v>Non-Residential - BHPSD - C/I Prescriptive Rebate_C&amp;I Prescriptive Rebate :- C&amp;I Lighting :- Customer Incentives_LED Fixtures Exterior &amp; Garage - 60W to 150W</v>
      </c>
      <c r="E238" s="241" t="str">
        <f t="shared" si="54"/>
        <v>C&amp;I_C&amp;I Prescriptive_Lighting_LED Parking Garage/Canopy (≥75W)</v>
      </c>
      <c r="F238" s="241" t="str">
        <f>INDEX('VDSM MAPPING'!E:E,MATCH($D238,'VDSM MAPPING'!$A:$A,0))</f>
        <v>C&amp;I</v>
      </c>
      <c r="G238" s="241" t="str">
        <f>INDEX('VDSM MAPPING'!F:F,MATCH($D238,'VDSM MAPPING'!$A:$A,0))</f>
        <v>C&amp;I Prescriptive</v>
      </c>
      <c r="H238" s="241" t="str">
        <f>INDEX('VDSM MAPPING'!G:G,MATCH($D238,'VDSM MAPPING'!$A:$A,0))</f>
        <v>Lighting</v>
      </c>
      <c r="I238" s="241" t="str">
        <f>INDEX('VDSM MAPPING'!H:H,MATCH($D238,'VDSM MAPPING'!$A:$A,0))</f>
        <v>LED Parking Garage/Canopy (≥75W)</v>
      </c>
      <c r="J238" s="240">
        <f t="shared" si="55"/>
        <v>0.96852739206047678</v>
      </c>
      <c r="K238" s="240">
        <f t="shared" si="56"/>
        <v>-4.8057188404622845E-3</v>
      </c>
      <c r="L238" s="240" t="b">
        <f t="shared" si="57"/>
        <v>0</v>
      </c>
      <c r="M238" s="240" t="b">
        <f t="shared" si="58"/>
        <v>0</v>
      </c>
      <c r="N238" s="204" t="s">
        <v>289</v>
      </c>
      <c r="O238" s="204" t="s">
        <v>2284</v>
      </c>
      <c r="P238" s="350">
        <v>1</v>
      </c>
      <c r="Q238" s="204" t="s">
        <v>2284</v>
      </c>
      <c r="R238" s="204" t="s">
        <v>2283</v>
      </c>
      <c r="S238" s="204" t="s">
        <v>2282</v>
      </c>
      <c r="T238" s="204" t="s">
        <v>2282</v>
      </c>
      <c r="U238" s="204" t="s">
        <v>2282</v>
      </c>
      <c r="V238" s="204" t="s">
        <v>2281</v>
      </c>
      <c r="W238" s="204" t="s">
        <v>329</v>
      </c>
      <c r="X238" s="204" t="s">
        <v>297</v>
      </c>
      <c r="Y238" s="204" t="s">
        <v>397</v>
      </c>
      <c r="Z238" s="204" t="s">
        <v>1017</v>
      </c>
      <c r="AA238" s="204" t="s">
        <v>1016</v>
      </c>
      <c r="AB238" s="204" t="s">
        <v>329</v>
      </c>
      <c r="AC238" s="204" t="s">
        <v>297</v>
      </c>
      <c r="AD238" s="204" t="s">
        <v>848</v>
      </c>
      <c r="AE238" s="204" t="s">
        <v>1015</v>
      </c>
      <c r="AF238" s="204" t="s">
        <v>1014</v>
      </c>
      <c r="AG238" s="204" t="s">
        <v>2129</v>
      </c>
      <c r="AH238" s="204" t="s">
        <v>2139</v>
      </c>
      <c r="AI238" s="204" t="s">
        <v>2244</v>
      </c>
      <c r="AJ238" s="204" t="s">
        <v>2126</v>
      </c>
      <c r="AX238" s="204">
        <v>8</v>
      </c>
      <c r="AY238" s="204">
        <v>0</v>
      </c>
      <c r="AZ238" s="204">
        <v>0.64104799999999995</v>
      </c>
      <c r="BB238" s="204">
        <v>10665.343999999999</v>
      </c>
      <c r="BH238" s="204">
        <v>0</v>
      </c>
      <c r="BI238" s="204">
        <v>800</v>
      </c>
      <c r="BJ238" s="204">
        <v>42839</v>
      </c>
      <c r="BK238" s="204">
        <v>42839.645592627297</v>
      </c>
      <c r="BL238" s="204" t="s">
        <v>293</v>
      </c>
      <c r="BM238" s="204" t="s">
        <v>2280</v>
      </c>
      <c r="BN238" s="269">
        <f t="shared" si="59"/>
        <v>1333.1679999999999</v>
      </c>
      <c r="BO238" s="269">
        <f t="shared" si="60"/>
        <v>100</v>
      </c>
      <c r="BP238" s="269">
        <f>INDEX('App Data Outliers'!$M:$M,MATCH($E238,'App Data Outliers'!$A:$A,0))</f>
        <v>1175.7261559139786</v>
      </c>
      <c r="BQ238" s="269">
        <f>INDEX('App Data Outliers'!$N:$N,MATCH($E238,'App Data Outliers'!$A:$A,0))</f>
        <v>162.55796725694501</v>
      </c>
      <c r="BR238" s="269">
        <f>INDEX('App Data Outliers'!$S:$S,MATCH($E238,'App Data Outliers'!$A:$A,0))</f>
        <v>100.15639784946237</v>
      </c>
      <c r="BS238" s="269">
        <f>INDEX('App Data Outliers'!$T:$T,MATCH($E238,'App Data Outliers'!$A:$A,0))</f>
        <v>32.544111433560438</v>
      </c>
    </row>
    <row r="239" spans="1:71" s="204" customFormat="1" hidden="1">
      <c r="A239" s="241">
        <v>235</v>
      </c>
      <c r="B239" s="241" t="str">
        <f t="shared" si="51"/>
        <v>Non-Residential - BHPSD - C/I Prescriptive Rebate</v>
      </c>
      <c r="C239" s="241" t="b">
        <f t="shared" si="52"/>
        <v>1</v>
      </c>
      <c r="D239" s="241" t="str">
        <f t="shared" si="53"/>
        <v>Non-Residential - BHPSD - C/I Prescriptive Rebate_C&amp;I Prescriptive Rebate :- C&amp;I Lighting :- Customer Incentives_LED Fixtures Exterior &amp; Garage - 60W to 150W</v>
      </c>
      <c r="E239" s="241" t="str">
        <f t="shared" si="54"/>
        <v>C&amp;I_C&amp;I Prescriptive_Lighting_LED Parking Garage/Canopy (≥75W)</v>
      </c>
      <c r="F239" s="241" t="str">
        <f>INDEX('VDSM MAPPING'!E:E,MATCH($D239,'VDSM MAPPING'!$A:$A,0))</f>
        <v>C&amp;I</v>
      </c>
      <c r="G239" s="241" t="str">
        <f>INDEX('VDSM MAPPING'!F:F,MATCH($D239,'VDSM MAPPING'!$A:$A,0))</f>
        <v>C&amp;I Prescriptive</v>
      </c>
      <c r="H239" s="241" t="str">
        <f>INDEX('VDSM MAPPING'!G:G,MATCH($D239,'VDSM MAPPING'!$A:$A,0))</f>
        <v>Lighting</v>
      </c>
      <c r="I239" s="241" t="str">
        <f>INDEX('VDSM MAPPING'!H:H,MATCH($D239,'VDSM MAPPING'!$A:$A,0))</f>
        <v>LED Parking Garage/Canopy (≥75W)</v>
      </c>
      <c r="J239" s="240">
        <f t="shared" si="55"/>
        <v>-0.11286531336220813</v>
      </c>
      <c r="K239" s="240">
        <f t="shared" si="56"/>
        <v>-4.8057188404622845E-3</v>
      </c>
      <c r="L239" s="240" t="b">
        <f t="shared" si="57"/>
        <v>0</v>
      </c>
      <c r="M239" s="240" t="b">
        <f t="shared" si="58"/>
        <v>0</v>
      </c>
      <c r="N239" s="204" t="s">
        <v>289</v>
      </c>
      <c r="O239" s="204" t="s">
        <v>2279</v>
      </c>
      <c r="P239" s="350">
        <v>1</v>
      </c>
      <c r="Q239" s="204" t="s">
        <v>2279</v>
      </c>
      <c r="R239" s="204" t="s">
        <v>2278</v>
      </c>
      <c r="S239" s="204" t="s">
        <v>2277</v>
      </c>
      <c r="T239" s="204" t="s">
        <v>2277</v>
      </c>
      <c r="U239" s="204" t="s">
        <v>2277</v>
      </c>
      <c r="V239" s="204" t="s">
        <v>2276</v>
      </c>
      <c r="W239" s="204" t="s">
        <v>329</v>
      </c>
      <c r="X239" s="204" t="s">
        <v>297</v>
      </c>
      <c r="Y239" s="204" t="s">
        <v>397</v>
      </c>
      <c r="Z239" s="204" t="s">
        <v>2221</v>
      </c>
      <c r="AA239" s="204" t="s">
        <v>2220</v>
      </c>
      <c r="AB239" s="204" t="s">
        <v>329</v>
      </c>
      <c r="AC239" s="204" t="s">
        <v>297</v>
      </c>
      <c r="AD239" s="204" t="s">
        <v>848</v>
      </c>
      <c r="AE239" s="204" t="s">
        <v>2219</v>
      </c>
      <c r="AG239" s="204" t="s">
        <v>2129</v>
      </c>
      <c r="AH239" s="204" t="s">
        <v>2139</v>
      </c>
      <c r="AI239" s="204" t="s">
        <v>2127</v>
      </c>
      <c r="AJ239" s="204" t="s">
        <v>2126</v>
      </c>
      <c r="AX239" s="204">
        <v>9</v>
      </c>
      <c r="AY239" s="204">
        <v>0</v>
      </c>
      <c r="AZ239" s="204">
        <v>2.2229739999999998</v>
      </c>
      <c r="BB239" s="204">
        <v>10416.411</v>
      </c>
      <c r="BH239" s="204">
        <v>0</v>
      </c>
      <c r="BI239" s="204">
        <v>900</v>
      </c>
      <c r="BJ239" s="204">
        <v>42839</v>
      </c>
      <c r="BK239" s="204">
        <v>42839.671523958299</v>
      </c>
      <c r="BL239" s="204" t="s">
        <v>293</v>
      </c>
      <c r="BM239" s="204" t="s">
        <v>2275</v>
      </c>
      <c r="BN239" s="269">
        <f t="shared" si="59"/>
        <v>1157.3789999999999</v>
      </c>
      <c r="BO239" s="269">
        <f t="shared" si="60"/>
        <v>100</v>
      </c>
      <c r="BP239" s="269">
        <f>INDEX('App Data Outliers'!$M:$M,MATCH($E239,'App Data Outliers'!$A:$A,0))</f>
        <v>1175.7261559139786</v>
      </c>
      <c r="BQ239" s="269">
        <f>INDEX('App Data Outliers'!$N:$N,MATCH($E239,'App Data Outliers'!$A:$A,0))</f>
        <v>162.55796725694501</v>
      </c>
      <c r="BR239" s="269">
        <f>INDEX('App Data Outliers'!$S:$S,MATCH($E239,'App Data Outliers'!$A:$A,0))</f>
        <v>100.15639784946237</v>
      </c>
      <c r="BS239" s="269">
        <f>INDEX('App Data Outliers'!$T:$T,MATCH($E239,'App Data Outliers'!$A:$A,0))</f>
        <v>32.544111433560438</v>
      </c>
    </row>
    <row r="240" spans="1:71" s="204" customFormat="1" hidden="1">
      <c r="A240" s="241">
        <v>236</v>
      </c>
      <c r="B240" s="241" t="str">
        <f t="shared" si="51"/>
        <v>Non-Residential - BHPSD - C/I Prescriptive Rebate</v>
      </c>
      <c r="C240" s="241" t="b">
        <f t="shared" si="52"/>
        <v>1</v>
      </c>
      <c r="D240" s="241" t="str">
        <f t="shared" si="53"/>
        <v>Non-Residential - BHPSD - C/I Prescriptive Rebate_C&amp;I Prescriptive Rebate :- C&amp;I Lighting :- Customer Incentives_LED Replacement for T12 Linear Fluorescent Lamps - 4 ft or less</v>
      </c>
      <c r="E240" s="241" t="str">
        <f t="shared" si="54"/>
        <v>C&amp;I_C&amp;I Prescriptive_Lighting_LED Linear Replacement Lamp (≤4ft)</v>
      </c>
      <c r="F240" s="241" t="str">
        <f>INDEX('VDSM MAPPING'!E:E,MATCH($D240,'VDSM MAPPING'!$A:$A,0))</f>
        <v>C&amp;I</v>
      </c>
      <c r="G240" s="241" t="str">
        <f>INDEX('VDSM MAPPING'!F:F,MATCH($D240,'VDSM MAPPING'!$A:$A,0))</f>
        <v>C&amp;I Prescriptive</v>
      </c>
      <c r="H240" s="241" t="str">
        <f>INDEX('VDSM MAPPING'!G:G,MATCH($D240,'VDSM MAPPING'!$A:$A,0))</f>
        <v>Lighting</v>
      </c>
      <c r="I240" s="241" t="str">
        <f>INDEX('VDSM MAPPING'!H:H,MATCH($D240,'VDSM MAPPING'!$A:$A,0))</f>
        <v>LED Linear Replacement Lamp (≤4ft)</v>
      </c>
      <c r="J240" s="240">
        <f t="shared" si="55"/>
        <v>0.90409595612510674</v>
      </c>
      <c r="K240" s="240">
        <f t="shared" si="56"/>
        <v>1.3967384267971441</v>
      </c>
      <c r="L240" s="240" t="b">
        <f t="shared" si="57"/>
        <v>0</v>
      </c>
      <c r="M240" s="240" t="b">
        <f t="shared" si="58"/>
        <v>0</v>
      </c>
      <c r="N240" s="204" t="s">
        <v>289</v>
      </c>
      <c r="O240" s="204" t="s">
        <v>2274</v>
      </c>
      <c r="P240" s="350">
        <v>1</v>
      </c>
      <c r="Q240" s="204" t="s">
        <v>2274</v>
      </c>
      <c r="R240" s="204" t="s">
        <v>2273</v>
      </c>
      <c r="S240" s="204" t="s">
        <v>2272</v>
      </c>
      <c r="T240" s="204" t="s">
        <v>2272</v>
      </c>
      <c r="U240" s="204" t="s">
        <v>2272</v>
      </c>
      <c r="V240" s="204" t="s">
        <v>2271</v>
      </c>
      <c r="W240" s="204" t="s">
        <v>329</v>
      </c>
      <c r="X240" s="204" t="s">
        <v>297</v>
      </c>
      <c r="Y240" s="204" t="s">
        <v>328</v>
      </c>
      <c r="Z240" s="204" t="s">
        <v>2270</v>
      </c>
      <c r="AA240" s="204" t="s">
        <v>2269</v>
      </c>
      <c r="AB240" s="204" t="s">
        <v>329</v>
      </c>
      <c r="AC240" s="204" t="s">
        <v>297</v>
      </c>
      <c r="AD240" s="204" t="s">
        <v>328</v>
      </c>
      <c r="AE240" s="204" t="s">
        <v>2268</v>
      </c>
      <c r="AG240" s="204" t="s">
        <v>2129</v>
      </c>
      <c r="AH240" s="204" t="s">
        <v>2147</v>
      </c>
      <c r="AI240" s="204" t="s">
        <v>2202</v>
      </c>
      <c r="AJ240" s="204" t="s">
        <v>2126</v>
      </c>
      <c r="AX240" s="204">
        <v>60</v>
      </c>
      <c r="AY240" s="204">
        <v>0</v>
      </c>
      <c r="AZ240" s="204">
        <v>1.3400639999999999</v>
      </c>
      <c r="BB240" s="204">
        <v>5958.6</v>
      </c>
      <c r="BH240" s="204">
        <v>0</v>
      </c>
      <c r="BI240" s="204">
        <v>960</v>
      </c>
      <c r="BJ240" s="204">
        <v>42839</v>
      </c>
      <c r="BK240" s="204">
        <v>42839.733336342601</v>
      </c>
      <c r="BL240" s="204" t="s">
        <v>293</v>
      </c>
      <c r="BM240" s="204" t="s">
        <v>2267</v>
      </c>
      <c r="BN240" s="269">
        <f t="shared" si="59"/>
        <v>99.31</v>
      </c>
      <c r="BO240" s="269">
        <f t="shared" si="60"/>
        <v>16</v>
      </c>
      <c r="BP240" s="269">
        <f>INDEX('App Data Outliers'!$M:$M,MATCH($E240,'App Data Outliers'!$A:$A,0))</f>
        <v>71.928403166606657</v>
      </c>
      <c r="BQ240" s="269">
        <f>INDEX('App Data Outliers'!$N:$N,MATCH($E240,'App Data Outliers'!$A:$A,0))</f>
        <v>30.28616226838243</v>
      </c>
      <c r="BR240" s="269">
        <f>INDEX('App Data Outliers'!$S:$S,MATCH($E240,'App Data Outliers'!$A:$A,0))</f>
        <v>10.421419234256929</v>
      </c>
      <c r="BS240" s="269">
        <f>INDEX('App Data Outliers'!$T:$T,MATCH($E240,'App Data Outliers'!$A:$A,0))</f>
        <v>3.9940053618595535</v>
      </c>
    </row>
    <row r="241" spans="1:71" s="204" customFormat="1" hidden="1">
      <c r="A241" s="241">
        <v>237</v>
      </c>
      <c r="B241" s="241" t="str">
        <f t="shared" si="51"/>
        <v>Non-Residential - BHPSD - C/I Prescriptive Rebate</v>
      </c>
      <c r="C241" s="241" t="b">
        <f t="shared" si="52"/>
        <v>1</v>
      </c>
      <c r="D241" s="241" t="str">
        <f t="shared" si="53"/>
        <v>Non-Residential - BHPSD - C/I Prescriptive Rebate_C&amp;I Prescriptive Rebate :- C&amp;I Lighting :- Customer Incentives_LED Fixtures Exterior &amp; Garage - 25W to 60W</v>
      </c>
      <c r="E241" s="241" t="str">
        <f t="shared" si="54"/>
        <v>C&amp;I_C&amp;I Prescriptive_Lighting_LED Parking Garage/Canopy (30-75W)</v>
      </c>
      <c r="F241" s="241" t="str">
        <f>INDEX('VDSM MAPPING'!E:E,MATCH($D241,'VDSM MAPPING'!$A:$A,0))</f>
        <v>C&amp;I</v>
      </c>
      <c r="G241" s="241" t="str">
        <f>INDEX('VDSM MAPPING'!F:F,MATCH($D241,'VDSM MAPPING'!$A:$A,0))</f>
        <v>C&amp;I Prescriptive</v>
      </c>
      <c r="H241" s="241" t="str">
        <f>INDEX('VDSM MAPPING'!G:G,MATCH($D241,'VDSM MAPPING'!$A:$A,0))</f>
        <v>Lighting</v>
      </c>
      <c r="I241" s="241" t="str">
        <f>INDEX('VDSM MAPPING'!H:H,MATCH($D241,'VDSM MAPPING'!$A:$A,0))</f>
        <v>LED Parking Garage/Canopy (30-75W)</v>
      </c>
      <c r="J241" s="240">
        <f t="shared" si="55"/>
        <v>0.76115918188076592</v>
      </c>
      <c r="K241" s="240">
        <f t="shared" si="56"/>
        <v>0.74402665660424805</v>
      </c>
      <c r="L241" s="240" t="b">
        <f t="shared" si="57"/>
        <v>0</v>
      </c>
      <c r="M241" s="240" t="b">
        <f t="shared" si="58"/>
        <v>0</v>
      </c>
      <c r="N241" s="204" t="s">
        <v>289</v>
      </c>
      <c r="O241" s="204" t="s">
        <v>2266</v>
      </c>
      <c r="P241" s="350">
        <v>1</v>
      </c>
      <c r="Q241" s="204" t="s">
        <v>2266</v>
      </c>
      <c r="R241" s="204" t="s">
        <v>2265</v>
      </c>
      <c r="S241" s="204" t="s">
        <v>2264</v>
      </c>
      <c r="T241" s="204" t="s">
        <v>2264</v>
      </c>
      <c r="U241" s="204" t="s">
        <v>2264</v>
      </c>
      <c r="V241" s="204" t="s">
        <v>2263</v>
      </c>
      <c r="W241" s="204" t="s">
        <v>329</v>
      </c>
      <c r="X241" s="204" t="s">
        <v>297</v>
      </c>
      <c r="Y241" s="204" t="s">
        <v>397</v>
      </c>
      <c r="Z241" s="204" t="s">
        <v>2177</v>
      </c>
      <c r="AA241" s="204" t="s">
        <v>2176</v>
      </c>
      <c r="AB241" s="204" t="s">
        <v>329</v>
      </c>
      <c r="AC241" s="204" t="s">
        <v>297</v>
      </c>
      <c r="AD241" s="204" t="s">
        <v>397</v>
      </c>
      <c r="AE241" s="204" t="s">
        <v>2175</v>
      </c>
      <c r="AF241" s="204" t="s">
        <v>2174</v>
      </c>
      <c r="AG241" s="204" t="s">
        <v>2129</v>
      </c>
      <c r="AH241" s="204" t="s">
        <v>2145</v>
      </c>
      <c r="AI241" s="204" t="s">
        <v>2127</v>
      </c>
      <c r="AJ241" s="204" t="s">
        <v>2126</v>
      </c>
      <c r="AX241" s="204">
        <v>8</v>
      </c>
      <c r="AY241" s="204">
        <v>0</v>
      </c>
      <c r="AZ241" s="204">
        <v>1.053423</v>
      </c>
      <c r="BB241" s="204">
        <v>4936.1279999999997</v>
      </c>
      <c r="BH241" s="204">
        <v>0</v>
      </c>
      <c r="BI241" s="204">
        <v>600</v>
      </c>
      <c r="BJ241" s="204">
        <v>42846</v>
      </c>
      <c r="BK241" s="204">
        <v>42846.473754976898</v>
      </c>
      <c r="BL241" s="204" t="s">
        <v>293</v>
      </c>
      <c r="BM241" s="204" t="s">
        <v>2262</v>
      </c>
      <c r="BN241" s="269">
        <f t="shared" si="59"/>
        <v>617.01599999999996</v>
      </c>
      <c r="BO241" s="269">
        <f t="shared" si="60"/>
        <v>75</v>
      </c>
      <c r="BP241" s="269">
        <f>INDEX('App Data Outliers'!$M:$M,MATCH($E241,'App Data Outliers'!$A:$A,0))</f>
        <v>540.38278358208959</v>
      </c>
      <c r="BQ241" s="269">
        <f>INDEX('App Data Outliers'!$N:$N,MATCH($E241,'App Data Outliers'!$A:$A,0))</f>
        <v>100.67961898397597</v>
      </c>
      <c r="BR241" s="269">
        <f>INDEX('App Data Outliers'!$S:$S,MATCH($E241,'App Data Outliers'!$A:$A,0))</f>
        <v>63.736940298507463</v>
      </c>
      <c r="BS241" s="269">
        <f>INDEX('App Data Outliers'!$T:$T,MATCH($E241,'App Data Outliers'!$A:$A,0))</f>
        <v>15.137978729011348</v>
      </c>
    </row>
    <row r="242" spans="1:71" s="204" customFormat="1" hidden="1">
      <c r="A242" s="241">
        <v>238</v>
      </c>
      <c r="B242" s="241" t="str">
        <f t="shared" si="51"/>
        <v>Non-Residential - BHPSD - C/I Prescriptive Rebate</v>
      </c>
      <c r="C242" s="241" t="b">
        <f t="shared" si="52"/>
        <v>1</v>
      </c>
      <c r="D242" s="241" t="str">
        <f t="shared" si="53"/>
        <v>Non-Residential - BHPSD - C/I Prescriptive Rebate_C&amp;I Prescriptive Rebate :- C&amp;I Lighting :- Customer Incentives_LED Replacement for T12 Linear Fluorescent Lamps - 4 ft or less</v>
      </c>
      <c r="E242" s="241" t="str">
        <f t="shared" si="54"/>
        <v>C&amp;I_C&amp;I Prescriptive_Lighting_LED Linear Replacement Lamp (≤4ft)</v>
      </c>
      <c r="F242" s="241" t="str">
        <f>INDEX('VDSM MAPPING'!E:E,MATCH($D242,'VDSM MAPPING'!$A:$A,0))</f>
        <v>C&amp;I</v>
      </c>
      <c r="G242" s="241" t="str">
        <f>INDEX('VDSM MAPPING'!F:F,MATCH($D242,'VDSM MAPPING'!$A:$A,0))</f>
        <v>C&amp;I Prescriptive</v>
      </c>
      <c r="H242" s="241" t="str">
        <f>INDEX('VDSM MAPPING'!G:G,MATCH($D242,'VDSM MAPPING'!$A:$A,0))</f>
        <v>Lighting</v>
      </c>
      <c r="I242" s="241" t="str">
        <f>INDEX('VDSM MAPPING'!H:H,MATCH($D242,'VDSM MAPPING'!$A:$A,0))</f>
        <v>LED Linear Replacement Lamp (≤4ft)</v>
      </c>
      <c r="J242" s="240">
        <f t="shared" si="55"/>
        <v>1.3746408826732115</v>
      </c>
      <c r="K242" s="240">
        <f t="shared" si="56"/>
        <v>1.1138144200367004</v>
      </c>
      <c r="L242" s="240" t="b">
        <f t="shared" si="57"/>
        <v>0</v>
      </c>
      <c r="M242" s="240" t="b">
        <f t="shared" si="58"/>
        <v>0</v>
      </c>
      <c r="N242" s="204" t="s">
        <v>289</v>
      </c>
      <c r="O242" s="204" t="s">
        <v>2261</v>
      </c>
      <c r="P242" s="350">
        <v>1</v>
      </c>
      <c r="Q242" s="204" t="s">
        <v>2261</v>
      </c>
      <c r="R242" s="204" t="s">
        <v>2260</v>
      </c>
      <c r="S242" s="204" t="s">
        <v>2259</v>
      </c>
      <c r="T242" s="204" t="s">
        <v>2259</v>
      </c>
      <c r="U242" s="204" t="s">
        <v>2259</v>
      </c>
      <c r="V242" s="204" t="s">
        <v>2258</v>
      </c>
      <c r="W242" s="204" t="s">
        <v>337</v>
      </c>
      <c r="X242" s="204" t="s">
        <v>297</v>
      </c>
      <c r="Y242" s="204" t="s">
        <v>336</v>
      </c>
      <c r="Z242" s="204" t="s">
        <v>2257</v>
      </c>
      <c r="AA242" s="204" t="s">
        <v>2256</v>
      </c>
      <c r="AB242" s="204" t="s">
        <v>337</v>
      </c>
      <c r="AC242" s="204" t="s">
        <v>297</v>
      </c>
      <c r="AD242" s="204" t="s">
        <v>336</v>
      </c>
      <c r="AE242" s="204" t="s">
        <v>2255</v>
      </c>
      <c r="AF242" s="204" t="s">
        <v>2254</v>
      </c>
      <c r="AG242" s="204" t="s">
        <v>2129</v>
      </c>
      <c r="AH242" s="204" t="s">
        <v>2147</v>
      </c>
      <c r="AI242" s="204" t="s">
        <v>2127</v>
      </c>
      <c r="AJ242" s="204" t="s">
        <v>2126</v>
      </c>
      <c r="AX242" s="204">
        <v>12</v>
      </c>
      <c r="AY242" s="204">
        <v>0</v>
      </c>
      <c r="AZ242" s="204">
        <v>0.29082200000000002</v>
      </c>
      <c r="BB242" s="204">
        <v>1362.732</v>
      </c>
      <c r="BH242" s="204">
        <v>0</v>
      </c>
      <c r="BI242" s="204">
        <v>178.44</v>
      </c>
      <c r="BJ242" s="204">
        <v>42866</v>
      </c>
      <c r="BK242" s="204">
        <v>42866.493438738398</v>
      </c>
      <c r="BL242" s="204" t="s">
        <v>293</v>
      </c>
      <c r="BM242" s="204" t="s">
        <v>2253</v>
      </c>
      <c r="BN242" s="269">
        <f t="shared" si="59"/>
        <v>113.56099999999999</v>
      </c>
      <c r="BO242" s="269">
        <f t="shared" si="60"/>
        <v>14.87</v>
      </c>
      <c r="BP242" s="269">
        <f>INDEX('App Data Outliers'!$M:$M,MATCH($E242,'App Data Outliers'!$A:$A,0))</f>
        <v>71.928403166606657</v>
      </c>
      <c r="BQ242" s="269">
        <f>INDEX('App Data Outliers'!$N:$N,MATCH($E242,'App Data Outliers'!$A:$A,0))</f>
        <v>30.28616226838243</v>
      </c>
      <c r="BR242" s="269">
        <f>INDEX('App Data Outliers'!$S:$S,MATCH($E242,'App Data Outliers'!$A:$A,0))</f>
        <v>10.421419234256929</v>
      </c>
      <c r="BS242" s="269">
        <f>INDEX('App Data Outliers'!$T:$T,MATCH($E242,'App Data Outliers'!$A:$A,0))</f>
        <v>3.9940053618595535</v>
      </c>
    </row>
    <row r="243" spans="1:71" s="204" customFormat="1" hidden="1">
      <c r="A243" s="241">
        <v>239</v>
      </c>
      <c r="B243" s="241" t="str">
        <f t="shared" si="51"/>
        <v>Non-Residential - BHPSD - C/I Prescriptive Rebate</v>
      </c>
      <c r="C243" s="241" t="b">
        <f t="shared" si="52"/>
        <v>1</v>
      </c>
      <c r="D243" s="241" t="str">
        <f t="shared" si="53"/>
        <v>Non-Residential - BHPSD - C/I Prescriptive Rebate_C&amp;I Prescriptive Rebate :- C&amp;I Lighting :- Customer Incentives_LED Fixtures Exterior &amp; Garage - 60W to 150W</v>
      </c>
      <c r="E243" s="241" t="str">
        <f t="shared" si="54"/>
        <v>C&amp;I_C&amp;I Prescriptive_Lighting_LED Parking Garage/Canopy (≥75W)</v>
      </c>
      <c r="F243" s="241" t="str">
        <f>INDEX('VDSM MAPPING'!E:E,MATCH($D243,'VDSM MAPPING'!$A:$A,0))</f>
        <v>C&amp;I</v>
      </c>
      <c r="G243" s="241" t="str">
        <f>INDEX('VDSM MAPPING'!F:F,MATCH($D243,'VDSM MAPPING'!$A:$A,0))</f>
        <v>C&amp;I Prescriptive</v>
      </c>
      <c r="H243" s="241" t="str">
        <f>INDEX('VDSM MAPPING'!G:G,MATCH($D243,'VDSM MAPPING'!$A:$A,0))</f>
        <v>Lighting</v>
      </c>
      <c r="I243" s="241" t="str">
        <f>INDEX('VDSM MAPPING'!H:H,MATCH($D243,'VDSM MAPPING'!$A:$A,0))</f>
        <v>LED Parking Garage/Canopy (≥75W)</v>
      </c>
      <c r="J243" s="240">
        <f t="shared" si="55"/>
        <v>0.96852739206047811</v>
      </c>
      <c r="K243" s="240">
        <f t="shared" si="56"/>
        <v>7.7236773100079856E-2</v>
      </c>
      <c r="L243" s="240" t="b">
        <f t="shared" si="57"/>
        <v>0</v>
      </c>
      <c r="M243" s="240" t="b">
        <f t="shared" si="58"/>
        <v>0</v>
      </c>
      <c r="N243" s="204" t="s">
        <v>289</v>
      </c>
      <c r="O243" s="204" t="s">
        <v>2252</v>
      </c>
      <c r="P243" s="350">
        <v>1</v>
      </c>
      <c r="Q243" s="204" t="s">
        <v>2252</v>
      </c>
      <c r="R243" s="204" t="s">
        <v>2251</v>
      </c>
      <c r="S243" s="204" t="s">
        <v>2250</v>
      </c>
      <c r="T243" s="204" t="s">
        <v>2250</v>
      </c>
      <c r="U243" s="204" t="s">
        <v>2250</v>
      </c>
      <c r="V243" s="204" t="s">
        <v>2249</v>
      </c>
      <c r="W243" s="204" t="s">
        <v>480</v>
      </c>
      <c r="X243" s="204" t="s">
        <v>297</v>
      </c>
      <c r="Y243" s="204" t="s">
        <v>479</v>
      </c>
      <c r="Z243" s="204" t="s">
        <v>2248</v>
      </c>
      <c r="AA243" s="204" t="s">
        <v>2247</v>
      </c>
      <c r="AB243" s="204" t="s">
        <v>329</v>
      </c>
      <c r="AC243" s="204" t="s">
        <v>297</v>
      </c>
      <c r="AD243" s="204" t="s">
        <v>328</v>
      </c>
      <c r="AE243" s="204" t="s">
        <v>2246</v>
      </c>
      <c r="AF243" s="204" t="s">
        <v>2245</v>
      </c>
      <c r="AG243" s="204" t="s">
        <v>2129</v>
      </c>
      <c r="AH243" s="204" t="s">
        <v>2139</v>
      </c>
      <c r="AI243" s="204" t="s">
        <v>2244</v>
      </c>
      <c r="AJ243" s="204" t="s">
        <v>2126</v>
      </c>
      <c r="AX243" s="204">
        <v>29</v>
      </c>
      <c r="AY243" s="204">
        <v>0</v>
      </c>
      <c r="AZ243" s="204">
        <v>2.323798</v>
      </c>
      <c r="BB243" s="204">
        <v>38661.872000000003</v>
      </c>
      <c r="BH243" s="204">
        <v>0</v>
      </c>
      <c r="BI243" s="204">
        <v>2977.43</v>
      </c>
      <c r="BJ243" s="204">
        <v>42867</v>
      </c>
      <c r="BK243" s="204">
        <v>42867.491538506903</v>
      </c>
      <c r="BL243" s="204" t="s">
        <v>293</v>
      </c>
      <c r="BM243" s="204" t="s">
        <v>2243</v>
      </c>
      <c r="BN243" s="269">
        <f t="shared" si="59"/>
        <v>1333.1680000000001</v>
      </c>
      <c r="BO243" s="269">
        <f t="shared" si="60"/>
        <v>102.66999999999999</v>
      </c>
      <c r="BP243" s="269">
        <f>INDEX('App Data Outliers'!$M:$M,MATCH($E243,'App Data Outliers'!$A:$A,0))</f>
        <v>1175.7261559139786</v>
      </c>
      <c r="BQ243" s="269">
        <f>INDEX('App Data Outliers'!$N:$N,MATCH($E243,'App Data Outliers'!$A:$A,0))</f>
        <v>162.55796725694501</v>
      </c>
      <c r="BR243" s="269">
        <f>INDEX('App Data Outliers'!$S:$S,MATCH($E243,'App Data Outliers'!$A:$A,0))</f>
        <v>100.15639784946237</v>
      </c>
      <c r="BS243" s="269">
        <f>INDEX('App Data Outliers'!$T:$T,MATCH($E243,'App Data Outliers'!$A:$A,0))</f>
        <v>32.544111433560438</v>
      </c>
    </row>
    <row r="244" spans="1:71" s="204" customFormat="1" hidden="1">
      <c r="A244" s="241">
        <v>240</v>
      </c>
      <c r="B244" s="241" t="str">
        <f t="shared" si="51"/>
        <v>Non-Residential - BHPSD - C/I Prescriptive Rebate</v>
      </c>
      <c r="C244" s="241" t="b">
        <f t="shared" si="52"/>
        <v>1</v>
      </c>
      <c r="D244" s="241" t="str">
        <f t="shared" si="53"/>
        <v>Non-Residential - BHPSD - C/I Prescriptive Rebate_C&amp;I Prescriptive Rebate :- C&amp;I Lighting :- Customer Incentives_LED Replacement for T8 Linear Fluorescent Lamps - 4 ft or less</v>
      </c>
      <c r="E244" s="241" t="str">
        <f t="shared" si="54"/>
        <v>C&amp;I_C&amp;I Prescriptive_Lighting_LED Linear Replacement Lamp (≤4ft)</v>
      </c>
      <c r="F244" s="241" t="str">
        <f>INDEX('VDSM MAPPING'!E:E,MATCH($D244,'VDSM MAPPING'!$A:$A,0))</f>
        <v>C&amp;I</v>
      </c>
      <c r="G244" s="241" t="str">
        <f>INDEX('VDSM MAPPING'!F:F,MATCH($D244,'VDSM MAPPING'!$A:$A,0))</f>
        <v>C&amp;I Prescriptive</v>
      </c>
      <c r="H244" s="241" t="str">
        <f>INDEX('VDSM MAPPING'!G:G,MATCH($D244,'VDSM MAPPING'!$A:$A,0))</f>
        <v>Lighting</v>
      </c>
      <c r="I244" s="241" t="str">
        <f>INDEX('VDSM MAPPING'!H:H,MATCH($D244,'VDSM MAPPING'!$A:$A,0))</f>
        <v>LED Linear Replacement Lamp (≤4ft)</v>
      </c>
      <c r="J244" s="240">
        <f t="shared" si="55"/>
        <v>-0.73543167897040618</v>
      </c>
      <c r="K244" s="240">
        <f t="shared" si="56"/>
        <v>-1.1696076522245782</v>
      </c>
      <c r="L244" s="240" t="b">
        <f t="shared" si="57"/>
        <v>0</v>
      </c>
      <c r="M244" s="240" t="b">
        <f t="shared" si="58"/>
        <v>0</v>
      </c>
      <c r="N244" s="204" t="s">
        <v>289</v>
      </c>
      <c r="O244" s="204" t="s">
        <v>2242</v>
      </c>
      <c r="P244" s="350">
        <v>1</v>
      </c>
      <c r="Q244" s="204" t="s">
        <v>2242</v>
      </c>
      <c r="R244" s="204" t="s">
        <v>2241</v>
      </c>
      <c r="S244" s="204" t="s">
        <v>2239</v>
      </c>
      <c r="T244" s="204" t="s">
        <v>2240</v>
      </c>
      <c r="U244" s="204" t="s">
        <v>2239</v>
      </c>
      <c r="V244" s="204" t="s">
        <v>2238</v>
      </c>
      <c r="W244" s="204" t="s">
        <v>337</v>
      </c>
      <c r="X244" s="204" t="s">
        <v>297</v>
      </c>
      <c r="Y244" s="204" t="s">
        <v>336</v>
      </c>
      <c r="Z244" s="204" t="s">
        <v>2237</v>
      </c>
      <c r="AA244" s="204" t="s">
        <v>2236</v>
      </c>
      <c r="AB244" s="204" t="s">
        <v>1252</v>
      </c>
      <c r="AC244" s="204" t="s">
        <v>297</v>
      </c>
      <c r="AD244" s="204" t="s">
        <v>1251</v>
      </c>
      <c r="AE244" s="204" t="s">
        <v>2235</v>
      </c>
      <c r="AG244" s="204" t="s">
        <v>2129</v>
      </c>
      <c r="AH244" s="204" t="s">
        <v>2173</v>
      </c>
      <c r="AI244" s="204" t="s">
        <v>2202</v>
      </c>
      <c r="AJ244" s="204" t="s">
        <v>2126</v>
      </c>
      <c r="AX244" s="204">
        <v>600</v>
      </c>
      <c r="AY244" s="204">
        <v>0</v>
      </c>
      <c r="AZ244" s="204">
        <v>6.7003199999999996</v>
      </c>
      <c r="BB244" s="204">
        <v>29793</v>
      </c>
      <c r="BH244" s="204">
        <v>0</v>
      </c>
      <c r="BI244" s="204">
        <v>3450</v>
      </c>
      <c r="BJ244" s="204">
        <v>42870</v>
      </c>
      <c r="BK244" s="204">
        <v>42870.451993287003</v>
      </c>
      <c r="BL244" s="204" t="s">
        <v>293</v>
      </c>
      <c r="BM244" s="204" t="s">
        <v>2234</v>
      </c>
      <c r="BN244" s="269">
        <f t="shared" si="59"/>
        <v>49.655000000000001</v>
      </c>
      <c r="BO244" s="269">
        <f t="shared" si="60"/>
        <v>5.75</v>
      </c>
      <c r="BP244" s="269">
        <f>INDEX('App Data Outliers'!$M:$M,MATCH($E244,'App Data Outliers'!$A:$A,0))</f>
        <v>71.928403166606657</v>
      </c>
      <c r="BQ244" s="269">
        <f>INDEX('App Data Outliers'!$N:$N,MATCH($E244,'App Data Outliers'!$A:$A,0))</f>
        <v>30.28616226838243</v>
      </c>
      <c r="BR244" s="269">
        <f>INDEX('App Data Outliers'!$S:$S,MATCH($E244,'App Data Outliers'!$A:$A,0))</f>
        <v>10.421419234256929</v>
      </c>
      <c r="BS244" s="269">
        <f>INDEX('App Data Outliers'!$T:$T,MATCH($E244,'App Data Outliers'!$A:$A,0))</f>
        <v>3.9940053618595535</v>
      </c>
    </row>
    <row r="245" spans="1:71" s="204" customFormat="1" hidden="1">
      <c r="A245" s="241">
        <v>241</v>
      </c>
      <c r="B245" s="241" t="str">
        <f t="shared" si="51"/>
        <v>Non-Residential - BHPSD - C/I Prescriptive Rebate</v>
      </c>
      <c r="C245" s="241" t="b">
        <f t="shared" si="52"/>
        <v>1</v>
      </c>
      <c r="D245" s="241" t="str">
        <f t="shared" si="53"/>
        <v>Non-Residential - BHPSD - C/I Prescriptive Rebate_C&amp;I Prescriptive Rebate :- C&amp;I Lighting :- Customer Incentives_LED Replacement for T12 Linear Fluorescent Lamps - 4 ft or less</v>
      </c>
      <c r="E245" s="241" t="str">
        <f t="shared" si="54"/>
        <v>C&amp;I_C&amp;I Prescriptive_Lighting_LED Linear Replacement Lamp (≤4ft)</v>
      </c>
      <c r="F245" s="241" t="str">
        <f>INDEX('VDSM MAPPING'!E:E,MATCH($D245,'VDSM MAPPING'!$A:$A,0))</f>
        <v>C&amp;I</v>
      </c>
      <c r="G245" s="241" t="str">
        <f>INDEX('VDSM MAPPING'!F:F,MATCH($D245,'VDSM MAPPING'!$A:$A,0))</f>
        <v>C&amp;I Prescriptive</v>
      </c>
      <c r="H245" s="241" t="str">
        <f>INDEX('VDSM MAPPING'!G:G,MATCH($D245,'VDSM MAPPING'!$A:$A,0))</f>
        <v>Lighting</v>
      </c>
      <c r="I245" s="241" t="str">
        <f>INDEX('VDSM MAPPING'!H:H,MATCH($D245,'VDSM MAPPING'!$A:$A,0))</f>
        <v>LED Linear Replacement Lamp (≤4ft)</v>
      </c>
      <c r="J245" s="240">
        <f t="shared" si="55"/>
        <v>1.3746408826732115</v>
      </c>
      <c r="K245" s="240">
        <f t="shared" si="56"/>
        <v>-1.2271939544855535</v>
      </c>
      <c r="L245" s="240" t="b">
        <f t="shared" si="57"/>
        <v>0</v>
      </c>
      <c r="M245" s="240" t="b">
        <f t="shared" si="58"/>
        <v>0</v>
      </c>
      <c r="N245" s="204" t="s">
        <v>289</v>
      </c>
      <c r="O245" s="204" t="s">
        <v>2232</v>
      </c>
      <c r="P245" s="350">
        <v>1</v>
      </c>
      <c r="Q245" s="204" t="s">
        <v>2232</v>
      </c>
      <c r="R245" s="204" t="s">
        <v>2189</v>
      </c>
      <c r="S245" s="204" t="s">
        <v>2188</v>
      </c>
      <c r="T245" s="204" t="s">
        <v>2188</v>
      </c>
      <c r="U245" s="204" t="s">
        <v>2188</v>
      </c>
      <c r="V245" s="204" t="s">
        <v>2187</v>
      </c>
      <c r="W245" s="204" t="s">
        <v>329</v>
      </c>
      <c r="X245" s="204" t="s">
        <v>297</v>
      </c>
      <c r="Y245" s="204" t="s">
        <v>397</v>
      </c>
      <c r="Z245" s="204" t="s">
        <v>2177</v>
      </c>
      <c r="AA245" s="204" t="s">
        <v>2176</v>
      </c>
      <c r="AB245" s="204" t="s">
        <v>329</v>
      </c>
      <c r="AC245" s="204" t="s">
        <v>297</v>
      </c>
      <c r="AD245" s="204" t="s">
        <v>397</v>
      </c>
      <c r="AE245" s="204" t="s">
        <v>2175</v>
      </c>
      <c r="AF245" s="204" t="s">
        <v>2174</v>
      </c>
      <c r="AG245" s="204" t="s">
        <v>2129</v>
      </c>
      <c r="AH245" s="204" t="s">
        <v>2147</v>
      </c>
      <c r="AI245" s="204" t="s">
        <v>2127</v>
      </c>
      <c r="AJ245" s="204" t="s">
        <v>2126</v>
      </c>
      <c r="AX245" s="204">
        <v>36</v>
      </c>
      <c r="AY245" s="204">
        <v>0</v>
      </c>
      <c r="AZ245" s="204">
        <v>0.87246699999999999</v>
      </c>
      <c r="BB245" s="204">
        <v>4088.1959999999999</v>
      </c>
      <c r="BH245" s="204">
        <v>0</v>
      </c>
      <c r="BI245" s="204">
        <v>198.72</v>
      </c>
      <c r="BJ245" s="204">
        <v>42878</v>
      </c>
      <c r="BK245" s="204">
        <v>42878.666603391197</v>
      </c>
      <c r="BL245" s="204" t="s">
        <v>293</v>
      </c>
      <c r="BM245" s="204" t="s">
        <v>2231</v>
      </c>
      <c r="BN245" s="269">
        <f t="shared" si="59"/>
        <v>113.56099999999999</v>
      </c>
      <c r="BO245" s="269">
        <f t="shared" si="60"/>
        <v>5.52</v>
      </c>
      <c r="BP245" s="269">
        <f>INDEX('App Data Outliers'!$M:$M,MATCH($E245,'App Data Outliers'!$A:$A,0))</f>
        <v>71.928403166606657</v>
      </c>
      <c r="BQ245" s="269">
        <f>INDEX('App Data Outliers'!$N:$N,MATCH($E245,'App Data Outliers'!$A:$A,0))</f>
        <v>30.28616226838243</v>
      </c>
      <c r="BR245" s="269">
        <f>INDEX('App Data Outliers'!$S:$S,MATCH($E245,'App Data Outliers'!$A:$A,0))</f>
        <v>10.421419234256929</v>
      </c>
      <c r="BS245" s="269">
        <f>INDEX('App Data Outliers'!$T:$T,MATCH($E245,'App Data Outliers'!$A:$A,0))</f>
        <v>3.9940053618595535</v>
      </c>
    </row>
    <row r="246" spans="1:71" s="204" customFormat="1" hidden="1">
      <c r="A246" s="241">
        <v>242</v>
      </c>
      <c r="B246" s="241" t="str">
        <f t="shared" si="51"/>
        <v>Non-Residential - BHPSD - C/I Prescriptive Rebate</v>
      </c>
      <c r="C246" s="241" t="b">
        <f t="shared" si="52"/>
        <v>1</v>
      </c>
      <c r="D246" s="241" t="str">
        <f t="shared" si="53"/>
        <v>Non-Residential - BHPSD - C/I Prescriptive Rebate_C&amp;I Prescriptive Rebate :- C&amp;I Lighting :- Customer Incentives_LED Replacement for T8 Linear Fluorescent Lamps - 4 ft or less</v>
      </c>
      <c r="E246" s="241" t="str">
        <f t="shared" si="54"/>
        <v>C&amp;I_C&amp;I Prescriptive_Lighting_LED Linear Replacement Lamp (≤4ft)</v>
      </c>
      <c r="F246" s="241" t="str">
        <f>INDEX('VDSM MAPPING'!E:E,MATCH($D246,'VDSM MAPPING'!$A:$A,0))</f>
        <v>C&amp;I</v>
      </c>
      <c r="G246" s="241" t="str">
        <f>INDEX('VDSM MAPPING'!F:F,MATCH($D246,'VDSM MAPPING'!$A:$A,0))</f>
        <v>C&amp;I Prescriptive</v>
      </c>
      <c r="H246" s="241" t="str">
        <f>INDEX('VDSM MAPPING'!G:G,MATCH($D246,'VDSM MAPPING'!$A:$A,0))</f>
        <v>Lighting</v>
      </c>
      <c r="I246" s="241" t="str">
        <f>INDEX('VDSM MAPPING'!H:H,MATCH($D246,'VDSM MAPPING'!$A:$A,0))</f>
        <v>LED Linear Replacement Lamp (≤4ft)</v>
      </c>
      <c r="J246" s="240">
        <f t="shared" si="55"/>
        <v>-0.50014270650659343</v>
      </c>
      <c r="K246" s="240">
        <f t="shared" si="56"/>
        <v>-1.2271939544855535</v>
      </c>
      <c r="L246" s="240" t="b">
        <f t="shared" si="57"/>
        <v>0</v>
      </c>
      <c r="M246" s="240" t="b">
        <f t="shared" si="58"/>
        <v>0</v>
      </c>
      <c r="N246" s="204" t="s">
        <v>289</v>
      </c>
      <c r="O246" s="204" t="s">
        <v>2232</v>
      </c>
      <c r="P246" s="350">
        <v>0</v>
      </c>
      <c r="Q246" s="204" t="s">
        <v>2232</v>
      </c>
      <c r="R246" s="204" t="s">
        <v>2189</v>
      </c>
      <c r="S246" s="204" t="s">
        <v>2188</v>
      </c>
      <c r="T246" s="204" t="s">
        <v>2188</v>
      </c>
      <c r="U246" s="204" t="s">
        <v>2188</v>
      </c>
      <c r="V246" s="204" t="s">
        <v>2187</v>
      </c>
      <c r="W246" s="204" t="s">
        <v>329</v>
      </c>
      <c r="X246" s="204" t="s">
        <v>297</v>
      </c>
      <c r="Y246" s="204" t="s">
        <v>397</v>
      </c>
      <c r="Z246" s="204" t="s">
        <v>2177</v>
      </c>
      <c r="AA246" s="204" t="s">
        <v>2176</v>
      </c>
      <c r="AB246" s="204" t="s">
        <v>329</v>
      </c>
      <c r="AC246" s="204" t="s">
        <v>297</v>
      </c>
      <c r="AD246" s="204" t="s">
        <v>397</v>
      </c>
      <c r="AE246" s="204" t="s">
        <v>2175</v>
      </c>
      <c r="AF246" s="204" t="s">
        <v>2174</v>
      </c>
      <c r="AG246" s="204" t="s">
        <v>2129</v>
      </c>
      <c r="AH246" s="204" t="s">
        <v>2173</v>
      </c>
      <c r="AI246" s="204" t="s">
        <v>2127</v>
      </c>
      <c r="AJ246" s="204" t="s">
        <v>2126</v>
      </c>
      <c r="AX246" s="204">
        <v>38</v>
      </c>
      <c r="AY246" s="204">
        <v>0</v>
      </c>
      <c r="AZ246" s="204">
        <v>0.46046900000000002</v>
      </c>
      <c r="BB246" s="204">
        <v>2157.6779999999999</v>
      </c>
      <c r="BH246" s="204">
        <v>0</v>
      </c>
      <c r="BI246" s="204">
        <v>209.76</v>
      </c>
      <c r="BJ246" s="204">
        <v>42878</v>
      </c>
      <c r="BK246" s="204">
        <v>42878.666603391197</v>
      </c>
      <c r="BL246" s="204" t="s">
        <v>293</v>
      </c>
      <c r="BM246" s="204" t="s">
        <v>2233</v>
      </c>
      <c r="BN246" s="269">
        <f t="shared" si="59"/>
        <v>56.780999999999999</v>
      </c>
      <c r="BO246" s="269">
        <f t="shared" si="60"/>
        <v>5.52</v>
      </c>
      <c r="BP246" s="269">
        <f>INDEX('App Data Outliers'!$M:$M,MATCH($E246,'App Data Outliers'!$A:$A,0))</f>
        <v>71.928403166606657</v>
      </c>
      <c r="BQ246" s="269">
        <f>INDEX('App Data Outliers'!$N:$N,MATCH($E246,'App Data Outliers'!$A:$A,0))</f>
        <v>30.28616226838243</v>
      </c>
      <c r="BR246" s="269">
        <f>INDEX('App Data Outliers'!$S:$S,MATCH($E246,'App Data Outliers'!$A:$A,0))</f>
        <v>10.421419234256929</v>
      </c>
      <c r="BS246" s="269">
        <f>INDEX('App Data Outliers'!$T:$T,MATCH($E246,'App Data Outliers'!$A:$A,0))</f>
        <v>3.9940053618595535</v>
      </c>
    </row>
    <row r="247" spans="1:71" s="204" customFormat="1" hidden="1">
      <c r="A247" s="241">
        <v>243</v>
      </c>
      <c r="B247" s="241" t="str">
        <f t="shared" si="51"/>
        <v>Non-Residential - BHPSD - C/I Prescriptive Rebate</v>
      </c>
      <c r="C247" s="241" t="b">
        <f t="shared" si="52"/>
        <v>1</v>
      </c>
      <c r="D247" s="241" t="str">
        <f t="shared" si="53"/>
        <v>Non-Residential - BHPSD - C/I Prescriptive Rebate_C&amp;I Prescriptive Rebate :- C&amp;I Lighting :- Customer Incentives_LED Fixtures Exterior &amp; Garage - 25W to 60W</v>
      </c>
      <c r="E247" s="241" t="str">
        <f t="shared" si="54"/>
        <v>C&amp;I_C&amp;I Prescriptive_Lighting_LED Parking Garage/Canopy (30-75W)</v>
      </c>
      <c r="F247" s="241" t="str">
        <f>INDEX('VDSM MAPPING'!E:E,MATCH($D247,'VDSM MAPPING'!$A:$A,0))</f>
        <v>C&amp;I</v>
      </c>
      <c r="G247" s="241" t="str">
        <f>INDEX('VDSM MAPPING'!F:F,MATCH($D247,'VDSM MAPPING'!$A:$A,0))</f>
        <v>C&amp;I Prescriptive</v>
      </c>
      <c r="H247" s="241" t="str">
        <f>INDEX('VDSM MAPPING'!G:G,MATCH($D247,'VDSM MAPPING'!$A:$A,0))</f>
        <v>Lighting</v>
      </c>
      <c r="I247" s="241" t="str">
        <f>INDEX('VDSM MAPPING'!H:H,MATCH($D247,'VDSM MAPPING'!$A:$A,0))</f>
        <v>LED Parking Garage/Canopy (30-75W)</v>
      </c>
      <c r="J247" s="240">
        <f t="shared" si="55"/>
        <v>0.76115918188076592</v>
      </c>
      <c r="K247" s="240">
        <f t="shared" si="56"/>
        <v>0.74402665660424805</v>
      </c>
      <c r="L247" s="240" t="b">
        <f t="shared" si="57"/>
        <v>0</v>
      </c>
      <c r="M247" s="240" t="b">
        <f t="shared" si="58"/>
        <v>0</v>
      </c>
      <c r="N247" s="204" t="s">
        <v>289</v>
      </c>
      <c r="O247" s="204" t="s">
        <v>2225</v>
      </c>
      <c r="P247" s="350">
        <v>1</v>
      </c>
      <c r="Q247" s="204" t="s">
        <v>2225</v>
      </c>
      <c r="R247" s="204" t="s">
        <v>2224</v>
      </c>
      <c r="S247" s="204" t="s">
        <v>2223</v>
      </c>
      <c r="T247" s="204" t="s">
        <v>2223</v>
      </c>
      <c r="U247" s="204" t="s">
        <v>2223</v>
      </c>
      <c r="V247" s="204" t="s">
        <v>2222</v>
      </c>
      <c r="W247" s="204" t="s">
        <v>329</v>
      </c>
      <c r="X247" s="204" t="s">
        <v>297</v>
      </c>
      <c r="Y247" s="204" t="s">
        <v>848</v>
      </c>
      <c r="Z247" s="204" t="s">
        <v>2221</v>
      </c>
      <c r="AA247" s="204" t="s">
        <v>2220</v>
      </c>
      <c r="AB247" s="204" t="s">
        <v>329</v>
      </c>
      <c r="AC247" s="204" t="s">
        <v>297</v>
      </c>
      <c r="AD247" s="204" t="s">
        <v>848</v>
      </c>
      <c r="AE247" s="204" t="s">
        <v>2219</v>
      </c>
      <c r="AG247" s="204" t="s">
        <v>2129</v>
      </c>
      <c r="AH247" s="204" t="s">
        <v>2145</v>
      </c>
      <c r="AI247" s="204" t="s">
        <v>2127</v>
      </c>
      <c r="AJ247" s="204" t="s">
        <v>2126</v>
      </c>
      <c r="AX247" s="204">
        <v>4</v>
      </c>
      <c r="AY247" s="204">
        <v>0</v>
      </c>
      <c r="AZ247" s="204">
        <v>0.52671199999999996</v>
      </c>
      <c r="BB247" s="204">
        <v>2468.0639999999999</v>
      </c>
      <c r="BH247" s="204">
        <v>0</v>
      </c>
      <c r="BI247" s="204">
        <v>300</v>
      </c>
      <c r="BJ247" s="204">
        <v>42888</v>
      </c>
      <c r="BK247" s="204">
        <v>42888.576423263898</v>
      </c>
      <c r="BL247" s="204" t="s">
        <v>293</v>
      </c>
      <c r="BM247" s="204" t="s">
        <v>2229</v>
      </c>
      <c r="BN247" s="269">
        <f t="shared" si="59"/>
        <v>617.01599999999996</v>
      </c>
      <c r="BO247" s="269">
        <f t="shared" si="60"/>
        <v>75</v>
      </c>
      <c r="BP247" s="269">
        <f>INDEX('App Data Outliers'!$M:$M,MATCH($E247,'App Data Outliers'!$A:$A,0))</f>
        <v>540.38278358208959</v>
      </c>
      <c r="BQ247" s="269">
        <f>INDEX('App Data Outliers'!$N:$N,MATCH($E247,'App Data Outliers'!$A:$A,0))</f>
        <v>100.67961898397597</v>
      </c>
      <c r="BR247" s="269">
        <f>INDEX('App Data Outliers'!$S:$S,MATCH($E247,'App Data Outliers'!$A:$A,0))</f>
        <v>63.736940298507463</v>
      </c>
      <c r="BS247" s="269">
        <f>INDEX('App Data Outliers'!$T:$T,MATCH($E247,'App Data Outliers'!$A:$A,0))</f>
        <v>15.137978729011348</v>
      </c>
    </row>
    <row r="248" spans="1:71" s="204" customFormat="1" hidden="1">
      <c r="A248" s="241">
        <v>244</v>
      </c>
      <c r="B248" s="241" t="str">
        <f t="shared" si="51"/>
        <v>Non-Residential - BHPSD - C/I Prescriptive Rebate</v>
      </c>
      <c r="C248" s="241" t="b">
        <f t="shared" si="52"/>
        <v>1</v>
      </c>
      <c r="D248" s="241" t="str">
        <f t="shared" si="53"/>
        <v>Non-Residential - BHPSD - C/I Prescriptive Rebate_C&amp;I Prescriptive Rebate :- C&amp;I Lighting :- Customer Incentives_LED Fixtures Exterior &amp; Garage - 25W or less</v>
      </c>
      <c r="E248" s="241" t="str">
        <f t="shared" si="54"/>
        <v>C&amp;I_C&amp;I Prescriptive_Lighting_LED Parking Garage/Canopy (&lt;30W)</v>
      </c>
      <c r="F248" s="241" t="str">
        <f>INDEX('VDSM MAPPING'!E:E,MATCH($D248,'VDSM MAPPING'!$A:$A,0))</f>
        <v>C&amp;I</v>
      </c>
      <c r="G248" s="241" t="str">
        <f>INDEX('VDSM MAPPING'!F:F,MATCH($D248,'VDSM MAPPING'!$A:$A,0))</f>
        <v>C&amp;I Prescriptive</v>
      </c>
      <c r="H248" s="241" t="str">
        <f>INDEX('VDSM MAPPING'!G:G,MATCH($D248,'VDSM MAPPING'!$A:$A,0))</f>
        <v>Lighting</v>
      </c>
      <c r="I248" s="241" t="str">
        <f>INDEX('VDSM MAPPING'!H:H,MATCH($D248,'VDSM MAPPING'!$A:$A,0))</f>
        <v>LED Parking Garage/Canopy (&lt;30W)</v>
      </c>
      <c r="J248" s="240">
        <f t="shared" si="55"/>
        <v>-1.0999438818457414</v>
      </c>
      <c r="K248" s="240">
        <f t="shared" si="56"/>
        <v>2.0417856305775652</v>
      </c>
      <c r="L248" s="240" t="b">
        <f t="shared" si="57"/>
        <v>0</v>
      </c>
      <c r="M248" s="240" t="b">
        <f t="shared" si="58"/>
        <v>1</v>
      </c>
      <c r="N248" s="204" t="s">
        <v>289</v>
      </c>
      <c r="O248" s="204" t="s">
        <v>2225</v>
      </c>
      <c r="P248" s="350">
        <v>0</v>
      </c>
      <c r="Q248" s="204" t="s">
        <v>2225</v>
      </c>
      <c r="R248" s="204" t="s">
        <v>2224</v>
      </c>
      <c r="S248" s="204" t="s">
        <v>2223</v>
      </c>
      <c r="T248" s="204" t="s">
        <v>2223</v>
      </c>
      <c r="U248" s="204" t="s">
        <v>2223</v>
      </c>
      <c r="V248" s="204" t="s">
        <v>2222</v>
      </c>
      <c r="W248" s="204" t="s">
        <v>329</v>
      </c>
      <c r="X248" s="204" t="s">
        <v>297</v>
      </c>
      <c r="Y248" s="204" t="s">
        <v>848</v>
      </c>
      <c r="Z248" s="204" t="s">
        <v>2221</v>
      </c>
      <c r="AA248" s="204" t="s">
        <v>2220</v>
      </c>
      <c r="AB248" s="204" t="s">
        <v>329</v>
      </c>
      <c r="AC248" s="204" t="s">
        <v>297</v>
      </c>
      <c r="AD248" s="204" t="s">
        <v>848</v>
      </c>
      <c r="AE248" s="204" t="s">
        <v>2219</v>
      </c>
      <c r="AG248" s="204" t="s">
        <v>2129</v>
      </c>
      <c r="AH248" s="204" t="s">
        <v>2218</v>
      </c>
      <c r="AI248" s="204" t="s">
        <v>2127</v>
      </c>
      <c r="AJ248" s="204" t="s">
        <v>2126</v>
      </c>
      <c r="AX248" s="204">
        <v>1</v>
      </c>
      <c r="AY248" s="204">
        <v>0</v>
      </c>
      <c r="AZ248" s="204">
        <v>0.106736</v>
      </c>
      <c r="BB248" s="204">
        <v>500.14299999999997</v>
      </c>
      <c r="BH248" s="204">
        <v>0</v>
      </c>
      <c r="BI248" s="204">
        <v>35</v>
      </c>
      <c r="BJ248" s="204">
        <v>42888</v>
      </c>
      <c r="BK248" s="204">
        <v>42888.576423263898</v>
      </c>
      <c r="BL248" s="204" t="s">
        <v>293</v>
      </c>
      <c r="BM248" s="204" t="s">
        <v>2217</v>
      </c>
      <c r="BN248" s="269">
        <f t="shared" si="59"/>
        <v>500.14299999999997</v>
      </c>
      <c r="BO248" s="269">
        <f t="shared" si="60"/>
        <v>35</v>
      </c>
      <c r="BP248" s="269">
        <f>INDEX('App Data Outliers'!$M:$M,MATCH($E248,'App Data Outliers'!$A:$A,0))</f>
        <v>597.39996296296295</v>
      </c>
      <c r="BQ248" s="269">
        <f>INDEX('App Data Outliers'!$N:$N,MATCH($E248,'App Data Outliers'!$A:$A,0))</f>
        <v>88.419931751211379</v>
      </c>
      <c r="BR248" s="269">
        <f>INDEX('App Data Outliers'!$S:$S,MATCH($E248,'App Data Outliers'!$A:$A,0))</f>
        <v>9.8725925925925928</v>
      </c>
      <c r="BS248" s="269">
        <f>INDEX('App Data Outliers'!$T:$T,MATCH($E248,'App Data Outliers'!$A:$A,0))</f>
        <v>12.306584506768004</v>
      </c>
    </row>
    <row r="249" spans="1:71" s="204" customFormat="1" hidden="1">
      <c r="A249" s="241">
        <v>245</v>
      </c>
      <c r="B249" s="241" t="str">
        <f t="shared" si="51"/>
        <v>Non-Residential - BHPSD - C/I Prescriptive Rebate</v>
      </c>
      <c r="C249" s="241" t="b">
        <f t="shared" si="52"/>
        <v>1</v>
      </c>
      <c r="D249" s="241" t="str">
        <f t="shared" si="53"/>
        <v>Non-Residential - BHPSD - C/I Prescriptive Rebate_C&amp;I Prescriptive Rebate :- C&amp;I Lighting :- Customer Incentives_LED Replacement for T8 Linear Fluorescent Lamps - 4 ft or less</v>
      </c>
      <c r="E249" s="241" t="str">
        <f t="shared" si="54"/>
        <v>C&amp;I_C&amp;I Prescriptive_Lighting_LED Linear Replacement Lamp (≤4ft)</v>
      </c>
      <c r="F249" s="241" t="str">
        <f>INDEX('VDSM MAPPING'!E:E,MATCH($D249,'VDSM MAPPING'!$A:$A,0))</f>
        <v>C&amp;I</v>
      </c>
      <c r="G249" s="241" t="str">
        <f>INDEX('VDSM MAPPING'!F:F,MATCH($D249,'VDSM MAPPING'!$A:$A,0))</f>
        <v>C&amp;I Prescriptive</v>
      </c>
      <c r="H249" s="241" t="str">
        <f>INDEX('VDSM MAPPING'!G:G,MATCH($D249,'VDSM MAPPING'!$A:$A,0))</f>
        <v>Lighting</v>
      </c>
      <c r="I249" s="241" t="str">
        <f>INDEX('VDSM MAPPING'!H:H,MATCH($D249,'VDSM MAPPING'!$A:$A,0))</f>
        <v>LED Linear Replacement Lamp (≤4ft)</v>
      </c>
      <c r="J249" s="240">
        <f t="shared" si="55"/>
        <v>-0.50014270650659343</v>
      </c>
      <c r="K249" s="240">
        <f t="shared" si="56"/>
        <v>-0.60626339097590731</v>
      </c>
      <c r="L249" s="240" t="b">
        <f t="shared" si="57"/>
        <v>0</v>
      </c>
      <c r="M249" s="240" t="b">
        <f t="shared" si="58"/>
        <v>0</v>
      </c>
      <c r="N249" s="204" t="s">
        <v>289</v>
      </c>
      <c r="O249" s="204" t="s">
        <v>2225</v>
      </c>
      <c r="P249" s="350">
        <v>0</v>
      </c>
      <c r="Q249" s="204" t="s">
        <v>2225</v>
      </c>
      <c r="R249" s="204" t="s">
        <v>2224</v>
      </c>
      <c r="S249" s="204" t="s">
        <v>2223</v>
      </c>
      <c r="T249" s="204" t="s">
        <v>2223</v>
      </c>
      <c r="U249" s="204" t="s">
        <v>2223</v>
      </c>
      <c r="V249" s="204" t="s">
        <v>2222</v>
      </c>
      <c r="W249" s="204" t="s">
        <v>329</v>
      </c>
      <c r="X249" s="204" t="s">
        <v>297</v>
      </c>
      <c r="Y249" s="204" t="s">
        <v>848</v>
      </c>
      <c r="Z249" s="204" t="s">
        <v>2221</v>
      </c>
      <c r="AA249" s="204" t="s">
        <v>2220</v>
      </c>
      <c r="AB249" s="204" t="s">
        <v>329</v>
      </c>
      <c r="AC249" s="204" t="s">
        <v>297</v>
      </c>
      <c r="AD249" s="204" t="s">
        <v>848</v>
      </c>
      <c r="AE249" s="204" t="s">
        <v>2219</v>
      </c>
      <c r="AG249" s="204" t="s">
        <v>2129</v>
      </c>
      <c r="AH249" s="204" t="s">
        <v>2173</v>
      </c>
      <c r="AI249" s="204" t="s">
        <v>2127</v>
      </c>
      <c r="AJ249" s="204" t="s">
        <v>2126</v>
      </c>
      <c r="AX249" s="204">
        <v>616</v>
      </c>
      <c r="AY249" s="204">
        <v>0</v>
      </c>
      <c r="AZ249" s="204">
        <v>7.464442</v>
      </c>
      <c r="BB249" s="204">
        <v>34977.095999999998</v>
      </c>
      <c r="BH249" s="204">
        <v>0</v>
      </c>
      <c r="BI249" s="204">
        <v>4928</v>
      </c>
      <c r="BJ249" s="204">
        <v>42888</v>
      </c>
      <c r="BK249" s="204">
        <v>42888.576423263898</v>
      </c>
      <c r="BL249" s="204" t="s">
        <v>293</v>
      </c>
      <c r="BM249" s="204" t="s">
        <v>2228</v>
      </c>
      <c r="BN249" s="269">
        <f t="shared" si="59"/>
        <v>56.780999999999999</v>
      </c>
      <c r="BO249" s="269">
        <f t="shared" si="60"/>
        <v>8</v>
      </c>
      <c r="BP249" s="269">
        <f>INDEX('App Data Outliers'!$M:$M,MATCH($E249,'App Data Outliers'!$A:$A,0))</f>
        <v>71.928403166606657</v>
      </c>
      <c r="BQ249" s="269">
        <f>INDEX('App Data Outliers'!$N:$N,MATCH($E249,'App Data Outliers'!$A:$A,0))</f>
        <v>30.28616226838243</v>
      </c>
      <c r="BR249" s="269">
        <f>INDEX('App Data Outliers'!$S:$S,MATCH($E249,'App Data Outliers'!$A:$A,0))</f>
        <v>10.421419234256929</v>
      </c>
      <c r="BS249" s="269">
        <f>INDEX('App Data Outliers'!$T:$T,MATCH($E249,'App Data Outliers'!$A:$A,0))</f>
        <v>3.9940053618595535</v>
      </c>
    </row>
    <row r="250" spans="1:71" s="204" customFormat="1" hidden="1">
      <c r="A250" s="241">
        <v>246</v>
      </c>
      <c r="B250" s="241" t="str">
        <f t="shared" si="51"/>
        <v>Non-Residential - BHPSD - C/I Prescriptive Rebate</v>
      </c>
      <c r="C250" s="241" t="b">
        <f t="shared" si="52"/>
        <v>1</v>
      </c>
      <c r="D250" s="241" t="str">
        <f t="shared" si="53"/>
        <v>Non-Residential - BHPSD - C/I Prescriptive Rebate_C&amp;I Prescriptive Rebate :- C&amp;I Lighting :- Customer Incentives_LED Replacement for T12 Linear Fluorescent Lamps - 4 ft or less</v>
      </c>
      <c r="E250" s="241" t="str">
        <f t="shared" si="54"/>
        <v>C&amp;I_C&amp;I Prescriptive_Lighting_LED Linear Replacement Lamp (≤4ft)</v>
      </c>
      <c r="F250" s="241" t="str">
        <f>INDEX('VDSM MAPPING'!E:E,MATCH($D250,'VDSM MAPPING'!$A:$A,0))</f>
        <v>C&amp;I</v>
      </c>
      <c r="G250" s="241" t="str">
        <f>INDEX('VDSM MAPPING'!F:F,MATCH($D250,'VDSM MAPPING'!$A:$A,0))</f>
        <v>C&amp;I Prescriptive</v>
      </c>
      <c r="H250" s="241" t="str">
        <f>INDEX('VDSM MAPPING'!G:G,MATCH($D250,'VDSM MAPPING'!$A:$A,0))</f>
        <v>Lighting</v>
      </c>
      <c r="I250" s="241" t="str">
        <f>INDEX('VDSM MAPPING'!H:H,MATCH($D250,'VDSM MAPPING'!$A:$A,0))</f>
        <v>LED Linear Replacement Lamp (≤4ft)</v>
      </c>
      <c r="J250" s="240">
        <f t="shared" si="55"/>
        <v>1.3746408826732115</v>
      </c>
      <c r="K250" s="240">
        <f t="shared" si="56"/>
        <v>0.70570279966544147</v>
      </c>
      <c r="L250" s="240" t="b">
        <f t="shared" si="57"/>
        <v>0</v>
      </c>
      <c r="M250" s="240" t="b">
        <f t="shared" si="58"/>
        <v>0</v>
      </c>
      <c r="N250" s="204" t="s">
        <v>289</v>
      </c>
      <c r="O250" s="204" t="s">
        <v>2225</v>
      </c>
      <c r="P250" s="350">
        <v>0</v>
      </c>
      <c r="Q250" s="204" t="s">
        <v>2225</v>
      </c>
      <c r="R250" s="204" t="s">
        <v>2224</v>
      </c>
      <c r="S250" s="204" t="s">
        <v>2223</v>
      </c>
      <c r="T250" s="204" t="s">
        <v>2223</v>
      </c>
      <c r="U250" s="204" t="s">
        <v>2223</v>
      </c>
      <c r="V250" s="204" t="s">
        <v>2222</v>
      </c>
      <c r="W250" s="204" t="s">
        <v>329</v>
      </c>
      <c r="X250" s="204" t="s">
        <v>297</v>
      </c>
      <c r="Y250" s="204" t="s">
        <v>848</v>
      </c>
      <c r="Z250" s="204" t="s">
        <v>2221</v>
      </c>
      <c r="AA250" s="204" t="s">
        <v>2220</v>
      </c>
      <c r="AB250" s="204" t="s">
        <v>329</v>
      </c>
      <c r="AC250" s="204" t="s">
        <v>297</v>
      </c>
      <c r="AD250" s="204" t="s">
        <v>848</v>
      </c>
      <c r="AE250" s="204" t="s">
        <v>2219</v>
      </c>
      <c r="AG250" s="204" t="s">
        <v>2129</v>
      </c>
      <c r="AH250" s="204" t="s">
        <v>2147</v>
      </c>
      <c r="AI250" s="204" t="s">
        <v>2127</v>
      </c>
      <c r="AJ250" s="204" t="s">
        <v>2126</v>
      </c>
      <c r="AX250" s="204">
        <v>74</v>
      </c>
      <c r="AY250" s="204">
        <v>0</v>
      </c>
      <c r="AZ250" s="204">
        <v>1.7934049999999999</v>
      </c>
      <c r="BB250" s="204">
        <v>8403.5139999999992</v>
      </c>
      <c r="BH250" s="204">
        <v>0</v>
      </c>
      <c r="BI250" s="204">
        <v>979.76</v>
      </c>
      <c r="BJ250" s="204">
        <v>42888</v>
      </c>
      <c r="BK250" s="204">
        <v>42888.576423263898</v>
      </c>
      <c r="BL250" s="204" t="s">
        <v>293</v>
      </c>
      <c r="BM250" s="204" t="s">
        <v>2227</v>
      </c>
      <c r="BN250" s="269">
        <f t="shared" si="59"/>
        <v>113.56099999999999</v>
      </c>
      <c r="BO250" s="269">
        <f t="shared" si="60"/>
        <v>13.24</v>
      </c>
      <c r="BP250" s="269">
        <f>INDEX('App Data Outliers'!$M:$M,MATCH($E250,'App Data Outliers'!$A:$A,0))</f>
        <v>71.928403166606657</v>
      </c>
      <c r="BQ250" s="269">
        <f>INDEX('App Data Outliers'!$N:$N,MATCH($E250,'App Data Outliers'!$A:$A,0))</f>
        <v>30.28616226838243</v>
      </c>
      <c r="BR250" s="269">
        <f>INDEX('App Data Outliers'!$S:$S,MATCH($E250,'App Data Outliers'!$A:$A,0))</f>
        <v>10.421419234256929</v>
      </c>
      <c r="BS250" s="269">
        <f>INDEX('App Data Outliers'!$T:$T,MATCH($E250,'App Data Outliers'!$A:$A,0))</f>
        <v>3.9940053618595535</v>
      </c>
    </row>
    <row r="251" spans="1:71" s="204" customFormat="1" hidden="1">
      <c r="A251" s="241">
        <v>247</v>
      </c>
      <c r="B251" s="241" t="str">
        <f t="shared" si="51"/>
        <v>Non-Residential - BHPSD - C/I Prescriptive Rebate</v>
      </c>
      <c r="C251" s="241" t="b">
        <f t="shared" si="52"/>
        <v>1</v>
      </c>
      <c r="D251" s="241" t="str">
        <f t="shared" si="53"/>
        <v>Non-Residential - BHPSD - C/I Prescriptive Rebate_C&amp;I Prescriptive Rebate :- C&amp;I Lighting :- Customer Incentives_LED Replacement for T12 Linear Fluorescent Lamps - 4 ft or less</v>
      </c>
      <c r="E251" s="241" t="str">
        <f t="shared" si="54"/>
        <v>C&amp;I_C&amp;I Prescriptive_Lighting_LED Linear Replacement Lamp (≤4ft)</v>
      </c>
      <c r="F251" s="241" t="str">
        <f>INDEX('VDSM MAPPING'!E:E,MATCH($D251,'VDSM MAPPING'!$A:$A,0))</f>
        <v>C&amp;I</v>
      </c>
      <c r="G251" s="241" t="str">
        <f>INDEX('VDSM MAPPING'!F:F,MATCH($D251,'VDSM MAPPING'!$A:$A,0))</f>
        <v>C&amp;I Prescriptive</v>
      </c>
      <c r="H251" s="241" t="str">
        <f>INDEX('VDSM MAPPING'!G:G,MATCH($D251,'VDSM MAPPING'!$A:$A,0))</f>
        <v>Lighting</v>
      </c>
      <c r="I251" s="241" t="str">
        <f>INDEX('VDSM MAPPING'!H:H,MATCH($D251,'VDSM MAPPING'!$A:$A,0))</f>
        <v>LED Linear Replacement Lamp (≤4ft)</v>
      </c>
      <c r="J251" s="240">
        <f t="shared" si="55"/>
        <v>1.3746408826732119</v>
      </c>
      <c r="K251" s="240">
        <f t="shared" si="56"/>
        <v>0.42528254517721442</v>
      </c>
      <c r="L251" s="240" t="b">
        <f t="shared" si="57"/>
        <v>0</v>
      </c>
      <c r="M251" s="240" t="b">
        <f t="shared" si="58"/>
        <v>0</v>
      </c>
      <c r="N251" s="204" t="s">
        <v>289</v>
      </c>
      <c r="O251" s="204" t="s">
        <v>2225</v>
      </c>
      <c r="P251" s="350">
        <v>0</v>
      </c>
      <c r="Q251" s="204" t="s">
        <v>2225</v>
      </c>
      <c r="R251" s="204" t="s">
        <v>2224</v>
      </c>
      <c r="S251" s="204" t="s">
        <v>2223</v>
      </c>
      <c r="T251" s="204" t="s">
        <v>2223</v>
      </c>
      <c r="U251" s="204" t="s">
        <v>2223</v>
      </c>
      <c r="V251" s="204" t="s">
        <v>2222</v>
      </c>
      <c r="W251" s="204" t="s">
        <v>329</v>
      </c>
      <c r="X251" s="204" t="s">
        <v>297</v>
      </c>
      <c r="Y251" s="204" t="s">
        <v>848</v>
      </c>
      <c r="Z251" s="204" t="s">
        <v>2221</v>
      </c>
      <c r="AA251" s="204" t="s">
        <v>2220</v>
      </c>
      <c r="AB251" s="204" t="s">
        <v>329</v>
      </c>
      <c r="AC251" s="204" t="s">
        <v>297</v>
      </c>
      <c r="AD251" s="204" t="s">
        <v>848</v>
      </c>
      <c r="AE251" s="204" t="s">
        <v>2219</v>
      </c>
      <c r="AG251" s="204" t="s">
        <v>2129</v>
      </c>
      <c r="AH251" s="204" t="s">
        <v>2147</v>
      </c>
      <c r="AI251" s="204" t="s">
        <v>2127</v>
      </c>
      <c r="AJ251" s="204" t="s">
        <v>2126</v>
      </c>
      <c r="AX251" s="204">
        <v>236</v>
      </c>
      <c r="AY251" s="204">
        <v>0</v>
      </c>
      <c r="AZ251" s="204">
        <v>5.7195070000000001</v>
      </c>
      <c r="BB251" s="204">
        <v>26800.396000000001</v>
      </c>
      <c r="BH251" s="204">
        <v>0</v>
      </c>
      <c r="BI251" s="204">
        <v>2860.32</v>
      </c>
      <c r="BJ251" s="204">
        <v>42888</v>
      </c>
      <c r="BK251" s="204">
        <v>42888.576423263898</v>
      </c>
      <c r="BL251" s="204" t="s">
        <v>293</v>
      </c>
      <c r="BM251" s="204" t="s">
        <v>2226</v>
      </c>
      <c r="BN251" s="269">
        <f t="shared" si="59"/>
        <v>113.56100000000001</v>
      </c>
      <c r="BO251" s="269">
        <f t="shared" si="60"/>
        <v>12.120000000000001</v>
      </c>
      <c r="BP251" s="269">
        <f>INDEX('App Data Outliers'!$M:$M,MATCH($E251,'App Data Outliers'!$A:$A,0))</f>
        <v>71.928403166606657</v>
      </c>
      <c r="BQ251" s="269">
        <f>INDEX('App Data Outliers'!$N:$N,MATCH($E251,'App Data Outliers'!$A:$A,0))</f>
        <v>30.28616226838243</v>
      </c>
      <c r="BR251" s="269">
        <f>INDEX('App Data Outliers'!$S:$S,MATCH($E251,'App Data Outliers'!$A:$A,0))</f>
        <v>10.421419234256929</v>
      </c>
      <c r="BS251" s="269">
        <f>INDEX('App Data Outliers'!$T:$T,MATCH($E251,'App Data Outliers'!$A:$A,0))</f>
        <v>3.9940053618595535</v>
      </c>
    </row>
    <row r="252" spans="1:71" s="204" customFormat="1" hidden="1">
      <c r="A252" s="241">
        <v>248</v>
      </c>
      <c r="B252" s="241" t="str">
        <f t="shared" si="51"/>
        <v>Non-Residential - BHPSD - C/I Prescriptive Rebate</v>
      </c>
      <c r="C252" s="241" t="b">
        <f t="shared" si="52"/>
        <v>1</v>
      </c>
      <c r="D252" s="241" t="str">
        <f t="shared" si="53"/>
        <v>Non-Residential - BHPSD - C/I Prescriptive Rebate_C&amp;I Prescriptive Rebate :- C&amp;I Lighting :- Customer Incentives_LED Replacement for T12 Linear Fluorescent Lamps - 4 ft or less</v>
      </c>
      <c r="E252" s="241" t="str">
        <f t="shared" si="54"/>
        <v>C&amp;I_C&amp;I Prescriptive_Lighting_LED Linear Replacement Lamp (≤4ft)</v>
      </c>
      <c r="F252" s="241" t="str">
        <f>INDEX('VDSM MAPPING'!E:E,MATCH($D252,'VDSM MAPPING'!$A:$A,0))</f>
        <v>C&amp;I</v>
      </c>
      <c r="G252" s="241" t="str">
        <f>INDEX('VDSM MAPPING'!F:F,MATCH($D252,'VDSM MAPPING'!$A:$A,0))</f>
        <v>C&amp;I Prescriptive</v>
      </c>
      <c r="H252" s="241" t="str">
        <f>INDEX('VDSM MAPPING'!G:G,MATCH($D252,'VDSM MAPPING'!$A:$A,0))</f>
        <v>Lighting</v>
      </c>
      <c r="I252" s="241" t="str">
        <f>INDEX('VDSM MAPPING'!H:H,MATCH($D252,'VDSM MAPPING'!$A:$A,0))</f>
        <v>LED Linear Replacement Lamp (≤4ft)</v>
      </c>
      <c r="J252" s="240">
        <f t="shared" si="55"/>
        <v>1.3746408826732119</v>
      </c>
      <c r="K252" s="240">
        <f t="shared" si="56"/>
        <v>1.2890770790918427</v>
      </c>
      <c r="L252" s="240" t="b">
        <f t="shared" si="57"/>
        <v>0</v>
      </c>
      <c r="M252" s="240" t="b">
        <f t="shared" si="58"/>
        <v>0</v>
      </c>
      <c r="N252" s="204" t="s">
        <v>289</v>
      </c>
      <c r="O252" s="204" t="s">
        <v>2225</v>
      </c>
      <c r="P252" s="350">
        <v>0</v>
      </c>
      <c r="Q252" s="204" t="s">
        <v>2225</v>
      </c>
      <c r="R252" s="204" t="s">
        <v>2224</v>
      </c>
      <c r="S252" s="204" t="s">
        <v>2223</v>
      </c>
      <c r="T252" s="204" t="s">
        <v>2223</v>
      </c>
      <c r="U252" s="204" t="s">
        <v>2223</v>
      </c>
      <c r="V252" s="204" t="s">
        <v>2222</v>
      </c>
      <c r="W252" s="204" t="s">
        <v>329</v>
      </c>
      <c r="X252" s="204" t="s">
        <v>297</v>
      </c>
      <c r="Y252" s="204" t="s">
        <v>848</v>
      </c>
      <c r="Z252" s="204" t="s">
        <v>2221</v>
      </c>
      <c r="AA252" s="204" t="s">
        <v>2220</v>
      </c>
      <c r="AB252" s="204" t="s">
        <v>329</v>
      </c>
      <c r="AC252" s="204" t="s">
        <v>297</v>
      </c>
      <c r="AD252" s="204" t="s">
        <v>848</v>
      </c>
      <c r="AE252" s="204" t="s">
        <v>2219</v>
      </c>
      <c r="AG252" s="204" t="s">
        <v>2129</v>
      </c>
      <c r="AH252" s="204" t="s">
        <v>2147</v>
      </c>
      <c r="AI252" s="204" t="s">
        <v>2127</v>
      </c>
      <c r="AJ252" s="204" t="s">
        <v>2126</v>
      </c>
      <c r="AX252" s="204">
        <v>4</v>
      </c>
      <c r="AY252" s="204">
        <v>0</v>
      </c>
      <c r="AZ252" s="204">
        <v>9.6940999999999999E-2</v>
      </c>
      <c r="BB252" s="204">
        <v>454.24400000000003</v>
      </c>
      <c r="BH252" s="204">
        <v>0</v>
      </c>
      <c r="BI252" s="204">
        <v>62.28</v>
      </c>
      <c r="BJ252" s="204">
        <v>42888</v>
      </c>
      <c r="BK252" s="204">
        <v>42888.576423263898</v>
      </c>
      <c r="BL252" s="204" t="s">
        <v>293</v>
      </c>
      <c r="BM252" s="204" t="s">
        <v>2230</v>
      </c>
      <c r="BN252" s="269">
        <f t="shared" si="59"/>
        <v>113.56100000000001</v>
      </c>
      <c r="BO252" s="269">
        <f t="shared" si="60"/>
        <v>15.57</v>
      </c>
      <c r="BP252" s="269">
        <f>INDEX('App Data Outliers'!$M:$M,MATCH($E252,'App Data Outliers'!$A:$A,0))</f>
        <v>71.928403166606657</v>
      </c>
      <c r="BQ252" s="269">
        <f>INDEX('App Data Outliers'!$N:$N,MATCH($E252,'App Data Outliers'!$A:$A,0))</f>
        <v>30.28616226838243</v>
      </c>
      <c r="BR252" s="269">
        <f>INDEX('App Data Outliers'!$S:$S,MATCH($E252,'App Data Outliers'!$A:$A,0))</f>
        <v>10.421419234256929</v>
      </c>
      <c r="BS252" s="269">
        <f>INDEX('App Data Outliers'!$T:$T,MATCH($E252,'App Data Outliers'!$A:$A,0))</f>
        <v>3.9940053618595535</v>
      </c>
    </row>
    <row r="253" spans="1:71" s="204" customFormat="1" hidden="1">
      <c r="A253" s="241">
        <v>249</v>
      </c>
      <c r="B253" s="241" t="str">
        <f t="shared" si="51"/>
        <v>Non-Residential - BHPSD - C/I Prescriptive Rebate</v>
      </c>
      <c r="C253" s="241" t="b">
        <f t="shared" si="52"/>
        <v>1</v>
      </c>
      <c r="D253" s="241" t="str">
        <f t="shared" si="53"/>
        <v>Non-Residential - BHPSD - C/I Prescriptive Rebate_C&amp;I Prescriptive Rebate :- C&amp;I Lighting :- Customer Incentives_Energy Star LED Lamps - 5W to 10W</v>
      </c>
      <c r="E253" s="241" t="str">
        <f t="shared" si="54"/>
        <v>C&amp;I_C&amp;I Prescriptive_Lighting_Energy Star LED Lamp (5-10W)</v>
      </c>
      <c r="F253" s="241" t="str">
        <f>INDEX('VDSM MAPPING'!E:E,MATCH($D253,'VDSM MAPPING'!$A:$A,0))</f>
        <v>C&amp;I</v>
      </c>
      <c r="G253" s="241" t="str">
        <f>INDEX('VDSM MAPPING'!F:F,MATCH($D253,'VDSM MAPPING'!$A:$A,0))</f>
        <v>C&amp;I Prescriptive</v>
      </c>
      <c r="H253" s="241" t="str">
        <f>INDEX('VDSM MAPPING'!G:G,MATCH($D253,'VDSM MAPPING'!$A:$A,0))</f>
        <v>Lighting</v>
      </c>
      <c r="I253" s="241" t="str">
        <f>INDEX('VDSM MAPPING'!H:H,MATCH($D253,'VDSM MAPPING'!$A:$A,0))</f>
        <v>Energy Star LED Lamp (5-10W)</v>
      </c>
      <c r="J253" s="240">
        <f t="shared" si="55"/>
        <v>-0.46455080030631812</v>
      </c>
      <c r="K253" s="240">
        <f t="shared" si="56"/>
        <v>0.65500880598837496</v>
      </c>
      <c r="L253" s="240" t="b">
        <f t="shared" si="57"/>
        <v>0</v>
      </c>
      <c r="M253" s="240" t="b">
        <f t="shared" si="58"/>
        <v>0</v>
      </c>
      <c r="N253" s="204" t="s">
        <v>289</v>
      </c>
      <c r="O253" s="204" t="s">
        <v>2215</v>
      </c>
      <c r="P253" s="350">
        <v>1</v>
      </c>
      <c r="Q253" s="204" t="s">
        <v>2215</v>
      </c>
      <c r="R253" s="204" t="s">
        <v>2214</v>
      </c>
      <c r="S253" s="204" t="s">
        <v>2213</v>
      </c>
      <c r="T253" s="204" t="s">
        <v>2213</v>
      </c>
      <c r="U253" s="204" t="s">
        <v>2213</v>
      </c>
      <c r="V253" s="204" t="s">
        <v>2212</v>
      </c>
      <c r="W253" s="204" t="s">
        <v>329</v>
      </c>
      <c r="X253" s="204" t="s">
        <v>297</v>
      </c>
      <c r="Y253" s="204" t="s">
        <v>328</v>
      </c>
      <c r="Z253" s="204" t="s">
        <v>2211</v>
      </c>
      <c r="AA253" s="204" t="s">
        <v>2210</v>
      </c>
      <c r="AB253" s="204" t="s">
        <v>298</v>
      </c>
      <c r="AC253" s="204" t="s">
        <v>297</v>
      </c>
      <c r="AD253" s="204" t="s">
        <v>296</v>
      </c>
      <c r="AE253" s="204" t="s">
        <v>2209</v>
      </c>
      <c r="AF253" s="204" t="s">
        <v>2208</v>
      </c>
      <c r="AG253" s="204" t="s">
        <v>2129</v>
      </c>
      <c r="AH253" s="204" t="s">
        <v>2128</v>
      </c>
      <c r="AI253" s="204" t="s">
        <v>2127</v>
      </c>
      <c r="AJ253" s="204" t="s">
        <v>2126</v>
      </c>
      <c r="AX253" s="204">
        <v>8</v>
      </c>
      <c r="AY253" s="204">
        <v>0</v>
      </c>
      <c r="AZ253" s="204">
        <v>0.193882</v>
      </c>
      <c r="BB253" s="204">
        <v>908.48800000000006</v>
      </c>
      <c r="BH253" s="204">
        <v>0</v>
      </c>
      <c r="BI253" s="204">
        <v>50</v>
      </c>
      <c r="BJ253" s="204">
        <v>42891</v>
      </c>
      <c r="BK253" s="204">
        <v>42891.763463622701</v>
      </c>
      <c r="BL253" s="204" t="s">
        <v>293</v>
      </c>
      <c r="BM253" s="204" t="s">
        <v>2216</v>
      </c>
      <c r="BN253" s="269">
        <f t="shared" si="59"/>
        <v>113.56100000000001</v>
      </c>
      <c r="BO253" s="269">
        <f t="shared" si="60"/>
        <v>6.25</v>
      </c>
      <c r="BP253" s="269">
        <f>INDEX('App Data Outliers'!$M:$M,MATCH($E253,'App Data Outliers'!$A:$A,0))</f>
        <v>124.22266552020636</v>
      </c>
      <c r="BQ253" s="269">
        <f>INDEX('App Data Outliers'!$N:$N,MATCH($E253,'App Data Outliers'!$A:$A,0))</f>
        <v>22.950483592270654</v>
      </c>
      <c r="BR253" s="269">
        <f>INDEX('App Data Outliers'!$S:$S,MATCH($E253,'App Data Outliers'!$A:$A,0))</f>
        <v>4.8732072914875317</v>
      </c>
      <c r="BS253" s="269">
        <f>INDEX('App Data Outliers'!$T:$T,MATCH($E253,'App Data Outliers'!$A:$A,0))</f>
        <v>2.1019453416888925</v>
      </c>
    </row>
    <row r="254" spans="1:71" s="204" customFormat="1" hidden="1">
      <c r="A254" s="241">
        <v>250</v>
      </c>
      <c r="B254" s="241" t="str">
        <f t="shared" si="51"/>
        <v>Non-Residential - BHPSD - C/I Prescriptive Rebate</v>
      </c>
      <c r="C254" s="241" t="b">
        <f t="shared" si="52"/>
        <v>1</v>
      </c>
      <c r="D254" s="241" t="str">
        <f t="shared" si="53"/>
        <v>Non-Residential - BHPSD - C/I Prescriptive Rebate_C&amp;I Prescriptive Rebate :- C&amp;I Lighting :- Customer Incentives_LED Replacement for T8 Linear Fluorescent Lamps - 4 ft or less</v>
      </c>
      <c r="E254" s="241" t="str">
        <f t="shared" si="54"/>
        <v>C&amp;I_C&amp;I Prescriptive_Lighting_LED Linear Replacement Lamp (≤4ft)</v>
      </c>
      <c r="F254" s="241" t="str">
        <f>INDEX('VDSM MAPPING'!E:E,MATCH($D254,'VDSM MAPPING'!$A:$A,0))</f>
        <v>C&amp;I</v>
      </c>
      <c r="G254" s="241" t="str">
        <f>INDEX('VDSM MAPPING'!F:F,MATCH($D254,'VDSM MAPPING'!$A:$A,0))</f>
        <v>C&amp;I Prescriptive</v>
      </c>
      <c r="H254" s="241" t="str">
        <f>INDEX('VDSM MAPPING'!G:G,MATCH($D254,'VDSM MAPPING'!$A:$A,0))</f>
        <v>Lighting</v>
      </c>
      <c r="I254" s="241" t="str">
        <f>INDEX('VDSM MAPPING'!H:H,MATCH($D254,'VDSM MAPPING'!$A:$A,0))</f>
        <v>LED Linear Replacement Lamp (≤4ft)</v>
      </c>
      <c r="J254" s="240">
        <f t="shared" si="55"/>
        <v>-0.50014270650659343</v>
      </c>
      <c r="K254" s="240">
        <f t="shared" si="56"/>
        <v>-0.60626339097590731</v>
      </c>
      <c r="L254" s="240" t="b">
        <f t="shared" si="57"/>
        <v>0</v>
      </c>
      <c r="M254" s="240" t="b">
        <f t="shared" si="58"/>
        <v>0</v>
      </c>
      <c r="N254" s="204" t="s">
        <v>289</v>
      </c>
      <c r="O254" s="204" t="s">
        <v>2215</v>
      </c>
      <c r="P254" s="350">
        <v>0</v>
      </c>
      <c r="Q254" s="204" t="s">
        <v>2215</v>
      </c>
      <c r="R254" s="204" t="s">
        <v>2214</v>
      </c>
      <c r="S254" s="204" t="s">
        <v>2213</v>
      </c>
      <c r="T254" s="204" t="s">
        <v>2213</v>
      </c>
      <c r="U254" s="204" t="s">
        <v>2213</v>
      </c>
      <c r="V254" s="204" t="s">
        <v>2212</v>
      </c>
      <c r="W254" s="204" t="s">
        <v>329</v>
      </c>
      <c r="X254" s="204" t="s">
        <v>297</v>
      </c>
      <c r="Y254" s="204" t="s">
        <v>328</v>
      </c>
      <c r="Z254" s="204" t="s">
        <v>2211</v>
      </c>
      <c r="AA254" s="204" t="s">
        <v>2210</v>
      </c>
      <c r="AB254" s="204" t="s">
        <v>298</v>
      </c>
      <c r="AC254" s="204" t="s">
        <v>297</v>
      </c>
      <c r="AD254" s="204" t="s">
        <v>296</v>
      </c>
      <c r="AE254" s="204" t="s">
        <v>2209</v>
      </c>
      <c r="AF254" s="204" t="s">
        <v>2208</v>
      </c>
      <c r="AG254" s="204" t="s">
        <v>2129</v>
      </c>
      <c r="AH254" s="204" t="s">
        <v>2173</v>
      </c>
      <c r="AI254" s="204" t="s">
        <v>2127</v>
      </c>
      <c r="AJ254" s="204" t="s">
        <v>2126</v>
      </c>
      <c r="AX254" s="204">
        <v>96</v>
      </c>
      <c r="AY254" s="204">
        <v>0</v>
      </c>
      <c r="AZ254" s="204">
        <v>1.1632899999999999</v>
      </c>
      <c r="BB254" s="204">
        <v>5450.9759999999997</v>
      </c>
      <c r="BH254" s="204">
        <v>0</v>
      </c>
      <c r="BI254" s="204">
        <v>768</v>
      </c>
      <c r="BJ254" s="204">
        <v>42891</v>
      </c>
      <c r="BK254" s="204">
        <v>42891.763463622701</v>
      </c>
      <c r="BL254" s="204" t="s">
        <v>293</v>
      </c>
      <c r="BM254" s="204" t="s">
        <v>2207</v>
      </c>
      <c r="BN254" s="269">
        <f t="shared" si="59"/>
        <v>56.780999999999999</v>
      </c>
      <c r="BO254" s="269">
        <f t="shared" si="60"/>
        <v>8</v>
      </c>
      <c r="BP254" s="269">
        <f>INDEX('App Data Outliers'!$M:$M,MATCH($E254,'App Data Outliers'!$A:$A,0))</f>
        <v>71.928403166606657</v>
      </c>
      <c r="BQ254" s="269">
        <f>INDEX('App Data Outliers'!$N:$N,MATCH($E254,'App Data Outliers'!$A:$A,0))</f>
        <v>30.28616226838243</v>
      </c>
      <c r="BR254" s="269">
        <f>INDEX('App Data Outliers'!$S:$S,MATCH($E254,'App Data Outliers'!$A:$A,0))</f>
        <v>10.421419234256929</v>
      </c>
      <c r="BS254" s="269">
        <f>INDEX('App Data Outliers'!$T:$T,MATCH($E254,'App Data Outliers'!$A:$A,0))</f>
        <v>3.9940053618595535</v>
      </c>
    </row>
    <row r="255" spans="1:71" s="204" customFormat="1" hidden="1">
      <c r="A255" s="241">
        <v>251</v>
      </c>
      <c r="B255" s="241" t="str">
        <f t="shared" si="51"/>
        <v>Non-Residential - BHPSD - C/I Prescriptive Rebate</v>
      </c>
      <c r="C255" s="241" t="b">
        <f t="shared" si="52"/>
        <v>1</v>
      </c>
      <c r="D255" s="241" t="str">
        <f t="shared" si="53"/>
        <v>Non-Residential - BHPSD - C/I Prescriptive Rebate_C&amp;I Prescriptive Rebate :- C&amp;I Lighting :- Customer Incentives_Energy Star LED Lamps - 5W to 10W</v>
      </c>
      <c r="E255" s="241" t="str">
        <f t="shared" si="54"/>
        <v>C&amp;I_C&amp;I Prescriptive_Lighting_Energy Star LED Lamp (5-10W)</v>
      </c>
      <c r="F255" s="241" t="str">
        <f>INDEX('VDSM MAPPING'!E:E,MATCH($D255,'VDSM MAPPING'!$A:$A,0))</f>
        <v>C&amp;I</v>
      </c>
      <c r="G255" s="241" t="str">
        <f>INDEX('VDSM MAPPING'!F:F,MATCH($D255,'VDSM MAPPING'!$A:$A,0))</f>
        <v>C&amp;I Prescriptive</v>
      </c>
      <c r="H255" s="241" t="str">
        <f>INDEX('VDSM MAPPING'!G:G,MATCH($D255,'VDSM MAPPING'!$A:$A,0))</f>
        <v>Lighting</v>
      </c>
      <c r="I255" s="241" t="str">
        <f>INDEX('VDSM MAPPING'!H:H,MATCH($D255,'VDSM MAPPING'!$A:$A,0))</f>
        <v>Energy Star LED Lamp (5-10W)</v>
      </c>
      <c r="J255" s="240">
        <f t="shared" si="55"/>
        <v>-1.0854963216808446</v>
      </c>
      <c r="K255" s="240">
        <f t="shared" si="56"/>
        <v>1.7254457747214187</v>
      </c>
      <c r="L255" s="240" t="b">
        <f t="shared" si="57"/>
        <v>0</v>
      </c>
      <c r="M255" s="240" t="b">
        <f t="shared" si="58"/>
        <v>0</v>
      </c>
      <c r="N255" s="204" t="s">
        <v>289</v>
      </c>
      <c r="O255" s="204" t="s">
        <v>2206</v>
      </c>
      <c r="P255" s="350">
        <v>1</v>
      </c>
      <c r="Q255" s="204" t="s">
        <v>2206</v>
      </c>
      <c r="R255" s="204" t="s">
        <v>2205</v>
      </c>
      <c r="T255" s="204" t="s">
        <v>2204</v>
      </c>
      <c r="U255" s="204" t="s">
        <v>2204</v>
      </c>
      <c r="V255" s="204" t="s">
        <v>2203</v>
      </c>
      <c r="W255" s="204" t="s">
        <v>1252</v>
      </c>
      <c r="X255" s="204" t="s">
        <v>297</v>
      </c>
      <c r="Y255" s="204" t="s">
        <v>1251</v>
      </c>
      <c r="Z255" s="204" t="s">
        <v>601</v>
      </c>
      <c r="AA255" s="204" t="s">
        <v>600</v>
      </c>
      <c r="AB255" s="204" t="s">
        <v>329</v>
      </c>
      <c r="AC255" s="204" t="s">
        <v>297</v>
      </c>
      <c r="AD255" s="204" t="s">
        <v>599</v>
      </c>
      <c r="AE255" s="204" t="s">
        <v>598</v>
      </c>
      <c r="AG255" s="204" t="s">
        <v>2129</v>
      </c>
      <c r="AH255" s="204" t="s">
        <v>2128</v>
      </c>
      <c r="AI255" s="204" t="s">
        <v>2202</v>
      </c>
      <c r="AJ255" s="204" t="s">
        <v>2126</v>
      </c>
      <c r="AX255" s="204">
        <v>188</v>
      </c>
      <c r="AY255" s="204">
        <v>0</v>
      </c>
      <c r="AZ255" s="204">
        <v>4.1988669999999999</v>
      </c>
      <c r="BB255" s="204">
        <v>18670.28</v>
      </c>
      <c r="BH255" s="204">
        <v>0</v>
      </c>
      <c r="BI255" s="204">
        <v>1598</v>
      </c>
      <c r="BJ255" s="204">
        <v>42919</v>
      </c>
      <c r="BK255" s="204">
        <v>42899.433779282401</v>
      </c>
      <c r="BL255" s="204" t="s">
        <v>293</v>
      </c>
      <c r="BM255" s="204" t="s">
        <v>2201</v>
      </c>
      <c r="BN255" s="269">
        <f t="shared" si="59"/>
        <v>99.309999999999988</v>
      </c>
      <c r="BO255" s="269">
        <f t="shared" si="60"/>
        <v>8.5</v>
      </c>
      <c r="BP255" s="269">
        <f>INDEX('App Data Outliers'!$M:$M,MATCH($E255,'App Data Outliers'!$A:$A,0))</f>
        <v>124.22266552020636</v>
      </c>
      <c r="BQ255" s="269">
        <f>INDEX('App Data Outliers'!$N:$N,MATCH($E255,'App Data Outliers'!$A:$A,0))</f>
        <v>22.950483592270654</v>
      </c>
      <c r="BR255" s="269">
        <f>INDEX('App Data Outliers'!$S:$S,MATCH($E255,'App Data Outliers'!$A:$A,0))</f>
        <v>4.8732072914875317</v>
      </c>
      <c r="BS255" s="269">
        <f>INDEX('App Data Outliers'!$T:$T,MATCH($E255,'App Data Outliers'!$A:$A,0))</f>
        <v>2.1019453416888925</v>
      </c>
    </row>
    <row r="256" spans="1:71" s="204" customFormat="1" hidden="1">
      <c r="A256" s="241">
        <v>252</v>
      </c>
      <c r="B256" s="241" t="str">
        <f t="shared" si="51"/>
        <v>Non-Residential - BHPSD - C/I Prescriptive Rebate</v>
      </c>
      <c r="C256" s="241" t="b">
        <f t="shared" si="52"/>
        <v>1</v>
      </c>
      <c r="D256" s="241" t="str">
        <f t="shared" si="53"/>
        <v>Non-Residential - BHPSD - C/I Prescriptive Rebate_C&amp;I Prescriptive Rebate :- C&amp;I Lighting :- Customer Incentives_LED Replacement for T12 Linear Fluorescent Lamps - 4 ft or less</v>
      </c>
      <c r="E256" s="241" t="str">
        <f t="shared" si="54"/>
        <v>C&amp;I_C&amp;I Prescriptive_Lighting_LED Linear Replacement Lamp (≤4ft)</v>
      </c>
      <c r="F256" s="241" t="str">
        <f>INDEX('VDSM MAPPING'!E:E,MATCH($D256,'VDSM MAPPING'!$A:$A,0))</f>
        <v>C&amp;I</v>
      </c>
      <c r="G256" s="241" t="str">
        <f>INDEX('VDSM MAPPING'!F:F,MATCH($D256,'VDSM MAPPING'!$A:$A,0))</f>
        <v>C&amp;I Prescriptive</v>
      </c>
      <c r="H256" s="241" t="str">
        <f>INDEX('VDSM MAPPING'!G:G,MATCH($D256,'VDSM MAPPING'!$A:$A,0))</f>
        <v>Lighting</v>
      </c>
      <c r="I256" s="241" t="str">
        <f>INDEX('VDSM MAPPING'!H:H,MATCH($D256,'VDSM MAPPING'!$A:$A,0))</f>
        <v>LED Linear Replacement Lamp (≤4ft)</v>
      </c>
      <c r="J256" s="240">
        <f t="shared" si="55"/>
        <v>0.5090640635406195</v>
      </c>
      <c r="K256" s="240">
        <f t="shared" si="56"/>
        <v>1.3967384267971441</v>
      </c>
      <c r="L256" s="240" t="b">
        <f t="shared" si="57"/>
        <v>0</v>
      </c>
      <c r="M256" s="240" t="b">
        <f t="shared" si="58"/>
        <v>0</v>
      </c>
      <c r="N256" s="204" t="s">
        <v>289</v>
      </c>
      <c r="O256" s="204" t="s">
        <v>2200</v>
      </c>
      <c r="P256" s="350">
        <v>1</v>
      </c>
      <c r="Q256" s="204" t="s">
        <v>2200</v>
      </c>
      <c r="R256" s="204" t="s">
        <v>2199</v>
      </c>
      <c r="S256" s="204" t="s">
        <v>2198</v>
      </c>
      <c r="T256" s="204" t="s">
        <v>2198</v>
      </c>
      <c r="U256" s="204" t="s">
        <v>2198</v>
      </c>
      <c r="V256" s="204" t="s">
        <v>2197</v>
      </c>
      <c r="W256" s="204" t="s">
        <v>531</v>
      </c>
      <c r="X256" s="204" t="s">
        <v>297</v>
      </c>
      <c r="Y256" s="204" t="s">
        <v>530</v>
      </c>
      <c r="Z256" s="204" t="s">
        <v>2196</v>
      </c>
      <c r="AA256" s="204" t="s">
        <v>2195</v>
      </c>
      <c r="AB256" s="204" t="s">
        <v>531</v>
      </c>
      <c r="AC256" s="204" t="s">
        <v>297</v>
      </c>
      <c r="AD256" s="204" t="s">
        <v>530</v>
      </c>
      <c r="AF256" s="204" t="s">
        <v>2194</v>
      </c>
      <c r="AG256" s="204" t="s">
        <v>2129</v>
      </c>
      <c r="AH256" s="204" t="s">
        <v>2147</v>
      </c>
      <c r="AI256" s="204" t="s">
        <v>2193</v>
      </c>
      <c r="AJ256" s="204" t="s">
        <v>2126</v>
      </c>
      <c r="AX256" s="204">
        <v>90</v>
      </c>
      <c r="AY256" s="204">
        <v>0</v>
      </c>
      <c r="AZ256" s="204">
        <v>2.6892</v>
      </c>
      <c r="BB256" s="204">
        <v>7861.14</v>
      </c>
      <c r="BH256" s="204">
        <v>0</v>
      </c>
      <c r="BI256" s="204">
        <v>1440</v>
      </c>
      <c r="BJ256" s="204">
        <v>42919</v>
      </c>
      <c r="BK256" s="204">
        <v>42907.726920752299</v>
      </c>
      <c r="BL256" s="204" t="s">
        <v>293</v>
      </c>
      <c r="BM256" s="204" t="s">
        <v>2192</v>
      </c>
      <c r="BN256" s="269">
        <f t="shared" si="59"/>
        <v>87.346000000000004</v>
      </c>
      <c r="BO256" s="269">
        <f t="shared" si="60"/>
        <v>16</v>
      </c>
      <c r="BP256" s="269">
        <f>INDEX('App Data Outliers'!$M:$M,MATCH($E256,'App Data Outliers'!$A:$A,0))</f>
        <v>71.928403166606657</v>
      </c>
      <c r="BQ256" s="269">
        <f>INDEX('App Data Outliers'!$N:$N,MATCH($E256,'App Data Outliers'!$A:$A,0))</f>
        <v>30.28616226838243</v>
      </c>
      <c r="BR256" s="269">
        <f>INDEX('App Data Outliers'!$S:$S,MATCH($E256,'App Data Outliers'!$A:$A,0))</f>
        <v>10.421419234256929</v>
      </c>
      <c r="BS256" s="269">
        <f>INDEX('App Data Outliers'!$T:$T,MATCH($E256,'App Data Outliers'!$A:$A,0))</f>
        <v>3.9940053618595535</v>
      </c>
    </row>
    <row r="257" spans="1:71" s="204" customFormat="1" hidden="1">
      <c r="A257" s="241">
        <v>253</v>
      </c>
      <c r="B257" s="241" t="str">
        <f t="shared" si="51"/>
        <v>Non-Residential - BHPSD - C/I Prescriptive Rebate</v>
      </c>
      <c r="C257" s="241" t="b">
        <f t="shared" si="52"/>
        <v>1</v>
      </c>
      <c r="D257" s="241" t="str">
        <f t="shared" si="53"/>
        <v>Non-Residential - BHPSD - C/I Prescriptive Rebate_C&amp;I Prescriptive Rebate :- C&amp;I Lighting :- Customer Incentives_LED Replacement for T12 Linear Fluorescent Lamps - 4 ft or less</v>
      </c>
      <c r="E257" s="241" t="str">
        <f t="shared" si="54"/>
        <v>C&amp;I_C&amp;I Prescriptive_Lighting_LED Linear Replacement Lamp (≤4ft)</v>
      </c>
      <c r="F257" s="241" t="str">
        <f>INDEX('VDSM MAPPING'!E:E,MATCH($D257,'VDSM MAPPING'!$A:$A,0))</f>
        <v>C&amp;I</v>
      </c>
      <c r="G257" s="241" t="str">
        <f>INDEX('VDSM MAPPING'!F:F,MATCH($D257,'VDSM MAPPING'!$A:$A,0))</f>
        <v>C&amp;I Prescriptive</v>
      </c>
      <c r="H257" s="241" t="str">
        <f>INDEX('VDSM MAPPING'!G:G,MATCH($D257,'VDSM MAPPING'!$A:$A,0))</f>
        <v>Lighting</v>
      </c>
      <c r="I257" s="241" t="str">
        <f>INDEX('VDSM MAPPING'!H:H,MATCH($D257,'VDSM MAPPING'!$A:$A,0))</f>
        <v>LED Linear Replacement Lamp (≤4ft)</v>
      </c>
      <c r="J257" s="240">
        <f t="shared" si="55"/>
        <v>1.3746408826732115</v>
      </c>
      <c r="K257" s="240">
        <f t="shared" si="56"/>
        <v>-1.5301479794237274</v>
      </c>
      <c r="L257" s="240" t="b">
        <f t="shared" si="57"/>
        <v>0</v>
      </c>
      <c r="M257" s="240" t="b">
        <f t="shared" si="58"/>
        <v>0</v>
      </c>
      <c r="N257" s="204" t="s">
        <v>289</v>
      </c>
      <c r="O257" s="204" t="s">
        <v>2190</v>
      </c>
      <c r="P257" s="350">
        <v>1</v>
      </c>
      <c r="Q257" s="204" t="s">
        <v>2190</v>
      </c>
      <c r="R257" s="204" t="s">
        <v>2189</v>
      </c>
      <c r="S257" s="204" t="s">
        <v>2188</v>
      </c>
      <c r="T257" s="204" t="s">
        <v>2188</v>
      </c>
      <c r="U257" s="204" t="s">
        <v>2188</v>
      </c>
      <c r="V257" s="204" t="s">
        <v>2187</v>
      </c>
      <c r="W257" s="204" t="s">
        <v>329</v>
      </c>
      <c r="X257" s="204" t="s">
        <v>297</v>
      </c>
      <c r="Y257" s="204" t="s">
        <v>397</v>
      </c>
      <c r="Z257" s="204" t="s">
        <v>2177</v>
      </c>
      <c r="AA257" s="204" t="s">
        <v>2176</v>
      </c>
      <c r="AB257" s="204" t="s">
        <v>329</v>
      </c>
      <c r="AC257" s="204" t="s">
        <v>297</v>
      </c>
      <c r="AD257" s="204" t="s">
        <v>397</v>
      </c>
      <c r="AE257" s="204" t="s">
        <v>2175</v>
      </c>
      <c r="AF257" s="204" t="s">
        <v>2174</v>
      </c>
      <c r="AG257" s="204" t="s">
        <v>2129</v>
      </c>
      <c r="AH257" s="204" t="s">
        <v>2147</v>
      </c>
      <c r="AI257" s="204" t="s">
        <v>2127</v>
      </c>
      <c r="AJ257" s="204" t="s">
        <v>2126</v>
      </c>
      <c r="AX257" s="204">
        <v>72</v>
      </c>
      <c r="AY257" s="204">
        <v>0</v>
      </c>
      <c r="AZ257" s="204">
        <v>1.744934</v>
      </c>
      <c r="BB257" s="204">
        <v>8176.3919999999998</v>
      </c>
      <c r="BH257" s="204">
        <v>0</v>
      </c>
      <c r="BI257" s="204">
        <v>310.32</v>
      </c>
      <c r="BJ257" s="204">
        <v>42919</v>
      </c>
      <c r="BK257" s="204">
        <v>42915.7690427083</v>
      </c>
      <c r="BL257" s="204" t="s">
        <v>293</v>
      </c>
      <c r="BM257" s="204" t="s">
        <v>2186</v>
      </c>
      <c r="BN257" s="269">
        <f t="shared" si="59"/>
        <v>113.56099999999999</v>
      </c>
      <c r="BO257" s="269">
        <f t="shared" si="60"/>
        <v>4.3099999999999996</v>
      </c>
      <c r="BP257" s="269">
        <f>INDEX('App Data Outliers'!$M:$M,MATCH($E257,'App Data Outliers'!$A:$A,0))</f>
        <v>71.928403166606657</v>
      </c>
      <c r="BQ257" s="269">
        <f>INDEX('App Data Outliers'!$N:$N,MATCH($E257,'App Data Outliers'!$A:$A,0))</f>
        <v>30.28616226838243</v>
      </c>
      <c r="BR257" s="269">
        <f>INDEX('App Data Outliers'!$S:$S,MATCH($E257,'App Data Outliers'!$A:$A,0))</f>
        <v>10.421419234256929</v>
      </c>
      <c r="BS257" s="269">
        <f>INDEX('App Data Outliers'!$T:$T,MATCH($E257,'App Data Outliers'!$A:$A,0))</f>
        <v>3.9940053618595535</v>
      </c>
    </row>
    <row r="258" spans="1:71" s="204" customFormat="1" hidden="1">
      <c r="A258" s="241">
        <v>254</v>
      </c>
      <c r="B258" s="241" t="str">
        <f t="shared" si="51"/>
        <v>Non-Residential - BHPSD - C/I Prescriptive Rebate</v>
      </c>
      <c r="C258" s="241" t="b">
        <f t="shared" si="52"/>
        <v>1</v>
      </c>
      <c r="D258" s="241" t="str">
        <f t="shared" si="53"/>
        <v>Non-Residential - BHPSD - C/I Prescriptive Rebate_C&amp;I Prescriptive Rebate :- C&amp;I Lighting :- Customer Incentives_LED Replacement for T8 Linear Fluorescent Lamps - 4 ft or less</v>
      </c>
      <c r="E258" s="241" t="str">
        <f t="shared" si="54"/>
        <v>C&amp;I_C&amp;I Prescriptive_Lighting_LED Linear Replacement Lamp (≤4ft)</v>
      </c>
      <c r="F258" s="241" t="str">
        <f>INDEX('VDSM MAPPING'!E:E,MATCH($D258,'VDSM MAPPING'!$A:$A,0))</f>
        <v>C&amp;I</v>
      </c>
      <c r="G258" s="241" t="str">
        <f>INDEX('VDSM MAPPING'!F:F,MATCH($D258,'VDSM MAPPING'!$A:$A,0))</f>
        <v>C&amp;I Prescriptive</v>
      </c>
      <c r="H258" s="241" t="str">
        <f>INDEX('VDSM MAPPING'!G:G,MATCH($D258,'VDSM MAPPING'!$A:$A,0))</f>
        <v>Lighting</v>
      </c>
      <c r="I258" s="241" t="str">
        <f>INDEX('VDSM MAPPING'!H:H,MATCH($D258,'VDSM MAPPING'!$A:$A,0))</f>
        <v>LED Linear Replacement Lamp (≤4ft)</v>
      </c>
      <c r="J258" s="240">
        <f t="shared" si="55"/>
        <v>-0.50014270650659343</v>
      </c>
      <c r="K258" s="240">
        <f t="shared" si="56"/>
        <v>-1.5301479794237272</v>
      </c>
      <c r="L258" s="240" t="b">
        <f t="shared" si="57"/>
        <v>0</v>
      </c>
      <c r="M258" s="240" t="b">
        <f t="shared" si="58"/>
        <v>0</v>
      </c>
      <c r="N258" s="204" t="s">
        <v>289</v>
      </c>
      <c r="O258" s="204" t="s">
        <v>2190</v>
      </c>
      <c r="P258" s="350">
        <v>0</v>
      </c>
      <c r="Q258" s="204" t="s">
        <v>2190</v>
      </c>
      <c r="R258" s="204" t="s">
        <v>2189</v>
      </c>
      <c r="S258" s="204" t="s">
        <v>2188</v>
      </c>
      <c r="T258" s="204" t="s">
        <v>2188</v>
      </c>
      <c r="U258" s="204" t="s">
        <v>2188</v>
      </c>
      <c r="V258" s="204" t="s">
        <v>2187</v>
      </c>
      <c r="W258" s="204" t="s">
        <v>329</v>
      </c>
      <c r="X258" s="204" t="s">
        <v>297</v>
      </c>
      <c r="Y258" s="204" t="s">
        <v>397</v>
      </c>
      <c r="Z258" s="204" t="s">
        <v>2177</v>
      </c>
      <c r="AA258" s="204" t="s">
        <v>2176</v>
      </c>
      <c r="AB258" s="204" t="s">
        <v>329</v>
      </c>
      <c r="AC258" s="204" t="s">
        <v>297</v>
      </c>
      <c r="AD258" s="204" t="s">
        <v>397</v>
      </c>
      <c r="AE258" s="204" t="s">
        <v>2175</v>
      </c>
      <c r="AF258" s="204" t="s">
        <v>2174</v>
      </c>
      <c r="AG258" s="204" t="s">
        <v>2129</v>
      </c>
      <c r="AH258" s="204" t="s">
        <v>2173</v>
      </c>
      <c r="AI258" s="204" t="s">
        <v>2127</v>
      </c>
      <c r="AJ258" s="204" t="s">
        <v>2126</v>
      </c>
      <c r="AX258" s="204">
        <v>28</v>
      </c>
      <c r="AY258" s="204">
        <v>0</v>
      </c>
      <c r="AZ258" s="204">
        <v>0.33929300000000001</v>
      </c>
      <c r="BB258" s="204">
        <v>1589.8679999999999</v>
      </c>
      <c r="BH258" s="204">
        <v>0</v>
      </c>
      <c r="BI258" s="204">
        <v>120.68</v>
      </c>
      <c r="BJ258" s="204">
        <v>42919</v>
      </c>
      <c r="BK258" s="204">
        <v>42915.7690427083</v>
      </c>
      <c r="BL258" s="204" t="s">
        <v>293</v>
      </c>
      <c r="BM258" s="204" t="s">
        <v>2191</v>
      </c>
      <c r="BN258" s="269">
        <f t="shared" si="59"/>
        <v>56.780999999999999</v>
      </c>
      <c r="BO258" s="269">
        <f t="shared" si="60"/>
        <v>4.3100000000000005</v>
      </c>
      <c r="BP258" s="269">
        <f>INDEX('App Data Outliers'!$M:$M,MATCH($E258,'App Data Outliers'!$A:$A,0))</f>
        <v>71.928403166606657</v>
      </c>
      <c r="BQ258" s="269">
        <f>INDEX('App Data Outliers'!$N:$N,MATCH($E258,'App Data Outliers'!$A:$A,0))</f>
        <v>30.28616226838243</v>
      </c>
      <c r="BR258" s="269">
        <f>INDEX('App Data Outliers'!$S:$S,MATCH($E258,'App Data Outliers'!$A:$A,0))</f>
        <v>10.421419234256929</v>
      </c>
      <c r="BS258" s="269">
        <f>INDEX('App Data Outliers'!$T:$T,MATCH($E258,'App Data Outliers'!$A:$A,0))</f>
        <v>3.9940053618595535</v>
      </c>
    </row>
    <row r="259" spans="1:71" s="204" customFormat="1" hidden="1">
      <c r="A259" s="241">
        <v>255</v>
      </c>
      <c r="B259" s="241" t="str">
        <f t="shared" si="51"/>
        <v>Non-Residential - BHPSD - C/I Prescriptive Rebate</v>
      </c>
      <c r="C259" s="241" t="b">
        <f t="shared" si="52"/>
        <v>1</v>
      </c>
      <c r="D259" s="241" t="str">
        <f t="shared" si="53"/>
        <v>Non-Residential - BHPSD - C/I Prescriptive Rebate_C&amp;I Prescriptive Rebate :- C&amp;I Lighting :- Customer Incentives_LED Fixtures Exterior &amp; Garage - 60W to 150W</v>
      </c>
      <c r="E259" s="241" t="str">
        <f t="shared" si="54"/>
        <v>C&amp;I_C&amp;I Prescriptive_Lighting_LED Parking Garage/Canopy (≥75W)</v>
      </c>
      <c r="F259" s="241" t="str">
        <f>INDEX('VDSM MAPPING'!E:E,MATCH($D259,'VDSM MAPPING'!$A:$A,0))</f>
        <v>C&amp;I</v>
      </c>
      <c r="G259" s="241" t="str">
        <f>INDEX('VDSM MAPPING'!F:F,MATCH($D259,'VDSM MAPPING'!$A:$A,0))</f>
        <v>C&amp;I Prescriptive</v>
      </c>
      <c r="H259" s="241" t="str">
        <f>INDEX('VDSM MAPPING'!G:G,MATCH($D259,'VDSM MAPPING'!$A:$A,0))</f>
        <v>Lighting</v>
      </c>
      <c r="I259" s="241" t="str">
        <f>INDEX('VDSM MAPPING'!H:H,MATCH($D259,'VDSM MAPPING'!$A:$A,0))</f>
        <v>LED Parking Garage/Canopy (≥75W)</v>
      </c>
      <c r="J259" s="240">
        <f t="shared" si="55"/>
        <v>-0.97162359113610641</v>
      </c>
      <c r="K259" s="240">
        <f t="shared" si="56"/>
        <v>-4.8057188404622845E-3</v>
      </c>
      <c r="L259" s="240" t="b">
        <f t="shared" si="57"/>
        <v>0</v>
      </c>
      <c r="M259" s="240" t="b">
        <f t="shared" si="58"/>
        <v>0</v>
      </c>
      <c r="N259" s="204" t="s">
        <v>289</v>
      </c>
      <c r="O259" s="204" t="s">
        <v>2181</v>
      </c>
      <c r="P259" s="350">
        <v>1</v>
      </c>
      <c r="Q259" s="204" t="s">
        <v>2181</v>
      </c>
      <c r="R259" s="204" t="s">
        <v>2180</v>
      </c>
      <c r="S259" s="204" t="s">
        <v>2179</v>
      </c>
      <c r="T259" s="204" t="s">
        <v>2179</v>
      </c>
      <c r="U259" s="204" t="s">
        <v>2179</v>
      </c>
      <c r="V259" s="204" t="s">
        <v>2178</v>
      </c>
      <c r="W259" s="204" t="s">
        <v>928</v>
      </c>
      <c r="X259" s="204" t="s">
        <v>297</v>
      </c>
      <c r="Y259" s="204" t="s">
        <v>296</v>
      </c>
      <c r="Z259" s="204" t="s">
        <v>2177</v>
      </c>
      <c r="AA259" s="204" t="s">
        <v>2176</v>
      </c>
      <c r="AB259" s="204" t="s">
        <v>329</v>
      </c>
      <c r="AC259" s="204" t="s">
        <v>297</v>
      </c>
      <c r="AD259" s="204" t="s">
        <v>397</v>
      </c>
      <c r="AE259" s="204" t="s">
        <v>2175</v>
      </c>
      <c r="AF259" s="204" t="s">
        <v>2174</v>
      </c>
      <c r="AG259" s="204" t="s">
        <v>2129</v>
      </c>
      <c r="AH259" s="204" t="s">
        <v>2139</v>
      </c>
      <c r="AI259" s="204" t="s">
        <v>2172</v>
      </c>
      <c r="AJ259" s="204" t="s">
        <v>2126</v>
      </c>
      <c r="AX259" s="204">
        <v>15</v>
      </c>
      <c r="AY259" s="204">
        <v>0</v>
      </c>
      <c r="AZ259" s="204">
        <v>3.4176739999999999</v>
      </c>
      <c r="BB259" s="204">
        <v>15266.715</v>
      </c>
      <c r="BH259" s="204">
        <v>0</v>
      </c>
      <c r="BI259" s="204">
        <v>1500</v>
      </c>
      <c r="BJ259" s="204">
        <v>42921</v>
      </c>
      <c r="BK259" s="204">
        <v>42921.783852696797</v>
      </c>
      <c r="BL259" s="204" t="s">
        <v>293</v>
      </c>
      <c r="BM259" s="204" t="s">
        <v>2183</v>
      </c>
      <c r="BN259" s="269">
        <f t="shared" si="59"/>
        <v>1017.7810000000001</v>
      </c>
      <c r="BO259" s="269">
        <f t="shared" si="60"/>
        <v>100</v>
      </c>
      <c r="BP259" s="269">
        <f>INDEX('App Data Outliers'!$M:$M,MATCH($E259,'App Data Outliers'!$A:$A,0))</f>
        <v>1175.7261559139786</v>
      </c>
      <c r="BQ259" s="269">
        <f>INDEX('App Data Outliers'!$N:$N,MATCH($E259,'App Data Outliers'!$A:$A,0))</f>
        <v>162.55796725694501</v>
      </c>
      <c r="BR259" s="269">
        <f>INDEX('App Data Outliers'!$S:$S,MATCH($E259,'App Data Outliers'!$A:$A,0))</f>
        <v>100.15639784946237</v>
      </c>
      <c r="BS259" s="269">
        <f>INDEX('App Data Outliers'!$T:$T,MATCH($E259,'App Data Outliers'!$A:$A,0))</f>
        <v>32.544111433560438</v>
      </c>
    </row>
    <row r="260" spans="1:71" s="204" customFormat="1" hidden="1">
      <c r="A260" s="241">
        <v>256</v>
      </c>
      <c r="B260" s="241" t="str">
        <f t="shared" si="51"/>
        <v>Non-Residential - BHPSD - C/I Prescriptive Rebate</v>
      </c>
      <c r="C260" s="241" t="b">
        <f t="shared" si="52"/>
        <v>1</v>
      </c>
      <c r="D260" s="241" t="str">
        <f t="shared" si="53"/>
        <v>Non-Residential - BHPSD - C/I Prescriptive Rebate_C&amp;I Prescriptive Rebate :- C&amp;I Lighting :- Customer Incentives_LED Fixtures Exterior &amp; Garage - 60W to 150W</v>
      </c>
      <c r="E260" s="241" t="str">
        <f t="shared" si="54"/>
        <v>C&amp;I_C&amp;I Prescriptive_Lighting_LED Parking Garage/Canopy (≥75W)</v>
      </c>
      <c r="F260" s="241" t="str">
        <f>INDEX('VDSM MAPPING'!E:E,MATCH($D260,'VDSM MAPPING'!$A:$A,0))</f>
        <v>C&amp;I</v>
      </c>
      <c r="G260" s="241" t="str">
        <f>INDEX('VDSM MAPPING'!F:F,MATCH($D260,'VDSM MAPPING'!$A:$A,0))</f>
        <v>C&amp;I Prescriptive</v>
      </c>
      <c r="H260" s="241" t="str">
        <f>INDEX('VDSM MAPPING'!G:G,MATCH($D260,'VDSM MAPPING'!$A:$A,0))</f>
        <v>Lighting</v>
      </c>
      <c r="I260" s="241" t="str">
        <f>INDEX('VDSM MAPPING'!H:H,MATCH($D260,'VDSM MAPPING'!$A:$A,0))</f>
        <v>LED Parking Garage/Canopy (≥75W)</v>
      </c>
      <c r="J260" s="240">
        <f t="shared" si="55"/>
        <v>-0.97162359113610708</v>
      </c>
      <c r="K260" s="240">
        <f t="shared" si="56"/>
        <v>-4.8057188404622845E-3</v>
      </c>
      <c r="L260" s="240" t="b">
        <f t="shared" si="57"/>
        <v>0</v>
      </c>
      <c r="M260" s="240" t="b">
        <f t="shared" si="58"/>
        <v>0</v>
      </c>
      <c r="N260" s="204" t="s">
        <v>289</v>
      </c>
      <c r="O260" s="204" t="s">
        <v>2181</v>
      </c>
      <c r="P260" s="350">
        <v>0</v>
      </c>
      <c r="Q260" s="204" t="s">
        <v>2181</v>
      </c>
      <c r="R260" s="204" t="s">
        <v>2180</v>
      </c>
      <c r="S260" s="204" t="s">
        <v>2179</v>
      </c>
      <c r="T260" s="204" t="s">
        <v>2179</v>
      </c>
      <c r="U260" s="204" t="s">
        <v>2179</v>
      </c>
      <c r="V260" s="204" t="s">
        <v>2178</v>
      </c>
      <c r="W260" s="204" t="s">
        <v>928</v>
      </c>
      <c r="X260" s="204" t="s">
        <v>297</v>
      </c>
      <c r="Y260" s="204" t="s">
        <v>296</v>
      </c>
      <c r="Z260" s="204" t="s">
        <v>2177</v>
      </c>
      <c r="AA260" s="204" t="s">
        <v>2176</v>
      </c>
      <c r="AB260" s="204" t="s">
        <v>329</v>
      </c>
      <c r="AC260" s="204" t="s">
        <v>297</v>
      </c>
      <c r="AD260" s="204" t="s">
        <v>397</v>
      </c>
      <c r="AE260" s="204" t="s">
        <v>2175</v>
      </c>
      <c r="AF260" s="204" t="s">
        <v>2174</v>
      </c>
      <c r="AG260" s="204" t="s">
        <v>2129</v>
      </c>
      <c r="AH260" s="204" t="s">
        <v>2139</v>
      </c>
      <c r="AI260" s="204" t="s">
        <v>2172</v>
      </c>
      <c r="AJ260" s="204" t="s">
        <v>2126</v>
      </c>
      <c r="AX260" s="204">
        <v>12</v>
      </c>
      <c r="AY260" s="204">
        <v>0</v>
      </c>
      <c r="AZ260" s="204">
        <v>2.7341389999999999</v>
      </c>
      <c r="BB260" s="204">
        <v>12213.371999999999</v>
      </c>
      <c r="BH260" s="204">
        <v>0</v>
      </c>
      <c r="BI260" s="204">
        <v>1200</v>
      </c>
      <c r="BJ260" s="204">
        <v>42921</v>
      </c>
      <c r="BK260" s="204">
        <v>42921.783852696797</v>
      </c>
      <c r="BL260" s="204" t="s">
        <v>293</v>
      </c>
      <c r="BM260" s="204" t="s">
        <v>2185</v>
      </c>
      <c r="BN260" s="269">
        <f t="shared" si="59"/>
        <v>1017.7809999999999</v>
      </c>
      <c r="BO260" s="269">
        <f t="shared" si="60"/>
        <v>100</v>
      </c>
      <c r="BP260" s="269">
        <f>INDEX('App Data Outliers'!$M:$M,MATCH($E260,'App Data Outliers'!$A:$A,0))</f>
        <v>1175.7261559139786</v>
      </c>
      <c r="BQ260" s="269">
        <f>INDEX('App Data Outliers'!$N:$N,MATCH($E260,'App Data Outliers'!$A:$A,0))</f>
        <v>162.55796725694501</v>
      </c>
      <c r="BR260" s="269">
        <f>INDEX('App Data Outliers'!$S:$S,MATCH($E260,'App Data Outliers'!$A:$A,0))</f>
        <v>100.15639784946237</v>
      </c>
      <c r="BS260" s="269">
        <f>INDEX('App Data Outliers'!$T:$T,MATCH($E260,'App Data Outliers'!$A:$A,0))</f>
        <v>32.544111433560438</v>
      </c>
    </row>
    <row r="261" spans="1:71" s="204" customFormat="1" hidden="1">
      <c r="A261" s="241">
        <v>257</v>
      </c>
      <c r="B261" s="241" t="str">
        <f t="shared" ref="B261:B324" si="61">IF(N261="",B260,N261)</f>
        <v>Non-Residential - BHPSD - C/I Prescriptive Rebate</v>
      </c>
      <c r="C261" s="241" t="b">
        <f t="shared" ref="C261:C324" si="62">(N261="")</f>
        <v>1</v>
      </c>
      <c r="D261" s="241" t="str">
        <f t="shared" ref="D261:D324" si="63">B261&amp;"_"&amp;AG261&amp;"_"&amp;AH261</f>
        <v>Non-Residential - BHPSD - C/I Prescriptive Rebate_C&amp;I Prescriptive Rebate :- C&amp;I Lighting :- Customer Incentives_LED Replacement for T8 Linear Fluorescent Lamps - 4 ft or less</v>
      </c>
      <c r="E261" s="241" t="str">
        <f t="shared" ref="E261:E324" si="64">IFERROR(F261&amp;"_"&amp;G261&amp;"_"&amp;H261&amp;"_"&amp;I261,0)</f>
        <v>C&amp;I_C&amp;I Prescriptive_Lighting_LED Linear Replacement Lamp (≤4ft)</v>
      </c>
      <c r="F261" s="241" t="str">
        <f>INDEX('VDSM MAPPING'!E:E,MATCH($D261,'VDSM MAPPING'!$A:$A,0))</f>
        <v>C&amp;I</v>
      </c>
      <c r="G261" s="241" t="str">
        <f>INDEX('VDSM MAPPING'!F:F,MATCH($D261,'VDSM MAPPING'!$A:$A,0))</f>
        <v>C&amp;I Prescriptive</v>
      </c>
      <c r="H261" s="241" t="str">
        <f>INDEX('VDSM MAPPING'!G:G,MATCH($D261,'VDSM MAPPING'!$A:$A,0))</f>
        <v>Lighting</v>
      </c>
      <c r="I261" s="241" t="str">
        <f>INDEX('VDSM MAPPING'!H:H,MATCH($D261,'VDSM MAPPING'!$A:$A,0))</f>
        <v>LED Linear Replacement Lamp (≤4ft)</v>
      </c>
      <c r="J261" s="240">
        <f t="shared" si="55"/>
        <v>-0.7262855878431993</v>
      </c>
      <c r="K261" s="240">
        <f t="shared" si="56"/>
        <v>-0.60626339097590731</v>
      </c>
      <c r="L261" s="240" t="b">
        <f t="shared" si="57"/>
        <v>0</v>
      </c>
      <c r="M261" s="240" t="b">
        <f t="shared" si="58"/>
        <v>0</v>
      </c>
      <c r="N261" s="204" t="s">
        <v>289</v>
      </c>
      <c r="O261" s="204" t="s">
        <v>2181</v>
      </c>
      <c r="P261" s="350">
        <v>0</v>
      </c>
      <c r="Q261" s="204" t="s">
        <v>2181</v>
      </c>
      <c r="R261" s="204" t="s">
        <v>2180</v>
      </c>
      <c r="S261" s="204" t="s">
        <v>2179</v>
      </c>
      <c r="T261" s="204" t="s">
        <v>2179</v>
      </c>
      <c r="U261" s="204" t="s">
        <v>2179</v>
      </c>
      <c r="V261" s="204" t="s">
        <v>2178</v>
      </c>
      <c r="W261" s="204" t="s">
        <v>928</v>
      </c>
      <c r="X261" s="204" t="s">
        <v>297</v>
      </c>
      <c r="Y261" s="204" t="s">
        <v>296</v>
      </c>
      <c r="Z261" s="204" t="s">
        <v>2177</v>
      </c>
      <c r="AA261" s="204" t="s">
        <v>2176</v>
      </c>
      <c r="AB261" s="204" t="s">
        <v>329</v>
      </c>
      <c r="AC261" s="204" t="s">
        <v>297</v>
      </c>
      <c r="AD261" s="204" t="s">
        <v>397</v>
      </c>
      <c r="AE261" s="204" t="s">
        <v>2175</v>
      </c>
      <c r="AF261" s="204" t="s">
        <v>2174</v>
      </c>
      <c r="AG261" s="204" t="s">
        <v>2129</v>
      </c>
      <c r="AH261" s="204" t="s">
        <v>2173</v>
      </c>
      <c r="AI261" s="204" t="s">
        <v>2172</v>
      </c>
      <c r="AJ261" s="204" t="s">
        <v>2126</v>
      </c>
      <c r="AX261" s="204">
        <v>564</v>
      </c>
      <c r="AY261" s="204">
        <v>0</v>
      </c>
      <c r="AZ261" s="204">
        <v>6.304392</v>
      </c>
      <c r="BB261" s="204">
        <v>28161.648000000001</v>
      </c>
      <c r="BH261" s="204">
        <v>0</v>
      </c>
      <c r="BI261" s="204">
        <v>4512</v>
      </c>
      <c r="BJ261" s="204">
        <v>42921</v>
      </c>
      <c r="BK261" s="204">
        <v>42921.783852696797</v>
      </c>
      <c r="BL261" s="204" t="s">
        <v>293</v>
      </c>
      <c r="BM261" s="204" t="s">
        <v>2171</v>
      </c>
      <c r="BN261" s="269">
        <f t="shared" si="59"/>
        <v>49.932000000000002</v>
      </c>
      <c r="BO261" s="269">
        <f t="shared" si="60"/>
        <v>8</v>
      </c>
      <c r="BP261" s="269">
        <f>INDEX('App Data Outliers'!$M:$M,MATCH($E261,'App Data Outliers'!$A:$A,0))</f>
        <v>71.928403166606657</v>
      </c>
      <c r="BQ261" s="269">
        <f>INDEX('App Data Outliers'!$N:$N,MATCH($E261,'App Data Outliers'!$A:$A,0))</f>
        <v>30.28616226838243</v>
      </c>
      <c r="BR261" s="269">
        <f>INDEX('App Data Outliers'!$S:$S,MATCH($E261,'App Data Outliers'!$A:$A,0))</f>
        <v>10.421419234256929</v>
      </c>
      <c r="BS261" s="269">
        <f>INDEX('App Data Outliers'!$T:$T,MATCH($E261,'App Data Outliers'!$A:$A,0))</f>
        <v>3.9940053618595535</v>
      </c>
    </row>
    <row r="262" spans="1:71" s="204" customFormat="1" hidden="1">
      <c r="A262" s="241">
        <v>258</v>
      </c>
      <c r="B262" s="241" t="str">
        <f t="shared" si="61"/>
        <v>Non-Residential - BHPSD - C/I Prescriptive Rebate</v>
      </c>
      <c r="C262" s="241" t="b">
        <f t="shared" si="62"/>
        <v>1</v>
      </c>
      <c r="D262" s="241" t="str">
        <f t="shared" si="63"/>
        <v>Non-Residential - BHPSD - C/I Prescriptive Rebate_C&amp;I Prescriptive Rebate :- C&amp;I Lighting :- Customer Incentives_LED Fixtures Exterior &amp; Garage - 25W to 60W</v>
      </c>
      <c r="E262" s="241" t="str">
        <f t="shared" si="64"/>
        <v>C&amp;I_C&amp;I Prescriptive_Lighting_LED Parking Garage/Canopy (30-75W)</v>
      </c>
      <c r="F262" s="241" t="str">
        <f>INDEX('VDSM MAPPING'!E:E,MATCH($D262,'VDSM MAPPING'!$A:$A,0))</f>
        <v>C&amp;I</v>
      </c>
      <c r="G262" s="241" t="str">
        <f>INDEX('VDSM MAPPING'!F:F,MATCH($D262,'VDSM MAPPING'!$A:$A,0))</f>
        <v>C&amp;I Prescriptive</v>
      </c>
      <c r="H262" s="241" t="str">
        <f>INDEX('VDSM MAPPING'!G:G,MATCH($D262,'VDSM MAPPING'!$A:$A,0))</f>
        <v>Lighting</v>
      </c>
      <c r="I262" s="241" t="str">
        <f>INDEX('VDSM MAPPING'!H:H,MATCH($D262,'VDSM MAPPING'!$A:$A,0))</f>
        <v>LED Parking Garage/Canopy (30-75W)</v>
      </c>
      <c r="J262" s="240">
        <f t="shared" ref="J262:J325" si="65">IFERROR(STANDARDIZE(BN262,BP262,BQ262),"")</f>
        <v>2.1962900140319343E-2</v>
      </c>
      <c r="K262" s="240">
        <f t="shared" ref="K262:K325" si="66">IFERROR(STANDARDIZE($BO262,$BR262,$BS262),"")</f>
        <v>0.74402665660424805</v>
      </c>
      <c r="L262" s="240" t="b">
        <f t="shared" ref="L262:L325" si="67">AND(ISNUMBER(J262),OR(J262&gt;=L$1,J262&lt;=-L$1))</f>
        <v>0</v>
      </c>
      <c r="M262" s="240" t="b">
        <f t="shared" ref="M262:M325" si="68">AND(ISNUMBER(K262),OR(K262&gt;=M$1,K262&lt;=-M$1))</f>
        <v>0</v>
      </c>
      <c r="N262" s="204" t="s">
        <v>289</v>
      </c>
      <c r="O262" s="204" t="s">
        <v>2181</v>
      </c>
      <c r="P262" s="350">
        <v>0</v>
      </c>
      <c r="Q262" s="204" t="s">
        <v>2181</v>
      </c>
      <c r="R262" s="204" t="s">
        <v>2180</v>
      </c>
      <c r="S262" s="204" t="s">
        <v>2179</v>
      </c>
      <c r="T262" s="204" t="s">
        <v>2179</v>
      </c>
      <c r="U262" s="204" t="s">
        <v>2179</v>
      </c>
      <c r="V262" s="204" t="s">
        <v>2178</v>
      </c>
      <c r="W262" s="204" t="s">
        <v>928</v>
      </c>
      <c r="X262" s="204" t="s">
        <v>297</v>
      </c>
      <c r="Y262" s="204" t="s">
        <v>296</v>
      </c>
      <c r="Z262" s="204" t="s">
        <v>2177</v>
      </c>
      <c r="AA262" s="204" t="s">
        <v>2176</v>
      </c>
      <c r="AB262" s="204" t="s">
        <v>329</v>
      </c>
      <c r="AC262" s="204" t="s">
        <v>297</v>
      </c>
      <c r="AD262" s="204" t="s">
        <v>397</v>
      </c>
      <c r="AE262" s="204" t="s">
        <v>2175</v>
      </c>
      <c r="AF262" s="204" t="s">
        <v>2174</v>
      </c>
      <c r="AG262" s="204" t="s">
        <v>2129</v>
      </c>
      <c r="AH262" s="204" t="s">
        <v>2145</v>
      </c>
      <c r="AI262" s="204" t="s">
        <v>2172</v>
      </c>
      <c r="AJ262" s="204" t="s">
        <v>2126</v>
      </c>
      <c r="AX262" s="204">
        <v>2</v>
      </c>
      <c r="AY262" s="204">
        <v>0</v>
      </c>
      <c r="AZ262" s="204">
        <v>0.24293500000000001</v>
      </c>
      <c r="BB262" s="204">
        <v>1085.1880000000001</v>
      </c>
      <c r="BH262" s="204">
        <v>0</v>
      </c>
      <c r="BI262" s="204">
        <v>150</v>
      </c>
      <c r="BJ262" s="204">
        <v>42921</v>
      </c>
      <c r="BK262" s="204">
        <v>42921.783852696797</v>
      </c>
      <c r="BL262" s="204" t="s">
        <v>293</v>
      </c>
      <c r="BM262" s="204" t="s">
        <v>2182</v>
      </c>
      <c r="BN262" s="269">
        <f t="shared" ref="BN262:BN325" si="69">IFERROR(BB262/$AX262,"")</f>
        <v>542.59400000000005</v>
      </c>
      <c r="BO262" s="269">
        <f t="shared" ref="BO262:BO325" si="70">BI262/$AX262</f>
        <v>75</v>
      </c>
      <c r="BP262" s="269">
        <f>INDEX('App Data Outliers'!$M:$M,MATCH($E262,'App Data Outliers'!$A:$A,0))</f>
        <v>540.38278358208959</v>
      </c>
      <c r="BQ262" s="269">
        <f>INDEX('App Data Outliers'!$N:$N,MATCH($E262,'App Data Outliers'!$A:$A,0))</f>
        <v>100.67961898397597</v>
      </c>
      <c r="BR262" s="269">
        <f>INDEX('App Data Outliers'!$S:$S,MATCH($E262,'App Data Outliers'!$A:$A,0))</f>
        <v>63.736940298507463</v>
      </c>
      <c r="BS262" s="269">
        <f>INDEX('App Data Outliers'!$T:$T,MATCH($E262,'App Data Outliers'!$A:$A,0))</f>
        <v>15.137978729011348</v>
      </c>
    </row>
    <row r="263" spans="1:71" s="204" customFormat="1" hidden="1">
      <c r="A263" s="241">
        <v>259</v>
      </c>
      <c r="B263" s="241" t="str">
        <f t="shared" si="61"/>
        <v>Non-Residential - BHPSD - C/I Prescriptive Rebate</v>
      </c>
      <c r="C263" s="241" t="b">
        <f t="shared" si="62"/>
        <v>1</v>
      </c>
      <c r="D263" s="241" t="str">
        <f t="shared" si="63"/>
        <v>Non-Residential - BHPSD - C/I Prescriptive Rebate_C&amp;I Prescriptive Rebate :- C&amp;I Lighting :- Customer Incentives_LED Fixtures Exterior &amp; Garage - 25W to 60W</v>
      </c>
      <c r="E263" s="241" t="str">
        <f t="shared" si="64"/>
        <v>C&amp;I_C&amp;I Prescriptive_Lighting_LED Parking Garage/Canopy (30-75W)</v>
      </c>
      <c r="F263" s="241" t="str">
        <f>INDEX('VDSM MAPPING'!E:E,MATCH($D263,'VDSM MAPPING'!$A:$A,0))</f>
        <v>C&amp;I</v>
      </c>
      <c r="G263" s="241" t="str">
        <f>INDEX('VDSM MAPPING'!F:F,MATCH($D263,'VDSM MAPPING'!$A:$A,0))</f>
        <v>C&amp;I Prescriptive</v>
      </c>
      <c r="H263" s="241" t="str">
        <f>INDEX('VDSM MAPPING'!G:G,MATCH($D263,'VDSM MAPPING'!$A:$A,0))</f>
        <v>Lighting</v>
      </c>
      <c r="I263" s="241" t="str">
        <f>INDEX('VDSM MAPPING'!H:H,MATCH($D263,'VDSM MAPPING'!$A:$A,0))</f>
        <v>LED Parking Garage/Canopy (30-75W)</v>
      </c>
      <c r="J263" s="240">
        <f t="shared" si="65"/>
        <v>2.1962900140319343E-2</v>
      </c>
      <c r="K263" s="240">
        <f t="shared" si="66"/>
        <v>0.74402665660424805</v>
      </c>
      <c r="L263" s="240" t="b">
        <f t="shared" si="67"/>
        <v>0</v>
      </c>
      <c r="M263" s="240" t="b">
        <f t="shared" si="68"/>
        <v>0</v>
      </c>
      <c r="N263" s="204" t="s">
        <v>289</v>
      </c>
      <c r="O263" s="204" t="s">
        <v>2181</v>
      </c>
      <c r="P263" s="350">
        <v>0</v>
      </c>
      <c r="Q263" s="204" t="s">
        <v>2181</v>
      </c>
      <c r="R263" s="204" t="s">
        <v>2180</v>
      </c>
      <c r="S263" s="204" t="s">
        <v>2179</v>
      </c>
      <c r="T263" s="204" t="s">
        <v>2179</v>
      </c>
      <c r="U263" s="204" t="s">
        <v>2179</v>
      </c>
      <c r="V263" s="204" t="s">
        <v>2178</v>
      </c>
      <c r="W263" s="204" t="s">
        <v>928</v>
      </c>
      <c r="X263" s="204" t="s">
        <v>297</v>
      </c>
      <c r="Y263" s="204" t="s">
        <v>296</v>
      </c>
      <c r="Z263" s="204" t="s">
        <v>2177</v>
      </c>
      <c r="AA263" s="204" t="s">
        <v>2176</v>
      </c>
      <c r="AB263" s="204" t="s">
        <v>329</v>
      </c>
      <c r="AC263" s="204" t="s">
        <v>297</v>
      </c>
      <c r="AD263" s="204" t="s">
        <v>397</v>
      </c>
      <c r="AE263" s="204" t="s">
        <v>2175</v>
      </c>
      <c r="AF263" s="204" t="s">
        <v>2174</v>
      </c>
      <c r="AG263" s="204" t="s">
        <v>2129</v>
      </c>
      <c r="AH263" s="204" t="s">
        <v>2145</v>
      </c>
      <c r="AI263" s="204" t="s">
        <v>2172</v>
      </c>
      <c r="AJ263" s="204" t="s">
        <v>2126</v>
      </c>
      <c r="AX263" s="204">
        <v>2</v>
      </c>
      <c r="AY263" s="204">
        <v>0</v>
      </c>
      <c r="AZ263" s="204">
        <v>0.24293500000000001</v>
      </c>
      <c r="BB263" s="204">
        <v>1085.1880000000001</v>
      </c>
      <c r="BH263" s="204">
        <v>0</v>
      </c>
      <c r="BI263" s="204">
        <v>150</v>
      </c>
      <c r="BJ263" s="204">
        <v>42921</v>
      </c>
      <c r="BK263" s="204">
        <v>42921.783852696797</v>
      </c>
      <c r="BL263" s="204" t="s">
        <v>293</v>
      </c>
      <c r="BM263" s="204" t="s">
        <v>2184</v>
      </c>
      <c r="BN263" s="269">
        <f t="shared" si="69"/>
        <v>542.59400000000005</v>
      </c>
      <c r="BO263" s="269">
        <f t="shared" si="70"/>
        <v>75</v>
      </c>
      <c r="BP263" s="269">
        <f>INDEX('App Data Outliers'!$M:$M,MATCH($E263,'App Data Outliers'!$A:$A,0))</f>
        <v>540.38278358208959</v>
      </c>
      <c r="BQ263" s="269">
        <f>INDEX('App Data Outliers'!$N:$N,MATCH($E263,'App Data Outliers'!$A:$A,0))</f>
        <v>100.67961898397597</v>
      </c>
      <c r="BR263" s="269">
        <f>INDEX('App Data Outliers'!$S:$S,MATCH($E263,'App Data Outliers'!$A:$A,0))</f>
        <v>63.736940298507463</v>
      </c>
      <c r="BS263" s="269">
        <f>INDEX('App Data Outliers'!$T:$T,MATCH($E263,'App Data Outliers'!$A:$A,0))</f>
        <v>15.137978729011348</v>
      </c>
    </row>
    <row r="264" spans="1:71" s="204" customFormat="1" hidden="1">
      <c r="A264" s="241">
        <v>260</v>
      </c>
      <c r="B264" s="241" t="str">
        <f t="shared" si="61"/>
        <v>Non-Residential - BHPSD - C/I Prescriptive Rebate</v>
      </c>
      <c r="C264" s="241" t="b">
        <f t="shared" si="62"/>
        <v>1</v>
      </c>
      <c r="D264" s="241" t="str">
        <f t="shared" si="63"/>
        <v>Non-Residential - BHPSD - C/I Prescriptive Rebate_C&amp;I Prescriptive Rebate :- C&amp;I Lighting :- Customer Incentives_Occupancy Sensor - Fixture</v>
      </c>
      <c r="E264" s="241" t="str">
        <f t="shared" si="64"/>
        <v>C&amp;I_C&amp;I Prescriptive_Lighting_Fixture Mount Occupancy</v>
      </c>
      <c r="F264" s="241" t="str">
        <f>INDEX('VDSM MAPPING'!E:E,MATCH($D264,'VDSM MAPPING'!$A:$A,0))</f>
        <v>C&amp;I</v>
      </c>
      <c r="G264" s="241" t="str">
        <f>INDEX('VDSM MAPPING'!F:F,MATCH($D264,'VDSM MAPPING'!$A:$A,0))</f>
        <v>C&amp;I Prescriptive</v>
      </c>
      <c r="H264" s="241" t="str">
        <f>INDEX('VDSM MAPPING'!G:G,MATCH($D264,'VDSM MAPPING'!$A:$A,0))</f>
        <v>Lighting</v>
      </c>
      <c r="I264" s="241" t="str">
        <f>INDEX('VDSM MAPPING'!H:H,MATCH($D264,'VDSM MAPPING'!$A:$A,0))</f>
        <v>Fixture Mount Occupancy</v>
      </c>
      <c r="J264" s="240" t="str">
        <f t="shared" si="65"/>
        <v/>
      </c>
      <c r="K264" s="240" t="str">
        <f t="shared" si="66"/>
        <v/>
      </c>
      <c r="L264" s="240" t="b">
        <f t="shared" si="67"/>
        <v>0</v>
      </c>
      <c r="M264" s="240" t="b">
        <f t="shared" si="68"/>
        <v>0</v>
      </c>
      <c r="N264" s="204" t="s">
        <v>289</v>
      </c>
      <c r="O264" s="204" t="s">
        <v>2164</v>
      </c>
      <c r="P264" s="350">
        <v>1</v>
      </c>
      <c r="Q264" s="204" t="s">
        <v>2164</v>
      </c>
      <c r="R264" s="204" t="s">
        <v>2163</v>
      </c>
      <c r="S264" s="204" t="s">
        <v>2162</v>
      </c>
      <c r="T264" s="204" t="s">
        <v>2162</v>
      </c>
      <c r="U264" s="204" t="s">
        <v>2162</v>
      </c>
      <c r="V264" s="204" t="s">
        <v>2161</v>
      </c>
      <c r="W264" s="204" t="s">
        <v>329</v>
      </c>
      <c r="X264" s="204" t="s">
        <v>297</v>
      </c>
      <c r="Y264" s="204" t="s">
        <v>328</v>
      </c>
      <c r="Z264" s="204" t="s">
        <v>2160</v>
      </c>
      <c r="AA264" s="204" t="s">
        <v>2159</v>
      </c>
      <c r="AB264" s="204" t="s">
        <v>329</v>
      </c>
      <c r="AC264" s="204" t="s">
        <v>297</v>
      </c>
      <c r="AD264" s="204" t="s">
        <v>397</v>
      </c>
      <c r="AE264" s="204" t="s">
        <v>2158</v>
      </c>
      <c r="AF264" s="204" t="s">
        <v>2157</v>
      </c>
      <c r="AG264" s="204" t="s">
        <v>2129</v>
      </c>
      <c r="AH264" s="204" t="s">
        <v>2168</v>
      </c>
      <c r="AI264" s="204" t="s">
        <v>2127</v>
      </c>
      <c r="AJ264" s="204" t="s">
        <v>2126</v>
      </c>
      <c r="AX264" s="204">
        <v>8</v>
      </c>
      <c r="AY264" s="204">
        <v>0</v>
      </c>
      <c r="AZ264" s="204">
        <v>0.67050699999999996</v>
      </c>
      <c r="BB264" s="204">
        <v>3141.864</v>
      </c>
      <c r="BH264" s="204">
        <v>0</v>
      </c>
      <c r="BI264" s="204">
        <v>224</v>
      </c>
      <c r="BJ264" s="204">
        <v>42926</v>
      </c>
      <c r="BK264" s="204">
        <v>42926.472461493096</v>
      </c>
      <c r="BL264" s="204" t="s">
        <v>293</v>
      </c>
      <c r="BM264" s="204" t="s">
        <v>2167</v>
      </c>
      <c r="BN264" s="269">
        <f t="shared" si="69"/>
        <v>392.733</v>
      </c>
      <c r="BO264" s="269">
        <f t="shared" si="70"/>
        <v>28</v>
      </c>
      <c r="BP264" s="269">
        <f>INDEX('App Data Outliers'!$M:$M,MATCH($E264,'App Data Outliers'!$A:$A,0))</f>
        <v>392.733</v>
      </c>
      <c r="BQ264" s="269">
        <f>INDEX('App Data Outliers'!$N:$N,MATCH($E264,'App Data Outliers'!$A:$A,0))</f>
        <v>0</v>
      </c>
      <c r="BR264" s="269">
        <f>INDEX('App Data Outliers'!$S:$S,MATCH($E264,'App Data Outliers'!$A:$A,0))</f>
        <v>28</v>
      </c>
      <c r="BS264" s="269">
        <f>INDEX('App Data Outliers'!$T:$T,MATCH($E264,'App Data Outliers'!$A:$A,0))</f>
        <v>0</v>
      </c>
    </row>
    <row r="265" spans="1:71" s="204" customFormat="1" hidden="1">
      <c r="A265" s="241">
        <v>261</v>
      </c>
      <c r="B265" s="241" t="str">
        <f t="shared" si="61"/>
        <v>Non-Residential - BHPSD - C/I Prescriptive Rebate</v>
      </c>
      <c r="C265" s="241" t="b">
        <f t="shared" si="62"/>
        <v>1</v>
      </c>
      <c r="D265" s="241" t="str">
        <f t="shared" si="63"/>
        <v>Non-Residential - BHPSD - C/I Prescriptive Rebate_C&amp;I Prescriptive Rebate :- C&amp;I Lighting :- Customer Incentives_Energy Star LED Lamps - 10W or greater</v>
      </c>
      <c r="E265" s="241" t="str">
        <f t="shared" si="64"/>
        <v>C&amp;I_C&amp;I Prescriptive_Lighting_Energy Star LED Lamp (&gt;10W)</v>
      </c>
      <c r="F265" s="241" t="str">
        <f>INDEX('VDSM MAPPING'!E:E,MATCH($D265,'VDSM MAPPING'!$A:$A,0))</f>
        <v>C&amp;I</v>
      </c>
      <c r="G265" s="241" t="str">
        <f>INDEX('VDSM MAPPING'!F:F,MATCH($D265,'VDSM MAPPING'!$A:$A,0))</f>
        <v>C&amp;I Prescriptive</v>
      </c>
      <c r="H265" s="241" t="str">
        <f>INDEX('VDSM MAPPING'!G:G,MATCH($D265,'VDSM MAPPING'!$A:$A,0))</f>
        <v>Lighting</v>
      </c>
      <c r="I265" s="241" t="str">
        <f>INDEX('VDSM MAPPING'!H:H,MATCH($D265,'VDSM MAPPING'!$A:$A,0))</f>
        <v>Energy Star LED Lamp (&gt;10W)</v>
      </c>
      <c r="J265" s="240">
        <f t="shared" si="65"/>
        <v>-0.10579384246698066</v>
      </c>
      <c r="K265" s="240">
        <f t="shared" si="66"/>
        <v>-0.335610216668144</v>
      </c>
      <c r="L265" s="240" t="b">
        <f t="shared" si="67"/>
        <v>0</v>
      </c>
      <c r="M265" s="240" t="b">
        <f t="shared" si="68"/>
        <v>0</v>
      </c>
      <c r="N265" s="204" t="s">
        <v>289</v>
      </c>
      <c r="O265" s="204" t="s">
        <v>2164</v>
      </c>
      <c r="P265" s="350">
        <v>0</v>
      </c>
      <c r="Q265" s="204" t="s">
        <v>2164</v>
      </c>
      <c r="R265" s="204" t="s">
        <v>2163</v>
      </c>
      <c r="S265" s="204" t="s">
        <v>2162</v>
      </c>
      <c r="T265" s="204" t="s">
        <v>2162</v>
      </c>
      <c r="U265" s="204" t="s">
        <v>2162</v>
      </c>
      <c r="V265" s="204" t="s">
        <v>2161</v>
      </c>
      <c r="W265" s="204" t="s">
        <v>329</v>
      </c>
      <c r="X265" s="204" t="s">
        <v>297</v>
      </c>
      <c r="Y265" s="204" t="s">
        <v>328</v>
      </c>
      <c r="Z265" s="204" t="s">
        <v>2160</v>
      </c>
      <c r="AA265" s="204" t="s">
        <v>2159</v>
      </c>
      <c r="AB265" s="204" t="s">
        <v>329</v>
      </c>
      <c r="AC265" s="204" t="s">
        <v>297</v>
      </c>
      <c r="AD265" s="204" t="s">
        <v>397</v>
      </c>
      <c r="AE265" s="204" t="s">
        <v>2158</v>
      </c>
      <c r="AF265" s="204" t="s">
        <v>2157</v>
      </c>
      <c r="AG265" s="204" t="s">
        <v>2129</v>
      </c>
      <c r="AH265" s="204" t="s">
        <v>2166</v>
      </c>
      <c r="AI265" s="204" t="s">
        <v>2127</v>
      </c>
      <c r="AJ265" s="204" t="s">
        <v>2126</v>
      </c>
      <c r="AX265" s="204">
        <v>46</v>
      </c>
      <c r="AY265" s="204">
        <v>0</v>
      </c>
      <c r="AZ265" s="204">
        <v>1.7651300000000001</v>
      </c>
      <c r="BB265" s="204">
        <v>8271.0300000000007</v>
      </c>
      <c r="BH265" s="204">
        <v>0</v>
      </c>
      <c r="BI265" s="204">
        <v>407.1</v>
      </c>
      <c r="BJ265" s="204">
        <v>42926</v>
      </c>
      <c r="BK265" s="204">
        <v>42926.472461493096</v>
      </c>
      <c r="BL265" s="204" t="s">
        <v>293</v>
      </c>
      <c r="BM265" s="204" t="s">
        <v>2169</v>
      </c>
      <c r="BN265" s="269">
        <f t="shared" si="69"/>
        <v>179.80500000000001</v>
      </c>
      <c r="BO265" s="269">
        <f t="shared" si="70"/>
        <v>8.85</v>
      </c>
      <c r="BP265" s="269">
        <f>INDEX('App Data Outliers'!$M:$M,MATCH($E265,'App Data Outliers'!$A:$A,0))</f>
        <v>183.5885054112554</v>
      </c>
      <c r="BQ265" s="269">
        <f>INDEX('App Data Outliers'!$N:$N,MATCH($E265,'App Data Outliers'!$A:$A,0))</f>
        <v>35.763002108901198</v>
      </c>
      <c r="BR265" s="269">
        <f>INDEX('App Data Outliers'!$S:$S,MATCH($E265,'App Data Outliers'!$A:$A,0))</f>
        <v>9.5846103896103898</v>
      </c>
      <c r="BS265" s="269">
        <f>INDEX('App Data Outliers'!$T:$T,MATCH($E265,'App Data Outliers'!$A:$A,0))</f>
        <v>2.1888796977142775</v>
      </c>
    </row>
    <row r="266" spans="1:71" s="204" customFormat="1" hidden="1">
      <c r="A266" s="241">
        <v>262</v>
      </c>
      <c r="B266" s="241" t="str">
        <f t="shared" si="61"/>
        <v>Non-Residential - BHPSD - C/I Prescriptive Rebate</v>
      </c>
      <c r="C266" s="241" t="b">
        <f t="shared" si="62"/>
        <v>1</v>
      </c>
      <c r="D266" s="241" t="str">
        <f t="shared" si="63"/>
        <v>Non-Residential - BHPSD - C/I Prescriptive Rebate_C&amp;I Prescriptive Rebate :- C&amp;I Lighting :- Customer Incentives_LED Fixtures Exterior &amp; Garage - 25W to 60W</v>
      </c>
      <c r="E266" s="241" t="str">
        <f t="shared" si="64"/>
        <v>C&amp;I_C&amp;I Prescriptive_Lighting_LED Parking Garage/Canopy (30-75W)</v>
      </c>
      <c r="F266" s="241" t="str">
        <f>INDEX('VDSM MAPPING'!E:E,MATCH($D266,'VDSM MAPPING'!$A:$A,0))</f>
        <v>C&amp;I</v>
      </c>
      <c r="G266" s="241" t="str">
        <f>INDEX('VDSM MAPPING'!F:F,MATCH($D266,'VDSM MAPPING'!$A:$A,0))</f>
        <v>C&amp;I Prescriptive</v>
      </c>
      <c r="H266" s="241" t="str">
        <f>INDEX('VDSM MAPPING'!G:G,MATCH($D266,'VDSM MAPPING'!$A:$A,0))</f>
        <v>Lighting</v>
      </c>
      <c r="I266" s="241" t="str">
        <f>INDEX('VDSM MAPPING'!H:H,MATCH($D266,'VDSM MAPPING'!$A:$A,0))</f>
        <v>LED Parking Garage/Canopy (30-75W)</v>
      </c>
      <c r="J266" s="240">
        <f t="shared" si="65"/>
        <v>0.76115918188076592</v>
      </c>
      <c r="K266" s="240">
        <f t="shared" si="66"/>
        <v>0.74402665660424805</v>
      </c>
      <c r="L266" s="240" t="b">
        <f t="shared" si="67"/>
        <v>0</v>
      </c>
      <c r="M266" s="240" t="b">
        <f t="shared" si="68"/>
        <v>0</v>
      </c>
      <c r="N266" s="204" t="s">
        <v>289</v>
      </c>
      <c r="O266" s="204" t="s">
        <v>2164</v>
      </c>
      <c r="P266" s="350">
        <v>0</v>
      </c>
      <c r="Q266" s="204" t="s">
        <v>2164</v>
      </c>
      <c r="R266" s="204" t="s">
        <v>2163</v>
      </c>
      <c r="S266" s="204" t="s">
        <v>2162</v>
      </c>
      <c r="T266" s="204" t="s">
        <v>2162</v>
      </c>
      <c r="U266" s="204" t="s">
        <v>2162</v>
      </c>
      <c r="V266" s="204" t="s">
        <v>2161</v>
      </c>
      <c r="W266" s="204" t="s">
        <v>329</v>
      </c>
      <c r="X266" s="204" t="s">
        <v>297</v>
      </c>
      <c r="Y266" s="204" t="s">
        <v>328</v>
      </c>
      <c r="Z266" s="204" t="s">
        <v>2160</v>
      </c>
      <c r="AA266" s="204" t="s">
        <v>2159</v>
      </c>
      <c r="AB266" s="204" t="s">
        <v>329</v>
      </c>
      <c r="AC266" s="204" t="s">
        <v>297</v>
      </c>
      <c r="AD266" s="204" t="s">
        <v>397</v>
      </c>
      <c r="AE266" s="204" t="s">
        <v>2158</v>
      </c>
      <c r="AF266" s="204" t="s">
        <v>2157</v>
      </c>
      <c r="AG266" s="204" t="s">
        <v>2129</v>
      </c>
      <c r="AH266" s="204" t="s">
        <v>2145</v>
      </c>
      <c r="AI266" s="204" t="s">
        <v>2127</v>
      </c>
      <c r="AJ266" s="204" t="s">
        <v>2126</v>
      </c>
      <c r="AX266" s="204">
        <v>6</v>
      </c>
      <c r="AY266" s="204">
        <v>0</v>
      </c>
      <c r="AZ266" s="204">
        <v>0.79006799999999999</v>
      </c>
      <c r="BB266" s="204">
        <v>3702.096</v>
      </c>
      <c r="BH266" s="204">
        <v>0</v>
      </c>
      <c r="BI266" s="204">
        <v>450</v>
      </c>
      <c r="BJ266" s="204">
        <v>42926</v>
      </c>
      <c r="BK266" s="204">
        <v>42926.472461493096</v>
      </c>
      <c r="BL266" s="204" t="s">
        <v>293</v>
      </c>
      <c r="BM266" s="204" t="s">
        <v>2156</v>
      </c>
      <c r="BN266" s="269">
        <f t="shared" si="69"/>
        <v>617.01599999999996</v>
      </c>
      <c r="BO266" s="269">
        <f t="shared" si="70"/>
        <v>75</v>
      </c>
      <c r="BP266" s="269">
        <f>INDEX('App Data Outliers'!$M:$M,MATCH($E266,'App Data Outliers'!$A:$A,0))</f>
        <v>540.38278358208959</v>
      </c>
      <c r="BQ266" s="269">
        <f>INDEX('App Data Outliers'!$N:$N,MATCH($E266,'App Data Outliers'!$A:$A,0))</f>
        <v>100.67961898397597</v>
      </c>
      <c r="BR266" s="269">
        <f>INDEX('App Data Outliers'!$S:$S,MATCH($E266,'App Data Outliers'!$A:$A,0))</f>
        <v>63.736940298507463</v>
      </c>
      <c r="BS266" s="269">
        <f>INDEX('App Data Outliers'!$T:$T,MATCH($E266,'App Data Outliers'!$A:$A,0))</f>
        <v>15.137978729011348</v>
      </c>
    </row>
    <row r="267" spans="1:71" s="204" customFormat="1" hidden="1">
      <c r="A267" s="241">
        <v>263</v>
      </c>
      <c r="B267" s="241" t="str">
        <f t="shared" si="61"/>
        <v>Non-Residential - BHPSD - C/I Prescriptive Rebate</v>
      </c>
      <c r="C267" s="241" t="b">
        <f t="shared" si="62"/>
        <v>1</v>
      </c>
      <c r="D267" s="241" t="str">
        <f t="shared" si="63"/>
        <v>Non-Residential - BHPSD - C/I Prescriptive Rebate_C&amp;I Prescriptive Rebate :- C&amp;I Lighting :- Customer Incentives_Energy Star LED Lamps - 10W or greater</v>
      </c>
      <c r="E267" s="241" t="str">
        <f t="shared" si="64"/>
        <v>C&amp;I_C&amp;I Prescriptive_Lighting_Energy Star LED Lamp (&gt;10W)</v>
      </c>
      <c r="F267" s="241" t="str">
        <f>INDEX('VDSM MAPPING'!E:E,MATCH($D267,'VDSM MAPPING'!$A:$A,0))</f>
        <v>C&amp;I</v>
      </c>
      <c r="G267" s="241" t="str">
        <f>INDEX('VDSM MAPPING'!F:F,MATCH($D267,'VDSM MAPPING'!$A:$A,0))</f>
        <v>C&amp;I Prescriptive</v>
      </c>
      <c r="H267" s="241" t="str">
        <f>INDEX('VDSM MAPPING'!G:G,MATCH($D267,'VDSM MAPPING'!$A:$A,0))</f>
        <v>Lighting</v>
      </c>
      <c r="I267" s="241" t="str">
        <f>INDEX('VDSM MAPPING'!H:H,MATCH($D267,'VDSM MAPPING'!$A:$A,0))</f>
        <v>Energy Star LED Lamp (&gt;10W)</v>
      </c>
      <c r="J267" s="240">
        <f t="shared" si="65"/>
        <v>-0.10579384246698145</v>
      </c>
      <c r="K267" s="240">
        <f t="shared" si="66"/>
        <v>1.3319094756253556</v>
      </c>
      <c r="L267" s="240" t="b">
        <f t="shared" si="67"/>
        <v>0</v>
      </c>
      <c r="M267" s="240" t="b">
        <f t="shared" si="68"/>
        <v>0</v>
      </c>
      <c r="N267" s="204" t="s">
        <v>289</v>
      </c>
      <c r="O267" s="204" t="s">
        <v>2164</v>
      </c>
      <c r="P267" s="350">
        <v>0</v>
      </c>
      <c r="Q267" s="204" t="s">
        <v>2164</v>
      </c>
      <c r="R267" s="204" t="s">
        <v>2163</v>
      </c>
      <c r="S267" s="204" t="s">
        <v>2162</v>
      </c>
      <c r="T267" s="204" t="s">
        <v>2162</v>
      </c>
      <c r="U267" s="204" t="s">
        <v>2162</v>
      </c>
      <c r="V267" s="204" t="s">
        <v>2161</v>
      </c>
      <c r="W267" s="204" t="s">
        <v>329</v>
      </c>
      <c r="X267" s="204" t="s">
        <v>297</v>
      </c>
      <c r="Y267" s="204" t="s">
        <v>328</v>
      </c>
      <c r="Z267" s="204" t="s">
        <v>2160</v>
      </c>
      <c r="AA267" s="204" t="s">
        <v>2159</v>
      </c>
      <c r="AB267" s="204" t="s">
        <v>329</v>
      </c>
      <c r="AC267" s="204" t="s">
        <v>297</v>
      </c>
      <c r="AD267" s="204" t="s">
        <v>397</v>
      </c>
      <c r="AE267" s="204" t="s">
        <v>2158</v>
      </c>
      <c r="AF267" s="204" t="s">
        <v>2157</v>
      </c>
      <c r="AG267" s="204" t="s">
        <v>2129</v>
      </c>
      <c r="AH267" s="204" t="s">
        <v>2166</v>
      </c>
      <c r="AI267" s="204" t="s">
        <v>2127</v>
      </c>
      <c r="AJ267" s="204" t="s">
        <v>2126</v>
      </c>
      <c r="AX267" s="204">
        <v>18</v>
      </c>
      <c r="AY267" s="204">
        <v>0</v>
      </c>
      <c r="AZ267" s="204">
        <v>0.69070299999999996</v>
      </c>
      <c r="BB267" s="204">
        <v>3236.49</v>
      </c>
      <c r="BH267" s="204">
        <v>0</v>
      </c>
      <c r="BI267" s="204">
        <v>225</v>
      </c>
      <c r="BJ267" s="204">
        <v>42926</v>
      </c>
      <c r="BK267" s="204">
        <v>42926.472461493096</v>
      </c>
      <c r="BL267" s="204" t="s">
        <v>293</v>
      </c>
      <c r="BM267" s="204" t="s">
        <v>2165</v>
      </c>
      <c r="BN267" s="269">
        <f t="shared" si="69"/>
        <v>179.80499999999998</v>
      </c>
      <c r="BO267" s="269">
        <f t="shared" si="70"/>
        <v>12.5</v>
      </c>
      <c r="BP267" s="269">
        <f>INDEX('App Data Outliers'!$M:$M,MATCH($E267,'App Data Outliers'!$A:$A,0))</f>
        <v>183.5885054112554</v>
      </c>
      <c r="BQ267" s="269">
        <f>INDEX('App Data Outliers'!$N:$N,MATCH($E267,'App Data Outliers'!$A:$A,0))</f>
        <v>35.763002108901198</v>
      </c>
      <c r="BR267" s="269">
        <f>INDEX('App Data Outliers'!$S:$S,MATCH($E267,'App Data Outliers'!$A:$A,0))</f>
        <v>9.5846103896103898</v>
      </c>
      <c r="BS267" s="269">
        <f>INDEX('App Data Outliers'!$T:$T,MATCH($E267,'App Data Outliers'!$A:$A,0))</f>
        <v>2.1888796977142775</v>
      </c>
    </row>
    <row r="268" spans="1:71" s="204" customFormat="1" hidden="1">
      <c r="A268" s="241">
        <v>264</v>
      </c>
      <c r="B268" s="241" t="str">
        <f t="shared" si="61"/>
        <v>Non-Residential - BHPSD - C/I Prescriptive Rebate</v>
      </c>
      <c r="C268" s="241" t="b">
        <f t="shared" si="62"/>
        <v>1</v>
      </c>
      <c r="D268" s="241" t="str">
        <f t="shared" si="63"/>
        <v>Non-Residential - BHPSD - C/I Prescriptive Rebate_C&amp;I Prescriptive Rebate :- C&amp;I Lighting :- Customer Incentives_Energy Star LED Lamps - 10W or greater</v>
      </c>
      <c r="E268" s="241" t="str">
        <f t="shared" si="64"/>
        <v>C&amp;I_C&amp;I Prescriptive_Lighting_Energy Star LED Lamp (&gt;10W)</v>
      </c>
      <c r="F268" s="241" t="str">
        <f>INDEX('VDSM MAPPING'!E:E,MATCH($D268,'VDSM MAPPING'!$A:$A,0))</f>
        <v>C&amp;I</v>
      </c>
      <c r="G268" s="241" t="str">
        <f>INDEX('VDSM MAPPING'!F:F,MATCH($D268,'VDSM MAPPING'!$A:$A,0))</f>
        <v>C&amp;I Prescriptive</v>
      </c>
      <c r="H268" s="241" t="str">
        <f>INDEX('VDSM MAPPING'!G:G,MATCH($D268,'VDSM MAPPING'!$A:$A,0))</f>
        <v>Lighting</v>
      </c>
      <c r="I268" s="241" t="str">
        <f>INDEX('VDSM MAPPING'!H:H,MATCH($D268,'VDSM MAPPING'!$A:$A,0))</f>
        <v>Energy Star LED Lamp (&gt;10W)</v>
      </c>
      <c r="J268" s="240">
        <f t="shared" si="65"/>
        <v>-0.10579384246698145</v>
      </c>
      <c r="K268" s="240">
        <f t="shared" si="66"/>
        <v>-1.0391664704029351</v>
      </c>
      <c r="L268" s="240" t="b">
        <f t="shared" si="67"/>
        <v>0</v>
      </c>
      <c r="M268" s="240" t="b">
        <f t="shared" si="68"/>
        <v>0</v>
      </c>
      <c r="N268" s="204" t="s">
        <v>289</v>
      </c>
      <c r="O268" s="204" t="s">
        <v>2164</v>
      </c>
      <c r="P268" s="350">
        <v>0</v>
      </c>
      <c r="Q268" s="204" t="s">
        <v>2164</v>
      </c>
      <c r="R268" s="204" t="s">
        <v>2163</v>
      </c>
      <c r="S268" s="204" t="s">
        <v>2162</v>
      </c>
      <c r="T268" s="204" t="s">
        <v>2162</v>
      </c>
      <c r="U268" s="204" t="s">
        <v>2162</v>
      </c>
      <c r="V268" s="204" t="s">
        <v>2161</v>
      </c>
      <c r="W268" s="204" t="s">
        <v>329</v>
      </c>
      <c r="X268" s="204" t="s">
        <v>297</v>
      </c>
      <c r="Y268" s="204" t="s">
        <v>328</v>
      </c>
      <c r="Z268" s="204" t="s">
        <v>2160</v>
      </c>
      <c r="AA268" s="204" t="s">
        <v>2159</v>
      </c>
      <c r="AB268" s="204" t="s">
        <v>329</v>
      </c>
      <c r="AC268" s="204" t="s">
        <v>297</v>
      </c>
      <c r="AD268" s="204" t="s">
        <v>397</v>
      </c>
      <c r="AE268" s="204" t="s">
        <v>2158</v>
      </c>
      <c r="AF268" s="204" t="s">
        <v>2157</v>
      </c>
      <c r="AG268" s="204" t="s">
        <v>2129</v>
      </c>
      <c r="AH268" s="204" t="s">
        <v>2166</v>
      </c>
      <c r="AI268" s="204" t="s">
        <v>2127</v>
      </c>
      <c r="AJ268" s="204" t="s">
        <v>2126</v>
      </c>
      <c r="AX268" s="204">
        <v>72</v>
      </c>
      <c r="AY268" s="204">
        <v>0</v>
      </c>
      <c r="AZ268" s="204">
        <v>2.762813</v>
      </c>
      <c r="BB268" s="204">
        <v>12945.96</v>
      </c>
      <c r="BH268" s="204">
        <v>0</v>
      </c>
      <c r="BI268" s="204">
        <v>526.32000000000005</v>
      </c>
      <c r="BJ268" s="204">
        <v>42926</v>
      </c>
      <c r="BK268" s="204">
        <v>42926.472461493096</v>
      </c>
      <c r="BL268" s="204" t="s">
        <v>293</v>
      </c>
      <c r="BM268" s="204" t="s">
        <v>2170</v>
      </c>
      <c r="BN268" s="269">
        <f t="shared" si="69"/>
        <v>179.80499999999998</v>
      </c>
      <c r="BO268" s="269">
        <f t="shared" si="70"/>
        <v>7.3100000000000005</v>
      </c>
      <c r="BP268" s="269">
        <f>INDEX('App Data Outliers'!$M:$M,MATCH($E268,'App Data Outliers'!$A:$A,0))</f>
        <v>183.5885054112554</v>
      </c>
      <c r="BQ268" s="269">
        <f>INDEX('App Data Outliers'!$N:$N,MATCH($E268,'App Data Outliers'!$A:$A,0))</f>
        <v>35.763002108901198</v>
      </c>
      <c r="BR268" s="269">
        <f>INDEX('App Data Outliers'!$S:$S,MATCH($E268,'App Data Outliers'!$A:$A,0))</f>
        <v>9.5846103896103898</v>
      </c>
      <c r="BS268" s="269">
        <f>INDEX('App Data Outliers'!$T:$T,MATCH($E268,'App Data Outliers'!$A:$A,0))</f>
        <v>2.1888796977142775</v>
      </c>
    </row>
    <row r="269" spans="1:71" s="204" customFormat="1" hidden="1">
      <c r="A269" s="241">
        <v>265</v>
      </c>
      <c r="B269" s="241" t="str">
        <f t="shared" si="61"/>
        <v>Non-Residential - BHPSD - C/I Prescriptive Rebate</v>
      </c>
      <c r="C269" s="241" t="b">
        <f t="shared" si="62"/>
        <v>1</v>
      </c>
      <c r="D269" s="241" t="str">
        <f t="shared" si="63"/>
        <v>Non-Residential - BHPSD - C/I Prescriptive Rebate_C&amp;I Prescriptive Rebate :- C&amp;I Lighting :- Customer Incentives_LED Replacement for T12 Linear Fluorescent Lamps - 4 ft or less</v>
      </c>
      <c r="E269" s="241" t="str">
        <f t="shared" si="64"/>
        <v>C&amp;I_C&amp;I Prescriptive_Lighting_LED Linear Replacement Lamp (≤4ft)</v>
      </c>
      <c r="F269" s="241" t="str">
        <f>INDEX('VDSM MAPPING'!E:E,MATCH($D269,'VDSM MAPPING'!$A:$A,0))</f>
        <v>C&amp;I</v>
      </c>
      <c r="G269" s="241" t="str">
        <f>INDEX('VDSM MAPPING'!F:F,MATCH($D269,'VDSM MAPPING'!$A:$A,0))</f>
        <v>C&amp;I Prescriptive</v>
      </c>
      <c r="H269" s="241" t="str">
        <f>INDEX('VDSM MAPPING'!G:G,MATCH($D269,'VDSM MAPPING'!$A:$A,0))</f>
        <v>Lighting</v>
      </c>
      <c r="I269" s="241" t="str">
        <f>INDEX('VDSM MAPPING'!H:H,MATCH($D269,'VDSM MAPPING'!$A:$A,0))</f>
        <v>LED Linear Replacement Lamp (≤4ft)</v>
      </c>
      <c r="J269" s="240">
        <f t="shared" si="65"/>
        <v>1.3746408826732119</v>
      </c>
      <c r="K269" s="240">
        <f t="shared" si="66"/>
        <v>1.1238294291255655</v>
      </c>
      <c r="L269" s="240" t="b">
        <f t="shared" si="67"/>
        <v>0</v>
      </c>
      <c r="M269" s="240" t="b">
        <f t="shared" si="68"/>
        <v>0</v>
      </c>
      <c r="N269" s="204" t="s">
        <v>289</v>
      </c>
      <c r="O269" s="204" t="s">
        <v>2155</v>
      </c>
      <c r="P269" s="350">
        <v>1</v>
      </c>
      <c r="Q269" s="204" t="s">
        <v>2155</v>
      </c>
      <c r="R269" s="204" t="s">
        <v>2154</v>
      </c>
      <c r="S269" s="204" t="s">
        <v>2149</v>
      </c>
      <c r="T269" s="204" t="s">
        <v>2149</v>
      </c>
      <c r="U269" s="204" t="s">
        <v>2149</v>
      </c>
      <c r="V269" s="204" t="s">
        <v>2153</v>
      </c>
      <c r="W269" s="204" t="s">
        <v>329</v>
      </c>
      <c r="X269" s="204" t="s">
        <v>297</v>
      </c>
      <c r="Y269" s="204" t="s">
        <v>397</v>
      </c>
      <c r="Z269" s="204" t="s">
        <v>1017</v>
      </c>
      <c r="AA269" s="204" t="s">
        <v>1016</v>
      </c>
      <c r="AB269" s="204" t="s">
        <v>329</v>
      </c>
      <c r="AC269" s="204" t="s">
        <v>297</v>
      </c>
      <c r="AD269" s="204" t="s">
        <v>848</v>
      </c>
      <c r="AE269" s="204" t="s">
        <v>1015</v>
      </c>
      <c r="AF269" s="204" t="s">
        <v>1014</v>
      </c>
      <c r="AG269" s="204" t="s">
        <v>2129</v>
      </c>
      <c r="AH269" s="204" t="s">
        <v>2147</v>
      </c>
      <c r="AI269" s="204" t="s">
        <v>2127</v>
      </c>
      <c r="AJ269" s="204" t="s">
        <v>2126</v>
      </c>
      <c r="AX269" s="204">
        <v>666</v>
      </c>
      <c r="AY269" s="204">
        <v>0</v>
      </c>
      <c r="AZ269" s="204">
        <v>16.140643000000001</v>
      </c>
      <c r="BB269" s="204">
        <v>75631.626000000004</v>
      </c>
      <c r="BH269" s="204">
        <v>0</v>
      </c>
      <c r="BI269" s="204">
        <v>9930.06</v>
      </c>
      <c r="BJ269" s="204">
        <v>42935</v>
      </c>
      <c r="BK269" s="204">
        <v>42935.668675462999</v>
      </c>
      <c r="BL269" s="204" t="s">
        <v>293</v>
      </c>
      <c r="BM269" s="204" t="s">
        <v>2152</v>
      </c>
      <c r="BN269" s="269">
        <f t="shared" si="69"/>
        <v>113.56100000000001</v>
      </c>
      <c r="BO269" s="269">
        <f t="shared" si="70"/>
        <v>14.909999999999998</v>
      </c>
      <c r="BP269" s="269">
        <f>INDEX('App Data Outliers'!$M:$M,MATCH($E269,'App Data Outliers'!$A:$A,0))</f>
        <v>71.928403166606657</v>
      </c>
      <c r="BQ269" s="269">
        <f>INDEX('App Data Outliers'!$N:$N,MATCH($E269,'App Data Outliers'!$A:$A,0))</f>
        <v>30.28616226838243</v>
      </c>
      <c r="BR269" s="269">
        <f>INDEX('App Data Outliers'!$S:$S,MATCH($E269,'App Data Outliers'!$A:$A,0))</f>
        <v>10.421419234256929</v>
      </c>
      <c r="BS269" s="269">
        <f>INDEX('App Data Outliers'!$T:$T,MATCH($E269,'App Data Outliers'!$A:$A,0))</f>
        <v>3.9940053618595535</v>
      </c>
    </row>
    <row r="270" spans="1:71" s="204" customFormat="1" hidden="1">
      <c r="A270" s="241">
        <v>266</v>
      </c>
      <c r="B270" s="241" t="str">
        <f t="shared" si="61"/>
        <v>Non-Residential - BHPSD - C/I Prescriptive Rebate</v>
      </c>
      <c r="C270" s="241" t="b">
        <f t="shared" si="62"/>
        <v>1</v>
      </c>
      <c r="D270" s="241" t="str">
        <f t="shared" si="63"/>
        <v>Non-Residential - BHPSD - C/I Prescriptive Rebate_C&amp;I Prescriptive Rebate :- C&amp;I Lighting :- Customer Incentives_LED Replacement for T12 Linear Fluorescent Lamps - 4 ft or less</v>
      </c>
      <c r="E270" s="241" t="str">
        <f t="shared" si="64"/>
        <v>C&amp;I_C&amp;I Prescriptive_Lighting_LED Linear Replacement Lamp (≤4ft)</v>
      </c>
      <c r="F270" s="241" t="str">
        <f>INDEX('VDSM MAPPING'!E:E,MATCH($D270,'VDSM MAPPING'!$A:$A,0))</f>
        <v>C&amp;I</v>
      </c>
      <c r="G270" s="241" t="str">
        <f>INDEX('VDSM MAPPING'!F:F,MATCH($D270,'VDSM MAPPING'!$A:$A,0))</f>
        <v>C&amp;I Prescriptive</v>
      </c>
      <c r="H270" s="241" t="str">
        <f>INDEX('VDSM MAPPING'!G:G,MATCH($D270,'VDSM MAPPING'!$A:$A,0))</f>
        <v>Lighting</v>
      </c>
      <c r="I270" s="241" t="str">
        <f>INDEX('VDSM MAPPING'!H:H,MATCH($D270,'VDSM MAPPING'!$A:$A,0))</f>
        <v>LED Linear Replacement Lamp (≤4ft)</v>
      </c>
      <c r="J270" s="240">
        <f t="shared" si="65"/>
        <v>1.3746408826732115</v>
      </c>
      <c r="K270" s="240">
        <f t="shared" si="66"/>
        <v>1.1238294291255659</v>
      </c>
      <c r="L270" s="240" t="b">
        <f t="shared" si="67"/>
        <v>0</v>
      </c>
      <c r="M270" s="240" t="b">
        <f t="shared" si="68"/>
        <v>0</v>
      </c>
      <c r="N270" s="204" t="s">
        <v>289</v>
      </c>
      <c r="O270" s="204" t="s">
        <v>2151</v>
      </c>
      <c r="P270" s="350">
        <v>1</v>
      </c>
      <c r="Q270" s="204" t="s">
        <v>2151</v>
      </c>
      <c r="R270" s="204" t="s">
        <v>2150</v>
      </c>
      <c r="S270" s="204" t="s">
        <v>2149</v>
      </c>
      <c r="T270" s="204" t="s">
        <v>2149</v>
      </c>
      <c r="U270" s="204" t="s">
        <v>2149</v>
      </c>
      <c r="V270" s="204" t="s">
        <v>2148</v>
      </c>
      <c r="W270" s="204" t="s">
        <v>329</v>
      </c>
      <c r="X270" s="204" t="s">
        <v>297</v>
      </c>
      <c r="Y270" s="204" t="s">
        <v>397</v>
      </c>
      <c r="Z270" s="204" t="s">
        <v>1017</v>
      </c>
      <c r="AA270" s="204" t="s">
        <v>1016</v>
      </c>
      <c r="AB270" s="204" t="s">
        <v>329</v>
      </c>
      <c r="AC270" s="204" t="s">
        <v>297</v>
      </c>
      <c r="AD270" s="204" t="s">
        <v>848</v>
      </c>
      <c r="AE270" s="204" t="s">
        <v>1015</v>
      </c>
      <c r="AF270" s="204" t="s">
        <v>1014</v>
      </c>
      <c r="AG270" s="204" t="s">
        <v>2129</v>
      </c>
      <c r="AH270" s="204" t="s">
        <v>2147</v>
      </c>
      <c r="AI270" s="204" t="s">
        <v>2127</v>
      </c>
      <c r="AJ270" s="204" t="s">
        <v>2126</v>
      </c>
      <c r="AX270" s="204">
        <v>834</v>
      </c>
      <c r="AY270" s="204">
        <v>0</v>
      </c>
      <c r="AZ270" s="204">
        <v>20.212157000000001</v>
      </c>
      <c r="BB270" s="204">
        <v>94709.873999999996</v>
      </c>
      <c r="BH270" s="204">
        <v>0</v>
      </c>
      <c r="BI270" s="204">
        <v>12434.94</v>
      </c>
      <c r="BJ270" s="204">
        <v>42935</v>
      </c>
      <c r="BK270" s="204">
        <v>42935.671897141197</v>
      </c>
      <c r="BL270" s="204" t="s">
        <v>293</v>
      </c>
      <c r="BM270" s="204" t="s">
        <v>2146</v>
      </c>
      <c r="BN270" s="269">
        <f t="shared" si="69"/>
        <v>113.56099999999999</v>
      </c>
      <c r="BO270" s="269">
        <f t="shared" si="70"/>
        <v>14.91</v>
      </c>
      <c r="BP270" s="269">
        <f>INDEX('App Data Outliers'!$M:$M,MATCH($E270,'App Data Outliers'!$A:$A,0))</f>
        <v>71.928403166606657</v>
      </c>
      <c r="BQ270" s="269">
        <f>INDEX('App Data Outliers'!$N:$N,MATCH($E270,'App Data Outliers'!$A:$A,0))</f>
        <v>30.28616226838243</v>
      </c>
      <c r="BR270" s="269">
        <f>INDEX('App Data Outliers'!$S:$S,MATCH($E270,'App Data Outliers'!$A:$A,0))</f>
        <v>10.421419234256929</v>
      </c>
      <c r="BS270" s="269">
        <f>INDEX('App Data Outliers'!$T:$T,MATCH($E270,'App Data Outliers'!$A:$A,0))</f>
        <v>3.9940053618595535</v>
      </c>
    </row>
    <row r="271" spans="1:71" s="204" customFormat="1" hidden="1">
      <c r="A271" s="241">
        <v>267</v>
      </c>
      <c r="B271" s="241" t="str">
        <f t="shared" si="61"/>
        <v>Non-Residential - BHPSD - C/I Prescriptive Rebate</v>
      </c>
      <c r="C271" s="241" t="b">
        <f t="shared" si="62"/>
        <v>1</v>
      </c>
      <c r="D271" s="241" t="str">
        <f t="shared" si="63"/>
        <v>Non-Residential - BHPSD - C/I Prescriptive Rebate_C&amp;I Prescriptive Rebate :- C&amp;I Lighting :- Customer Incentives_LED Fixtures Exterior &amp; Garage - 60W to 150W</v>
      </c>
      <c r="E271" s="241" t="str">
        <f t="shared" si="64"/>
        <v>C&amp;I_C&amp;I Prescriptive_Lighting_LED Parking Garage/Canopy (≥75W)</v>
      </c>
      <c r="F271" s="241" t="str">
        <f>INDEX('VDSM MAPPING'!E:E,MATCH($D271,'VDSM MAPPING'!$A:$A,0))</f>
        <v>C&amp;I</v>
      </c>
      <c r="G271" s="241" t="str">
        <f>INDEX('VDSM MAPPING'!F:F,MATCH($D271,'VDSM MAPPING'!$A:$A,0))</f>
        <v>C&amp;I Prescriptive</v>
      </c>
      <c r="H271" s="241" t="str">
        <f>INDEX('VDSM MAPPING'!G:G,MATCH($D271,'VDSM MAPPING'!$A:$A,0))</f>
        <v>Lighting</v>
      </c>
      <c r="I271" s="241" t="str">
        <f>INDEX('VDSM MAPPING'!H:H,MATCH($D271,'VDSM MAPPING'!$A:$A,0))</f>
        <v>LED Parking Garage/Canopy (≥75W)</v>
      </c>
      <c r="J271" s="240">
        <f t="shared" si="65"/>
        <v>-0.11286531336220673</v>
      </c>
      <c r="K271" s="240">
        <f t="shared" si="66"/>
        <v>-4.8057188404622845E-3</v>
      </c>
      <c r="L271" s="240" t="b">
        <f t="shared" si="67"/>
        <v>0</v>
      </c>
      <c r="M271" s="240" t="b">
        <f t="shared" si="68"/>
        <v>0</v>
      </c>
      <c r="N271" s="204" t="s">
        <v>289</v>
      </c>
      <c r="O271" s="204" t="s">
        <v>2143</v>
      </c>
      <c r="P271" s="350">
        <v>1</v>
      </c>
      <c r="Q271" s="204" t="s">
        <v>2143</v>
      </c>
      <c r="R271" s="204" t="s">
        <v>2142</v>
      </c>
      <c r="S271" s="204" t="s">
        <v>2141</v>
      </c>
      <c r="T271" s="204" t="s">
        <v>2141</v>
      </c>
      <c r="U271" s="204" t="s">
        <v>2141</v>
      </c>
      <c r="V271" s="204" t="s">
        <v>2140</v>
      </c>
      <c r="W271" s="204" t="s">
        <v>329</v>
      </c>
      <c r="X271" s="204" t="s">
        <v>297</v>
      </c>
      <c r="Y271" s="204" t="s">
        <v>397</v>
      </c>
      <c r="Z271" s="204" t="s">
        <v>1017</v>
      </c>
      <c r="AA271" s="204" t="s">
        <v>1016</v>
      </c>
      <c r="AB271" s="204" t="s">
        <v>329</v>
      </c>
      <c r="AC271" s="204" t="s">
        <v>297</v>
      </c>
      <c r="AD271" s="204" t="s">
        <v>848</v>
      </c>
      <c r="AE271" s="204" t="s">
        <v>1015</v>
      </c>
      <c r="AF271" s="204" t="s">
        <v>1014</v>
      </c>
      <c r="AG271" s="204" t="s">
        <v>2129</v>
      </c>
      <c r="AH271" s="204" t="s">
        <v>2139</v>
      </c>
      <c r="AI271" s="204" t="s">
        <v>2127</v>
      </c>
      <c r="AJ271" s="204" t="s">
        <v>2126</v>
      </c>
      <c r="AX271" s="204">
        <v>10</v>
      </c>
      <c r="AY271" s="204">
        <v>0</v>
      </c>
      <c r="AZ271" s="204">
        <v>2.4699710000000001</v>
      </c>
      <c r="BB271" s="204">
        <v>11573.79</v>
      </c>
      <c r="BH271" s="204">
        <v>0</v>
      </c>
      <c r="BI271" s="204">
        <v>1000</v>
      </c>
      <c r="BJ271" s="204">
        <v>42935</v>
      </c>
      <c r="BK271" s="204">
        <v>42935.777491319401</v>
      </c>
      <c r="BL271" s="204" t="s">
        <v>293</v>
      </c>
      <c r="BM271" s="204" t="s">
        <v>2138</v>
      </c>
      <c r="BN271" s="269">
        <f t="shared" si="69"/>
        <v>1157.3790000000001</v>
      </c>
      <c r="BO271" s="269">
        <f t="shared" si="70"/>
        <v>100</v>
      </c>
      <c r="BP271" s="269">
        <f>INDEX('App Data Outliers'!$M:$M,MATCH($E271,'App Data Outliers'!$A:$A,0))</f>
        <v>1175.7261559139786</v>
      </c>
      <c r="BQ271" s="269">
        <f>INDEX('App Data Outliers'!$N:$N,MATCH($E271,'App Data Outliers'!$A:$A,0))</f>
        <v>162.55796725694501</v>
      </c>
      <c r="BR271" s="269">
        <f>INDEX('App Data Outliers'!$S:$S,MATCH($E271,'App Data Outliers'!$A:$A,0))</f>
        <v>100.15639784946237</v>
      </c>
      <c r="BS271" s="269">
        <f>INDEX('App Data Outliers'!$T:$T,MATCH($E271,'App Data Outliers'!$A:$A,0))</f>
        <v>32.544111433560438</v>
      </c>
    </row>
    <row r="272" spans="1:71" s="204" customFormat="1" hidden="1">
      <c r="A272" s="241">
        <v>268</v>
      </c>
      <c r="B272" s="241" t="str">
        <f t="shared" si="61"/>
        <v>Non-Residential - BHPSD - C/I Prescriptive Rebate</v>
      </c>
      <c r="C272" s="241" t="b">
        <f t="shared" si="62"/>
        <v>1</v>
      </c>
      <c r="D272" s="241" t="str">
        <f t="shared" si="63"/>
        <v>Non-Residential - BHPSD - C/I Prescriptive Rebate_C&amp;I Prescriptive Rebate :- C&amp;I Lighting :- Customer Incentives_LED Fixtures Exterior &amp; Garage - 25W to 60W</v>
      </c>
      <c r="E272" s="241" t="str">
        <f t="shared" si="64"/>
        <v>C&amp;I_C&amp;I Prescriptive_Lighting_LED Parking Garage/Canopy (30-75W)</v>
      </c>
      <c r="F272" s="241" t="str">
        <f>INDEX('VDSM MAPPING'!E:E,MATCH($D272,'VDSM MAPPING'!$A:$A,0))</f>
        <v>C&amp;I</v>
      </c>
      <c r="G272" s="241" t="str">
        <f>INDEX('VDSM MAPPING'!F:F,MATCH($D272,'VDSM MAPPING'!$A:$A,0))</f>
        <v>C&amp;I Prescriptive</v>
      </c>
      <c r="H272" s="241" t="str">
        <f>INDEX('VDSM MAPPING'!G:G,MATCH($D272,'VDSM MAPPING'!$A:$A,0))</f>
        <v>Lighting</v>
      </c>
      <c r="I272" s="241" t="str">
        <f>INDEX('VDSM MAPPING'!H:H,MATCH($D272,'VDSM MAPPING'!$A:$A,0))</f>
        <v>LED Parking Garage/Canopy (30-75W)</v>
      </c>
      <c r="J272" s="240">
        <f t="shared" si="65"/>
        <v>0.76115918188076592</v>
      </c>
      <c r="K272" s="240">
        <f t="shared" si="66"/>
        <v>0.74402665660424805</v>
      </c>
      <c r="L272" s="240" t="b">
        <f t="shared" si="67"/>
        <v>0</v>
      </c>
      <c r="M272" s="240" t="b">
        <f t="shared" si="68"/>
        <v>0</v>
      </c>
      <c r="N272" s="204" t="s">
        <v>289</v>
      </c>
      <c r="O272" s="204" t="s">
        <v>2143</v>
      </c>
      <c r="P272" s="350">
        <v>0</v>
      </c>
      <c r="Q272" s="204" t="s">
        <v>2143</v>
      </c>
      <c r="R272" s="204" t="s">
        <v>2142</v>
      </c>
      <c r="S272" s="204" t="s">
        <v>2141</v>
      </c>
      <c r="T272" s="204" t="s">
        <v>2141</v>
      </c>
      <c r="U272" s="204" t="s">
        <v>2141</v>
      </c>
      <c r="V272" s="204" t="s">
        <v>2140</v>
      </c>
      <c r="W272" s="204" t="s">
        <v>329</v>
      </c>
      <c r="X272" s="204" t="s">
        <v>297</v>
      </c>
      <c r="Y272" s="204" t="s">
        <v>397</v>
      </c>
      <c r="Z272" s="204" t="s">
        <v>1017</v>
      </c>
      <c r="AA272" s="204" t="s">
        <v>1016</v>
      </c>
      <c r="AB272" s="204" t="s">
        <v>329</v>
      </c>
      <c r="AC272" s="204" t="s">
        <v>297</v>
      </c>
      <c r="AD272" s="204" t="s">
        <v>848</v>
      </c>
      <c r="AE272" s="204" t="s">
        <v>1015</v>
      </c>
      <c r="AF272" s="204" t="s">
        <v>1014</v>
      </c>
      <c r="AG272" s="204" t="s">
        <v>2129</v>
      </c>
      <c r="AH272" s="204" t="s">
        <v>2145</v>
      </c>
      <c r="AI272" s="204" t="s">
        <v>2127</v>
      </c>
      <c r="AJ272" s="204" t="s">
        <v>2126</v>
      </c>
      <c r="AX272" s="204">
        <v>2</v>
      </c>
      <c r="AY272" s="204">
        <v>0</v>
      </c>
      <c r="AZ272" s="204">
        <v>0.26335599999999998</v>
      </c>
      <c r="BB272" s="204">
        <v>1234.0319999999999</v>
      </c>
      <c r="BH272" s="204">
        <v>0</v>
      </c>
      <c r="BI272" s="204">
        <v>150</v>
      </c>
      <c r="BJ272" s="204">
        <v>42935</v>
      </c>
      <c r="BK272" s="204">
        <v>42935.777491319401</v>
      </c>
      <c r="BL272" s="204" t="s">
        <v>293</v>
      </c>
      <c r="BM272" s="204" t="s">
        <v>2144</v>
      </c>
      <c r="BN272" s="269">
        <f t="shared" si="69"/>
        <v>617.01599999999996</v>
      </c>
      <c r="BO272" s="269">
        <f t="shared" si="70"/>
        <v>75</v>
      </c>
      <c r="BP272" s="269">
        <f>INDEX('App Data Outliers'!$M:$M,MATCH($E272,'App Data Outliers'!$A:$A,0))</f>
        <v>540.38278358208959</v>
      </c>
      <c r="BQ272" s="269">
        <f>INDEX('App Data Outliers'!$N:$N,MATCH($E272,'App Data Outliers'!$A:$A,0))</f>
        <v>100.67961898397597</v>
      </c>
      <c r="BR272" s="269">
        <f>INDEX('App Data Outliers'!$S:$S,MATCH($E272,'App Data Outliers'!$A:$A,0))</f>
        <v>63.736940298507463</v>
      </c>
      <c r="BS272" s="269">
        <f>INDEX('App Data Outliers'!$T:$T,MATCH($E272,'App Data Outliers'!$A:$A,0))</f>
        <v>15.137978729011348</v>
      </c>
    </row>
    <row r="273" spans="1:71" s="204" customFormat="1" hidden="1">
      <c r="A273" s="241">
        <v>269</v>
      </c>
      <c r="B273" s="241" t="str">
        <f t="shared" si="61"/>
        <v>Non-Residential - BHPSD - C/I Prescriptive Rebate</v>
      </c>
      <c r="C273" s="241" t="b">
        <f t="shared" si="62"/>
        <v>1</v>
      </c>
      <c r="D273" s="241" t="str">
        <f t="shared" si="63"/>
        <v>Non-Residential - BHPSD - C/I Prescriptive Rebate_C&amp;I Prescriptive Rebate :- C&amp;I Lighting :- Customer Incentives_Energy Star LED Lamps - 5W to 10W</v>
      </c>
      <c r="E273" s="241" t="str">
        <f t="shared" si="64"/>
        <v>C&amp;I_C&amp;I Prescriptive_Lighting_Energy Star LED Lamp (5-10W)</v>
      </c>
      <c r="F273" s="241" t="str">
        <f>INDEX('VDSM MAPPING'!E:E,MATCH($D273,'VDSM MAPPING'!$A:$A,0))</f>
        <v>C&amp;I</v>
      </c>
      <c r="G273" s="241" t="str">
        <f>INDEX('VDSM MAPPING'!F:F,MATCH($D273,'VDSM MAPPING'!$A:$A,0))</f>
        <v>C&amp;I Prescriptive</v>
      </c>
      <c r="H273" s="241" t="str">
        <f>INDEX('VDSM MAPPING'!G:G,MATCH($D273,'VDSM MAPPING'!$A:$A,0))</f>
        <v>Lighting</v>
      </c>
      <c r="I273" s="241" t="str">
        <f>INDEX('VDSM MAPPING'!H:H,MATCH($D273,'VDSM MAPPING'!$A:$A,0))</f>
        <v>Energy Star LED Lamp (5-10W)</v>
      </c>
      <c r="J273" s="240">
        <f t="shared" si="65"/>
        <v>-0.46455080030631873</v>
      </c>
      <c r="K273" s="240">
        <f t="shared" si="66"/>
        <v>-0.90069292190364869</v>
      </c>
      <c r="L273" s="240" t="b">
        <f t="shared" si="67"/>
        <v>0</v>
      </c>
      <c r="M273" s="240" t="b">
        <f t="shared" si="68"/>
        <v>0</v>
      </c>
      <c r="N273" s="204" t="s">
        <v>289</v>
      </c>
      <c r="O273" s="204" t="s">
        <v>2136</v>
      </c>
      <c r="P273" s="350">
        <v>1</v>
      </c>
      <c r="Q273" s="204" t="s">
        <v>2136</v>
      </c>
      <c r="R273" s="204" t="s">
        <v>2135</v>
      </c>
      <c r="S273" s="204" t="s">
        <v>2134</v>
      </c>
      <c r="T273" s="204" t="s">
        <v>2134</v>
      </c>
      <c r="U273" s="204" t="s">
        <v>2134</v>
      </c>
      <c r="V273" s="204" t="s">
        <v>2133</v>
      </c>
      <c r="W273" s="204" t="s">
        <v>329</v>
      </c>
      <c r="X273" s="204" t="s">
        <v>297</v>
      </c>
      <c r="Y273" s="204" t="s">
        <v>397</v>
      </c>
      <c r="Z273" s="204" t="s">
        <v>2132</v>
      </c>
      <c r="AA273" s="204" t="s">
        <v>2131</v>
      </c>
      <c r="AB273" s="204" t="s">
        <v>329</v>
      </c>
      <c r="AC273" s="204" t="s">
        <v>297</v>
      </c>
      <c r="AD273" s="204" t="s">
        <v>599</v>
      </c>
      <c r="AE273" s="204" t="s">
        <v>2130</v>
      </c>
      <c r="AG273" s="204" t="s">
        <v>2129</v>
      </c>
      <c r="AH273" s="204" t="s">
        <v>2128</v>
      </c>
      <c r="AI273" s="204" t="s">
        <v>2127</v>
      </c>
      <c r="AJ273" s="204" t="s">
        <v>2126</v>
      </c>
      <c r="AX273" s="204">
        <v>18</v>
      </c>
      <c r="AY273" s="204">
        <v>0</v>
      </c>
      <c r="AZ273" s="204">
        <v>0.43623400000000001</v>
      </c>
      <c r="BB273" s="204">
        <v>2044.098</v>
      </c>
      <c r="BH273" s="204">
        <v>0</v>
      </c>
      <c r="BI273" s="204">
        <v>53.64</v>
      </c>
      <c r="BJ273" s="204">
        <v>42940</v>
      </c>
      <c r="BK273" s="204">
        <v>42940.5389762384</v>
      </c>
      <c r="BL273" s="204" t="s">
        <v>293</v>
      </c>
      <c r="BM273" s="204" t="s">
        <v>2125</v>
      </c>
      <c r="BN273" s="269">
        <f t="shared" si="69"/>
        <v>113.56099999999999</v>
      </c>
      <c r="BO273" s="269">
        <f t="shared" si="70"/>
        <v>2.98</v>
      </c>
      <c r="BP273" s="269">
        <f>INDEX('App Data Outliers'!$M:$M,MATCH($E273,'App Data Outliers'!$A:$A,0))</f>
        <v>124.22266552020636</v>
      </c>
      <c r="BQ273" s="269">
        <f>INDEX('App Data Outliers'!$N:$N,MATCH($E273,'App Data Outliers'!$A:$A,0))</f>
        <v>22.950483592270654</v>
      </c>
      <c r="BR273" s="269">
        <f>INDEX('App Data Outliers'!$S:$S,MATCH($E273,'App Data Outliers'!$A:$A,0))</f>
        <v>4.8732072914875317</v>
      </c>
      <c r="BS273" s="269">
        <f>INDEX('App Data Outliers'!$T:$T,MATCH($E273,'App Data Outliers'!$A:$A,0))</f>
        <v>2.1019453416888925</v>
      </c>
    </row>
    <row r="274" spans="1:71" s="204" customFormat="1" hidden="1">
      <c r="A274" s="241">
        <v>270</v>
      </c>
      <c r="B274" s="241" t="str">
        <f t="shared" si="61"/>
        <v>Non-Residential - BHPSD - C/I Prescriptive Rebate</v>
      </c>
      <c r="C274" s="241" t="b">
        <f t="shared" si="62"/>
        <v>1</v>
      </c>
      <c r="D274" s="241" t="str">
        <f t="shared" si="63"/>
        <v>Non-Residential - BHPSD - C/I Prescriptive Rebate_C&amp;I Prescriptive Rebate :- C&amp;I Lighting :- Customer Incentives_Energy Star LED Lamps - 5W to 10W</v>
      </c>
      <c r="E274" s="241" t="str">
        <f t="shared" si="64"/>
        <v>C&amp;I_C&amp;I Prescriptive_Lighting_Energy Star LED Lamp (5-10W)</v>
      </c>
      <c r="F274" s="241" t="str">
        <f>INDEX('VDSM MAPPING'!E:E,MATCH($D274,'VDSM MAPPING'!$A:$A,0))</f>
        <v>C&amp;I</v>
      </c>
      <c r="G274" s="241" t="str">
        <f>INDEX('VDSM MAPPING'!F:F,MATCH($D274,'VDSM MAPPING'!$A:$A,0))</f>
        <v>C&amp;I Prescriptive</v>
      </c>
      <c r="H274" s="241" t="str">
        <f>INDEX('VDSM MAPPING'!G:G,MATCH($D274,'VDSM MAPPING'!$A:$A,0))</f>
        <v>Lighting</v>
      </c>
      <c r="I274" s="241" t="str">
        <f>INDEX('VDSM MAPPING'!H:H,MATCH($D274,'VDSM MAPPING'!$A:$A,0))</f>
        <v>Energy Star LED Lamp (5-10W)</v>
      </c>
      <c r="J274" s="240">
        <f t="shared" si="65"/>
        <v>-0.46455080030631812</v>
      </c>
      <c r="K274" s="240">
        <f t="shared" si="66"/>
        <v>0.31722647363261447</v>
      </c>
      <c r="L274" s="240" t="b">
        <f t="shared" si="67"/>
        <v>0</v>
      </c>
      <c r="M274" s="240" t="b">
        <f t="shared" si="68"/>
        <v>0</v>
      </c>
      <c r="N274" s="204" t="s">
        <v>289</v>
      </c>
      <c r="O274" s="204" t="s">
        <v>2136</v>
      </c>
      <c r="P274" s="350">
        <v>0</v>
      </c>
      <c r="Q274" s="204" t="s">
        <v>2136</v>
      </c>
      <c r="R274" s="204" t="s">
        <v>2135</v>
      </c>
      <c r="S274" s="204" t="s">
        <v>2134</v>
      </c>
      <c r="T274" s="204" t="s">
        <v>2134</v>
      </c>
      <c r="U274" s="204" t="s">
        <v>2134</v>
      </c>
      <c r="V274" s="204" t="s">
        <v>2133</v>
      </c>
      <c r="W274" s="204" t="s">
        <v>329</v>
      </c>
      <c r="X274" s="204" t="s">
        <v>297</v>
      </c>
      <c r="Y274" s="204" t="s">
        <v>397</v>
      </c>
      <c r="Z274" s="204" t="s">
        <v>2132</v>
      </c>
      <c r="AA274" s="204" t="s">
        <v>2131</v>
      </c>
      <c r="AB274" s="204" t="s">
        <v>329</v>
      </c>
      <c r="AC274" s="204" t="s">
        <v>297</v>
      </c>
      <c r="AD274" s="204" t="s">
        <v>599</v>
      </c>
      <c r="AE274" s="204" t="s">
        <v>2130</v>
      </c>
      <c r="AG274" s="204" t="s">
        <v>2129</v>
      </c>
      <c r="AH274" s="204" t="s">
        <v>2128</v>
      </c>
      <c r="AI274" s="204" t="s">
        <v>2127</v>
      </c>
      <c r="AJ274" s="204" t="s">
        <v>2126</v>
      </c>
      <c r="AX274" s="204">
        <v>32</v>
      </c>
      <c r="AY274" s="204">
        <v>0</v>
      </c>
      <c r="AZ274" s="204">
        <v>0.77552600000000005</v>
      </c>
      <c r="BB274" s="204">
        <v>3633.9520000000002</v>
      </c>
      <c r="BH274" s="204">
        <v>0</v>
      </c>
      <c r="BI274" s="204">
        <v>177.28</v>
      </c>
      <c r="BJ274" s="204">
        <v>42940</v>
      </c>
      <c r="BK274" s="204">
        <v>42940.5389762384</v>
      </c>
      <c r="BL274" s="204" t="s">
        <v>293</v>
      </c>
      <c r="BM274" s="204" t="s">
        <v>2137</v>
      </c>
      <c r="BN274" s="269">
        <f t="shared" si="69"/>
        <v>113.56100000000001</v>
      </c>
      <c r="BO274" s="269">
        <f t="shared" si="70"/>
        <v>5.54</v>
      </c>
      <c r="BP274" s="269">
        <f>INDEX('App Data Outliers'!$M:$M,MATCH($E274,'App Data Outliers'!$A:$A,0))</f>
        <v>124.22266552020636</v>
      </c>
      <c r="BQ274" s="269">
        <f>INDEX('App Data Outliers'!$N:$N,MATCH($E274,'App Data Outliers'!$A:$A,0))</f>
        <v>22.950483592270654</v>
      </c>
      <c r="BR274" s="269">
        <f>INDEX('App Data Outliers'!$S:$S,MATCH($E274,'App Data Outliers'!$A:$A,0))</f>
        <v>4.8732072914875317</v>
      </c>
      <c r="BS274" s="269">
        <f>INDEX('App Data Outliers'!$T:$T,MATCH($E274,'App Data Outliers'!$A:$A,0))</f>
        <v>2.1019453416888925</v>
      </c>
    </row>
    <row r="275" spans="1:71" s="204" customFormat="1" hidden="1">
      <c r="A275" s="241">
        <v>271</v>
      </c>
      <c r="B275" s="241" t="str">
        <f t="shared" si="61"/>
        <v>Residential - BHPSD - Residential Energy Efficiency Rebate</v>
      </c>
      <c r="C275" s="241" t="b">
        <f t="shared" si="62"/>
        <v>0</v>
      </c>
      <c r="D275" s="241" t="str">
        <f t="shared" si="63"/>
        <v>Residential - BHPSD - Residential Energy Efficiency Rebate__</v>
      </c>
      <c r="E275" s="241">
        <f t="shared" si="64"/>
        <v>0</v>
      </c>
      <c r="F275" s="241" t="e">
        <f>INDEX('VDSM MAPPING'!E:E,MATCH($D275,'VDSM MAPPING'!$A:$A,0))</f>
        <v>#N/A</v>
      </c>
      <c r="G275" s="241" t="e">
        <f>INDEX('VDSM MAPPING'!F:F,MATCH($D275,'VDSM MAPPING'!$A:$A,0))</f>
        <v>#N/A</v>
      </c>
      <c r="H275" s="241" t="e">
        <f>INDEX('VDSM MAPPING'!G:G,MATCH($D275,'VDSM MAPPING'!$A:$A,0))</f>
        <v>#N/A</v>
      </c>
      <c r="I275" s="241" t="e">
        <f>INDEX('VDSM MAPPING'!H:H,MATCH($D275,'VDSM MAPPING'!$A:$A,0))</f>
        <v>#N/A</v>
      </c>
      <c r="J275" s="240" t="str">
        <f t="shared" si="65"/>
        <v/>
      </c>
      <c r="K275" s="240" t="str">
        <f t="shared" si="66"/>
        <v/>
      </c>
      <c r="L275" s="240" t="b">
        <f t="shared" si="67"/>
        <v>0</v>
      </c>
      <c r="M275" s="240" t="b">
        <f t="shared" si="68"/>
        <v>0</v>
      </c>
      <c r="N275" s="204" t="s">
        <v>2124</v>
      </c>
      <c r="O275" s="204">
        <v>55</v>
      </c>
      <c r="P275" s="350">
        <v>1</v>
      </c>
      <c r="Q275" s="204" t="s">
        <v>289</v>
      </c>
      <c r="R275" s="204" t="s">
        <v>289</v>
      </c>
      <c r="S275" s="204" t="s">
        <v>289</v>
      </c>
      <c r="T275" s="204" t="s">
        <v>289</v>
      </c>
      <c r="U275" s="204" t="s">
        <v>289</v>
      </c>
      <c r="V275" s="204" t="s">
        <v>289</v>
      </c>
      <c r="W275" s="204" t="s">
        <v>289</v>
      </c>
      <c r="X275" s="204" t="s">
        <v>289</v>
      </c>
      <c r="Y275" s="204" t="s">
        <v>289</v>
      </c>
      <c r="Z275" s="204" t="s">
        <v>289</v>
      </c>
      <c r="AA275" s="204" t="s">
        <v>289</v>
      </c>
      <c r="AB275" s="204" t="s">
        <v>289</v>
      </c>
      <c r="AC275" s="204" t="s">
        <v>289</v>
      </c>
      <c r="AD275" s="204" t="s">
        <v>289</v>
      </c>
      <c r="AE275" s="204" t="s">
        <v>289</v>
      </c>
      <c r="AF275" s="204" t="s">
        <v>289</v>
      </c>
      <c r="AG275" s="204" t="s">
        <v>289</v>
      </c>
      <c r="AH275" s="204" t="s">
        <v>289</v>
      </c>
      <c r="AI275" s="204" t="s">
        <v>289</v>
      </c>
      <c r="AJ275" s="204" t="s">
        <v>289</v>
      </c>
      <c r="AK275" s="204" t="s">
        <v>289</v>
      </c>
      <c r="AL275" s="204" t="s">
        <v>289</v>
      </c>
      <c r="AM275" s="204" t="s">
        <v>289</v>
      </c>
      <c r="AN275" s="204" t="s">
        <v>289</v>
      </c>
      <c r="AO275" s="204" t="s">
        <v>289</v>
      </c>
      <c r="AP275" s="204" t="s">
        <v>289</v>
      </c>
      <c r="AQ275" s="204" t="s">
        <v>289</v>
      </c>
      <c r="AR275" s="204" t="s">
        <v>289</v>
      </c>
      <c r="AS275" s="204" t="s">
        <v>289</v>
      </c>
      <c r="AT275" s="204" t="s">
        <v>289</v>
      </c>
      <c r="AU275" s="204" t="s">
        <v>289</v>
      </c>
      <c r="AV275" s="204" t="s">
        <v>289</v>
      </c>
      <c r="AW275" s="204" t="s">
        <v>289</v>
      </c>
      <c r="AX275" s="204">
        <v>71</v>
      </c>
      <c r="AY275" s="204">
        <v>0</v>
      </c>
      <c r="AZ275" s="204">
        <v>42.0242</v>
      </c>
      <c r="BB275" s="204">
        <v>111458.90283000001</v>
      </c>
      <c r="BH275" s="204">
        <v>0</v>
      </c>
      <c r="BI275" s="204">
        <v>13808.75</v>
      </c>
      <c r="BJ275" s="204" t="s">
        <v>289</v>
      </c>
      <c r="BM275" s="204" t="s">
        <v>289</v>
      </c>
      <c r="BN275" s="269">
        <f t="shared" si="69"/>
        <v>1569.843701830986</v>
      </c>
      <c r="BO275" s="269">
        <f t="shared" si="70"/>
        <v>194.4894366197183</v>
      </c>
      <c r="BP275" s="269" t="e">
        <f>INDEX('App Data Outliers'!$M:$M,MATCH($E275,'App Data Outliers'!$A:$A,0))</f>
        <v>#N/A</v>
      </c>
      <c r="BQ275" s="269" t="e">
        <f>INDEX('App Data Outliers'!$N:$N,MATCH($E275,'App Data Outliers'!$A:$A,0))</f>
        <v>#N/A</v>
      </c>
      <c r="BR275" s="269" t="e">
        <f>INDEX('App Data Outliers'!$S:$S,MATCH($E275,'App Data Outliers'!$A:$A,0))</f>
        <v>#N/A</v>
      </c>
      <c r="BS275" s="269" t="e">
        <f>INDEX('App Data Outliers'!$T:$T,MATCH($E275,'App Data Outliers'!$A:$A,0))</f>
        <v>#N/A</v>
      </c>
    </row>
    <row r="276" spans="1:71" s="204" customFormat="1" hidden="1">
      <c r="A276" s="241">
        <v>272</v>
      </c>
      <c r="B276" s="241" t="str">
        <f t="shared" si="61"/>
        <v>Residential - BHPSD - Residential Energy Efficiency Rebate</v>
      </c>
      <c r="C276" s="241" t="b">
        <f t="shared" si="62"/>
        <v>1</v>
      </c>
      <c r="D276" s="241" t="str">
        <f t="shared" si="63"/>
        <v>Residential - BHPSD - Residential Energy Efficiency Rebate_Residential Heat Pumps :- Residential Heat Pumps - Air Source Heat Pumps :- Customer Incentives_Air Source Heat Pump - SEER &gt;= 15, EER &gt;= 12.5, HSPF &gt;= 8.5</v>
      </c>
      <c r="E276" s="241" t="str">
        <f t="shared" si="64"/>
        <v>Residential_High Efficiency HVAC_HVAC_Heat Pump SEER 15</v>
      </c>
      <c r="F276" s="241" t="str">
        <f>INDEX('VDSM MAPPING'!E:E,MATCH($D276,'VDSM MAPPING'!$A:$A,0))</f>
        <v>Residential</v>
      </c>
      <c r="G276" s="241" t="str">
        <f>INDEX('VDSM MAPPING'!F:F,MATCH($D276,'VDSM MAPPING'!$A:$A,0))</f>
        <v>High Efficiency HVAC</v>
      </c>
      <c r="H276" s="241" t="str">
        <f>INDEX('VDSM MAPPING'!G:G,MATCH($D276,'VDSM MAPPING'!$A:$A,0))</f>
        <v>HVAC</v>
      </c>
      <c r="I276" s="241" t="str">
        <f>INDEX('VDSM MAPPING'!H:H,MATCH($D276,'VDSM MAPPING'!$A:$A,0))</f>
        <v>Heat Pump SEER 15</v>
      </c>
      <c r="J276" s="240">
        <f t="shared" si="65"/>
        <v>-0.40717293650502445</v>
      </c>
      <c r="K276" s="240">
        <f t="shared" si="66"/>
        <v>0.44367825470805689</v>
      </c>
      <c r="L276" s="240" t="b">
        <f t="shared" si="67"/>
        <v>0</v>
      </c>
      <c r="M276" s="240" t="b">
        <f t="shared" si="68"/>
        <v>0</v>
      </c>
      <c r="N276" s="204" t="s">
        <v>289</v>
      </c>
      <c r="O276" s="204" t="s">
        <v>2123</v>
      </c>
      <c r="P276" s="350">
        <v>1</v>
      </c>
      <c r="Q276" s="204" t="s">
        <v>2123</v>
      </c>
      <c r="R276" s="204" t="s">
        <v>2122</v>
      </c>
      <c r="S276" s="204" t="s">
        <v>400</v>
      </c>
      <c r="T276" s="204" t="s">
        <v>2121</v>
      </c>
      <c r="V276" s="204" t="s">
        <v>2120</v>
      </c>
      <c r="W276" s="204" t="s">
        <v>329</v>
      </c>
      <c r="X276" s="204" t="s">
        <v>297</v>
      </c>
      <c r="Y276" s="204" t="s">
        <v>328</v>
      </c>
      <c r="Z276" s="204" t="s">
        <v>2119</v>
      </c>
      <c r="AA276" s="204" t="s">
        <v>2118</v>
      </c>
      <c r="AB276" s="204" t="s">
        <v>329</v>
      </c>
      <c r="AC276" s="204" t="s">
        <v>297</v>
      </c>
      <c r="AD276" s="204" t="s">
        <v>599</v>
      </c>
      <c r="AE276" s="204" t="s">
        <v>2117</v>
      </c>
      <c r="AG276" s="204" t="s">
        <v>1715</v>
      </c>
      <c r="AH276" s="204" t="s">
        <v>1714</v>
      </c>
      <c r="AV276" s="204" t="s">
        <v>2116</v>
      </c>
      <c r="AX276" s="204">
        <v>1</v>
      </c>
      <c r="AY276" s="204">
        <v>0</v>
      </c>
      <c r="AZ276" s="204">
        <v>0.49299999999999999</v>
      </c>
      <c r="BB276" s="204">
        <v>478.80500000000001</v>
      </c>
      <c r="BH276" s="204">
        <v>0</v>
      </c>
      <c r="BI276" s="204">
        <v>225</v>
      </c>
      <c r="BJ276" s="204">
        <v>42615</v>
      </c>
      <c r="BK276" s="204">
        <v>42615.6955989583</v>
      </c>
      <c r="BL276" s="204" t="s">
        <v>293</v>
      </c>
      <c r="BM276" s="204" t="s">
        <v>2115</v>
      </c>
      <c r="BN276" s="269">
        <f t="shared" si="69"/>
        <v>478.80500000000001</v>
      </c>
      <c r="BO276" s="269">
        <f t="shared" si="70"/>
        <v>225</v>
      </c>
      <c r="BP276" s="269">
        <f>INDEX('App Data Outliers'!$M:$M,MATCH($E276,'App Data Outliers'!$A:$A,0))</f>
        <v>901.38850000000002</v>
      </c>
      <c r="BQ276" s="269">
        <f>INDEX('App Data Outliers'!$N:$N,MATCH($E276,'App Data Outliers'!$A:$A,0))</f>
        <v>1037.8477106736327</v>
      </c>
      <c r="BR276" s="269">
        <f>INDEX('App Data Outliers'!$S:$S,MATCH($E276,'App Data Outliers'!$A:$A,0))</f>
        <v>201.5625</v>
      </c>
      <c r="BS276" s="269">
        <f>INDEX('App Data Outliers'!$T:$T,MATCH($E276,'App Data Outliers'!$A:$A,0))</f>
        <v>52.825442201178021</v>
      </c>
    </row>
    <row r="277" spans="1:71" s="204" customFormat="1" hidden="1">
      <c r="A277" s="241">
        <v>273</v>
      </c>
      <c r="B277" s="241" t="str">
        <f t="shared" si="61"/>
        <v>Residential - BHPSD - Residential Energy Efficiency Rebate</v>
      </c>
      <c r="C277" s="241" t="b">
        <f t="shared" si="62"/>
        <v>1</v>
      </c>
      <c r="D277" s="241" t="str">
        <f t="shared" si="63"/>
        <v>Residential - BHPSD - Residential Energy Efficiency Rebate_Residential Heat Pumps :- Residential Heat Pumps - Air Source Heat Pumps :- Customer Incentives_Air Source Heat Pump - SEER &gt;= 15, EER &gt;= 12.5, HSPF &gt;= 8.5</v>
      </c>
      <c r="E277" s="241" t="str">
        <f t="shared" si="64"/>
        <v>Residential_High Efficiency HVAC_HVAC_Heat Pump SEER 15</v>
      </c>
      <c r="F277" s="241" t="str">
        <f>INDEX('VDSM MAPPING'!E:E,MATCH($D277,'VDSM MAPPING'!$A:$A,0))</f>
        <v>Residential</v>
      </c>
      <c r="G277" s="241" t="str">
        <f>INDEX('VDSM MAPPING'!F:F,MATCH($D277,'VDSM MAPPING'!$A:$A,0))</f>
        <v>High Efficiency HVAC</v>
      </c>
      <c r="H277" s="241" t="str">
        <f>INDEX('VDSM MAPPING'!G:G,MATCH($D277,'VDSM MAPPING'!$A:$A,0))</f>
        <v>HVAC</v>
      </c>
      <c r="I277" s="241" t="str">
        <f>INDEX('VDSM MAPPING'!H:H,MATCH($D277,'VDSM MAPPING'!$A:$A,0))</f>
        <v>Heat Pump SEER 15</v>
      </c>
      <c r="J277" s="240">
        <f t="shared" si="65"/>
        <v>-0.50381717338915977</v>
      </c>
      <c r="K277" s="240">
        <f t="shared" si="66"/>
        <v>-0.97609216035772517</v>
      </c>
      <c r="L277" s="240" t="b">
        <f t="shared" si="67"/>
        <v>0</v>
      </c>
      <c r="M277" s="240" t="b">
        <f t="shared" si="68"/>
        <v>0</v>
      </c>
      <c r="N277" s="204" t="s">
        <v>289</v>
      </c>
      <c r="O277" s="204" t="s">
        <v>2114</v>
      </c>
      <c r="P277" s="350">
        <v>1</v>
      </c>
      <c r="Q277" s="204" t="s">
        <v>2114</v>
      </c>
      <c r="R277" s="204" t="s">
        <v>2113</v>
      </c>
      <c r="S277" s="204" t="s">
        <v>2112</v>
      </c>
      <c r="T277" s="204" t="s">
        <v>1363</v>
      </c>
      <c r="V277" s="204" t="s">
        <v>2111</v>
      </c>
      <c r="W277" s="204" t="s">
        <v>320</v>
      </c>
      <c r="X277" s="204" t="s">
        <v>297</v>
      </c>
      <c r="Y277" s="204" t="s">
        <v>319</v>
      </c>
      <c r="Z277" s="204" t="s">
        <v>1736</v>
      </c>
      <c r="AA277" s="204" t="s">
        <v>1735</v>
      </c>
      <c r="AB277" s="204" t="s">
        <v>320</v>
      </c>
      <c r="AC277" s="204" t="s">
        <v>297</v>
      </c>
      <c r="AD277" s="204" t="s">
        <v>319</v>
      </c>
      <c r="AE277" s="204" t="s">
        <v>1734</v>
      </c>
      <c r="AG277" s="204" t="s">
        <v>1715</v>
      </c>
      <c r="AH277" s="204" t="s">
        <v>1714</v>
      </c>
      <c r="AV277" s="204" t="s">
        <v>2110</v>
      </c>
      <c r="AX277" s="204">
        <v>1</v>
      </c>
      <c r="AY277" s="204">
        <v>0</v>
      </c>
      <c r="AZ277" s="204">
        <v>0.39500000000000002</v>
      </c>
      <c r="BB277" s="204">
        <v>378.50299999999999</v>
      </c>
      <c r="BH277" s="204">
        <v>0</v>
      </c>
      <c r="BI277" s="204">
        <v>150</v>
      </c>
      <c r="BJ277" s="204">
        <v>42615</v>
      </c>
      <c r="BK277" s="204">
        <v>42615.709618865701</v>
      </c>
      <c r="BL277" s="204" t="s">
        <v>293</v>
      </c>
      <c r="BM277" s="204" t="s">
        <v>2109</v>
      </c>
      <c r="BN277" s="269">
        <f t="shared" si="69"/>
        <v>378.50299999999999</v>
      </c>
      <c r="BO277" s="269">
        <f t="shared" si="70"/>
        <v>150</v>
      </c>
      <c r="BP277" s="269">
        <f>INDEX('App Data Outliers'!$M:$M,MATCH($E277,'App Data Outliers'!$A:$A,0))</f>
        <v>901.38850000000002</v>
      </c>
      <c r="BQ277" s="269">
        <f>INDEX('App Data Outliers'!$N:$N,MATCH($E277,'App Data Outliers'!$A:$A,0))</f>
        <v>1037.8477106736327</v>
      </c>
      <c r="BR277" s="269">
        <f>INDEX('App Data Outliers'!$S:$S,MATCH($E277,'App Data Outliers'!$A:$A,0))</f>
        <v>201.5625</v>
      </c>
      <c r="BS277" s="269">
        <f>INDEX('App Data Outliers'!$T:$T,MATCH($E277,'App Data Outliers'!$A:$A,0))</f>
        <v>52.825442201178021</v>
      </c>
    </row>
    <row r="278" spans="1:71" s="204" customFormat="1" hidden="1">
      <c r="A278" s="241">
        <v>274</v>
      </c>
      <c r="B278" s="241" t="str">
        <f t="shared" si="61"/>
        <v>Residential - BHPSD - Residential Energy Efficiency Rebate</v>
      </c>
      <c r="C278" s="241" t="b">
        <f t="shared" si="62"/>
        <v>1</v>
      </c>
      <c r="D278" s="241" t="str">
        <f t="shared" si="63"/>
        <v>Residential - BHPSD - Residential Energy Efficiency Rebate_Residential Heat Pumps :- Residential Mini-Split :- Customer Incentives_Ductless Mini-Split HP SEER &gt;= 19</v>
      </c>
      <c r="E278" s="241" t="str">
        <f t="shared" si="64"/>
        <v>Residential_High Efficiency HVAC_HVAC_Ductless Mini-Split HP SEER ≥19</v>
      </c>
      <c r="F278" s="241" t="str">
        <f>INDEX('VDSM MAPPING'!E:E,MATCH($D278,'VDSM MAPPING'!$A:$A,0))</f>
        <v>Residential</v>
      </c>
      <c r="G278" s="241" t="str">
        <f>INDEX('VDSM MAPPING'!F:F,MATCH($D278,'VDSM MAPPING'!$A:$A,0))</f>
        <v>High Efficiency HVAC</v>
      </c>
      <c r="H278" s="241" t="str">
        <f>INDEX('VDSM MAPPING'!G:G,MATCH($D278,'VDSM MAPPING'!$A:$A,0))</f>
        <v>HVAC</v>
      </c>
      <c r="I278" s="241" t="str">
        <f>INDEX('VDSM MAPPING'!H:H,MATCH($D278,'VDSM MAPPING'!$A:$A,0))</f>
        <v>Ductless Mini-Split HP SEER ≥19</v>
      </c>
      <c r="J278" s="240">
        <f t="shared" si="65"/>
        <v>-0.45001196978249142</v>
      </c>
      <c r="K278" s="240">
        <f t="shared" si="66"/>
        <v>-0.92571866782486023</v>
      </c>
      <c r="L278" s="240" t="b">
        <f t="shared" si="67"/>
        <v>0</v>
      </c>
      <c r="M278" s="240" t="b">
        <f t="shared" si="68"/>
        <v>0</v>
      </c>
      <c r="N278" s="204" t="s">
        <v>289</v>
      </c>
      <c r="O278" s="204" t="s">
        <v>2108</v>
      </c>
      <c r="P278" s="350">
        <v>1</v>
      </c>
      <c r="Q278" s="204" t="s">
        <v>2108</v>
      </c>
      <c r="R278" s="204" t="s">
        <v>2107</v>
      </c>
      <c r="S278" s="204" t="s">
        <v>2106</v>
      </c>
      <c r="T278" s="204" t="s">
        <v>2105</v>
      </c>
      <c r="V278" s="204" t="s">
        <v>2104</v>
      </c>
      <c r="W278" s="204" t="s">
        <v>320</v>
      </c>
      <c r="X278" s="204" t="s">
        <v>297</v>
      </c>
      <c r="Y278" s="204" t="s">
        <v>319</v>
      </c>
      <c r="Z278" s="204" t="s">
        <v>1736</v>
      </c>
      <c r="AA278" s="204" t="s">
        <v>1735</v>
      </c>
      <c r="AB278" s="204" t="s">
        <v>320</v>
      </c>
      <c r="AC278" s="204" t="s">
        <v>297</v>
      </c>
      <c r="AD278" s="204" t="s">
        <v>319</v>
      </c>
      <c r="AE278" s="204" t="s">
        <v>1734</v>
      </c>
      <c r="AG278" s="204" t="s">
        <v>1680</v>
      </c>
      <c r="AH278" s="204" t="s">
        <v>1679</v>
      </c>
      <c r="AO278" s="204" t="s">
        <v>2103</v>
      </c>
      <c r="AX278" s="204">
        <v>1</v>
      </c>
      <c r="AY278" s="204">
        <v>0</v>
      </c>
      <c r="AZ278" s="204">
        <v>0.71599999999999997</v>
      </c>
      <c r="BB278" s="204">
        <v>1987.4390000000001</v>
      </c>
      <c r="BH278" s="204">
        <v>0</v>
      </c>
      <c r="BI278" s="204">
        <v>75</v>
      </c>
      <c r="BJ278" s="204">
        <v>42626</v>
      </c>
      <c r="BK278" s="204">
        <v>42626.780199618101</v>
      </c>
      <c r="BL278" s="204" t="s">
        <v>293</v>
      </c>
      <c r="BM278" s="204" t="s">
        <v>2102</v>
      </c>
      <c r="BN278" s="269">
        <f t="shared" si="69"/>
        <v>1987.4390000000001</v>
      </c>
      <c r="BO278" s="269">
        <f t="shared" si="70"/>
        <v>75</v>
      </c>
      <c r="BP278" s="269">
        <f>INDEX('App Data Outliers'!$M:$M,MATCH($E278,'App Data Outliers'!$A:$A,0))</f>
        <v>2495.8377857142855</v>
      </c>
      <c r="BQ278" s="269">
        <f>INDEX('App Data Outliers'!$N:$N,MATCH($E278,'App Data Outliers'!$A:$A,0))</f>
        <v>1129.7450286933804</v>
      </c>
      <c r="BR278" s="269">
        <f>INDEX('App Data Outliers'!$S:$S,MATCH($E278,'App Data Outliers'!$A:$A,0))</f>
        <v>107.14285714285714</v>
      </c>
      <c r="BS278" s="269">
        <f>INDEX('App Data Outliers'!$T:$T,MATCH($E278,'App Data Outliers'!$A:$A,0))</f>
        <v>34.722057856284209</v>
      </c>
    </row>
    <row r="279" spans="1:71" s="204" customFormat="1" hidden="1">
      <c r="A279" s="241">
        <v>275</v>
      </c>
      <c r="B279" s="241" t="str">
        <f t="shared" si="61"/>
        <v>Residential - BHPSD - Residential Energy Efficiency Rebate</v>
      </c>
      <c r="C279" s="241" t="b">
        <f t="shared" si="62"/>
        <v>1</v>
      </c>
      <c r="D279" s="241" t="str">
        <f t="shared" si="63"/>
        <v>Residential - BHPSD - Residential Energy Efficiency Rebate_Residential Heat Pumps :- Residential Heat Pumps - HP Water Heater :- Customer Incentives_Heat Pump Water Heater</v>
      </c>
      <c r="E279" s="241" t="str">
        <f t="shared" si="64"/>
        <v>Residential_High Efficiency HVAC_Water Heating_Heat Pump Water Heater</v>
      </c>
      <c r="F279" s="241" t="str">
        <f>INDEX('VDSM MAPPING'!E:E,MATCH($D279,'VDSM MAPPING'!$A:$A,0))</f>
        <v>Residential</v>
      </c>
      <c r="G279" s="241" t="str">
        <f>INDEX('VDSM MAPPING'!F:F,MATCH($D279,'VDSM MAPPING'!$A:$A,0))</f>
        <v>High Efficiency HVAC</v>
      </c>
      <c r="H279" s="241" t="str">
        <f>INDEX('VDSM MAPPING'!G:G,MATCH($D279,'VDSM MAPPING'!$A:$A,0))</f>
        <v>Water Heating</v>
      </c>
      <c r="I279" s="241" t="str">
        <f>INDEX('VDSM MAPPING'!H:H,MATCH($D279,'VDSM MAPPING'!$A:$A,0))</f>
        <v>Heat Pump Water Heater</v>
      </c>
      <c r="J279" s="240">
        <f t="shared" si="65"/>
        <v>-0.45121016150768639</v>
      </c>
      <c r="K279" s="240">
        <f t="shared" si="66"/>
        <v>-0.40824829046386363</v>
      </c>
      <c r="L279" s="240" t="b">
        <f t="shared" si="67"/>
        <v>0</v>
      </c>
      <c r="M279" s="240" t="b">
        <f t="shared" si="68"/>
        <v>0</v>
      </c>
      <c r="N279" s="204" t="s">
        <v>289</v>
      </c>
      <c r="O279" s="204" t="s">
        <v>2101</v>
      </c>
      <c r="P279" s="350">
        <v>1</v>
      </c>
      <c r="Q279" s="204" t="s">
        <v>2101</v>
      </c>
      <c r="R279" s="204" t="s">
        <v>491</v>
      </c>
      <c r="S279" s="204" t="s">
        <v>490</v>
      </c>
      <c r="T279" s="204" t="s">
        <v>489</v>
      </c>
      <c r="V279" s="204" t="s">
        <v>488</v>
      </c>
      <c r="W279" s="204" t="s">
        <v>413</v>
      </c>
      <c r="X279" s="204" t="s">
        <v>297</v>
      </c>
      <c r="Y279" s="204" t="s">
        <v>412</v>
      </c>
      <c r="Z279" s="204" t="s">
        <v>1788</v>
      </c>
      <c r="AA279" s="204" t="s">
        <v>958</v>
      </c>
      <c r="AB279" s="204" t="s">
        <v>329</v>
      </c>
      <c r="AC279" s="204" t="s">
        <v>297</v>
      </c>
      <c r="AD279" s="204" t="s">
        <v>397</v>
      </c>
      <c r="AE279" s="204" t="s">
        <v>957</v>
      </c>
      <c r="AG279" s="204" t="s">
        <v>1698</v>
      </c>
      <c r="AH279" s="204" t="s">
        <v>212</v>
      </c>
      <c r="AV279" s="204" t="s">
        <v>2100</v>
      </c>
      <c r="AX279" s="204">
        <v>1</v>
      </c>
      <c r="AY279" s="204">
        <v>0</v>
      </c>
      <c r="AZ279" s="204">
        <v>0.13600000000000001</v>
      </c>
      <c r="BB279" s="204">
        <v>2877</v>
      </c>
      <c r="BH279" s="204">
        <v>0</v>
      </c>
      <c r="BI279" s="204">
        <v>250</v>
      </c>
      <c r="BJ279" s="204">
        <v>42634</v>
      </c>
      <c r="BK279" s="204">
        <v>42634.7605497685</v>
      </c>
      <c r="BL279" s="204" t="s">
        <v>293</v>
      </c>
      <c r="BM279" s="204" t="s">
        <v>2099</v>
      </c>
      <c r="BN279" s="269">
        <f t="shared" si="69"/>
        <v>2877</v>
      </c>
      <c r="BO279" s="269">
        <f t="shared" si="70"/>
        <v>250</v>
      </c>
      <c r="BP279" s="269">
        <f>INDEX('App Data Outliers'!$M:$M,MATCH($E279,'App Data Outliers'!$A:$A,0))</f>
        <v>3035.2857142857142</v>
      </c>
      <c r="BQ279" s="269">
        <f>INDEX('App Data Outliers'!$N:$N,MATCH($E279,'App Data Outliers'!$A:$A,0))</f>
        <v>350.80263652931455</v>
      </c>
      <c r="BR279" s="269">
        <f>INDEX('App Data Outliers'!$S:$S,MATCH($E279,'App Data Outliers'!$A:$A,0))</f>
        <v>261.42857142857144</v>
      </c>
      <c r="BS279" s="269">
        <f>INDEX('App Data Outliers'!$T:$T,MATCH($E279,'App Data Outliers'!$A:$A,0))</f>
        <v>27.994168488950606</v>
      </c>
    </row>
    <row r="280" spans="1:71" s="204" customFormat="1" hidden="1">
      <c r="A280" s="241">
        <v>276</v>
      </c>
      <c r="B280" s="241" t="str">
        <f t="shared" si="61"/>
        <v>Residential - BHPSD - Residential Energy Efficiency Rebate</v>
      </c>
      <c r="C280" s="241" t="b">
        <f t="shared" si="62"/>
        <v>1</v>
      </c>
      <c r="D280" s="241" t="str">
        <f t="shared" si="63"/>
        <v>Residential - BHPSD - Residential Energy Efficiency Rebate_Residential Heat Pumps :- Residential Heat Pumps - Air Source Heat Pumps :- Customer Incentives_Air Source Heat Pump - SEER &gt;= 15, EER &gt;= 12.5, HSPF &gt;= 8.5</v>
      </c>
      <c r="E280" s="241" t="str">
        <f t="shared" si="64"/>
        <v>Residential_High Efficiency HVAC_HVAC_Heat Pump SEER 15</v>
      </c>
      <c r="F280" s="241" t="str">
        <f>INDEX('VDSM MAPPING'!E:E,MATCH($D280,'VDSM MAPPING'!$A:$A,0))</f>
        <v>Residential</v>
      </c>
      <c r="G280" s="241" t="str">
        <f>INDEX('VDSM MAPPING'!F:F,MATCH($D280,'VDSM MAPPING'!$A:$A,0))</f>
        <v>High Efficiency HVAC</v>
      </c>
      <c r="H280" s="241" t="str">
        <f>INDEX('VDSM MAPPING'!G:G,MATCH($D280,'VDSM MAPPING'!$A:$A,0))</f>
        <v>HVAC</v>
      </c>
      <c r="I280" s="241" t="str">
        <f>INDEX('VDSM MAPPING'!H:H,MATCH($D280,'VDSM MAPPING'!$A:$A,0))</f>
        <v>Heat Pump SEER 15</v>
      </c>
      <c r="J280" s="240">
        <f t="shared" si="65"/>
        <v>1.1884691629751747E-2</v>
      </c>
      <c r="K280" s="240">
        <f t="shared" si="66"/>
        <v>-1.6859773678906163</v>
      </c>
      <c r="L280" s="240" t="b">
        <f t="shared" si="67"/>
        <v>0</v>
      </c>
      <c r="M280" s="240" t="b">
        <f t="shared" si="68"/>
        <v>0</v>
      </c>
      <c r="N280" s="204" t="s">
        <v>289</v>
      </c>
      <c r="O280" s="204" t="s">
        <v>2098</v>
      </c>
      <c r="P280" s="350">
        <v>1</v>
      </c>
      <c r="Q280" s="204" t="s">
        <v>2098</v>
      </c>
      <c r="R280" s="204" t="s">
        <v>2097</v>
      </c>
      <c r="S280" s="204" t="s">
        <v>2096</v>
      </c>
      <c r="T280" s="204" t="s">
        <v>2095</v>
      </c>
      <c r="V280" s="204" t="s">
        <v>2094</v>
      </c>
      <c r="W280" s="204" t="s">
        <v>298</v>
      </c>
      <c r="X280" s="204" t="s">
        <v>297</v>
      </c>
      <c r="Y280" s="204" t="s">
        <v>296</v>
      </c>
      <c r="Z280" s="204" t="s">
        <v>2093</v>
      </c>
      <c r="AA280" s="204" t="s">
        <v>2092</v>
      </c>
      <c r="AB280" s="204" t="s">
        <v>329</v>
      </c>
      <c r="AC280" s="204" t="s">
        <v>297</v>
      </c>
      <c r="AD280" s="204" t="s">
        <v>599</v>
      </c>
      <c r="AE280" s="204" t="s">
        <v>2091</v>
      </c>
      <c r="AF280" s="204" t="s">
        <v>2090</v>
      </c>
      <c r="AG280" s="204" t="s">
        <v>1715</v>
      </c>
      <c r="AH280" s="204" t="s">
        <v>1714</v>
      </c>
      <c r="AV280" s="204" t="s">
        <v>2089</v>
      </c>
      <c r="AX280" s="204">
        <v>1</v>
      </c>
      <c r="AY280" s="204">
        <v>0</v>
      </c>
      <c r="AZ280" s="204">
        <v>0.60399999999999998</v>
      </c>
      <c r="BB280" s="204">
        <v>913.72299999999996</v>
      </c>
      <c r="BH280" s="204">
        <v>0</v>
      </c>
      <c r="BI280" s="204">
        <v>112.5</v>
      </c>
      <c r="BJ280" s="204">
        <v>42634</v>
      </c>
      <c r="BK280" s="204">
        <v>42634.768014270798</v>
      </c>
      <c r="BL280" s="204" t="s">
        <v>293</v>
      </c>
      <c r="BM280" s="204" t="s">
        <v>2088</v>
      </c>
      <c r="BN280" s="269">
        <f t="shared" si="69"/>
        <v>913.72299999999996</v>
      </c>
      <c r="BO280" s="269">
        <f t="shared" si="70"/>
        <v>112.5</v>
      </c>
      <c r="BP280" s="269">
        <f>INDEX('App Data Outliers'!$M:$M,MATCH($E280,'App Data Outliers'!$A:$A,0))</f>
        <v>901.38850000000002</v>
      </c>
      <c r="BQ280" s="269">
        <f>INDEX('App Data Outliers'!$N:$N,MATCH($E280,'App Data Outliers'!$A:$A,0))</f>
        <v>1037.8477106736327</v>
      </c>
      <c r="BR280" s="269">
        <f>INDEX('App Data Outliers'!$S:$S,MATCH($E280,'App Data Outliers'!$A:$A,0))</f>
        <v>201.5625</v>
      </c>
      <c r="BS280" s="269">
        <f>INDEX('App Data Outliers'!$T:$T,MATCH($E280,'App Data Outliers'!$A:$A,0))</f>
        <v>52.825442201178021</v>
      </c>
    </row>
    <row r="281" spans="1:71" s="204" customFormat="1" hidden="1">
      <c r="A281" s="241">
        <v>277</v>
      </c>
      <c r="B281" s="241" t="str">
        <f t="shared" si="61"/>
        <v>Residential - BHPSD - Residential Energy Efficiency Rebate</v>
      </c>
      <c r="C281" s="241" t="b">
        <f t="shared" si="62"/>
        <v>1</v>
      </c>
      <c r="D281" s="241" t="str">
        <f t="shared" si="63"/>
        <v>Residential - BHPSD - Residential Energy Efficiency Rebate_Residential Water Heating :- Customer Incentives_Electric Water Heater - EF &lt; 0.95</v>
      </c>
      <c r="E281" s="241" t="str">
        <f t="shared" si="64"/>
        <v>Residential_High Efficiency HVAC_Water Heating_Electric Storage Water Heater EF 0.95</v>
      </c>
      <c r="F281" s="241" t="str">
        <f>INDEX('VDSM MAPPING'!E:E,MATCH($D281,'VDSM MAPPING'!$A:$A,0))</f>
        <v>Residential</v>
      </c>
      <c r="G281" s="241" t="str">
        <f>INDEX('VDSM MAPPING'!F:F,MATCH($D281,'VDSM MAPPING'!$A:$A,0))</f>
        <v>High Efficiency HVAC</v>
      </c>
      <c r="H281" s="241" t="str">
        <f>INDEX('VDSM MAPPING'!G:G,MATCH($D281,'VDSM MAPPING'!$A:$A,0))</f>
        <v>Water Heating</v>
      </c>
      <c r="I281" s="241" t="str">
        <f>INDEX('VDSM MAPPING'!H:H,MATCH($D281,'VDSM MAPPING'!$A:$A,0))</f>
        <v>Electric Storage Water Heater EF 0.95</v>
      </c>
      <c r="J281" s="240" t="str">
        <f t="shared" si="65"/>
        <v/>
      </c>
      <c r="K281" s="240" t="str">
        <f t="shared" si="66"/>
        <v/>
      </c>
      <c r="L281" s="240" t="b">
        <f t="shared" si="67"/>
        <v>0</v>
      </c>
      <c r="M281" s="240" t="b">
        <f t="shared" si="68"/>
        <v>0</v>
      </c>
      <c r="N281" s="204" t="s">
        <v>289</v>
      </c>
      <c r="O281" s="204" t="s">
        <v>2087</v>
      </c>
      <c r="P281" s="350">
        <v>1</v>
      </c>
      <c r="Q281" s="204" t="s">
        <v>2087</v>
      </c>
      <c r="R281" s="204" t="s">
        <v>2086</v>
      </c>
      <c r="S281" s="204" t="s">
        <v>2085</v>
      </c>
      <c r="T281" s="204" t="s">
        <v>2084</v>
      </c>
      <c r="V281" s="204" t="s">
        <v>2083</v>
      </c>
      <c r="W281" s="204" t="s">
        <v>329</v>
      </c>
      <c r="X281" s="204" t="s">
        <v>297</v>
      </c>
      <c r="Y281" s="204" t="s">
        <v>328</v>
      </c>
      <c r="Z281" s="204" t="s">
        <v>1820</v>
      </c>
      <c r="AA281" s="204" t="s">
        <v>1819</v>
      </c>
      <c r="AB281" s="204" t="s">
        <v>329</v>
      </c>
      <c r="AC281" s="204" t="s">
        <v>297</v>
      </c>
      <c r="AD281" s="204" t="s">
        <v>599</v>
      </c>
      <c r="AE281" s="204" t="s">
        <v>1818</v>
      </c>
      <c r="AG281" s="204" t="s">
        <v>1773</v>
      </c>
      <c r="AH281" s="204" t="s">
        <v>1772</v>
      </c>
      <c r="AR281" s="204" t="s">
        <v>2082</v>
      </c>
      <c r="AS281" s="204" t="s">
        <v>2081</v>
      </c>
      <c r="AV281" s="204" t="s">
        <v>2080</v>
      </c>
      <c r="AX281" s="204">
        <v>1</v>
      </c>
      <c r="AY281" s="204">
        <v>0</v>
      </c>
      <c r="AZ281" s="204">
        <v>3.005E-2</v>
      </c>
      <c r="BB281" s="204">
        <v>263.23678000000001</v>
      </c>
      <c r="BH281" s="204">
        <v>0</v>
      </c>
      <c r="BI281" s="204">
        <v>106.25</v>
      </c>
      <c r="BJ281" s="204">
        <v>42646</v>
      </c>
      <c r="BK281" s="204">
        <v>42643.690867905098</v>
      </c>
      <c r="BL281" s="204" t="s">
        <v>293</v>
      </c>
      <c r="BM281" s="204" t="s">
        <v>2079</v>
      </c>
      <c r="BN281" s="269">
        <f t="shared" si="69"/>
        <v>263.23678000000001</v>
      </c>
      <c r="BO281" s="269">
        <f t="shared" si="70"/>
        <v>106.25</v>
      </c>
      <c r="BP281" s="269">
        <f>INDEX('App Data Outliers'!$M:$M,MATCH($E281,'App Data Outliers'!$A:$A,0))</f>
        <v>263.23678000000001</v>
      </c>
      <c r="BQ281" s="269">
        <f>INDEX('App Data Outliers'!$N:$N,MATCH($E281,'App Data Outliers'!$A:$A,0))</f>
        <v>0</v>
      </c>
      <c r="BR281" s="269">
        <f>INDEX('App Data Outliers'!$S:$S,MATCH($E281,'App Data Outliers'!$A:$A,0))</f>
        <v>106.25</v>
      </c>
      <c r="BS281" s="269">
        <f>INDEX('App Data Outliers'!$T:$T,MATCH($E281,'App Data Outliers'!$A:$A,0))</f>
        <v>0</v>
      </c>
    </row>
    <row r="282" spans="1:71" s="204" customFormat="1" hidden="1">
      <c r="A282" s="241">
        <v>278</v>
      </c>
      <c r="B282" s="241" t="str">
        <f t="shared" si="61"/>
        <v>Residential - BHPSD - Residential Energy Efficiency Rebate</v>
      </c>
      <c r="C282" s="241" t="b">
        <f t="shared" si="62"/>
        <v>1</v>
      </c>
      <c r="D282" s="241" t="str">
        <f t="shared" si="63"/>
        <v>Residential - BHPSD - Residential Energy Efficiency Rebate_Residential Water Heating :- Customer Incentives_Electric Water Heater - EF &gt;= 0.95</v>
      </c>
      <c r="E282" s="241" t="str">
        <f t="shared" si="64"/>
        <v>Residential_High Efficiency HVAC_Water Heating_Electric Storage Water Heater EF &gt;0.95</v>
      </c>
      <c r="F282" s="241" t="str">
        <f>INDEX('VDSM MAPPING'!E:E,MATCH($D282,'VDSM MAPPING'!$A:$A,0))</f>
        <v>Residential</v>
      </c>
      <c r="G282" s="241" t="str">
        <f>INDEX('VDSM MAPPING'!F:F,MATCH($D282,'VDSM MAPPING'!$A:$A,0))</f>
        <v>High Efficiency HVAC</v>
      </c>
      <c r="H282" s="241" t="str">
        <f>INDEX('VDSM MAPPING'!G:G,MATCH($D282,'VDSM MAPPING'!$A:$A,0))</f>
        <v>Water Heating</v>
      </c>
      <c r="I282" s="241" t="str">
        <f>INDEX('VDSM MAPPING'!H:H,MATCH($D282,'VDSM MAPPING'!$A:$A,0))</f>
        <v>Electric Storage Water Heater EF &gt;0.95</v>
      </c>
      <c r="J282" s="240">
        <f t="shared" si="65"/>
        <v>0.41079801328907639</v>
      </c>
      <c r="K282" s="240">
        <f t="shared" si="66"/>
        <v>0.3649981975442157</v>
      </c>
      <c r="L282" s="240" t="b">
        <f t="shared" si="67"/>
        <v>0</v>
      </c>
      <c r="M282" s="240" t="b">
        <f t="shared" si="68"/>
        <v>0</v>
      </c>
      <c r="N282" s="204" t="s">
        <v>289</v>
      </c>
      <c r="O282" s="204" t="s">
        <v>2078</v>
      </c>
      <c r="P282" s="350">
        <v>1</v>
      </c>
      <c r="Q282" s="204" t="s">
        <v>2078</v>
      </c>
      <c r="R282" s="204" t="s">
        <v>2077</v>
      </c>
      <c r="S282" s="204" t="s">
        <v>2076</v>
      </c>
      <c r="T282" s="204" t="s">
        <v>2075</v>
      </c>
      <c r="V282" s="204" t="s">
        <v>2074</v>
      </c>
      <c r="W282" s="204" t="s">
        <v>345</v>
      </c>
      <c r="X282" s="204" t="s">
        <v>297</v>
      </c>
      <c r="Y282" s="204" t="s">
        <v>344</v>
      </c>
      <c r="Z282" s="204" t="s">
        <v>601</v>
      </c>
      <c r="AA282" s="204" t="s">
        <v>600</v>
      </c>
      <c r="AB282" s="204" t="s">
        <v>329</v>
      </c>
      <c r="AC282" s="204" t="s">
        <v>297</v>
      </c>
      <c r="AD282" s="204" t="s">
        <v>599</v>
      </c>
      <c r="AE282" s="204" t="s">
        <v>598</v>
      </c>
      <c r="AG282" s="204" t="s">
        <v>1773</v>
      </c>
      <c r="AH282" s="204" t="s">
        <v>1826</v>
      </c>
      <c r="AO282" s="204" t="s">
        <v>1825</v>
      </c>
      <c r="AR282" s="204" t="s">
        <v>1817</v>
      </c>
      <c r="AS282" s="204" t="s">
        <v>1823</v>
      </c>
      <c r="AV282" s="204" t="s">
        <v>2073</v>
      </c>
      <c r="AX282" s="204">
        <v>1</v>
      </c>
      <c r="AY282" s="204">
        <v>0</v>
      </c>
      <c r="AZ282" s="204">
        <v>2.0420000000000001E-2</v>
      </c>
      <c r="BB282" s="204">
        <v>178.89402999999999</v>
      </c>
      <c r="BH282" s="204">
        <v>0</v>
      </c>
      <c r="BI282" s="204">
        <v>87.5</v>
      </c>
      <c r="BJ282" s="204">
        <v>42649</v>
      </c>
      <c r="BK282" s="204">
        <v>42649.535627002297</v>
      </c>
      <c r="BL282" s="204" t="s">
        <v>293</v>
      </c>
      <c r="BM282" s="204" t="s">
        <v>2072</v>
      </c>
      <c r="BN282" s="269">
        <f t="shared" si="69"/>
        <v>178.89402999999999</v>
      </c>
      <c r="BO282" s="269">
        <f t="shared" si="70"/>
        <v>87.5</v>
      </c>
      <c r="BP282" s="269">
        <f>INDEX('App Data Outliers'!$M:$M,MATCH($E282,'App Data Outliers'!$A:$A,0))</f>
        <v>164.03409531250006</v>
      </c>
      <c r="BQ282" s="269">
        <f>INDEX('App Data Outliers'!$N:$N,MATCH($E282,'App Data Outliers'!$A:$A,0))</f>
        <v>36.173336303462285</v>
      </c>
      <c r="BR282" s="269">
        <f>INDEX('App Data Outliers'!$S:$S,MATCH($E282,'App Data Outliers'!$A:$A,0))</f>
        <v>83.125</v>
      </c>
      <c r="BS282" s="269">
        <f>INDEX('App Data Outliers'!$T:$T,MATCH($E282,'App Data Outliers'!$A:$A,0))</f>
        <v>11.986360561328565</v>
      </c>
    </row>
    <row r="283" spans="1:71" s="204" customFormat="1" hidden="1">
      <c r="A283" s="241">
        <v>279</v>
      </c>
      <c r="B283" s="241" t="str">
        <f t="shared" si="61"/>
        <v>Residential - BHPSD - Residential Energy Efficiency Rebate</v>
      </c>
      <c r="C283" s="241" t="b">
        <f t="shared" si="62"/>
        <v>1</v>
      </c>
      <c r="D283" s="241" t="str">
        <f t="shared" si="63"/>
        <v>Residential - BHPSD - Residential Energy Efficiency Rebate_Residential Water Heating :- Customer Incentives_Electric Water Heater - EF &gt;= 0.95</v>
      </c>
      <c r="E283" s="241" t="str">
        <f t="shared" si="64"/>
        <v>Residential_High Efficiency HVAC_Water Heating_Electric Storage Water Heater EF &gt;0.95</v>
      </c>
      <c r="F283" s="241" t="str">
        <f>INDEX('VDSM MAPPING'!E:E,MATCH($D283,'VDSM MAPPING'!$A:$A,0))</f>
        <v>Residential</v>
      </c>
      <c r="G283" s="241" t="str">
        <f>INDEX('VDSM MAPPING'!F:F,MATCH($D283,'VDSM MAPPING'!$A:$A,0))</f>
        <v>High Efficiency HVAC</v>
      </c>
      <c r="H283" s="241" t="str">
        <f>INDEX('VDSM MAPPING'!G:G,MATCH($D283,'VDSM MAPPING'!$A:$A,0))</f>
        <v>Water Heating</v>
      </c>
      <c r="I283" s="241" t="str">
        <f>INDEX('VDSM MAPPING'!H:H,MATCH($D283,'VDSM MAPPING'!$A:$A,0))</f>
        <v>Electric Storage Water Heater EF &gt;0.95</v>
      </c>
      <c r="J283" s="240">
        <f t="shared" si="65"/>
        <v>0.41079801328907639</v>
      </c>
      <c r="K283" s="240">
        <f t="shared" si="66"/>
        <v>0.3649981975442157</v>
      </c>
      <c r="L283" s="240" t="b">
        <f t="shared" si="67"/>
        <v>0</v>
      </c>
      <c r="M283" s="240" t="b">
        <f t="shared" si="68"/>
        <v>0</v>
      </c>
      <c r="N283" s="204" t="s">
        <v>289</v>
      </c>
      <c r="O283" s="204" t="s">
        <v>2071</v>
      </c>
      <c r="P283" s="350">
        <v>1</v>
      </c>
      <c r="Q283" s="204" t="s">
        <v>2071</v>
      </c>
      <c r="R283" s="204" t="s">
        <v>2070</v>
      </c>
      <c r="S283" s="204" t="s">
        <v>2069</v>
      </c>
      <c r="T283" s="204" t="s">
        <v>2068</v>
      </c>
      <c r="V283" s="204" t="s">
        <v>2067</v>
      </c>
      <c r="W283" s="204" t="s">
        <v>329</v>
      </c>
      <c r="X283" s="204" t="s">
        <v>297</v>
      </c>
      <c r="Y283" s="204" t="s">
        <v>328</v>
      </c>
      <c r="Z283" s="204" t="s">
        <v>601</v>
      </c>
      <c r="AA283" s="204" t="s">
        <v>600</v>
      </c>
      <c r="AB283" s="204" t="s">
        <v>329</v>
      </c>
      <c r="AC283" s="204" t="s">
        <v>297</v>
      </c>
      <c r="AD283" s="204" t="s">
        <v>599</v>
      </c>
      <c r="AE283" s="204" t="s">
        <v>598</v>
      </c>
      <c r="AG283" s="204" t="s">
        <v>1773</v>
      </c>
      <c r="AH283" s="204" t="s">
        <v>1826</v>
      </c>
      <c r="AO283" s="204" t="s">
        <v>1825</v>
      </c>
      <c r="AR283" s="204" t="s">
        <v>1817</v>
      </c>
      <c r="AS283" s="204" t="s">
        <v>1823</v>
      </c>
      <c r="AV283" s="204" t="s">
        <v>2066</v>
      </c>
      <c r="AX283" s="204">
        <v>1</v>
      </c>
      <c r="AY283" s="204">
        <v>0</v>
      </c>
      <c r="AZ283" s="204">
        <v>2.0420000000000001E-2</v>
      </c>
      <c r="BB283" s="204">
        <v>178.89402999999999</v>
      </c>
      <c r="BH283" s="204">
        <v>0</v>
      </c>
      <c r="BI283" s="204">
        <v>87.5</v>
      </c>
      <c r="BJ283" s="204">
        <v>42650</v>
      </c>
      <c r="BK283" s="204">
        <v>42650.430064583299</v>
      </c>
      <c r="BL283" s="204" t="s">
        <v>293</v>
      </c>
      <c r="BM283" s="204" t="s">
        <v>2065</v>
      </c>
      <c r="BN283" s="269">
        <f t="shared" si="69"/>
        <v>178.89402999999999</v>
      </c>
      <c r="BO283" s="269">
        <f t="shared" si="70"/>
        <v>87.5</v>
      </c>
      <c r="BP283" s="269">
        <f>INDEX('App Data Outliers'!$M:$M,MATCH($E283,'App Data Outliers'!$A:$A,0))</f>
        <v>164.03409531250006</v>
      </c>
      <c r="BQ283" s="269">
        <f>INDEX('App Data Outliers'!$N:$N,MATCH($E283,'App Data Outliers'!$A:$A,0))</f>
        <v>36.173336303462285</v>
      </c>
      <c r="BR283" s="269">
        <f>INDEX('App Data Outliers'!$S:$S,MATCH($E283,'App Data Outliers'!$A:$A,0))</f>
        <v>83.125</v>
      </c>
      <c r="BS283" s="269">
        <f>INDEX('App Data Outliers'!$T:$T,MATCH($E283,'App Data Outliers'!$A:$A,0))</f>
        <v>11.986360561328565</v>
      </c>
    </row>
    <row r="284" spans="1:71" s="204" customFormat="1" hidden="1">
      <c r="A284" s="241">
        <v>280</v>
      </c>
      <c r="B284" s="241" t="str">
        <f t="shared" si="61"/>
        <v>Residential - BHPSD - Residential Energy Efficiency Rebate</v>
      </c>
      <c r="C284" s="241" t="b">
        <f t="shared" si="62"/>
        <v>1</v>
      </c>
      <c r="D284" s="241" t="str">
        <f t="shared" si="63"/>
        <v>Residential - BHPSD - Residential Energy Efficiency Rebate_Residential Heat Pumps :- Residential Heat Pumps - HP Water Heater :- Customer Incentives_Heat Pump Water Heater</v>
      </c>
      <c r="E284" s="241" t="str">
        <f t="shared" si="64"/>
        <v>Residential_High Efficiency HVAC_Water Heating_Heat Pump Water Heater</v>
      </c>
      <c r="F284" s="241" t="str">
        <f>INDEX('VDSM MAPPING'!E:E,MATCH($D284,'VDSM MAPPING'!$A:$A,0))</f>
        <v>Residential</v>
      </c>
      <c r="G284" s="241" t="str">
        <f>INDEX('VDSM MAPPING'!F:F,MATCH($D284,'VDSM MAPPING'!$A:$A,0))</f>
        <v>High Efficiency HVAC</v>
      </c>
      <c r="H284" s="241" t="str">
        <f>INDEX('VDSM MAPPING'!G:G,MATCH($D284,'VDSM MAPPING'!$A:$A,0))</f>
        <v>Water Heating</v>
      </c>
      <c r="I284" s="241" t="str">
        <f>INDEX('VDSM MAPPING'!H:H,MATCH($D284,'VDSM MAPPING'!$A:$A,0))</f>
        <v>Heat Pump Water Heater</v>
      </c>
      <c r="J284" s="240">
        <f t="shared" si="65"/>
        <v>-0.45976197864817503</v>
      </c>
      <c r="K284" s="240">
        <f t="shared" si="66"/>
        <v>-0.40824829046386363</v>
      </c>
      <c r="L284" s="240" t="b">
        <f t="shared" si="67"/>
        <v>0</v>
      </c>
      <c r="M284" s="240" t="b">
        <f t="shared" si="68"/>
        <v>0</v>
      </c>
      <c r="N284" s="204" t="s">
        <v>289</v>
      </c>
      <c r="O284" s="204" t="s">
        <v>2064</v>
      </c>
      <c r="P284" s="350">
        <v>1</v>
      </c>
      <c r="Q284" s="204" t="s">
        <v>2064</v>
      </c>
      <c r="R284" s="204" t="s">
        <v>2063</v>
      </c>
      <c r="S284" s="204" t="s">
        <v>2062</v>
      </c>
      <c r="T284" s="204" t="s">
        <v>2061</v>
      </c>
      <c r="V284" s="204" t="s">
        <v>2060</v>
      </c>
      <c r="W284" s="204" t="s">
        <v>329</v>
      </c>
      <c r="X284" s="204" t="s">
        <v>297</v>
      </c>
      <c r="Y284" s="204" t="s">
        <v>397</v>
      </c>
      <c r="Z284" s="204" t="s">
        <v>2059</v>
      </c>
      <c r="AA284" s="204" t="s">
        <v>2058</v>
      </c>
      <c r="AB284" s="204" t="s">
        <v>329</v>
      </c>
      <c r="AC284" s="204" t="s">
        <v>297</v>
      </c>
      <c r="AD284" s="204" t="s">
        <v>328</v>
      </c>
      <c r="AE284" s="204" t="s">
        <v>2057</v>
      </c>
      <c r="AF284" s="204" t="s">
        <v>2056</v>
      </c>
      <c r="AG284" s="204" t="s">
        <v>1698</v>
      </c>
      <c r="AH284" s="204" t="s">
        <v>212</v>
      </c>
      <c r="AV284" s="204" t="s">
        <v>2055</v>
      </c>
      <c r="AX284" s="204">
        <v>1</v>
      </c>
      <c r="AY284" s="204">
        <v>0</v>
      </c>
      <c r="AZ284" s="204">
        <v>0.13600000000000001</v>
      </c>
      <c r="BB284" s="204">
        <v>2874</v>
      </c>
      <c r="BH284" s="204">
        <v>0</v>
      </c>
      <c r="BI284" s="204">
        <v>250</v>
      </c>
      <c r="BJ284" s="204">
        <v>42650</v>
      </c>
      <c r="BK284" s="204">
        <v>42650.439497685198</v>
      </c>
      <c r="BL284" s="204" t="s">
        <v>293</v>
      </c>
      <c r="BM284" s="204" t="s">
        <v>2054</v>
      </c>
      <c r="BN284" s="269">
        <f t="shared" si="69"/>
        <v>2874</v>
      </c>
      <c r="BO284" s="269">
        <f t="shared" si="70"/>
        <v>250</v>
      </c>
      <c r="BP284" s="269">
        <f>INDEX('App Data Outliers'!$M:$M,MATCH($E284,'App Data Outliers'!$A:$A,0))</f>
        <v>3035.2857142857142</v>
      </c>
      <c r="BQ284" s="269">
        <f>INDEX('App Data Outliers'!$N:$N,MATCH($E284,'App Data Outliers'!$A:$A,0))</f>
        <v>350.80263652931455</v>
      </c>
      <c r="BR284" s="269">
        <f>INDEX('App Data Outliers'!$S:$S,MATCH($E284,'App Data Outliers'!$A:$A,0))</f>
        <v>261.42857142857144</v>
      </c>
      <c r="BS284" s="269">
        <f>INDEX('App Data Outliers'!$T:$T,MATCH($E284,'App Data Outliers'!$A:$A,0))</f>
        <v>27.994168488950606</v>
      </c>
    </row>
    <row r="285" spans="1:71" s="204" customFormat="1" hidden="1">
      <c r="A285" s="241">
        <v>281</v>
      </c>
      <c r="B285" s="241" t="str">
        <f t="shared" si="61"/>
        <v>Residential - BHPSD - Residential Energy Efficiency Rebate</v>
      </c>
      <c r="C285" s="241" t="b">
        <f t="shared" si="62"/>
        <v>1</v>
      </c>
      <c r="D285" s="241" t="str">
        <f t="shared" si="63"/>
        <v>Residential - BHPSD - Residential Energy Efficiency Rebate_Residential Heat Pumps :- Residential Mini-Split :- Customer Incentives_Ductless Mini-Split HP SEER &gt;= 19</v>
      </c>
      <c r="E285" s="241" t="str">
        <f t="shared" si="64"/>
        <v>Residential_High Efficiency HVAC_HVAC_Ductless Mini-Split HP SEER ≥19</v>
      </c>
      <c r="F285" s="241" t="str">
        <f>INDEX('VDSM MAPPING'!E:E,MATCH($D285,'VDSM MAPPING'!$A:$A,0))</f>
        <v>Residential</v>
      </c>
      <c r="G285" s="241" t="str">
        <f>INDEX('VDSM MAPPING'!F:F,MATCH($D285,'VDSM MAPPING'!$A:$A,0))</f>
        <v>High Efficiency HVAC</v>
      </c>
      <c r="H285" s="241" t="str">
        <f>INDEX('VDSM MAPPING'!G:G,MATCH($D285,'VDSM MAPPING'!$A:$A,0))</f>
        <v>HVAC</v>
      </c>
      <c r="I285" s="241" t="str">
        <f>INDEX('VDSM MAPPING'!H:H,MATCH($D285,'VDSM MAPPING'!$A:$A,0))</f>
        <v>Ductless Mini-Split HP SEER ≥19</v>
      </c>
      <c r="J285" s="240">
        <f t="shared" si="65"/>
        <v>2.9542375753100494</v>
      </c>
      <c r="K285" s="240">
        <f t="shared" si="66"/>
        <v>2.6742983737162631</v>
      </c>
      <c r="L285" s="240" t="b">
        <f t="shared" si="67"/>
        <v>1</v>
      </c>
      <c r="M285" s="240" t="b">
        <f t="shared" si="68"/>
        <v>1</v>
      </c>
      <c r="N285" s="204" t="s">
        <v>289</v>
      </c>
      <c r="O285" s="204" t="s">
        <v>2053</v>
      </c>
      <c r="P285" s="350">
        <v>1</v>
      </c>
      <c r="Q285" s="204" t="s">
        <v>2053</v>
      </c>
      <c r="R285" s="204" t="s">
        <v>491</v>
      </c>
      <c r="S285" s="204" t="s">
        <v>490</v>
      </c>
      <c r="T285" s="204" t="s">
        <v>489</v>
      </c>
      <c r="V285" s="204" t="s">
        <v>488</v>
      </c>
      <c r="W285" s="204" t="s">
        <v>413</v>
      </c>
      <c r="X285" s="204" t="s">
        <v>297</v>
      </c>
      <c r="Y285" s="204" t="s">
        <v>412</v>
      </c>
      <c r="Z285" s="204" t="s">
        <v>2052</v>
      </c>
      <c r="AA285" s="204" t="s">
        <v>2051</v>
      </c>
      <c r="AB285" s="204" t="s">
        <v>928</v>
      </c>
      <c r="AC285" s="204" t="s">
        <v>297</v>
      </c>
      <c r="AD285" s="204" t="s">
        <v>412</v>
      </c>
      <c r="AE285" s="204" t="s">
        <v>2050</v>
      </c>
      <c r="AF285" s="204" t="s">
        <v>2049</v>
      </c>
      <c r="AG285" s="204" t="s">
        <v>1680</v>
      </c>
      <c r="AH285" s="204" t="s">
        <v>1679</v>
      </c>
      <c r="AO285" s="204" t="s">
        <v>2048</v>
      </c>
      <c r="AV285" s="204" t="s">
        <v>2047</v>
      </c>
      <c r="AX285" s="204">
        <v>1</v>
      </c>
      <c r="AY285" s="204">
        <v>0</v>
      </c>
      <c r="AZ285" s="204">
        <v>1.8089999999999999</v>
      </c>
      <c r="BB285" s="204">
        <v>5833.3729999999996</v>
      </c>
      <c r="BH285" s="204">
        <v>0</v>
      </c>
      <c r="BI285" s="204">
        <v>200</v>
      </c>
      <c r="BJ285" s="204">
        <v>42653</v>
      </c>
      <c r="BK285" s="204">
        <v>42653.725953159701</v>
      </c>
      <c r="BL285" s="204" t="s">
        <v>293</v>
      </c>
      <c r="BM285" s="204" t="s">
        <v>2046</v>
      </c>
      <c r="BN285" s="242">
        <f t="shared" si="69"/>
        <v>5833.3729999999996</v>
      </c>
      <c r="BO285" s="242">
        <f t="shared" si="70"/>
        <v>200</v>
      </c>
      <c r="BP285" s="242">
        <f>INDEX('App Data Outliers'!$M:$M,MATCH($E285,'App Data Outliers'!$A:$A,0))</f>
        <v>2495.8377857142855</v>
      </c>
      <c r="BQ285" s="242">
        <f>INDEX('App Data Outliers'!$N:$N,MATCH($E285,'App Data Outliers'!$A:$A,0))</f>
        <v>1129.7450286933804</v>
      </c>
      <c r="BR285" s="242">
        <f>INDEX('App Data Outliers'!$S:$S,MATCH($E285,'App Data Outliers'!$A:$A,0))</f>
        <v>107.14285714285714</v>
      </c>
      <c r="BS285" s="242">
        <f>INDEX('App Data Outliers'!$T:$T,MATCH($E285,'App Data Outliers'!$A:$A,0))</f>
        <v>34.722057856284209</v>
      </c>
    </row>
    <row r="286" spans="1:71" s="204" customFormat="1" hidden="1">
      <c r="A286" s="241">
        <v>282</v>
      </c>
      <c r="B286" s="241" t="str">
        <f t="shared" si="61"/>
        <v>Residential - BHPSD - Residential Energy Efficiency Rebate</v>
      </c>
      <c r="C286" s="241" t="b">
        <f t="shared" si="62"/>
        <v>1</v>
      </c>
      <c r="D286" s="241" t="str">
        <f t="shared" si="63"/>
        <v>Residential - BHPSD - Residential Energy Efficiency Rebate_Residential Water Heating :- Customer Incentives_Electric Water Heater - EF &gt;= 0.95</v>
      </c>
      <c r="E286" s="241" t="str">
        <f t="shared" si="64"/>
        <v>Residential_High Efficiency HVAC_Water Heating_Electric Storage Water Heater EF &gt;0.95</v>
      </c>
      <c r="F286" s="241" t="str">
        <f>INDEX('VDSM MAPPING'!E:E,MATCH($D286,'VDSM MAPPING'!$A:$A,0))</f>
        <v>Residential</v>
      </c>
      <c r="G286" s="241" t="str">
        <f>INDEX('VDSM MAPPING'!F:F,MATCH($D286,'VDSM MAPPING'!$A:$A,0))</f>
        <v>High Efficiency HVAC</v>
      </c>
      <c r="H286" s="241" t="str">
        <f>INDEX('VDSM MAPPING'!G:G,MATCH($D286,'VDSM MAPPING'!$A:$A,0))</f>
        <v>Water Heating</v>
      </c>
      <c r="I286" s="241" t="str">
        <f>INDEX('VDSM MAPPING'!H:H,MATCH($D286,'VDSM MAPPING'!$A:$A,0))</f>
        <v>Electric Storage Water Heater EF &gt;0.95</v>
      </c>
      <c r="J286" s="240">
        <f t="shared" si="65"/>
        <v>-1.0590854819446998</v>
      </c>
      <c r="K286" s="240">
        <f t="shared" si="66"/>
        <v>-1.0949945926326472</v>
      </c>
      <c r="L286" s="240" t="b">
        <f t="shared" si="67"/>
        <v>0</v>
      </c>
      <c r="M286" s="240" t="b">
        <f t="shared" si="68"/>
        <v>0</v>
      </c>
      <c r="N286" s="204" t="s">
        <v>289</v>
      </c>
      <c r="O286" s="204" t="s">
        <v>2045</v>
      </c>
      <c r="P286" s="350">
        <v>1</v>
      </c>
      <c r="Q286" s="204" t="s">
        <v>2045</v>
      </c>
      <c r="R286" s="204" t="s">
        <v>2044</v>
      </c>
      <c r="S286" s="204" t="s">
        <v>2043</v>
      </c>
      <c r="T286" s="204" t="s">
        <v>2042</v>
      </c>
      <c r="V286" s="204" t="s">
        <v>2041</v>
      </c>
      <c r="W286" s="204" t="s">
        <v>298</v>
      </c>
      <c r="X286" s="204" t="s">
        <v>297</v>
      </c>
      <c r="Y286" s="204" t="s">
        <v>296</v>
      </c>
      <c r="Z286" s="204" t="s">
        <v>1788</v>
      </c>
      <c r="AA286" s="204" t="s">
        <v>958</v>
      </c>
      <c r="AB286" s="204" t="s">
        <v>329</v>
      </c>
      <c r="AC286" s="204" t="s">
        <v>297</v>
      </c>
      <c r="AD286" s="204" t="s">
        <v>397</v>
      </c>
      <c r="AE286" s="204" t="s">
        <v>957</v>
      </c>
      <c r="AG286" s="204" t="s">
        <v>1773</v>
      </c>
      <c r="AH286" s="204" t="s">
        <v>1826</v>
      </c>
      <c r="AO286" s="204" t="s">
        <v>1825</v>
      </c>
      <c r="AR286" s="204" t="s">
        <v>1824</v>
      </c>
      <c r="AS286" s="204" t="s">
        <v>1823</v>
      </c>
      <c r="AV286" s="204" t="s">
        <v>2040</v>
      </c>
      <c r="AX286" s="204">
        <v>1</v>
      </c>
      <c r="AY286" s="204">
        <v>0</v>
      </c>
      <c r="AZ286" s="204">
        <v>1.435E-2</v>
      </c>
      <c r="BB286" s="204">
        <v>125.72344</v>
      </c>
      <c r="BH286" s="204">
        <v>0</v>
      </c>
      <c r="BI286" s="204">
        <v>70</v>
      </c>
      <c r="BJ286" s="204">
        <v>42656</v>
      </c>
      <c r="BK286" s="204">
        <v>42656.619047337997</v>
      </c>
      <c r="BL286" s="204" t="s">
        <v>293</v>
      </c>
      <c r="BM286" s="204" t="s">
        <v>2039</v>
      </c>
      <c r="BN286" s="269">
        <f t="shared" si="69"/>
        <v>125.72344</v>
      </c>
      <c r="BO286" s="269">
        <f t="shared" si="70"/>
        <v>70</v>
      </c>
      <c r="BP286" s="269">
        <f>INDEX('App Data Outliers'!$M:$M,MATCH($E286,'App Data Outliers'!$A:$A,0))</f>
        <v>164.03409531250006</v>
      </c>
      <c r="BQ286" s="269">
        <f>INDEX('App Data Outliers'!$N:$N,MATCH($E286,'App Data Outliers'!$A:$A,0))</f>
        <v>36.173336303462285</v>
      </c>
      <c r="BR286" s="269">
        <f>INDEX('App Data Outliers'!$S:$S,MATCH($E286,'App Data Outliers'!$A:$A,0))</f>
        <v>83.125</v>
      </c>
      <c r="BS286" s="269">
        <f>INDEX('App Data Outliers'!$T:$T,MATCH($E286,'App Data Outliers'!$A:$A,0))</f>
        <v>11.986360561328565</v>
      </c>
    </row>
    <row r="287" spans="1:71" s="204" customFormat="1" hidden="1">
      <c r="A287" s="241">
        <v>283</v>
      </c>
      <c r="B287" s="241" t="str">
        <f t="shared" si="61"/>
        <v>Residential - BHPSD - Residential Energy Efficiency Rebate</v>
      </c>
      <c r="C287" s="241" t="b">
        <f t="shared" si="62"/>
        <v>1</v>
      </c>
      <c r="D287" s="241" t="str">
        <f t="shared" si="63"/>
        <v>Residential - BHPSD - Residential Energy Efficiency Rebate_Residential Water Heating :- Customer Incentives_Electric Water Heater - EF &gt;= 0.95</v>
      </c>
      <c r="E287" s="241" t="str">
        <f t="shared" si="64"/>
        <v>Residential_High Efficiency HVAC_Water Heating_Electric Storage Water Heater EF &gt;0.95</v>
      </c>
      <c r="F287" s="241" t="str">
        <f>INDEX('VDSM MAPPING'!E:E,MATCH($D287,'VDSM MAPPING'!$A:$A,0))</f>
        <v>Residential</v>
      </c>
      <c r="G287" s="241" t="str">
        <f>INDEX('VDSM MAPPING'!F:F,MATCH($D287,'VDSM MAPPING'!$A:$A,0))</f>
        <v>High Efficiency HVAC</v>
      </c>
      <c r="H287" s="241" t="str">
        <f>INDEX('VDSM MAPPING'!G:G,MATCH($D287,'VDSM MAPPING'!$A:$A,0))</f>
        <v>Water Heating</v>
      </c>
      <c r="I287" s="241" t="str">
        <f>INDEX('VDSM MAPPING'!H:H,MATCH($D287,'VDSM MAPPING'!$A:$A,0))</f>
        <v>Electric Storage Water Heater EF &gt;0.95</v>
      </c>
      <c r="J287" s="240">
        <f t="shared" si="65"/>
        <v>0.41079801328907639</v>
      </c>
      <c r="K287" s="240">
        <f t="shared" si="66"/>
        <v>0.3649981975442157</v>
      </c>
      <c r="L287" s="240" t="b">
        <f t="shared" si="67"/>
        <v>0</v>
      </c>
      <c r="M287" s="240" t="b">
        <f t="shared" si="68"/>
        <v>0</v>
      </c>
      <c r="N287" s="204" t="s">
        <v>289</v>
      </c>
      <c r="O287" s="204" t="s">
        <v>2038</v>
      </c>
      <c r="P287" s="350">
        <v>1</v>
      </c>
      <c r="Q287" s="204" t="s">
        <v>2038</v>
      </c>
      <c r="R287" s="204" t="s">
        <v>2037</v>
      </c>
      <c r="S287" s="204" t="s">
        <v>2036</v>
      </c>
      <c r="T287" s="204" t="s">
        <v>2036</v>
      </c>
      <c r="U287" s="204" t="s">
        <v>2036</v>
      </c>
      <c r="V287" s="204" t="s">
        <v>2035</v>
      </c>
      <c r="W287" s="204" t="s">
        <v>329</v>
      </c>
      <c r="X287" s="204" t="s">
        <v>297</v>
      </c>
      <c r="Y287" s="204" t="s">
        <v>397</v>
      </c>
      <c r="Z287" s="204" t="s">
        <v>601</v>
      </c>
      <c r="AA287" s="204" t="s">
        <v>600</v>
      </c>
      <c r="AB287" s="204" t="s">
        <v>329</v>
      </c>
      <c r="AC287" s="204" t="s">
        <v>297</v>
      </c>
      <c r="AD287" s="204" t="s">
        <v>599</v>
      </c>
      <c r="AE287" s="204" t="s">
        <v>598</v>
      </c>
      <c r="AG287" s="204" t="s">
        <v>1773</v>
      </c>
      <c r="AH287" s="204" t="s">
        <v>1826</v>
      </c>
      <c r="AO287" s="204" t="s">
        <v>1825</v>
      </c>
      <c r="AR287" s="204" t="s">
        <v>1817</v>
      </c>
      <c r="AS287" s="204" t="s">
        <v>1823</v>
      </c>
      <c r="AV287" s="204" t="s">
        <v>2034</v>
      </c>
      <c r="AX287" s="204">
        <v>15</v>
      </c>
      <c r="AY287" s="204">
        <v>0</v>
      </c>
      <c r="AZ287" s="204">
        <v>0.30630000000000002</v>
      </c>
      <c r="BB287" s="204">
        <v>2683.4104499999999</v>
      </c>
      <c r="BH287" s="204">
        <v>0</v>
      </c>
      <c r="BI287" s="204">
        <v>1312.5</v>
      </c>
      <c r="BJ287" s="204">
        <v>42664</v>
      </c>
      <c r="BK287" s="204">
        <v>42664.519468055601</v>
      </c>
      <c r="BL287" s="204" t="s">
        <v>293</v>
      </c>
      <c r="BM287" s="204" t="s">
        <v>2033</v>
      </c>
      <c r="BN287" s="269">
        <f t="shared" si="69"/>
        <v>178.89402999999999</v>
      </c>
      <c r="BO287" s="269">
        <f t="shared" si="70"/>
        <v>87.5</v>
      </c>
      <c r="BP287" s="269">
        <f>INDEX('App Data Outliers'!$M:$M,MATCH($E287,'App Data Outliers'!$A:$A,0))</f>
        <v>164.03409531250006</v>
      </c>
      <c r="BQ287" s="269">
        <f>INDEX('App Data Outliers'!$N:$N,MATCH($E287,'App Data Outliers'!$A:$A,0))</f>
        <v>36.173336303462285</v>
      </c>
      <c r="BR287" s="269">
        <f>INDEX('App Data Outliers'!$S:$S,MATCH($E287,'App Data Outliers'!$A:$A,0))</f>
        <v>83.125</v>
      </c>
      <c r="BS287" s="269">
        <f>INDEX('App Data Outliers'!$T:$T,MATCH($E287,'App Data Outliers'!$A:$A,0))</f>
        <v>11.986360561328565</v>
      </c>
    </row>
    <row r="288" spans="1:71" s="204" customFormat="1" hidden="1">
      <c r="A288" s="241">
        <v>284</v>
      </c>
      <c r="B288" s="241" t="str">
        <f t="shared" si="61"/>
        <v>Residential - BHPSD - Residential Energy Efficiency Rebate</v>
      </c>
      <c r="C288" s="241" t="b">
        <f t="shared" si="62"/>
        <v>1</v>
      </c>
      <c r="D288" s="241" t="str">
        <f t="shared" si="63"/>
        <v>Residential - BHPSD - Residential Energy Efficiency Rebate_Residential Water Heating :- Customer Incentives_Electric Water Heater - EF &gt;= 0.95</v>
      </c>
      <c r="E288" s="241" t="str">
        <f t="shared" si="64"/>
        <v>Residential_High Efficiency HVAC_Water Heating_Electric Storage Water Heater EF &gt;0.95</v>
      </c>
      <c r="F288" s="241" t="str">
        <f>INDEX('VDSM MAPPING'!E:E,MATCH($D288,'VDSM MAPPING'!$A:$A,0))</f>
        <v>Residential</v>
      </c>
      <c r="G288" s="241" t="str">
        <f>INDEX('VDSM MAPPING'!F:F,MATCH($D288,'VDSM MAPPING'!$A:$A,0))</f>
        <v>High Efficiency HVAC</v>
      </c>
      <c r="H288" s="241" t="str">
        <f>INDEX('VDSM MAPPING'!G:G,MATCH($D288,'VDSM MAPPING'!$A:$A,0))</f>
        <v>Water Heating</v>
      </c>
      <c r="I288" s="241" t="str">
        <f>INDEX('VDSM MAPPING'!H:H,MATCH($D288,'VDSM MAPPING'!$A:$A,0))</f>
        <v>Electric Storage Water Heater EF &gt;0.95</v>
      </c>
      <c r="J288" s="240">
        <f t="shared" si="65"/>
        <v>0.41079801328907639</v>
      </c>
      <c r="K288" s="240">
        <f t="shared" si="66"/>
        <v>0.3649981975442157</v>
      </c>
      <c r="L288" s="240" t="b">
        <f t="shared" si="67"/>
        <v>0</v>
      </c>
      <c r="M288" s="240" t="b">
        <f t="shared" si="68"/>
        <v>0</v>
      </c>
      <c r="N288" s="204" t="s">
        <v>289</v>
      </c>
      <c r="O288" s="204" t="s">
        <v>2032</v>
      </c>
      <c r="P288" s="350">
        <v>1</v>
      </c>
      <c r="Q288" s="204" t="s">
        <v>2032</v>
      </c>
      <c r="R288" s="204" t="s">
        <v>2031</v>
      </c>
      <c r="S288" s="204" t="s">
        <v>2030</v>
      </c>
      <c r="T288" s="204" t="s">
        <v>2029</v>
      </c>
      <c r="V288" s="204" t="s">
        <v>2028</v>
      </c>
      <c r="W288" s="204" t="s">
        <v>730</v>
      </c>
      <c r="X288" s="204" t="s">
        <v>297</v>
      </c>
      <c r="Y288" s="204" t="s">
        <v>729</v>
      </c>
      <c r="Z288" s="204" t="s">
        <v>601</v>
      </c>
      <c r="AA288" s="204" t="s">
        <v>600</v>
      </c>
      <c r="AB288" s="204" t="s">
        <v>329</v>
      </c>
      <c r="AC288" s="204" t="s">
        <v>297</v>
      </c>
      <c r="AD288" s="204" t="s">
        <v>599</v>
      </c>
      <c r="AE288" s="204" t="s">
        <v>598</v>
      </c>
      <c r="AG288" s="204" t="s">
        <v>1773</v>
      </c>
      <c r="AH288" s="204" t="s">
        <v>1826</v>
      </c>
      <c r="AO288" s="204" t="s">
        <v>1825</v>
      </c>
      <c r="AR288" s="204" t="s">
        <v>1817</v>
      </c>
      <c r="AS288" s="204" t="s">
        <v>1823</v>
      </c>
      <c r="AV288" s="204" t="s">
        <v>1816</v>
      </c>
      <c r="AX288" s="204">
        <v>1</v>
      </c>
      <c r="AY288" s="204">
        <v>0</v>
      </c>
      <c r="AZ288" s="204">
        <v>2.0420000000000001E-2</v>
      </c>
      <c r="BB288" s="204">
        <v>178.89402999999999</v>
      </c>
      <c r="BH288" s="204">
        <v>0</v>
      </c>
      <c r="BI288" s="204">
        <v>87.5</v>
      </c>
      <c r="BJ288" s="204">
        <v>42667</v>
      </c>
      <c r="BK288" s="204">
        <v>42667.617835995399</v>
      </c>
      <c r="BL288" s="204" t="s">
        <v>293</v>
      </c>
      <c r="BM288" s="204" t="s">
        <v>2027</v>
      </c>
      <c r="BN288" s="269">
        <f t="shared" si="69"/>
        <v>178.89402999999999</v>
      </c>
      <c r="BO288" s="269">
        <f t="shared" si="70"/>
        <v>87.5</v>
      </c>
      <c r="BP288" s="269">
        <f>INDEX('App Data Outliers'!$M:$M,MATCH($E288,'App Data Outliers'!$A:$A,0))</f>
        <v>164.03409531250006</v>
      </c>
      <c r="BQ288" s="269">
        <f>INDEX('App Data Outliers'!$N:$N,MATCH($E288,'App Data Outliers'!$A:$A,0))</f>
        <v>36.173336303462285</v>
      </c>
      <c r="BR288" s="269">
        <f>INDEX('App Data Outliers'!$S:$S,MATCH($E288,'App Data Outliers'!$A:$A,0))</f>
        <v>83.125</v>
      </c>
      <c r="BS288" s="269">
        <f>INDEX('App Data Outliers'!$T:$T,MATCH($E288,'App Data Outliers'!$A:$A,0))</f>
        <v>11.986360561328565</v>
      </c>
    </row>
    <row r="289" spans="1:71" s="204" customFormat="1" hidden="1">
      <c r="A289" s="241">
        <v>285</v>
      </c>
      <c r="B289" s="241" t="str">
        <f t="shared" si="61"/>
        <v>Residential - BHPSD - Residential Energy Efficiency Rebate</v>
      </c>
      <c r="C289" s="241" t="b">
        <f t="shared" si="62"/>
        <v>1</v>
      </c>
      <c r="D289" s="241" t="str">
        <f t="shared" si="63"/>
        <v>Residential - BHPSD - Residential Energy Efficiency Rebate_Residential Water Heating :- Customer Incentives_Electric Water Heater - EF &gt;= 0.95</v>
      </c>
      <c r="E289" s="241" t="str">
        <f t="shared" si="64"/>
        <v>Residential_High Efficiency HVAC_Water Heating_Electric Storage Water Heater EF &gt;0.95</v>
      </c>
      <c r="F289" s="241" t="str">
        <f>INDEX('VDSM MAPPING'!E:E,MATCH($D289,'VDSM MAPPING'!$A:$A,0))</f>
        <v>Residential</v>
      </c>
      <c r="G289" s="241" t="str">
        <f>INDEX('VDSM MAPPING'!F:F,MATCH($D289,'VDSM MAPPING'!$A:$A,0))</f>
        <v>High Efficiency HVAC</v>
      </c>
      <c r="H289" s="241" t="str">
        <f>INDEX('VDSM MAPPING'!G:G,MATCH($D289,'VDSM MAPPING'!$A:$A,0))</f>
        <v>Water Heating</v>
      </c>
      <c r="I289" s="241" t="str">
        <f>INDEX('VDSM MAPPING'!H:H,MATCH($D289,'VDSM MAPPING'!$A:$A,0))</f>
        <v>Electric Storage Water Heater EF &gt;0.95</v>
      </c>
      <c r="J289" s="240">
        <f t="shared" si="65"/>
        <v>-1.0590854819446998</v>
      </c>
      <c r="K289" s="240">
        <f t="shared" si="66"/>
        <v>0.3649981975442157</v>
      </c>
      <c r="L289" s="240" t="b">
        <f t="shared" si="67"/>
        <v>0</v>
      </c>
      <c r="M289" s="240" t="b">
        <f t="shared" si="68"/>
        <v>0</v>
      </c>
      <c r="N289" s="204" t="s">
        <v>289</v>
      </c>
      <c r="O289" s="204" t="s">
        <v>2026</v>
      </c>
      <c r="P289" s="350">
        <v>1</v>
      </c>
      <c r="Q289" s="204" t="s">
        <v>2026</v>
      </c>
      <c r="R289" s="204" t="s">
        <v>2025</v>
      </c>
      <c r="S289" s="204" t="s">
        <v>2024</v>
      </c>
      <c r="T289" s="204" t="s">
        <v>2023</v>
      </c>
      <c r="V289" s="204" t="s">
        <v>2022</v>
      </c>
      <c r="W289" s="204" t="s">
        <v>739</v>
      </c>
      <c r="X289" s="204" t="s">
        <v>297</v>
      </c>
      <c r="Y289" s="204" t="s">
        <v>738</v>
      </c>
      <c r="Z289" s="204" t="s">
        <v>1788</v>
      </c>
      <c r="AA289" s="204" t="s">
        <v>958</v>
      </c>
      <c r="AB289" s="204" t="s">
        <v>329</v>
      </c>
      <c r="AC289" s="204" t="s">
        <v>297</v>
      </c>
      <c r="AD289" s="204" t="s">
        <v>397</v>
      </c>
      <c r="AE289" s="204" t="s">
        <v>957</v>
      </c>
      <c r="AG289" s="204" t="s">
        <v>1773</v>
      </c>
      <c r="AH289" s="204" t="s">
        <v>1826</v>
      </c>
      <c r="AO289" s="204" t="s">
        <v>1825</v>
      </c>
      <c r="AR289" s="204" t="s">
        <v>1824</v>
      </c>
      <c r="AS289" s="204" t="s">
        <v>1823</v>
      </c>
      <c r="AV289" s="204" t="s">
        <v>1822</v>
      </c>
      <c r="AX289" s="204">
        <v>1</v>
      </c>
      <c r="AY289" s="204">
        <v>0</v>
      </c>
      <c r="AZ289" s="204">
        <v>1.435E-2</v>
      </c>
      <c r="BB289" s="204">
        <v>125.72344</v>
      </c>
      <c r="BH289" s="204">
        <v>0</v>
      </c>
      <c r="BI289" s="204">
        <v>87.5</v>
      </c>
      <c r="BJ289" s="204">
        <v>42669</v>
      </c>
      <c r="BK289" s="204">
        <v>42669.763163229203</v>
      </c>
      <c r="BL289" s="204" t="s">
        <v>293</v>
      </c>
      <c r="BM289" s="204" t="s">
        <v>2021</v>
      </c>
      <c r="BN289" s="269">
        <f t="shared" si="69"/>
        <v>125.72344</v>
      </c>
      <c r="BO289" s="269">
        <f t="shared" si="70"/>
        <v>87.5</v>
      </c>
      <c r="BP289" s="269">
        <f>INDEX('App Data Outliers'!$M:$M,MATCH($E289,'App Data Outliers'!$A:$A,0))</f>
        <v>164.03409531250006</v>
      </c>
      <c r="BQ289" s="269">
        <f>INDEX('App Data Outliers'!$N:$N,MATCH($E289,'App Data Outliers'!$A:$A,0))</f>
        <v>36.173336303462285</v>
      </c>
      <c r="BR289" s="269">
        <f>INDEX('App Data Outliers'!$S:$S,MATCH($E289,'App Data Outliers'!$A:$A,0))</f>
        <v>83.125</v>
      </c>
      <c r="BS289" s="269">
        <f>INDEX('App Data Outliers'!$T:$T,MATCH($E289,'App Data Outliers'!$A:$A,0))</f>
        <v>11.986360561328565</v>
      </c>
    </row>
    <row r="290" spans="1:71" s="204" customFormat="1" hidden="1">
      <c r="A290" s="241">
        <v>286</v>
      </c>
      <c r="B290" s="241" t="str">
        <f t="shared" si="61"/>
        <v>Residential - BHPSD - Residential Energy Efficiency Rebate</v>
      </c>
      <c r="C290" s="241" t="b">
        <f t="shared" si="62"/>
        <v>1</v>
      </c>
      <c r="D290" s="241" t="str">
        <f t="shared" si="63"/>
        <v>Residential - BHPSD - Residential Energy Efficiency Rebate_Residential Heat Pumps :- Residential Heat Pumps - ER Heat Pump :- Customer Incentives_Early Retirement Heat Pump (1-5 tons)</v>
      </c>
      <c r="E290" s="241" t="str">
        <f t="shared" si="64"/>
        <v>Residential_High Efficiency HVAC_HVAC_Early Retirement Heat Pump SEER 15</v>
      </c>
      <c r="F290" s="241" t="str">
        <f>INDEX('VDSM MAPPING'!E:E,MATCH($D290,'VDSM MAPPING'!$A:$A,0))</f>
        <v>Residential</v>
      </c>
      <c r="G290" s="241" t="str">
        <f>INDEX('VDSM MAPPING'!F:F,MATCH($D290,'VDSM MAPPING'!$A:$A,0))</f>
        <v>High Efficiency HVAC</v>
      </c>
      <c r="H290" s="241" t="str">
        <f>INDEX('VDSM MAPPING'!G:G,MATCH($D290,'VDSM MAPPING'!$A:$A,0))</f>
        <v>HVAC</v>
      </c>
      <c r="I290" s="241" t="str">
        <f>INDEX('VDSM MAPPING'!H:H,MATCH($D290,'VDSM MAPPING'!$A:$A,0))</f>
        <v>Early Retirement Heat Pump SEER 15</v>
      </c>
      <c r="J290" s="240">
        <f t="shared" si="65"/>
        <v>-0.23705359360315245</v>
      </c>
      <c r="K290" s="240">
        <f t="shared" si="66"/>
        <v>0.67445327343346206</v>
      </c>
      <c r="L290" s="240" t="b">
        <f t="shared" si="67"/>
        <v>0</v>
      </c>
      <c r="M290" s="240" t="b">
        <f t="shared" si="68"/>
        <v>0</v>
      </c>
      <c r="N290" s="204" t="s">
        <v>289</v>
      </c>
      <c r="O290" s="204" t="s">
        <v>2020</v>
      </c>
      <c r="P290" s="350">
        <v>1</v>
      </c>
      <c r="Q290" s="204" t="s">
        <v>2020</v>
      </c>
      <c r="R290" s="204" t="s">
        <v>2019</v>
      </c>
      <c r="S290" s="204" t="s">
        <v>2018</v>
      </c>
      <c r="T290" s="204" t="s">
        <v>2017</v>
      </c>
      <c r="V290" s="204" t="s">
        <v>2016</v>
      </c>
      <c r="W290" s="204" t="s">
        <v>2015</v>
      </c>
      <c r="X290" s="204" t="s">
        <v>297</v>
      </c>
      <c r="Y290" s="204" t="s">
        <v>2014</v>
      </c>
      <c r="Z290" s="204" t="s">
        <v>601</v>
      </c>
      <c r="AA290" s="204" t="s">
        <v>600</v>
      </c>
      <c r="AB290" s="204" t="s">
        <v>329</v>
      </c>
      <c r="AC290" s="204" t="s">
        <v>297</v>
      </c>
      <c r="AD290" s="204" t="s">
        <v>599</v>
      </c>
      <c r="AE290" s="204" t="s">
        <v>598</v>
      </c>
      <c r="AG290" s="204" t="s">
        <v>1706</v>
      </c>
      <c r="AH290" s="204" t="s">
        <v>1705</v>
      </c>
      <c r="AX290" s="204">
        <v>1</v>
      </c>
      <c r="AY290" s="204">
        <v>0</v>
      </c>
      <c r="AZ290" s="204">
        <v>2.5099999999999998</v>
      </c>
      <c r="BB290" s="204">
        <v>4385.0349999999999</v>
      </c>
      <c r="BH290" s="204">
        <v>0</v>
      </c>
      <c r="BI290" s="204">
        <v>800</v>
      </c>
      <c r="BJ290" s="204">
        <v>42675</v>
      </c>
      <c r="BK290" s="204">
        <v>42674.537366550903</v>
      </c>
      <c r="BL290" s="204" t="s">
        <v>293</v>
      </c>
      <c r="BM290" s="204" t="s">
        <v>2013</v>
      </c>
      <c r="BN290" s="269">
        <f t="shared" si="69"/>
        <v>4385.0349999999999</v>
      </c>
      <c r="BO290" s="269">
        <f t="shared" si="70"/>
        <v>800</v>
      </c>
      <c r="BP290" s="269">
        <f>INDEX('App Data Outliers'!$M:$M,MATCH($E290,'App Data Outliers'!$A:$A,0))</f>
        <v>4727.4153333333334</v>
      </c>
      <c r="BQ290" s="269">
        <f>INDEX('App Data Outliers'!$N:$N,MATCH($E290,'App Data Outliers'!$A:$A,0))</f>
        <v>1444.3161486364422</v>
      </c>
      <c r="BR290" s="269">
        <f>INDEX('App Data Outliers'!$S:$S,MATCH($E290,'App Data Outliers'!$A:$A,0))</f>
        <v>677.77777777777783</v>
      </c>
      <c r="BS290" s="269">
        <f>INDEX('App Data Outliers'!$T:$T,MATCH($E290,'App Data Outliers'!$A:$A,0))</f>
        <v>181.21673811444546</v>
      </c>
    </row>
    <row r="291" spans="1:71" s="204" customFormat="1" hidden="1">
      <c r="A291" s="241">
        <v>287</v>
      </c>
      <c r="B291" s="241" t="str">
        <f t="shared" si="61"/>
        <v>Residential - BHPSD - Residential Energy Efficiency Rebate</v>
      </c>
      <c r="C291" s="241" t="b">
        <f t="shared" si="62"/>
        <v>1</v>
      </c>
      <c r="D291" s="241" t="str">
        <f t="shared" si="63"/>
        <v>Residential - BHPSD - Residential Energy Efficiency Rebate_Residential Water Heating :- Customer Incentives_Electric Water Heater - EF &gt;= 0.95</v>
      </c>
      <c r="E291" s="241" t="str">
        <f t="shared" si="64"/>
        <v>Residential_High Efficiency HVAC_Water Heating_Electric Storage Water Heater EF &gt;0.95</v>
      </c>
      <c r="F291" s="241" t="str">
        <f>INDEX('VDSM MAPPING'!E:E,MATCH($D291,'VDSM MAPPING'!$A:$A,0))</f>
        <v>Residential</v>
      </c>
      <c r="G291" s="241" t="str">
        <f>INDEX('VDSM MAPPING'!F:F,MATCH($D291,'VDSM MAPPING'!$A:$A,0))</f>
        <v>High Efficiency HVAC</v>
      </c>
      <c r="H291" s="241" t="str">
        <f>INDEX('VDSM MAPPING'!G:G,MATCH($D291,'VDSM MAPPING'!$A:$A,0))</f>
        <v>Water Heating</v>
      </c>
      <c r="I291" s="241" t="str">
        <f>INDEX('VDSM MAPPING'!H:H,MATCH($D291,'VDSM MAPPING'!$A:$A,0))</f>
        <v>Electric Storage Water Heater EF &gt;0.95</v>
      </c>
      <c r="J291" s="240">
        <f t="shared" si="65"/>
        <v>-2.4872614612517356</v>
      </c>
      <c r="K291" s="240">
        <f t="shared" si="66"/>
        <v>-2.55498738280951</v>
      </c>
      <c r="L291" s="240" t="b">
        <f t="shared" si="67"/>
        <v>1</v>
      </c>
      <c r="M291" s="240" t="b">
        <f t="shared" si="68"/>
        <v>1</v>
      </c>
      <c r="N291" s="204" t="s">
        <v>289</v>
      </c>
      <c r="O291" s="204" t="s">
        <v>2012</v>
      </c>
      <c r="P291" s="350">
        <v>1</v>
      </c>
      <c r="Q291" s="204" t="s">
        <v>2012</v>
      </c>
      <c r="R291" s="204" t="s">
        <v>2011</v>
      </c>
      <c r="S291" s="204" t="s">
        <v>2010</v>
      </c>
      <c r="T291" s="204" t="s">
        <v>2009</v>
      </c>
      <c r="V291" s="204" t="s">
        <v>2008</v>
      </c>
      <c r="W291" s="204" t="s">
        <v>320</v>
      </c>
      <c r="X291" s="204" t="s">
        <v>297</v>
      </c>
      <c r="Y291" s="204" t="s">
        <v>319</v>
      </c>
      <c r="Z291" s="204" t="s">
        <v>1871</v>
      </c>
      <c r="AA291" s="204" t="s">
        <v>1870</v>
      </c>
      <c r="AB291" s="204" t="s">
        <v>320</v>
      </c>
      <c r="AC291" s="204" t="s">
        <v>297</v>
      </c>
      <c r="AD291" s="204" t="s">
        <v>319</v>
      </c>
      <c r="AE291" s="204" t="s">
        <v>1869</v>
      </c>
      <c r="AF291" s="204" t="s">
        <v>1868</v>
      </c>
      <c r="AG291" s="204" t="s">
        <v>1773</v>
      </c>
      <c r="AH291" s="204" t="s">
        <v>1826</v>
      </c>
      <c r="AO291" s="204" t="s">
        <v>1825</v>
      </c>
      <c r="AR291" s="204" t="s">
        <v>1923</v>
      </c>
      <c r="AS291" s="204" t="s">
        <v>1823</v>
      </c>
      <c r="AV291" s="204" t="s">
        <v>2007</v>
      </c>
      <c r="AX291" s="204">
        <v>1</v>
      </c>
      <c r="AY291" s="204">
        <v>0</v>
      </c>
      <c r="AZ291" s="204">
        <v>8.4499999999999992E-3</v>
      </c>
      <c r="BB291" s="204">
        <v>74.061549999999997</v>
      </c>
      <c r="BH291" s="204">
        <v>0</v>
      </c>
      <c r="BI291" s="204">
        <v>52.5</v>
      </c>
      <c r="BJ291" s="204">
        <v>42685</v>
      </c>
      <c r="BK291" s="204">
        <v>42685.529464502302</v>
      </c>
      <c r="BL291" s="204" t="s">
        <v>293</v>
      </c>
      <c r="BM291" s="204" t="s">
        <v>2006</v>
      </c>
      <c r="BN291" s="242">
        <f t="shared" si="69"/>
        <v>74.061549999999997</v>
      </c>
      <c r="BO291" s="242">
        <f t="shared" si="70"/>
        <v>52.5</v>
      </c>
      <c r="BP291" s="242">
        <f>INDEX('App Data Outliers'!$M:$M,MATCH($E291,'App Data Outliers'!$A:$A,0))</f>
        <v>164.03409531250006</v>
      </c>
      <c r="BQ291" s="242">
        <f>INDEX('App Data Outliers'!$N:$N,MATCH($E291,'App Data Outliers'!$A:$A,0))</f>
        <v>36.173336303462285</v>
      </c>
      <c r="BR291" s="242">
        <f>INDEX('App Data Outliers'!$S:$S,MATCH($E291,'App Data Outliers'!$A:$A,0))</f>
        <v>83.125</v>
      </c>
      <c r="BS291" s="242">
        <f>INDEX('App Data Outliers'!$T:$T,MATCH($E291,'App Data Outliers'!$A:$A,0))</f>
        <v>11.986360561328565</v>
      </c>
    </row>
    <row r="292" spans="1:71" s="204" customFormat="1" hidden="1">
      <c r="A292" s="241">
        <v>288</v>
      </c>
      <c r="B292" s="241" t="str">
        <f t="shared" si="61"/>
        <v>Residential - BHPSD - Residential Energy Efficiency Rebate</v>
      </c>
      <c r="C292" s="241" t="b">
        <f t="shared" si="62"/>
        <v>1</v>
      </c>
      <c r="D292" s="241" t="str">
        <f t="shared" si="63"/>
        <v>Residential - BHPSD - Residential Energy Efficiency Rebate_Residential Heat Pumps :- Residential Mini-Split :- Customer Incentives_Ductless Mini-Split HP SEER &gt;= 19</v>
      </c>
      <c r="E292" s="241" t="str">
        <f t="shared" si="64"/>
        <v>Residential_High Efficiency HVAC_HVAC_Ductless Mini-Split HP SEER ≥19</v>
      </c>
      <c r="F292" s="241" t="str">
        <f>INDEX('VDSM MAPPING'!E:E,MATCH($D292,'VDSM MAPPING'!$A:$A,0))</f>
        <v>Residential</v>
      </c>
      <c r="G292" s="241" t="str">
        <f>INDEX('VDSM MAPPING'!F:F,MATCH($D292,'VDSM MAPPING'!$A:$A,0))</f>
        <v>High Efficiency HVAC</v>
      </c>
      <c r="H292" s="241" t="str">
        <f>INDEX('VDSM MAPPING'!G:G,MATCH($D292,'VDSM MAPPING'!$A:$A,0))</f>
        <v>HVAC</v>
      </c>
      <c r="I292" s="241" t="str">
        <f>INDEX('VDSM MAPPING'!H:H,MATCH($D292,'VDSM MAPPING'!$A:$A,0))</f>
        <v>Ductless Mini-Split HP SEER ≥19</v>
      </c>
      <c r="J292" s="240">
        <f t="shared" si="65"/>
        <v>-0.56730746268964827</v>
      </c>
      <c r="K292" s="240">
        <f t="shared" si="66"/>
        <v>-0.92571866782486023</v>
      </c>
      <c r="L292" s="240" t="b">
        <f t="shared" si="67"/>
        <v>0</v>
      </c>
      <c r="M292" s="240" t="b">
        <f t="shared" si="68"/>
        <v>0</v>
      </c>
      <c r="N292" s="204" t="s">
        <v>289</v>
      </c>
      <c r="O292" s="204" t="s">
        <v>2005</v>
      </c>
      <c r="P292" s="350">
        <v>1</v>
      </c>
      <c r="Q292" s="204" t="s">
        <v>2005</v>
      </c>
      <c r="R292" s="204" t="s">
        <v>2004</v>
      </c>
      <c r="S292" s="204" t="s">
        <v>2003</v>
      </c>
      <c r="T292" s="204" t="s">
        <v>2002</v>
      </c>
      <c r="V292" s="204" t="s">
        <v>2001</v>
      </c>
      <c r="W292" s="204" t="s">
        <v>2000</v>
      </c>
      <c r="X292" s="204" t="s">
        <v>297</v>
      </c>
      <c r="Y292" s="204" t="s">
        <v>1999</v>
      </c>
      <c r="Z292" s="204" t="s">
        <v>601</v>
      </c>
      <c r="AA292" s="204" t="s">
        <v>600</v>
      </c>
      <c r="AB292" s="204" t="s">
        <v>329</v>
      </c>
      <c r="AC292" s="204" t="s">
        <v>297</v>
      </c>
      <c r="AD292" s="204" t="s">
        <v>599</v>
      </c>
      <c r="AE292" s="204" t="s">
        <v>598</v>
      </c>
      <c r="AG292" s="204" t="s">
        <v>1680</v>
      </c>
      <c r="AH292" s="204" t="s">
        <v>1679</v>
      </c>
      <c r="AO292" s="204" t="s">
        <v>1998</v>
      </c>
      <c r="AV292" s="204" t="s">
        <v>1997</v>
      </c>
      <c r="AX292" s="204">
        <v>2</v>
      </c>
      <c r="AY292" s="204">
        <v>0</v>
      </c>
      <c r="AZ292" s="204">
        <v>1.41</v>
      </c>
      <c r="BB292" s="204">
        <v>3709.85</v>
      </c>
      <c r="BH292" s="204">
        <v>0</v>
      </c>
      <c r="BI292" s="204">
        <v>150</v>
      </c>
      <c r="BJ292" s="204">
        <v>42774</v>
      </c>
      <c r="BK292" s="204">
        <v>42689.713485300897</v>
      </c>
      <c r="BL292" s="204" t="s">
        <v>293</v>
      </c>
      <c r="BM292" s="204" t="s">
        <v>1996</v>
      </c>
      <c r="BN292" s="269">
        <f t="shared" si="69"/>
        <v>1854.925</v>
      </c>
      <c r="BO292" s="269">
        <f t="shared" si="70"/>
        <v>75</v>
      </c>
      <c r="BP292" s="269">
        <f>INDEX('App Data Outliers'!$M:$M,MATCH($E292,'App Data Outliers'!$A:$A,0))</f>
        <v>2495.8377857142855</v>
      </c>
      <c r="BQ292" s="269">
        <f>INDEX('App Data Outliers'!$N:$N,MATCH($E292,'App Data Outliers'!$A:$A,0))</f>
        <v>1129.7450286933804</v>
      </c>
      <c r="BR292" s="269">
        <f>INDEX('App Data Outliers'!$S:$S,MATCH($E292,'App Data Outliers'!$A:$A,0))</f>
        <v>107.14285714285714</v>
      </c>
      <c r="BS292" s="269">
        <f>INDEX('App Data Outliers'!$T:$T,MATCH($E292,'App Data Outliers'!$A:$A,0))</f>
        <v>34.722057856284209</v>
      </c>
    </row>
    <row r="293" spans="1:71" s="204" customFormat="1" hidden="1">
      <c r="A293" s="241">
        <v>289</v>
      </c>
      <c r="B293" s="241" t="str">
        <f t="shared" si="61"/>
        <v>Residential - BHPSD - Residential Energy Efficiency Rebate</v>
      </c>
      <c r="C293" s="241" t="b">
        <f t="shared" si="62"/>
        <v>1</v>
      </c>
      <c r="D293" s="241" t="str">
        <f t="shared" si="63"/>
        <v>Residential - BHPSD - Residential Energy Efficiency Rebate_Residential Water Heating :- Customer Incentives_Electric Water Heater - EF &gt;= 0.95</v>
      </c>
      <c r="E293" s="241" t="str">
        <f t="shared" si="64"/>
        <v>Residential_High Efficiency HVAC_Water Heating_Electric Storage Water Heater EF &gt;0.95</v>
      </c>
      <c r="F293" s="241" t="str">
        <f>INDEX('VDSM MAPPING'!E:E,MATCH($D293,'VDSM MAPPING'!$A:$A,0))</f>
        <v>Residential</v>
      </c>
      <c r="G293" s="241" t="str">
        <f>INDEX('VDSM MAPPING'!F:F,MATCH($D293,'VDSM MAPPING'!$A:$A,0))</f>
        <v>High Efficiency HVAC</v>
      </c>
      <c r="H293" s="241" t="str">
        <f>INDEX('VDSM MAPPING'!G:G,MATCH($D293,'VDSM MAPPING'!$A:$A,0))</f>
        <v>Water Heating</v>
      </c>
      <c r="I293" s="241" t="str">
        <f>INDEX('VDSM MAPPING'!H:H,MATCH($D293,'VDSM MAPPING'!$A:$A,0))</f>
        <v>Electric Storage Water Heater EF &gt;0.95</v>
      </c>
      <c r="J293" s="240">
        <f t="shared" si="65"/>
        <v>-1.0590854819446998</v>
      </c>
      <c r="K293" s="240">
        <f t="shared" si="66"/>
        <v>-1.0949945926326472</v>
      </c>
      <c r="L293" s="240" t="b">
        <f t="shared" si="67"/>
        <v>0</v>
      </c>
      <c r="M293" s="240" t="b">
        <f t="shared" si="68"/>
        <v>0</v>
      </c>
      <c r="N293" s="204" t="s">
        <v>289</v>
      </c>
      <c r="O293" s="204" t="s">
        <v>1995</v>
      </c>
      <c r="P293" s="350">
        <v>1</v>
      </c>
      <c r="Q293" s="204" t="s">
        <v>1995</v>
      </c>
      <c r="R293" s="204" t="s">
        <v>1994</v>
      </c>
      <c r="S293" s="204" t="s">
        <v>1993</v>
      </c>
      <c r="T293" s="204" t="s">
        <v>1992</v>
      </c>
      <c r="V293" s="204" t="s">
        <v>1991</v>
      </c>
      <c r="W293" s="204" t="s">
        <v>329</v>
      </c>
      <c r="X293" s="204" t="s">
        <v>297</v>
      </c>
      <c r="Y293" s="204" t="s">
        <v>328</v>
      </c>
      <c r="Z293" s="204" t="s">
        <v>1788</v>
      </c>
      <c r="AA293" s="204" t="s">
        <v>958</v>
      </c>
      <c r="AB293" s="204" t="s">
        <v>329</v>
      </c>
      <c r="AC293" s="204" t="s">
        <v>297</v>
      </c>
      <c r="AD293" s="204" t="s">
        <v>397</v>
      </c>
      <c r="AE293" s="204" t="s">
        <v>957</v>
      </c>
      <c r="AG293" s="204" t="s">
        <v>1773</v>
      </c>
      <c r="AH293" s="204" t="s">
        <v>1826</v>
      </c>
      <c r="AO293" s="204" t="s">
        <v>1825</v>
      </c>
      <c r="AR293" s="204" t="s">
        <v>1824</v>
      </c>
      <c r="AS293" s="204" t="s">
        <v>1823</v>
      </c>
      <c r="AV293" s="204" t="s">
        <v>1990</v>
      </c>
      <c r="AX293" s="204">
        <v>1</v>
      </c>
      <c r="AY293" s="204">
        <v>0</v>
      </c>
      <c r="AZ293" s="204">
        <v>1.435E-2</v>
      </c>
      <c r="BB293" s="204">
        <v>125.72344</v>
      </c>
      <c r="BH293" s="204">
        <v>0</v>
      </c>
      <c r="BI293" s="204">
        <v>70</v>
      </c>
      <c r="BJ293" s="204">
        <v>42774</v>
      </c>
      <c r="BK293" s="204">
        <v>42689.723153090301</v>
      </c>
      <c r="BL293" s="204" t="s">
        <v>293</v>
      </c>
      <c r="BM293" s="204" t="s">
        <v>1989</v>
      </c>
      <c r="BN293" s="269">
        <f t="shared" si="69"/>
        <v>125.72344</v>
      </c>
      <c r="BO293" s="269">
        <f t="shared" si="70"/>
        <v>70</v>
      </c>
      <c r="BP293" s="269">
        <f>INDEX('App Data Outliers'!$M:$M,MATCH($E293,'App Data Outliers'!$A:$A,0))</f>
        <v>164.03409531250006</v>
      </c>
      <c r="BQ293" s="269">
        <f>INDEX('App Data Outliers'!$N:$N,MATCH($E293,'App Data Outliers'!$A:$A,0))</f>
        <v>36.173336303462285</v>
      </c>
      <c r="BR293" s="269">
        <f>INDEX('App Data Outliers'!$S:$S,MATCH($E293,'App Data Outliers'!$A:$A,0))</f>
        <v>83.125</v>
      </c>
      <c r="BS293" s="269">
        <f>INDEX('App Data Outliers'!$T:$T,MATCH($E293,'App Data Outliers'!$A:$A,0))</f>
        <v>11.986360561328565</v>
      </c>
    </row>
    <row r="294" spans="1:71" s="204" customFormat="1" hidden="1">
      <c r="A294" s="241">
        <v>290</v>
      </c>
      <c r="B294" s="241" t="str">
        <f t="shared" si="61"/>
        <v>Residential - BHPSD - Residential Energy Efficiency Rebate</v>
      </c>
      <c r="C294" s="241" t="b">
        <f t="shared" si="62"/>
        <v>1</v>
      </c>
      <c r="D294" s="241" t="str">
        <f t="shared" si="63"/>
        <v>Residential - BHPSD - Residential Energy Efficiency Rebate_Residential Heat Pumps :- Residential Mini-Split :- Customer Incentives_Ductless Mini-Split HP SEER &gt;= 19</v>
      </c>
      <c r="E294" s="241" t="str">
        <f t="shared" si="64"/>
        <v>Residential_High Efficiency HVAC_HVAC_Ductless Mini-Split HP SEER ≥19</v>
      </c>
      <c r="F294" s="241" t="str">
        <f>INDEX('VDSM MAPPING'!E:E,MATCH($D294,'VDSM MAPPING'!$A:$A,0))</f>
        <v>Residential</v>
      </c>
      <c r="G294" s="241" t="str">
        <f>INDEX('VDSM MAPPING'!F:F,MATCH($D294,'VDSM MAPPING'!$A:$A,0))</f>
        <v>High Efficiency HVAC</v>
      </c>
      <c r="H294" s="241" t="str">
        <f>INDEX('VDSM MAPPING'!G:G,MATCH($D294,'VDSM MAPPING'!$A:$A,0))</f>
        <v>HVAC</v>
      </c>
      <c r="I294" s="241" t="str">
        <f>INDEX('VDSM MAPPING'!H:H,MATCH($D294,'VDSM MAPPING'!$A:$A,0))</f>
        <v>Ductless Mini-Split HP SEER ≥19</v>
      </c>
      <c r="J294" s="240">
        <f t="shared" si="65"/>
        <v>5.6572183310301203E-3</v>
      </c>
      <c r="K294" s="240">
        <f t="shared" si="66"/>
        <v>-0.2057152595166355</v>
      </c>
      <c r="L294" s="240" t="b">
        <f t="shared" si="67"/>
        <v>0</v>
      </c>
      <c r="M294" s="240" t="b">
        <f t="shared" si="68"/>
        <v>0</v>
      </c>
      <c r="N294" s="204" t="s">
        <v>289</v>
      </c>
      <c r="O294" s="204" t="s">
        <v>1988</v>
      </c>
      <c r="P294" s="350">
        <v>1</v>
      </c>
      <c r="Q294" s="204" t="s">
        <v>1988</v>
      </c>
      <c r="R294" s="204" t="s">
        <v>1987</v>
      </c>
      <c r="S294" s="204" t="s">
        <v>1986</v>
      </c>
      <c r="T294" s="204" t="s">
        <v>1985</v>
      </c>
      <c r="V294" s="204" t="s">
        <v>1984</v>
      </c>
      <c r="W294" s="204" t="s">
        <v>320</v>
      </c>
      <c r="X294" s="204" t="s">
        <v>297</v>
      </c>
      <c r="Y294" s="204" t="s">
        <v>319</v>
      </c>
      <c r="Z294" s="204" t="s">
        <v>1736</v>
      </c>
      <c r="AA294" s="204" t="s">
        <v>1735</v>
      </c>
      <c r="AB294" s="204" t="s">
        <v>320</v>
      </c>
      <c r="AC294" s="204" t="s">
        <v>297</v>
      </c>
      <c r="AD294" s="204" t="s">
        <v>319</v>
      </c>
      <c r="AE294" s="204" t="s">
        <v>1734</v>
      </c>
      <c r="AG294" s="204" t="s">
        <v>1680</v>
      </c>
      <c r="AH294" s="204" t="s">
        <v>1679</v>
      </c>
      <c r="AO294" s="204" t="s">
        <v>1979</v>
      </c>
      <c r="AV294" s="204" t="s">
        <v>1968</v>
      </c>
      <c r="AX294" s="204">
        <v>1</v>
      </c>
      <c r="AY294" s="204">
        <v>0</v>
      </c>
      <c r="AZ294" s="204">
        <v>1.05</v>
      </c>
      <c r="BB294" s="204">
        <v>2502.2289999999998</v>
      </c>
      <c r="BH294" s="204">
        <v>0</v>
      </c>
      <c r="BI294" s="204">
        <v>100</v>
      </c>
      <c r="BJ294" s="204">
        <v>42691</v>
      </c>
      <c r="BK294" s="204">
        <v>42691.451664733802</v>
      </c>
      <c r="BL294" s="204" t="s">
        <v>293</v>
      </c>
      <c r="BM294" s="204" t="s">
        <v>1983</v>
      </c>
      <c r="BN294" s="269">
        <f t="shared" si="69"/>
        <v>2502.2289999999998</v>
      </c>
      <c r="BO294" s="269">
        <f t="shared" si="70"/>
        <v>100</v>
      </c>
      <c r="BP294" s="269">
        <f>INDEX('App Data Outliers'!$M:$M,MATCH($E294,'App Data Outliers'!$A:$A,0))</f>
        <v>2495.8377857142855</v>
      </c>
      <c r="BQ294" s="269">
        <f>INDEX('App Data Outliers'!$N:$N,MATCH($E294,'App Data Outliers'!$A:$A,0))</f>
        <v>1129.7450286933804</v>
      </c>
      <c r="BR294" s="269">
        <f>INDEX('App Data Outliers'!$S:$S,MATCH($E294,'App Data Outliers'!$A:$A,0))</f>
        <v>107.14285714285714</v>
      </c>
      <c r="BS294" s="269">
        <f>INDEX('App Data Outliers'!$T:$T,MATCH($E294,'App Data Outliers'!$A:$A,0))</f>
        <v>34.722057856284209</v>
      </c>
    </row>
    <row r="295" spans="1:71" s="204" customFormat="1" hidden="1">
      <c r="A295" s="241">
        <v>291</v>
      </c>
      <c r="B295" s="241" t="str">
        <f t="shared" si="61"/>
        <v>Residential - BHPSD - Residential Energy Efficiency Rebate</v>
      </c>
      <c r="C295" s="241" t="b">
        <f t="shared" si="62"/>
        <v>1</v>
      </c>
      <c r="D295" s="241" t="str">
        <f t="shared" si="63"/>
        <v>Residential - BHPSD - Residential Energy Efficiency Rebate_Residential Heat Pumps :- Residential Mini-Split :- Customer Incentives_Ductless Mini-Split HP SEER &gt;= 19</v>
      </c>
      <c r="E295" s="241" t="str">
        <f t="shared" si="64"/>
        <v>Residential_High Efficiency HVAC_HVAC_Ductless Mini-Split HP SEER ≥19</v>
      </c>
      <c r="F295" s="241" t="str">
        <f>INDEX('VDSM MAPPING'!E:E,MATCH($D295,'VDSM MAPPING'!$A:$A,0))</f>
        <v>Residential</v>
      </c>
      <c r="G295" s="241" t="str">
        <f>INDEX('VDSM MAPPING'!F:F,MATCH($D295,'VDSM MAPPING'!$A:$A,0))</f>
        <v>High Efficiency HVAC</v>
      </c>
      <c r="H295" s="241" t="str">
        <f>INDEX('VDSM MAPPING'!G:G,MATCH($D295,'VDSM MAPPING'!$A:$A,0))</f>
        <v>HVAC</v>
      </c>
      <c r="I295" s="241" t="str">
        <f>INDEX('VDSM MAPPING'!H:H,MATCH($D295,'VDSM MAPPING'!$A:$A,0))</f>
        <v>Ductless Mini-Split HP SEER ≥19</v>
      </c>
      <c r="J295" s="240">
        <f t="shared" si="65"/>
        <v>5.6572183310301203E-3</v>
      </c>
      <c r="K295" s="240">
        <f t="shared" si="66"/>
        <v>-0.2057152595166355</v>
      </c>
      <c r="L295" s="240" t="b">
        <f t="shared" si="67"/>
        <v>0</v>
      </c>
      <c r="M295" s="240" t="b">
        <f t="shared" si="68"/>
        <v>0</v>
      </c>
      <c r="N295" s="204" t="s">
        <v>289</v>
      </c>
      <c r="O295" s="204" t="s">
        <v>1982</v>
      </c>
      <c r="P295" s="350">
        <v>1</v>
      </c>
      <c r="Q295" s="204" t="s">
        <v>1982</v>
      </c>
      <c r="R295" s="204" t="s">
        <v>1981</v>
      </c>
      <c r="S295" s="204" t="s">
        <v>1101</v>
      </c>
      <c r="T295" s="204" t="s">
        <v>1396</v>
      </c>
      <c r="V295" s="204" t="s">
        <v>1980</v>
      </c>
      <c r="W295" s="204" t="s">
        <v>730</v>
      </c>
      <c r="X295" s="204" t="s">
        <v>297</v>
      </c>
      <c r="Y295" s="204" t="s">
        <v>729</v>
      </c>
      <c r="Z295" s="204" t="s">
        <v>1736</v>
      </c>
      <c r="AA295" s="204" t="s">
        <v>1735</v>
      </c>
      <c r="AB295" s="204" t="s">
        <v>320</v>
      </c>
      <c r="AC295" s="204" t="s">
        <v>297</v>
      </c>
      <c r="AD295" s="204" t="s">
        <v>319</v>
      </c>
      <c r="AE295" s="204" t="s">
        <v>1734</v>
      </c>
      <c r="AG295" s="204" t="s">
        <v>1680</v>
      </c>
      <c r="AH295" s="204" t="s">
        <v>1679</v>
      </c>
      <c r="AO295" s="204" t="s">
        <v>1979</v>
      </c>
      <c r="AV295" s="204" t="s">
        <v>1968</v>
      </c>
      <c r="AX295" s="204">
        <v>1</v>
      </c>
      <c r="AY295" s="204">
        <v>0</v>
      </c>
      <c r="AZ295" s="204">
        <v>1.05</v>
      </c>
      <c r="BB295" s="204">
        <v>2502.2289999999998</v>
      </c>
      <c r="BH295" s="204">
        <v>0</v>
      </c>
      <c r="BI295" s="204">
        <v>100</v>
      </c>
      <c r="BJ295" s="204">
        <v>42695</v>
      </c>
      <c r="BK295" s="204">
        <v>42695.759669131898</v>
      </c>
      <c r="BL295" s="204" t="s">
        <v>293</v>
      </c>
      <c r="BM295" s="204" t="s">
        <v>1978</v>
      </c>
      <c r="BN295" s="269">
        <f t="shared" si="69"/>
        <v>2502.2289999999998</v>
      </c>
      <c r="BO295" s="269">
        <f t="shared" si="70"/>
        <v>100</v>
      </c>
      <c r="BP295" s="269">
        <f>INDEX('App Data Outliers'!$M:$M,MATCH($E295,'App Data Outliers'!$A:$A,0))</f>
        <v>2495.8377857142855</v>
      </c>
      <c r="BQ295" s="269">
        <f>INDEX('App Data Outliers'!$N:$N,MATCH($E295,'App Data Outliers'!$A:$A,0))</f>
        <v>1129.7450286933804</v>
      </c>
      <c r="BR295" s="269">
        <f>INDEX('App Data Outliers'!$S:$S,MATCH($E295,'App Data Outliers'!$A:$A,0))</f>
        <v>107.14285714285714</v>
      </c>
      <c r="BS295" s="269">
        <f>INDEX('App Data Outliers'!$T:$T,MATCH($E295,'App Data Outliers'!$A:$A,0))</f>
        <v>34.722057856284209</v>
      </c>
    </row>
    <row r="296" spans="1:71" s="204" customFormat="1" hidden="1">
      <c r="A296" s="241">
        <v>292</v>
      </c>
      <c r="B296" s="241" t="str">
        <f t="shared" si="61"/>
        <v>Residential - BHPSD - Residential Energy Efficiency Rebate</v>
      </c>
      <c r="C296" s="241" t="b">
        <f t="shared" si="62"/>
        <v>1</v>
      </c>
      <c r="D296" s="241" t="str">
        <f t="shared" si="63"/>
        <v>Residential - BHPSD - Residential Energy Efficiency Rebate_Residential Heat Pumps :- Residential Heat Pumps - ER Heat Pump :- Customer Incentives_Early Retirement Heat Pump (1-5 tons)</v>
      </c>
      <c r="E296" s="241" t="str">
        <f t="shared" si="64"/>
        <v>Residential_High Efficiency HVAC_HVAC_Early Retirement Heat Pump SEER 15</v>
      </c>
      <c r="F296" s="241" t="str">
        <f>INDEX('VDSM MAPPING'!E:E,MATCH($D296,'VDSM MAPPING'!$A:$A,0))</f>
        <v>Residential</v>
      </c>
      <c r="G296" s="241" t="str">
        <f>INDEX('VDSM MAPPING'!F:F,MATCH($D296,'VDSM MAPPING'!$A:$A,0))</f>
        <v>High Efficiency HVAC</v>
      </c>
      <c r="H296" s="241" t="str">
        <f>INDEX('VDSM MAPPING'!G:G,MATCH($D296,'VDSM MAPPING'!$A:$A,0))</f>
        <v>HVAC</v>
      </c>
      <c r="I296" s="241" t="str">
        <f>INDEX('VDSM MAPPING'!H:H,MATCH($D296,'VDSM MAPPING'!$A:$A,0))</f>
        <v>Early Retirement Heat Pump SEER 15</v>
      </c>
      <c r="J296" s="240">
        <f t="shared" si="65"/>
        <v>0.64160306421937419</v>
      </c>
      <c r="K296" s="240">
        <f t="shared" si="66"/>
        <v>0.67445327343346206</v>
      </c>
      <c r="L296" s="240" t="b">
        <f t="shared" si="67"/>
        <v>0</v>
      </c>
      <c r="M296" s="240" t="b">
        <f t="shared" si="68"/>
        <v>0</v>
      </c>
      <c r="N296" s="204" t="s">
        <v>289</v>
      </c>
      <c r="O296" s="204" t="s">
        <v>1977</v>
      </c>
      <c r="P296" s="350">
        <v>1</v>
      </c>
      <c r="Q296" s="204" t="s">
        <v>1977</v>
      </c>
      <c r="R296" s="204" t="s">
        <v>1794</v>
      </c>
      <c r="S296" s="204" t="s">
        <v>1793</v>
      </c>
      <c r="T296" s="204" t="s">
        <v>1792</v>
      </c>
      <c r="U296" s="204" t="s">
        <v>1976</v>
      </c>
      <c r="V296" s="204" t="s">
        <v>1790</v>
      </c>
      <c r="W296" s="204" t="s">
        <v>1789</v>
      </c>
      <c r="X296" s="204" t="s">
        <v>297</v>
      </c>
      <c r="Y296" s="204" t="s">
        <v>412</v>
      </c>
      <c r="Z296" s="204" t="s">
        <v>601</v>
      </c>
      <c r="AA296" s="204" t="s">
        <v>600</v>
      </c>
      <c r="AB296" s="204" t="s">
        <v>329</v>
      </c>
      <c r="AC296" s="204" t="s">
        <v>297</v>
      </c>
      <c r="AD296" s="204" t="s">
        <v>599</v>
      </c>
      <c r="AE296" s="204" t="s">
        <v>598</v>
      </c>
      <c r="AG296" s="204" t="s">
        <v>1706</v>
      </c>
      <c r="AH296" s="204" t="s">
        <v>1705</v>
      </c>
      <c r="AX296" s="204">
        <v>1</v>
      </c>
      <c r="AY296" s="204">
        <v>0</v>
      </c>
      <c r="AZ296" s="204">
        <v>2.8969999999999998</v>
      </c>
      <c r="BB296" s="204">
        <v>5654.0929999999998</v>
      </c>
      <c r="BH296" s="204">
        <v>0</v>
      </c>
      <c r="BI296" s="204">
        <v>800</v>
      </c>
      <c r="BJ296" s="204">
        <v>42697</v>
      </c>
      <c r="BK296" s="204">
        <v>42697.923040891197</v>
      </c>
      <c r="BL296" s="204" t="s">
        <v>293</v>
      </c>
      <c r="BM296" s="204" t="s">
        <v>1975</v>
      </c>
      <c r="BN296" s="269">
        <f t="shared" si="69"/>
        <v>5654.0929999999998</v>
      </c>
      <c r="BO296" s="269">
        <f t="shared" si="70"/>
        <v>800</v>
      </c>
      <c r="BP296" s="269">
        <f>INDEX('App Data Outliers'!$M:$M,MATCH($E296,'App Data Outliers'!$A:$A,0))</f>
        <v>4727.4153333333334</v>
      </c>
      <c r="BQ296" s="269">
        <f>INDEX('App Data Outliers'!$N:$N,MATCH($E296,'App Data Outliers'!$A:$A,0))</f>
        <v>1444.3161486364422</v>
      </c>
      <c r="BR296" s="269">
        <f>INDEX('App Data Outliers'!$S:$S,MATCH($E296,'App Data Outliers'!$A:$A,0))</f>
        <v>677.77777777777783</v>
      </c>
      <c r="BS296" s="269">
        <f>INDEX('App Data Outliers'!$T:$T,MATCH($E296,'App Data Outliers'!$A:$A,0))</f>
        <v>181.21673811444546</v>
      </c>
    </row>
    <row r="297" spans="1:71" s="204" customFormat="1" hidden="1">
      <c r="A297" s="241">
        <v>293</v>
      </c>
      <c r="B297" s="241" t="str">
        <f t="shared" si="61"/>
        <v>Residential - BHPSD - Residential Energy Efficiency Rebate</v>
      </c>
      <c r="C297" s="241" t="b">
        <f t="shared" si="62"/>
        <v>1</v>
      </c>
      <c r="D297" s="241" t="str">
        <f t="shared" si="63"/>
        <v>Residential - BHPSD - Residential Energy Efficiency Rebate_Residential Heat Pumps :- Residential Mini-Split :- Customer Incentives_Ductless Mini-Split HP SEER &gt;= 19</v>
      </c>
      <c r="E297" s="241" t="str">
        <f t="shared" si="64"/>
        <v>Residential_High Efficiency HVAC_HVAC_Ductless Mini-Split HP SEER ≥19</v>
      </c>
      <c r="F297" s="241" t="str">
        <f>INDEX('VDSM MAPPING'!E:E,MATCH($D297,'VDSM MAPPING'!$A:$A,0))</f>
        <v>Residential</v>
      </c>
      <c r="G297" s="241" t="str">
        <f>INDEX('VDSM MAPPING'!F:F,MATCH($D297,'VDSM MAPPING'!$A:$A,0))</f>
        <v>High Efficiency HVAC</v>
      </c>
      <c r="H297" s="241" t="str">
        <f>INDEX('VDSM MAPPING'!G:G,MATCH($D297,'VDSM MAPPING'!$A:$A,0))</f>
        <v>HVAC</v>
      </c>
      <c r="I297" s="241" t="str">
        <f>INDEX('VDSM MAPPING'!H:H,MATCH($D297,'VDSM MAPPING'!$A:$A,0))</f>
        <v>Ductless Mini-Split HP SEER ≥19</v>
      </c>
      <c r="J297" s="240">
        <f t="shared" si="65"/>
        <v>-0.85008454237238162</v>
      </c>
      <c r="K297" s="240">
        <f t="shared" si="66"/>
        <v>-0.2057152595166355</v>
      </c>
      <c r="L297" s="240" t="b">
        <f t="shared" si="67"/>
        <v>0</v>
      </c>
      <c r="M297" s="240" t="b">
        <f t="shared" si="68"/>
        <v>0</v>
      </c>
      <c r="N297" s="204" t="s">
        <v>289</v>
      </c>
      <c r="O297" s="204" t="s">
        <v>1974</v>
      </c>
      <c r="P297" s="350">
        <v>1</v>
      </c>
      <c r="Q297" s="204" t="s">
        <v>1974</v>
      </c>
      <c r="R297" s="204" t="s">
        <v>1973</v>
      </c>
      <c r="S297" s="204" t="s">
        <v>1972</v>
      </c>
      <c r="T297" s="204" t="s">
        <v>1971</v>
      </c>
      <c r="V297" s="204" t="s">
        <v>1970</v>
      </c>
      <c r="W297" s="204" t="s">
        <v>320</v>
      </c>
      <c r="X297" s="204" t="s">
        <v>297</v>
      </c>
      <c r="Y297" s="204" t="s">
        <v>319</v>
      </c>
      <c r="Z297" s="204" t="s">
        <v>1736</v>
      </c>
      <c r="AA297" s="204" t="s">
        <v>1735</v>
      </c>
      <c r="AB297" s="204" t="s">
        <v>320</v>
      </c>
      <c r="AC297" s="204" t="s">
        <v>297</v>
      </c>
      <c r="AD297" s="204" t="s">
        <v>319</v>
      </c>
      <c r="AE297" s="204" t="s">
        <v>1734</v>
      </c>
      <c r="AG297" s="204" t="s">
        <v>1680</v>
      </c>
      <c r="AH297" s="204" t="s">
        <v>1679</v>
      </c>
      <c r="AO297" s="204" t="s">
        <v>1969</v>
      </c>
      <c r="AV297" s="204" t="s">
        <v>1968</v>
      </c>
      <c r="AX297" s="204">
        <v>1</v>
      </c>
      <c r="AY297" s="204">
        <v>0</v>
      </c>
      <c r="AZ297" s="204">
        <v>0.64400000000000002</v>
      </c>
      <c r="BB297" s="204">
        <v>1535.4590000000001</v>
      </c>
      <c r="BH297" s="204">
        <v>0</v>
      </c>
      <c r="BI297" s="204">
        <v>100</v>
      </c>
      <c r="BJ297" s="204">
        <v>42702</v>
      </c>
      <c r="BK297" s="204">
        <v>42702.4599105671</v>
      </c>
      <c r="BL297" s="204" t="s">
        <v>293</v>
      </c>
      <c r="BM297" s="204" t="s">
        <v>1967</v>
      </c>
      <c r="BN297" s="269">
        <f t="shared" si="69"/>
        <v>1535.4590000000001</v>
      </c>
      <c r="BO297" s="269">
        <f t="shared" si="70"/>
        <v>100</v>
      </c>
      <c r="BP297" s="269">
        <f>INDEX('App Data Outliers'!$M:$M,MATCH($E297,'App Data Outliers'!$A:$A,0))</f>
        <v>2495.8377857142855</v>
      </c>
      <c r="BQ297" s="269">
        <f>INDEX('App Data Outliers'!$N:$N,MATCH($E297,'App Data Outliers'!$A:$A,0))</f>
        <v>1129.7450286933804</v>
      </c>
      <c r="BR297" s="269">
        <f>INDEX('App Data Outliers'!$S:$S,MATCH($E297,'App Data Outliers'!$A:$A,0))</f>
        <v>107.14285714285714</v>
      </c>
      <c r="BS297" s="269">
        <f>INDEX('App Data Outliers'!$T:$T,MATCH($E297,'App Data Outliers'!$A:$A,0))</f>
        <v>34.722057856284209</v>
      </c>
    </row>
    <row r="298" spans="1:71" s="204" customFormat="1" hidden="1">
      <c r="A298" s="241">
        <v>294</v>
      </c>
      <c r="B298" s="241" t="str">
        <f t="shared" si="61"/>
        <v>Residential - BHPSD - Residential Energy Efficiency Rebate</v>
      </c>
      <c r="C298" s="241" t="b">
        <f t="shared" si="62"/>
        <v>1</v>
      </c>
      <c r="D298" s="241" t="str">
        <f t="shared" si="63"/>
        <v>Residential - BHPSD - Residential Energy Efficiency Rebate_Residential Heat Pumps :- Residential Mini-Split :- Customer Incentives_Ductless Mini-Split HP SEER &gt;= 19</v>
      </c>
      <c r="E298" s="241" t="str">
        <f t="shared" si="64"/>
        <v>Residential_High Efficiency HVAC_HVAC_Ductless Mini-Split HP SEER ≥19</v>
      </c>
      <c r="F298" s="241" t="str">
        <f>INDEX('VDSM MAPPING'!E:E,MATCH($D298,'VDSM MAPPING'!$A:$A,0))</f>
        <v>Residential</v>
      </c>
      <c r="G298" s="241" t="str">
        <f>INDEX('VDSM MAPPING'!F:F,MATCH($D298,'VDSM MAPPING'!$A:$A,0))</f>
        <v>High Efficiency HVAC</v>
      </c>
      <c r="H298" s="241" t="str">
        <f>INDEX('VDSM MAPPING'!G:G,MATCH($D298,'VDSM MAPPING'!$A:$A,0))</f>
        <v>HVAC</v>
      </c>
      <c r="I298" s="241" t="str">
        <f>INDEX('VDSM MAPPING'!H:H,MATCH($D298,'VDSM MAPPING'!$A:$A,0))</f>
        <v>Ductless Mini-Split HP SEER ≥19</v>
      </c>
      <c r="J298" s="240">
        <f t="shared" si="65"/>
        <v>1.0084914607709574</v>
      </c>
      <c r="K298" s="240">
        <f t="shared" si="66"/>
        <v>1.2342915570998139</v>
      </c>
      <c r="L298" s="240" t="b">
        <f t="shared" si="67"/>
        <v>0</v>
      </c>
      <c r="M298" s="240" t="b">
        <f t="shared" si="68"/>
        <v>0</v>
      </c>
      <c r="N298" s="204" t="s">
        <v>289</v>
      </c>
      <c r="O298" s="204" t="s">
        <v>1963</v>
      </c>
      <c r="P298" s="350">
        <v>1</v>
      </c>
      <c r="Q298" s="204" t="s">
        <v>1963</v>
      </c>
      <c r="R298" s="204" t="s">
        <v>1962</v>
      </c>
      <c r="S298" s="204" t="s">
        <v>1961</v>
      </c>
      <c r="T298" s="204" t="s">
        <v>1960</v>
      </c>
      <c r="V298" s="204" t="s">
        <v>1959</v>
      </c>
      <c r="W298" s="204" t="s">
        <v>320</v>
      </c>
      <c r="X298" s="204" t="s">
        <v>297</v>
      </c>
      <c r="Y298" s="204" t="s">
        <v>319</v>
      </c>
      <c r="Z298" s="204" t="s">
        <v>1736</v>
      </c>
      <c r="AA298" s="204" t="s">
        <v>1735</v>
      </c>
      <c r="AB298" s="204" t="s">
        <v>320</v>
      </c>
      <c r="AC298" s="204" t="s">
        <v>297</v>
      </c>
      <c r="AD298" s="204" t="s">
        <v>319</v>
      </c>
      <c r="AE298" s="204" t="s">
        <v>1734</v>
      </c>
      <c r="AG298" s="204" t="s">
        <v>1680</v>
      </c>
      <c r="AH298" s="204" t="s">
        <v>1679</v>
      </c>
      <c r="AO298" s="204" t="s">
        <v>1966</v>
      </c>
      <c r="AV298" s="204" t="s">
        <v>1965</v>
      </c>
      <c r="AX298" s="204">
        <v>1</v>
      </c>
      <c r="AY298" s="204">
        <v>0</v>
      </c>
      <c r="AZ298" s="204">
        <v>1.3720000000000001</v>
      </c>
      <c r="BB298" s="204">
        <v>3635.1759999999999</v>
      </c>
      <c r="BH298" s="204">
        <v>0</v>
      </c>
      <c r="BI298" s="204">
        <v>150</v>
      </c>
      <c r="BJ298" s="204">
        <v>42703</v>
      </c>
      <c r="BK298" s="204">
        <v>42703.5340418634</v>
      </c>
      <c r="BL298" s="204" t="s">
        <v>293</v>
      </c>
      <c r="BM298" s="204" t="s">
        <v>1964</v>
      </c>
      <c r="BN298" s="269">
        <f t="shared" si="69"/>
        <v>3635.1759999999999</v>
      </c>
      <c r="BO298" s="269">
        <f t="shared" si="70"/>
        <v>150</v>
      </c>
      <c r="BP298" s="269">
        <f>INDEX('App Data Outliers'!$M:$M,MATCH($E298,'App Data Outliers'!$A:$A,0))</f>
        <v>2495.8377857142855</v>
      </c>
      <c r="BQ298" s="269">
        <f>INDEX('App Data Outliers'!$N:$N,MATCH($E298,'App Data Outliers'!$A:$A,0))</f>
        <v>1129.7450286933804</v>
      </c>
      <c r="BR298" s="269">
        <f>INDEX('App Data Outliers'!$S:$S,MATCH($E298,'App Data Outliers'!$A:$A,0))</f>
        <v>107.14285714285714</v>
      </c>
      <c r="BS298" s="269">
        <f>INDEX('App Data Outliers'!$T:$T,MATCH($E298,'App Data Outliers'!$A:$A,0))</f>
        <v>34.722057856284209</v>
      </c>
    </row>
    <row r="299" spans="1:71" s="204" customFormat="1" hidden="1">
      <c r="A299" s="241">
        <v>295</v>
      </c>
      <c r="B299" s="241" t="str">
        <f t="shared" si="61"/>
        <v>Residential - BHPSD - Residential Energy Efficiency Rebate</v>
      </c>
      <c r="C299" s="241" t="b">
        <f t="shared" si="62"/>
        <v>1</v>
      </c>
      <c r="D299" s="241" t="str">
        <f t="shared" si="63"/>
        <v>Residential - BHPSD - Residential Energy Efficiency Rebate_Residential Heat Pumps :- Residential Mini-Split :- Customer Incentives_Ductless Mini-Split HP SEER &gt;= 19</v>
      </c>
      <c r="E299" s="241" t="str">
        <f t="shared" si="64"/>
        <v>Residential_High Efficiency HVAC_HVAC_Ductless Mini-Split HP SEER ≥19</v>
      </c>
      <c r="F299" s="241" t="str">
        <f>INDEX('VDSM MAPPING'!E:E,MATCH($D299,'VDSM MAPPING'!$A:$A,0))</f>
        <v>Residential</v>
      </c>
      <c r="G299" s="241" t="str">
        <f>INDEX('VDSM MAPPING'!F:F,MATCH($D299,'VDSM MAPPING'!$A:$A,0))</f>
        <v>High Efficiency HVAC</v>
      </c>
      <c r="H299" s="241" t="str">
        <f>INDEX('VDSM MAPPING'!G:G,MATCH($D299,'VDSM MAPPING'!$A:$A,0))</f>
        <v>HVAC</v>
      </c>
      <c r="I299" s="241" t="str">
        <f>INDEX('VDSM MAPPING'!H:H,MATCH($D299,'VDSM MAPPING'!$A:$A,0))</f>
        <v>Ductless Mini-Split HP SEER ≥19</v>
      </c>
      <c r="J299" s="240">
        <f t="shared" si="65"/>
        <v>4.710373839596451E-2</v>
      </c>
      <c r="K299" s="240">
        <f t="shared" si="66"/>
        <v>-0.2057152595166355</v>
      </c>
      <c r="L299" s="240" t="b">
        <f t="shared" si="67"/>
        <v>0</v>
      </c>
      <c r="M299" s="240" t="b">
        <f t="shared" si="68"/>
        <v>0</v>
      </c>
      <c r="N299" s="204" t="s">
        <v>289</v>
      </c>
      <c r="O299" s="204" t="s">
        <v>1963</v>
      </c>
      <c r="P299" s="350">
        <v>0</v>
      </c>
      <c r="Q299" s="204" t="s">
        <v>1963</v>
      </c>
      <c r="R299" s="204" t="s">
        <v>1962</v>
      </c>
      <c r="S299" s="204" t="s">
        <v>1961</v>
      </c>
      <c r="T299" s="204" t="s">
        <v>1960</v>
      </c>
      <c r="V299" s="204" t="s">
        <v>1959</v>
      </c>
      <c r="W299" s="204" t="s">
        <v>320</v>
      </c>
      <c r="X299" s="204" t="s">
        <v>297</v>
      </c>
      <c r="Y299" s="204" t="s">
        <v>319</v>
      </c>
      <c r="Z299" s="204" t="s">
        <v>1736</v>
      </c>
      <c r="AA299" s="204" t="s">
        <v>1735</v>
      </c>
      <c r="AB299" s="204" t="s">
        <v>320</v>
      </c>
      <c r="AC299" s="204" t="s">
        <v>297</v>
      </c>
      <c r="AD299" s="204" t="s">
        <v>319</v>
      </c>
      <c r="AE299" s="204" t="s">
        <v>1734</v>
      </c>
      <c r="AG299" s="204" t="s">
        <v>1680</v>
      </c>
      <c r="AH299" s="204" t="s">
        <v>1679</v>
      </c>
      <c r="AO299" s="204" t="s">
        <v>1958</v>
      </c>
      <c r="AV299" s="204" t="s">
        <v>1957</v>
      </c>
      <c r="AX299" s="204">
        <v>1</v>
      </c>
      <c r="AY299" s="204">
        <v>0</v>
      </c>
      <c r="AZ299" s="204">
        <v>0.96399999999999997</v>
      </c>
      <c r="BB299" s="204">
        <v>2549.0529999999999</v>
      </c>
      <c r="BH299" s="204">
        <v>0</v>
      </c>
      <c r="BI299" s="204">
        <v>100</v>
      </c>
      <c r="BJ299" s="204">
        <v>42703</v>
      </c>
      <c r="BK299" s="204">
        <v>42703.5340418634</v>
      </c>
      <c r="BL299" s="204" t="s">
        <v>293</v>
      </c>
      <c r="BM299" s="204" t="s">
        <v>1956</v>
      </c>
      <c r="BN299" s="269">
        <f t="shared" si="69"/>
        <v>2549.0529999999999</v>
      </c>
      <c r="BO299" s="269">
        <f t="shared" si="70"/>
        <v>100</v>
      </c>
      <c r="BP299" s="269">
        <f>INDEX('App Data Outliers'!$M:$M,MATCH($E299,'App Data Outliers'!$A:$A,0))</f>
        <v>2495.8377857142855</v>
      </c>
      <c r="BQ299" s="269">
        <f>INDEX('App Data Outliers'!$N:$N,MATCH($E299,'App Data Outliers'!$A:$A,0))</f>
        <v>1129.7450286933804</v>
      </c>
      <c r="BR299" s="269">
        <f>INDEX('App Data Outliers'!$S:$S,MATCH($E299,'App Data Outliers'!$A:$A,0))</f>
        <v>107.14285714285714</v>
      </c>
      <c r="BS299" s="269">
        <f>INDEX('App Data Outliers'!$T:$T,MATCH($E299,'App Data Outliers'!$A:$A,0))</f>
        <v>34.722057856284209</v>
      </c>
    </row>
    <row r="300" spans="1:71" s="204" customFormat="1" hidden="1">
      <c r="A300" s="241">
        <v>296</v>
      </c>
      <c r="B300" s="241" t="str">
        <f t="shared" si="61"/>
        <v>Residential - BHPSD - Residential Energy Efficiency Rebate</v>
      </c>
      <c r="C300" s="241" t="b">
        <f t="shared" si="62"/>
        <v>1</v>
      </c>
      <c r="D300" s="241" t="str">
        <f t="shared" si="63"/>
        <v>Residential - BHPSD - Residential Energy Efficiency Rebate_Residential Water Heating :- Customer Incentives_Electric Water Heater - EF &gt;= 0.95</v>
      </c>
      <c r="E300" s="241" t="str">
        <f t="shared" si="64"/>
        <v>Residential_High Efficiency HVAC_Water Heating_Electric Storage Water Heater EF &gt;0.95</v>
      </c>
      <c r="F300" s="241" t="str">
        <f>INDEX('VDSM MAPPING'!E:E,MATCH($D300,'VDSM MAPPING'!$A:$A,0))</f>
        <v>Residential</v>
      </c>
      <c r="G300" s="241" t="str">
        <f>INDEX('VDSM MAPPING'!F:F,MATCH($D300,'VDSM MAPPING'!$A:$A,0))</f>
        <v>High Efficiency HVAC</v>
      </c>
      <c r="H300" s="241" t="str">
        <f>INDEX('VDSM MAPPING'!G:G,MATCH($D300,'VDSM MAPPING'!$A:$A,0))</f>
        <v>Water Heating</v>
      </c>
      <c r="I300" s="241" t="str">
        <f>INDEX('VDSM MAPPING'!H:H,MATCH($D300,'VDSM MAPPING'!$A:$A,0))</f>
        <v>Electric Storage Water Heater EF &gt;0.95</v>
      </c>
      <c r="J300" s="240">
        <f t="shared" si="65"/>
        <v>0.41079801328907639</v>
      </c>
      <c r="K300" s="240">
        <f t="shared" si="66"/>
        <v>0.3649981975442157</v>
      </c>
      <c r="L300" s="240" t="b">
        <f t="shared" si="67"/>
        <v>0</v>
      </c>
      <c r="M300" s="240" t="b">
        <f t="shared" si="68"/>
        <v>0</v>
      </c>
      <c r="N300" s="204" t="s">
        <v>289</v>
      </c>
      <c r="O300" s="204" t="s">
        <v>1955</v>
      </c>
      <c r="P300" s="350">
        <v>1</v>
      </c>
      <c r="Q300" s="204" t="s">
        <v>1955</v>
      </c>
      <c r="R300" s="204" t="s">
        <v>1954</v>
      </c>
      <c r="S300" s="204" t="s">
        <v>1953</v>
      </c>
      <c r="T300" s="204" t="s">
        <v>1952</v>
      </c>
      <c r="V300" s="204" t="s">
        <v>1951</v>
      </c>
      <c r="W300" s="204" t="s">
        <v>308</v>
      </c>
      <c r="X300" s="204" t="s">
        <v>297</v>
      </c>
      <c r="Y300" s="204" t="s">
        <v>307</v>
      </c>
      <c r="Z300" s="204" t="s">
        <v>850</v>
      </c>
      <c r="AA300" s="204" t="s">
        <v>849</v>
      </c>
      <c r="AB300" s="204" t="s">
        <v>329</v>
      </c>
      <c r="AC300" s="204" t="s">
        <v>297</v>
      </c>
      <c r="AD300" s="204" t="s">
        <v>848</v>
      </c>
      <c r="AE300" s="204" t="s">
        <v>847</v>
      </c>
      <c r="AG300" s="204" t="s">
        <v>1773</v>
      </c>
      <c r="AH300" s="204" t="s">
        <v>1826</v>
      </c>
      <c r="AO300" s="204" t="s">
        <v>1825</v>
      </c>
      <c r="AR300" s="204" t="s">
        <v>1817</v>
      </c>
      <c r="AS300" s="204" t="s">
        <v>1823</v>
      </c>
      <c r="AV300" s="204" t="s">
        <v>1837</v>
      </c>
      <c r="AX300" s="204">
        <v>1</v>
      </c>
      <c r="AY300" s="204">
        <v>0</v>
      </c>
      <c r="AZ300" s="204">
        <v>2.0420000000000001E-2</v>
      </c>
      <c r="BB300" s="204">
        <v>178.89402999999999</v>
      </c>
      <c r="BH300" s="204">
        <v>0</v>
      </c>
      <c r="BI300" s="204">
        <v>87.5</v>
      </c>
      <c r="BJ300" s="204">
        <v>42709</v>
      </c>
      <c r="BK300" s="204">
        <v>42709.774846330998</v>
      </c>
      <c r="BL300" s="204" t="s">
        <v>293</v>
      </c>
      <c r="BM300" s="204" t="s">
        <v>1950</v>
      </c>
      <c r="BN300" s="269">
        <f t="shared" si="69"/>
        <v>178.89402999999999</v>
      </c>
      <c r="BO300" s="269">
        <f t="shared" si="70"/>
        <v>87.5</v>
      </c>
      <c r="BP300" s="269">
        <f>INDEX('App Data Outliers'!$M:$M,MATCH($E300,'App Data Outliers'!$A:$A,0))</f>
        <v>164.03409531250006</v>
      </c>
      <c r="BQ300" s="269">
        <f>INDEX('App Data Outliers'!$N:$N,MATCH($E300,'App Data Outliers'!$A:$A,0))</f>
        <v>36.173336303462285</v>
      </c>
      <c r="BR300" s="269">
        <f>INDEX('App Data Outliers'!$S:$S,MATCH($E300,'App Data Outliers'!$A:$A,0))</f>
        <v>83.125</v>
      </c>
      <c r="BS300" s="269">
        <f>INDEX('App Data Outliers'!$T:$T,MATCH($E300,'App Data Outliers'!$A:$A,0))</f>
        <v>11.986360561328565</v>
      </c>
    </row>
    <row r="301" spans="1:71" s="204" customFormat="1" hidden="1">
      <c r="A301" s="241">
        <v>297</v>
      </c>
      <c r="B301" s="241" t="str">
        <f t="shared" si="61"/>
        <v>Residential - BHPSD - Residential Energy Efficiency Rebate</v>
      </c>
      <c r="C301" s="241" t="b">
        <f t="shared" si="62"/>
        <v>1</v>
      </c>
      <c r="D301" s="241" t="str">
        <f t="shared" si="63"/>
        <v>Residential - BHPSD - Residential Energy Efficiency Rebate_Residential Heat Pumps :- Residential Heat Pumps - HP Water Heater :- Customer Incentives_Heat Pump Water Heater</v>
      </c>
      <c r="E301" s="241" t="str">
        <f t="shared" si="64"/>
        <v>Residential_High Efficiency HVAC_Water Heating_Heat Pump Water Heater</v>
      </c>
      <c r="F301" s="241" t="str">
        <f>INDEX('VDSM MAPPING'!E:E,MATCH($D301,'VDSM MAPPING'!$A:$A,0))</f>
        <v>Residential</v>
      </c>
      <c r="G301" s="241" t="str">
        <f>INDEX('VDSM MAPPING'!F:F,MATCH($D301,'VDSM MAPPING'!$A:$A,0))</f>
        <v>High Efficiency HVAC</v>
      </c>
      <c r="H301" s="241" t="str">
        <f>INDEX('VDSM MAPPING'!G:G,MATCH($D301,'VDSM MAPPING'!$A:$A,0))</f>
        <v>Water Heating</v>
      </c>
      <c r="I301" s="241" t="str">
        <f>INDEX('VDSM MAPPING'!H:H,MATCH($D301,'VDSM MAPPING'!$A:$A,0))</f>
        <v>Heat Pump Water Heater</v>
      </c>
      <c r="J301" s="240">
        <f t="shared" si="65"/>
        <v>2.4450052434044678</v>
      </c>
      <c r="K301" s="240">
        <f t="shared" si="66"/>
        <v>2.4494897427831774</v>
      </c>
      <c r="L301" s="240" t="b">
        <f t="shared" si="67"/>
        <v>1</v>
      </c>
      <c r="M301" s="240" t="b">
        <f t="shared" si="68"/>
        <v>1</v>
      </c>
      <c r="N301" s="204" t="s">
        <v>289</v>
      </c>
      <c r="O301" s="204" t="s">
        <v>1949</v>
      </c>
      <c r="P301" s="350">
        <v>1</v>
      </c>
      <c r="Q301" s="204" t="s">
        <v>1949</v>
      </c>
      <c r="R301" s="204" t="s">
        <v>1948</v>
      </c>
      <c r="S301" s="204" t="s">
        <v>1947</v>
      </c>
      <c r="T301" s="204" t="s">
        <v>1946</v>
      </c>
      <c r="V301" s="204" t="s">
        <v>1945</v>
      </c>
      <c r="W301" s="204" t="s">
        <v>308</v>
      </c>
      <c r="X301" s="204" t="s">
        <v>297</v>
      </c>
      <c r="Y301" s="204" t="s">
        <v>307</v>
      </c>
      <c r="Z301" s="204" t="s">
        <v>601</v>
      </c>
      <c r="AA301" s="204" t="s">
        <v>600</v>
      </c>
      <c r="AB301" s="204" t="s">
        <v>329</v>
      </c>
      <c r="AC301" s="204" t="s">
        <v>297</v>
      </c>
      <c r="AD301" s="204" t="s">
        <v>599</v>
      </c>
      <c r="AE301" s="204" t="s">
        <v>598</v>
      </c>
      <c r="AG301" s="204" t="s">
        <v>1698</v>
      </c>
      <c r="AH301" s="204" t="s">
        <v>212</v>
      </c>
      <c r="AV301" s="204" t="s">
        <v>1944</v>
      </c>
      <c r="AX301" s="204">
        <v>1</v>
      </c>
      <c r="AY301" s="204">
        <v>0</v>
      </c>
      <c r="AZ301" s="204">
        <v>0.184</v>
      </c>
      <c r="BB301" s="204">
        <v>3893</v>
      </c>
      <c r="BH301" s="204">
        <v>0</v>
      </c>
      <c r="BI301" s="204">
        <v>330</v>
      </c>
      <c r="BJ301" s="204">
        <v>42738</v>
      </c>
      <c r="BK301" s="204">
        <v>42719.785696759303</v>
      </c>
      <c r="BL301" s="204" t="s">
        <v>293</v>
      </c>
      <c r="BM301" s="204" t="s">
        <v>1943</v>
      </c>
      <c r="BN301" s="242">
        <f t="shared" si="69"/>
        <v>3893</v>
      </c>
      <c r="BO301" s="242">
        <f t="shared" si="70"/>
        <v>330</v>
      </c>
      <c r="BP301" s="242">
        <f>INDEX('App Data Outliers'!$M:$M,MATCH($E301,'App Data Outliers'!$A:$A,0))</f>
        <v>3035.2857142857142</v>
      </c>
      <c r="BQ301" s="242">
        <f>INDEX('App Data Outliers'!$N:$N,MATCH($E301,'App Data Outliers'!$A:$A,0))</f>
        <v>350.80263652931455</v>
      </c>
      <c r="BR301" s="242">
        <f>INDEX('App Data Outliers'!$S:$S,MATCH($E301,'App Data Outliers'!$A:$A,0))</f>
        <v>261.42857142857144</v>
      </c>
      <c r="BS301" s="242">
        <f>INDEX('App Data Outliers'!$T:$T,MATCH($E301,'App Data Outliers'!$A:$A,0))</f>
        <v>27.994168488950606</v>
      </c>
    </row>
    <row r="302" spans="1:71" s="204" customFormat="1" hidden="1">
      <c r="A302" s="241">
        <v>298</v>
      </c>
      <c r="B302" s="241" t="str">
        <f t="shared" si="61"/>
        <v>Residential - BHPSD - Residential Energy Efficiency Rebate</v>
      </c>
      <c r="C302" s="241" t="b">
        <f t="shared" si="62"/>
        <v>1</v>
      </c>
      <c r="D302" s="241" t="str">
        <f t="shared" si="63"/>
        <v>Residential - BHPSD - Residential Energy Efficiency Rebate_Residential Water Heating :- Customer Incentives_Electric Water Heater - EF &gt;= 0.95</v>
      </c>
      <c r="E302" s="241" t="str">
        <f t="shared" si="64"/>
        <v>Residential_High Efficiency HVAC_Water Heating_Electric Storage Water Heater EF &gt;0.95</v>
      </c>
      <c r="F302" s="241" t="str">
        <f>INDEX('VDSM MAPPING'!E:E,MATCH($D302,'VDSM MAPPING'!$A:$A,0))</f>
        <v>Residential</v>
      </c>
      <c r="G302" s="241" t="str">
        <f>INDEX('VDSM MAPPING'!F:F,MATCH($D302,'VDSM MAPPING'!$A:$A,0))</f>
        <v>High Efficiency HVAC</v>
      </c>
      <c r="H302" s="241" t="str">
        <f>INDEX('VDSM MAPPING'!G:G,MATCH($D302,'VDSM MAPPING'!$A:$A,0))</f>
        <v>Water Heating</v>
      </c>
      <c r="I302" s="241" t="str">
        <f>INDEX('VDSM MAPPING'!H:H,MATCH($D302,'VDSM MAPPING'!$A:$A,0))</f>
        <v>Electric Storage Water Heater EF &gt;0.95</v>
      </c>
      <c r="J302" s="240">
        <f t="shared" si="65"/>
        <v>-1.0590854819446998</v>
      </c>
      <c r="K302" s="240">
        <f t="shared" si="66"/>
        <v>-1.0949945926326472</v>
      </c>
      <c r="L302" s="240" t="b">
        <f t="shared" si="67"/>
        <v>0</v>
      </c>
      <c r="M302" s="240" t="b">
        <f t="shared" si="68"/>
        <v>0</v>
      </c>
      <c r="N302" s="204" t="s">
        <v>289</v>
      </c>
      <c r="O302" s="204" t="s">
        <v>1942</v>
      </c>
      <c r="P302" s="350">
        <v>1</v>
      </c>
      <c r="Q302" s="204" t="s">
        <v>1942</v>
      </c>
      <c r="R302" s="204" t="s">
        <v>1941</v>
      </c>
      <c r="S302" s="204" t="s">
        <v>1940</v>
      </c>
      <c r="T302" s="204" t="s">
        <v>1939</v>
      </c>
      <c r="V302" s="204" t="s">
        <v>1938</v>
      </c>
      <c r="W302" s="204" t="s">
        <v>471</v>
      </c>
      <c r="X302" s="204" t="s">
        <v>297</v>
      </c>
      <c r="Y302" s="204" t="s">
        <v>470</v>
      </c>
      <c r="Z302" s="204" t="s">
        <v>850</v>
      </c>
      <c r="AA302" s="204" t="s">
        <v>849</v>
      </c>
      <c r="AB302" s="204" t="s">
        <v>329</v>
      </c>
      <c r="AC302" s="204" t="s">
        <v>297</v>
      </c>
      <c r="AD302" s="204" t="s">
        <v>848</v>
      </c>
      <c r="AE302" s="204" t="s">
        <v>847</v>
      </c>
      <c r="AG302" s="204" t="s">
        <v>1773</v>
      </c>
      <c r="AH302" s="204" t="s">
        <v>1826</v>
      </c>
      <c r="AO302" s="204" t="s">
        <v>1825</v>
      </c>
      <c r="AR302" s="204" t="s">
        <v>1824</v>
      </c>
      <c r="AS302" s="204" t="s">
        <v>1823</v>
      </c>
      <c r="AV302" s="204" t="s">
        <v>1937</v>
      </c>
      <c r="AX302" s="204">
        <v>1</v>
      </c>
      <c r="AY302" s="204">
        <v>0</v>
      </c>
      <c r="AZ302" s="204">
        <v>1.435E-2</v>
      </c>
      <c r="BB302" s="204">
        <v>125.72344</v>
      </c>
      <c r="BH302" s="204">
        <v>0</v>
      </c>
      <c r="BI302" s="204">
        <v>70</v>
      </c>
      <c r="BJ302" s="204">
        <v>42740</v>
      </c>
      <c r="BK302" s="204">
        <v>42724.562293634299</v>
      </c>
      <c r="BL302" s="204" t="s">
        <v>293</v>
      </c>
      <c r="BM302" s="204" t="s">
        <v>1936</v>
      </c>
      <c r="BN302" s="269">
        <f t="shared" si="69"/>
        <v>125.72344</v>
      </c>
      <c r="BO302" s="269">
        <f t="shared" si="70"/>
        <v>70</v>
      </c>
      <c r="BP302" s="269">
        <f>INDEX('App Data Outliers'!$M:$M,MATCH($E302,'App Data Outliers'!$A:$A,0))</f>
        <v>164.03409531250006</v>
      </c>
      <c r="BQ302" s="269">
        <f>INDEX('App Data Outliers'!$N:$N,MATCH($E302,'App Data Outliers'!$A:$A,0))</f>
        <v>36.173336303462285</v>
      </c>
      <c r="BR302" s="269">
        <f>INDEX('App Data Outliers'!$S:$S,MATCH($E302,'App Data Outliers'!$A:$A,0))</f>
        <v>83.125</v>
      </c>
      <c r="BS302" s="269">
        <f>INDEX('App Data Outliers'!$T:$T,MATCH($E302,'App Data Outliers'!$A:$A,0))</f>
        <v>11.986360561328565</v>
      </c>
    </row>
    <row r="303" spans="1:71" s="204" customFormat="1" hidden="1">
      <c r="A303" s="241">
        <v>299</v>
      </c>
      <c r="B303" s="241" t="str">
        <f t="shared" si="61"/>
        <v>Residential - BHPSD - Residential Energy Efficiency Rebate</v>
      </c>
      <c r="C303" s="241" t="b">
        <f t="shared" si="62"/>
        <v>1</v>
      </c>
      <c r="D303" s="241" t="str">
        <f t="shared" si="63"/>
        <v>Residential - BHPSD - Residential Energy Efficiency Rebate_Residential Heat Pumps :- Residential Heat Pumps - HP Water Heater :- Customer Incentives_Heat Pump Water Heater</v>
      </c>
      <c r="E303" s="241" t="str">
        <f t="shared" si="64"/>
        <v>Residential_High Efficiency HVAC_Water Heating_Heat Pump Water Heater</v>
      </c>
      <c r="F303" s="241" t="str">
        <f>INDEX('VDSM MAPPING'!E:E,MATCH($D303,'VDSM MAPPING'!$A:$A,0))</f>
        <v>Residential</v>
      </c>
      <c r="G303" s="241" t="str">
        <f>INDEX('VDSM MAPPING'!F:F,MATCH($D303,'VDSM MAPPING'!$A:$A,0))</f>
        <v>High Efficiency HVAC</v>
      </c>
      <c r="H303" s="241" t="str">
        <f>INDEX('VDSM MAPPING'!G:G,MATCH($D303,'VDSM MAPPING'!$A:$A,0))</f>
        <v>Water Heating</v>
      </c>
      <c r="I303" s="241" t="str">
        <f>INDEX('VDSM MAPPING'!H:H,MATCH($D303,'VDSM MAPPING'!$A:$A,0))</f>
        <v>Heat Pump Water Heater</v>
      </c>
      <c r="J303" s="240">
        <f t="shared" si="65"/>
        <v>-0.45121016150768639</v>
      </c>
      <c r="K303" s="240">
        <f t="shared" si="66"/>
        <v>-0.40824829046386363</v>
      </c>
      <c r="L303" s="240" t="b">
        <f t="shared" si="67"/>
        <v>0</v>
      </c>
      <c r="M303" s="240" t="b">
        <f t="shared" si="68"/>
        <v>0</v>
      </c>
      <c r="N303" s="204" t="s">
        <v>289</v>
      </c>
      <c r="O303" s="204" t="s">
        <v>1935</v>
      </c>
      <c r="P303" s="350">
        <v>1</v>
      </c>
      <c r="Q303" s="204" t="s">
        <v>1935</v>
      </c>
      <c r="R303" s="204" t="s">
        <v>1934</v>
      </c>
      <c r="S303" s="204" t="s">
        <v>1933</v>
      </c>
      <c r="T303" s="204" t="s">
        <v>1932</v>
      </c>
      <c r="U303" s="204" t="s">
        <v>1931</v>
      </c>
      <c r="V303" s="204" t="s">
        <v>1930</v>
      </c>
      <c r="W303" s="204" t="s">
        <v>345</v>
      </c>
      <c r="X303" s="204" t="s">
        <v>297</v>
      </c>
      <c r="Y303" s="204" t="s">
        <v>344</v>
      </c>
      <c r="Z303" s="204" t="s">
        <v>1788</v>
      </c>
      <c r="AA303" s="204" t="s">
        <v>958</v>
      </c>
      <c r="AB303" s="204" t="s">
        <v>329</v>
      </c>
      <c r="AC303" s="204" t="s">
        <v>297</v>
      </c>
      <c r="AD303" s="204" t="s">
        <v>397</v>
      </c>
      <c r="AE303" s="204" t="s">
        <v>957</v>
      </c>
      <c r="AG303" s="204" t="s">
        <v>1698</v>
      </c>
      <c r="AH303" s="204" t="s">
        <v>212</v>
      </c>
      <c r="AV303" s="204" t="s">
        <v>1913</v>
      </c>
      <c r="AX303" s="204">
        <v>1</v>
      </c>
      <c r="AY303" s="204">
        <v>0</v>
      </c>
      <c r="AZ303" s="204">
        <v>0.13600000000000001</v>
      </c>
      <c r="BB303" s="204">
        <v>2877</v>
      </c>
      <c r="BH303" s="204">
        <v>0</v>
      </c>
      <c r="BI303" s="204">
        <v>250</v>
      </c>
      <c r="BJ303" s="204">
        <v>42730</v>
      </c>
      <c r="BK303" s="204">
        <v>42730.011136539397</v>
      </c>
      <c r="BL303" s="204" t="s">
        <v>293</v>
      </c>
      <c r="BM303" s="204" t="s">
        <v>1929</v>
      </c>
      <c r="BN303" s="269">
        <f t="shared" si="69"/>
        <v>2877</v>
      </c>
      <c r="BO303" s="269">
        <f t="shared" si="70"/>
        <v>250</v>
      </c>
      <c r="BP303" s="269">
        <f>INDEX('App Data Outliers'!$M:$M,MATCH($E303,'App Data Outliers'!$A:$A,0))</f>
        <v>3035.2857142857142</v>
      </c>
      <c r="BQ303" s="269">
        <f>INDEX('App Data Outliers'!$N:$N,MATCH($E303,'App Data Outliers'!$A:$A,0))</f>
        <v>350.80263652931455</v>
      </c>
      <c r="BR303" s="269">
        <f>INDEX('App Data Outliers'!$S:$S,MATCH($E303,'App Data Outliers'!$A:$A,0))</f>
        <v>261.42857142857144</v>
      </c>
      <c r="BS303" s="269">
        <f>INDEX('App Data Outliers'!$T:$T,MATCH($E303,'App Data Outliers'!$A:$A,0))</f>
        <v>27.994168488950606</v>
      </c>
    </row>
    <row r="304" spans="1:71" s="204" customFormat="1" hidden="1">
      <c r="A304" s="241">
        <v>300</v>
      </c>
      <c r="B304" s="241" t="str">
        <f t="shared" si="61"/>
        <v>Residential - BHPSD - Residential Energy Efficiency Rebate</v>
      </c>
      <c r="C304" s="241" t="b">
        <f t="shared" si="62"/>
        <v>1</v>
      </c>
      <c r="D304" s="241" t="str">
        <f t="shared" si="63"/>
        <v>Residential - BHPSD - Residential Energy Efficiency Rebate_Residential Water Heating :- Customer Incentives_Electric Water Heater - EF &gt;= 0.95</v>
      </c>
      <c r="E304" s="241" t="str">
        <f t="shared" si="64"/>
        <v>Residential_High Efficiency HVAC_Water Heating_Electric Storage Water Heater EF &gt;0.95</v>
      </c>
      <c r="F304" s="241" t="str">
        <f>INDEX('VDSM MAPPING'!E:E,MATCH($D304,'VDSM MAPPING'!$A:$A,0))</f>
        <v>Residential</v>
      </c>
      <c r="G304" s="241" t="str">
        <f>INDEX('VDSM MAPPING'!F:F,MATCH($D304,'VDSM MAPPING'!$A:$A,0))</f>
        <v>High Efficiency HVAC</v>
      </c>
      <c r="H304" s="241" t="str">
        <f>INDEX('VDSM MAPPING'!G:G,MATCH($D304,'VDSM MAPPING'!$A:$A,0))</f>
        <v>Water Heating</v>
      </c>
      <c r="I304" s="241" t="str">
        <f>INDEX('VDSM MAPPING'!H:H,MATCH($D304,'VDSM MAPPING'!$A:$A,0))</f>
        <v>Electric Storage Water Heater EF &gt;0.95</v>
      </c>
      <c r="J304" s="240">
        <f t="shared" si="65"/>
        <v>-2.4872614612517356</v>
      </c>
      <c r="K304" s="240">
        <f t="shared" si="66"/>
        <v>-2.55498738280951</v>
      </c>
      <c r="L304" s="240" t="b">
        <f t="shared" si="67"/>
        <v>1</v>
      </c>
      <c r="M304" s="240" t="b">
        <f t="shared" si="68"/>
        <v>1</v>
      </c>
      <c r="N304" s="204" t="s">
        <v>289</v>
      </c>
      <c r="O304" s="204" t="s">
        <v>1928</v>
      </c>
      <c r="P304" s="350">
        <v>1</v>
      </c>
      <c r="Q304" s="204" t="s">
        <v>1928</v>
      </c>
      <c r="R304" s="204" t="s">
        <v>1927</v>
      </c>
      <c r="S304" s="204" t="s">
        <v>1926</v>
      </c>
      <c r="T304" s="204" t="s">
        <v>1925</v>
      </c>
      <c r="V304" s="204" t="s">
        <v>1924</v>
      </c>
      <c r="W304" s="204" t="s">
        <v>1789</v>
      </c>
      <c r="X304" s="204" t="s">
        <v>297</v>
      </c>
      <c r="Y304" s="204" t="s">
        <v>412</v>
      </c>
      <c r="Z304" s="204" t="s">
        <v>1788</v>
      </c>
      <c r="AA304" s="204" t="s">
        <v>958</v>
      </c>
      <c r="AB304" s="204" t="s">
        <v>329</v>
      </c>
      <c r="AC304" s="204" t="s">
        <v>297</v>
      </c>
      <c r="AD304" s="204" t="s">
        <v>397</v>
      </c>
      <c r="AE304" s="204" t="s">
        <v>957</v>
      </c>
      <c r="AG304" s="204" t="s">
        <v>1773</v>
      </c>
      <c r="AH304" s="204" t="s">
        <v>1826</v>
      </c>
      <c r="AO304" s="204" t="s">
        <v>1825</v>
      </c>
      <c r="AR304" s="204" t="s">
        <v>1923</v>
      </c>
      <c r="AS304" s="204" t="s">
        <v>1823</v>
      </c>
      <c r="AV304" s="204" t="s">
        <v>1922</v>
      </c>
      <c r="AX304" s="204">
        <v>1</v>
      </c>
      <c r="AY304" s="204">
        <v>0</v>
      </c>
      <c r="AZ304" s="204">
        <v>8.4499999999999992E-3</v>
      </c>
      <c r="BB304" s="204">
        <v>74.061549999999997</v>
      </c>
      <c r="BH304" s="204">
        <v>0</v>
      </c>
      <c r="BI304" s="204">
        <v>52.5</v>
      </c>
      <c r="BJ304" s="204">
        <v>42719</v>
      </c>
      <c r="BK304" s="204">
        <v>42735.381275428197</v>
      </c>
      <c r="BL304" s="204" t="s">
        <v>293</v>
      </c>
      <c r="BM304" s="204" t="s">
        <v>1921</v>
      </c>
      <c r="BN304" s="242">
        <f t="shared" si="69"/>
        <v>74.061549999999997</v>
      </c>
      <c r="BO304" s="242">
        <f t="shared" si="70"/>
        <v>52.5</v>
      </c>
      <c r="BP304" s="242">
        <f>INDEX('App Data Outliers'!$M:$M,MATCH($E304,'App Data Outliers'!$A:$A,0))</f>
        <v>164.03409531250006</v>
      </c>
      <c r="BQ304" s="242">
        <f>INDEX('App Data Outliers'!$N:$N,MATCH($E304,'App Data Outliers'!$A:$A,0))</f>
        <v>36.173336303462285</v>
      </c>
      <c r="BR304" s="242">
        <f>INDEX('App Data Outliers'!$S:$S,MATCH($E304,'App Data Outliers'!$A:$A,0))</f>
        <v>83.125</v>
      </c>
      <c r="BS304" s="242">
        <f>INDEX('App Data Outliers'!$T:$T,MATCH($E304,'App Data Outliers'!$A:$A,0))</f>
        <v>11.986360561328565</v>
      </c>
    </row>
    <row r="305" spans="1:71" s="204" customFormat="1" hidden="1">
      <c r="A305" s="241">
        <v>301</v>
      </c>
      <c r="B305" s="241" t="str">
        <f t="shared" si="61"/>
        <v>Residential - BHPSD - Residential Energy Efficiency Rebate</v>
      </c>
      <c r="C305" s="241" t="b">
        <f t="shared" si="62"/>
        <v>1</v>
      </c>
      <c r="D305" s="241" t="str">
        <f t="shared" si="63"/>
        <v>Residential - BHPSD - Residential Energy Efficiency Rebate_Residential Heat Pumps :- Residential Heat Pumps - HP Water Heater :- Customer Incentives_Heat Pump Water Heater</v>
      </c>
      <c r="E305" s="241" t="str">
        <f t="shared" si="64"/>
        <v>Residential_High Efficiency HVAC_Water Heating_Heat Pump Water Heater</v>
      </c>
      <c r="F305" s="241" t="str">
        <f>INDEX('VDSM MAPPING'!E:E,MATCH($D305,'VDSM MAPPING'!$A:$A,0))</f>
        <v>Residential</v>
      </c>
      <c r="G305" s="241" t="str">
        <f>INDEX('VDSM MAPPING'!F:F,MATCH($D305,'VDSM MAPPING'!$A:$A,0))</f>
        <v>High Efficiency HVAC</v>
      </c>
      <c r="H305" s="241" t="str">
        <f>INDEX('VDSM MAPPING'!G:G,MATCH($D305,'VDSM MAPPING'!$A:$A,0))</f>
        <v>Water Heating</v>
      </c>
      <c r="I305" s="241" t="str">
        <f>INDEX('VDSM MAPPING'!H:H,MATCH($D305,'VDSM MAPPING'!$A:$A,0))</f>
        <v>Heat Pump Water Heater</v>
      </c>
      <c r="J305" s="240">
        <f t="shared" si="65"/>
        <v>-0.45121016150768639</v>
      </c>
      <c r="K305" s="240">
        <f t="shared" si="66"/>
        <v>-0.40824829046386363</v>
      </c>
      <c r="L305" s="240" t="b">
        <f t="shared" si="67"/>
        <v>0</v>
      </c>
      <c r="M305" s="240" t="b">
        <f t="shared" si="68"/>
        <v>0</v>
      </c>
      <c r="N305" s="204" t="s">
        <v>289</v>
      </c>
      <c r="O305" s="204" t="s">
        <v>1920</v>
      </c>
      <c r="P305" s="350">
        <v>1</v>
      </c>
      <c r="Q305" s="204" t="s">
        <v>1920</v>
      </c>
      <c r="R305" s="204" t="s">
        <v>1919</v>
      </c>
      <c r="S305" s="204" t="s">
        <v>1918</v>
      </c>
      <c r="T305" s="204" t="s">
        <v>1917</v>
      </c>
      <c r="U305" s="204" t="s">
        <v>1916</v>
      </c>
      <c r="V305" s="204" t="s">
        <v>1915</v>
      </c>
      <c r="W305" s="204" t="s">
        <v>1914</v>
      </c>
      <c r="X305" s="204" t="s">
        <v>297</v>
      </c>
      <c r="Y305" s="204" t="s">
        <v>479</v>
      </c>
      <c r="Z305" s="204" t="s">
        <v>1788</v>
      </c>
      <c r="AA305" s="204" t="s">
        <v>958</v>
      </c>
      <c r="AB305" s="204" t="s">
        <v>329</v>
      </c>
      <c r="AC305" s="204" t="s">
        <v>297</v>
      </c>
      <c r="AD305" s="204" t="s">
        <v>397</v>
      </c>
      <c r="AE305" s="204" t="s">
        <v>957</v>
      </c>
      <c r="AG305" s="204" t="s">
        <v>1698</v>
      </c>
      <c r="AH305" s="204" t="s">
        <v>212</v>
      </c>
      <c r="AV305" s="204" t="s">
        <v>1913</v>
      </c>
      <c r="AX305" s="204">
        <v>1</v>
      </c>
      <c r="AY305" s="204">
        <v>0</v>
      </c>
      <c r="AZ305" s="204">
        <v>0.13600000000000001</v>
      </c>
      <c r="BB305" s="204">
        <v>2877</v>
      </c>
      <c r="BH305" s="204">
        <v>0</v>
      </c>
      <c r="BI305" s="204">
        <v>250</v>
      </c>
      <c r="BJ305" s="204">
        <v>42800</v>
      </c>
      <c r="BK305" s="204">
        <v>42741.564457141198</v>
      </c>
      <c r="BL305" s="204" t="s">
        <v>293</v>
      </c>
      <c r="BM305" s="204" t="s">
        <v>1912</v>
      </c>
      <c r="BN305" s="269">
        <f t="shared" si="69"/>
        <v>2877</v>
      </c>
      <c r="BO305" s="269">
        <f t="shared" si="70"/>
        <v>250</v>
      </c>
      <c r="BP305" s="269">
        <f>INDEX('App Data Outliers'!$M:$M,MATCH($E305,'App Data Outliers'!$A:$A,0))</f>
        <v>3035.2857142857142</v>
      </c>
      <c r="BQ305" s="269">
        <f>INDEX('App Data Outliers'!$N:$N,MATCH($E305,'App Data Outliers'!$A:$A,0))</f>
        <v>350.80263652931455</v>
      </c>
      <c r="BR305" s="269">
        <f>INDEX('App Data Outliers'!$S:$S,MATCH($E305,'App Data Outliers'!$A:$A,0))</f>
        <v>261.42857142857144</v>
      </c>
      <c r="BS305" s="269">
        <f>INDEX('App Data Outliers'!$T:$T,MATCH($E305,'App Data Outliers'!$A:$A,0))</f>
        <v>27.994168488950606</v>
      </c>
    </row>
    <row r="306" spans="1:71" s="204" customFormat="1" hidden="1">
      <c r="A306" s="241">
        <v>302</v>
      </c>
      <c r="B306" s="241" t="str">
        <f t="shared" si="61"/>
        <v>Residential - BHPSD - Residential Energy Efficiency Rebate</v>
      </c>
      <c r="C306" s="241" t="b">
        <f t="shared" si="62"/>
        <v>1</v>
      </c>
      <c r="D306" s="241" t="str">
        <f t="shared" si="63"/>
        <v>Residential - BHPSD - Residential Energy Efficiency Rebate_Residential Water Heating :- Customer Incentives_Electric Water Heater - EF &gt;= 0.95</v>
      </c>
      <c r="E306" s="241" t="str">
        <f t="shared" si="64"/>
        <v>Residential_High Efficiency HVAC_Water Heating_Electric Storage Water Heater EF &gt;0.95</v>
      </c>
      <c r="F306" s="241" t="str">
        <f>INDEX('VDSM MAPPING'!E:E,MATCH($D306,'VDSM MAPPING'!$A:$A,0))</f>
        <v>Residential</v>
      </c>
      <c r="G306" s="241" t="str">
        <f>INDEX('VDSM MAPPING'!F:F,MATCH($D306,'VDSM MAPPING'!$A:$A,0))</f>
        <v>High Efficiency HVAC</v>
      </c>
      <c r="H306" s="241" t="str">
        <f>INDEX('VDSM MAPPING'!G:G,MATCH($D306,'VDSM MAPPING'!$A:$A,0))</f>
        <v>Water Heating</v>
      </c>
      <c r="I306" s="241" t="str">
        <f>INDEX('VDSM MAPPING'!H:H,MATCH($D306,'VDSM MAPPING'!$A:$A,0))</f>
        <v>Electric Storage Water Heater EF &gt;0.95</v>
      </c>
      <c r="J306" s="240">
        <f t="shared" si="65"/>
        <v>0.41079801328907639</v>
      </c>
      <c r="K306" s="240">
        <f t="shared" si="66"/>
        <v>0.3649981975442157</v>
      </c>
      <c r="L306" s="240" t="b">
        <f t="shared" si="67"/>
        <v>0</v>
      </c>
      <c r="M306" s="240" t="b">
        <f t="shared" si="68"/>
        <v>0</v>
      </c>
      <c r="N306" s="204" t="s">
        <v>289</v>
      </c>
      <c r="O306" s="204" t="s">
        <v>1911</v>
      </c>
      <c r="P306" s="350">
        <v>1</v>
      </c>
      <c r="Q306" s="204" t="s">
        <v>1911</v>
      </c>
      <c r="R306" s="204" t="s">
        <v>1910</v>
      </c>
      <c r="S306" s="204" t="s">
        <v>1909</v>
      </c>
      <c r="T306" s="204" t="s">
        <v>1908</v>
      </c>
      <c r="V306" s="204" t="s">
        <v>1907</v>
      </c>
      <c r="W306" s="204" t="s">
        <v>752</v>
      </c>
      <c r="X306" s="204" t="s">
        <v>297</v>
      </c>
      <c r="Y306" s="204" t="s">
        <v>328</v>
      </c>
      <c r="Z306" s="204" t="s">
        <v>1906</v>
      </c>
      <c r="AA306" s="204" t="s">
        <v>1905</v>
      </c>
      <c r="AB306" s="204" t="s">
        <v>531</v>
      </c>
      <c r="AC306" s="204" t="s">
        <v>297</v>
      </c>
      <c r="AD306" s="204" t="s">
        <v>530</v>
      </c>
      <c r="AE306" s="204" t="s">
        <v>1904</v>
      </c>
      <c r="AF306" s="204" t="s">
        <v>1903</v>
      </c>
      <c r="AG306" s="204" t="s">
        <v>1773</v>
      </c>
      <c r="AH306" s="204" t="s">
        <v>1826</v>
      </c>
      <c r="AO306" s="204" t="s">
        <v>1825</v>
      </c>
      <c r="AR306" s="204" t="s">
        <v>1817</v>
      </c>
      <c r="AS306" s="204" t="s">
        <v>1894</v>
      </c>
      <c r="AV306" s="204" t="s">
        <v>1902</v>
      </c>
      <c r="AX306" s="204">
        <v>1</v>
      </c>
      <c r="AY306" s="204">
        <v>0</v>
      </c>
      <c r="AZ306" s="204">
        <v>2.0420000000000001E-2</v>
      </c>
      <c r="BB306" s="204">
        <v>178.89402999999999</v>
      </c>
      <c r="BH306" s="204">
        <v>0</v>
      </c>
      <c r="BI306" s="204">
        <v>87.5</v>
      </c>
      <c r="BJ306" s="204">
        <v>42796</v>
      </c>
      <c r="BK306" s="204">
        <v>42743.581777858803</v>
      </c>
      <c r="BL306" s="204" t="s">
        <v>293</v>
      </c>
      <c r="BM306" s="204" t="s">
        <v>1901</v>
      </c>
      <c r="BN306" s="269">
        <f t="shared" si="69"/>
        <v>178.89402999999999</v>
      </c>
      <c r="BO306" s="269">
        <f t="shared" si="70"/>
        <v>87.5</v>
      </c>
      <c r="BP306" s="269">
        <f>INDEX('App Data Outliers'!$M:$M,MATCH($E306,'App Data Outliers'!$A:$A,0))</f>
        <v>164.03409531250006</v>
      </c>
      <c r="BQ306" s="269">
        <f>INDEX('App Data Outliers'!$N:$N,MATCH($E306,'App Data Outliers'!$A:$A,0))</f>
        <v>36.173336303462285</v>
      </c>
      <c r="BR306" s="269">
        <f>INDEX('App Data Outliers'!$S:$S,MATCH($E306,'App Data Outliers'!$A:$A,0))</f>
        <v>83.125</v>
      </c>
      <c r="BS306" s="269">
        <f>INDEX('App Data Outliers'!$T:$T,MATCH($E306,'App Data Outliers'!$A:$A,0))</f>
        <v>11.986360561328565</v>
      </c>
    </row>
    <row r="307" spans="1:71" s="204" customFormat="1" hidden="1">
      <c r="A307" s="241">
        <v>303</v>
      </c>
      <c r="B307" s="241" t="str">
        <f t="shared" si="61"/>
        <v>Residential - BHPSD - Residential Energy Efficiency Rebate</v>
      </c>
      <c r="C307" s="241" t="b">
        <f t="shared" si="62"/>
        <v>1</v>
      </c>
      <c r="D307" s="241" t="str">
        <f t="shared" si="63"/>
        <v>Residential - BHPSD - Residential Energy Efficiency Rebate_Residential Water Heating :- Customer Incentives_Electric Water Heater - EF &gt;= 0.95</v>
      </c>
      <c r="E307" s="241" t="str">
        <f t="shared" si="64"/>
        <v>Residential_High Efficiency HVAC_Water Heating_Electric Storage Water Heater EF &gt;0.95</v>
      </c>
      <c r="F307" s="241" t="str">
        <f>INDEX('VDSM MAPPING'!E:E,MATCH($D307,'VDSM MAPPING'!$A:$A,0))</f>
        <v>Residential</v>
      </c>
      <c r="G307" s="241" t="str">
        <f>INDEX('VDSM MAPPING'!F:F,MATCH($D307,'VDSM MAPPING'!$A:$A,0))</f>
        <v>High Efficiency HVAC</v>
      </c>
      <c r="H307" s="241" t="str">
        <f>INDEX('VDSM MAPPING'!G:G,MATCH($D307,'VDSM MAPPING'!$A:$A,0))</f>
        <v>Water Heating</v>
      </c>
      <c r="I307" s="241" t="str">
        <f>INDEX('VDSM MAPPING'!H:H,MATCH($D307,'VDSM MAPPING'!$A:$A,0))</f>
        <v>Electric Storage Water Heater EF &gt;0.95</v>
      </c>
      <c r="J307" s="240">
        <f t="shared" si="65"/>
        <v>0.41079801328907639</v>
      </c>
      <c r="K307" s="240">
        <f t="shared" si="66"/>
        <v>0.3649981975442157</v>
      </c>
      <c r="L307" s="240" t="b">
        <f t="shared" si="67"/>
        <v>0</v>
      </c>
      <c r="M307" s="240" t="b">
        <f t="shared" si="68"/>
        <v>0</v>
      </c>
      <c r="N307" s="204" t="s">
        <v>289</v>
      </c>
      <c r="O307" s="204" t="s">
        <v>1900</v>
      </c>
      <c r="P307" s="350">
        <v>1</v>
      </c>
      <c r="Q307" s="204" t="s">
        <v>1900</v>
      </c>
      <c r="R307" s="204" t="s">
        <v>1899</v>
      </c>
      <c r="S307" s="204" t="s">
        <v>1898</v>
      </c>
      <c r="T307" s="204" t="s">
        <v>1897</v>
      </c>
      <c r="U307" s="204" t="s">
        <v>1896</v>
      </c>
      <c r="V307" s="204" t="s">
        <v>1895</v>
      </c>
      <c r="W307" s="204" t="s">
        <v>531</v>
      </c>
      <c r="X307" s="204" t="s">
        <v>297</v>
      </c>
      <c r="Y307" s="204" t="s">
        <v>530</v>
      </c>
      <c r="Z307" s="204" t="s">
        <v>850</v>
      </c>
      <c r="AA307" s="204" t="s">
        <v>849</v>
      </c>
      <c r="AB307" s="204" t="s">
        <v>329</v>
      </c>
      <c r="AC307" s="204" t="s">
        <v>297</v>
      </c>
      <c r="AD307" s="204" t="s">
        <v>848</v>
      </c>
      <c r="AE307" s="204" t="s">
        <v>847</v>
      </c>
      <c r="AG307" s="204" t="s">
        <v>1773</v>
      </c>
      <c r="AH307" s="204" t="s">
        <v>1826</v>
      </c>
      <c r="AO307" s="204" t="s">
        <v>1825</v>
      </c>
      <c r="AR307" s="204" t="s">
        <v>1817</v>
      </c>
      <c r="AS307" s="204" t="s">
        <v>1894</v>
      </c>
      <c r="AV307" s="204" t="s">
        <v>1893</v>
      </c>
      <c r="AX307" s="204">
        <v>1</v>
      </c>
      <c r="AY307" s="204">
        <v>0</v>
      </c>
      <c r="AZ307" s="204">
        <v>2.0420000000000001E-2</v>
      </c>
      <c r="BB307" s="204">
        <v>178.89402999999999</v>
      </c>
      <c r="BH307" s="204">
        <v>0</v>
      </c>
      <c r="BI307" s="204">
        <v>87.5</v>
      </c>
      <c r="BJ307" s="204">
        <v>42748</v>
      </c>
      <c r="BK307" s="204">
        <v>42748.453289467601</v>
      </c>
      <c r="BL307" s="204" t="s">
        <v>293</v>
      </c>
      <c r="BM307" s="204" t="s">
        <v>1892</v>
      </c>
      <c r="BN307" s="269">
        <f t="shared" si="69"/>
        <v>178.89402999999999</v>
      </c>
      <c r="BO307" s="269">
        <f t="shared" si="70"/>
        <v>87.5</v>
      </c>
      <c r="BP307" s="269">
        <f>INDEX('App Data Outliers'!$M:$M,MATCH($E307,'App Data Outliers'!$A:$A,0))</f>
        <v>164.03409531250006</v>
      </c>
      <c r="BQ307" s="269">
        <f>INDEX('App Data Outliers'!$N:$N,MATCH($E307,'App Data Outliers'!$A:$A,0))</f>
        <v>36.173336303462285</v>
      </c>
      <c r="BR307" s="269">
        <f>INDEX('App Data Outliers'!$S:$S,MATCH($E307,'App Data Outliers'!$A:$A,0))</f>
        <v>83.125</v>
      </c>
      <c r="BS307" s="269">
        <f>INDEX('App Data Outliers'!$T:$T,MATCH($E307,'App Data Outliers'!$A:$A,0))</f>
        <v>11.986360561328565</v>
      </c>
    </row>
    <row r="308" spans="1:71" s="204" customFormat="1" hidden="1">
      <c r="A308" s="241">
        <v>304</v>
      </c>
      <c r="B308" s="241" t="str">
        <f t="shared" si="61"/>
        <v>Residential - BHPSD - Residential Energy Efficiency Rebate</v>
      </c>
      <c r="C308" s="241" t="b">
        <f t="shared" si="62"/>
        <v>1</v>
      </c>
      <c r="D308" s="241" t="str">
        <f t="shared" si="63"/>
        <v>Residential - BHPSD - Residential Energy Efficiency Rebate_Residential Water Heating :- Customer Incentives_Electric Water Heater - EF &gt;= 0.95</v>
      </c>
      <c r="E308" s="241" t="str">
        <f t="shared" si="64"/>
        <v>Residential_High Efficiency HVAC_Water Heating_Electric Storage Water Heater EF &gt;0.95</v>
      </c>
      <c r="F308" s="241" t="str">
        <f>INDEX('VDSM MAPPING'!E:E,MATCH($D308,'VDSM MAPPING'!$A:$A,0))</f>
        <v>Residential</v>
      </c>
      <c r="G308" s="241" t="str">
        <f>INDEX('VDSM MAPPING'!F:F,MATCH($D308,'VDSM MAPPING'!$A:$A,0))</f>
        <v>High Efficiency HVAC</v>
      </c>
      <c r="H308" s="241" t="str">
        <f>INDEX('VDSM MAPPING'!G:G,MATCH($D308,'VDSM MAPPING'!$A:$A,0))</f>
        <v>Water Heating</v>
      </c>
      <c r="I308" s="241" t="str">
        <f>INDEX('VDSM MAPPING'!H:H,MATCH($D308,'VDSM MAPPING'!$A:$A,0))</f>
        <v>Electric Storage Water Heater EF &gt;0.95</v>
      </c>
      <c r="J308" s="240">
        <f t="shared" si="65"/>
        <v>0.41079801328907639</v>
      </c>
      <c r="K308" s="240">
        <f t="shared" si="66"/>
        <v>0.3649981975442157</v>
      </c>
      <c r="L308" s="240" t="b">
        <f t="shared" si="67"/>
        <v>0</v>
      </c>
      <c r="M308" s="240" t="b">
        <f t="shared" si="68"/>
        <v>0</v>
      </c>
      <c r="N308" s="204" t="s">
        <v>289</v>
      </c>
      <c r="O308" s="204" t="s">
        <v>1891</v>
      </c>
      <c r="P308" s="350">
        <v>1</v>
      </c>
      <c r="Q308" s="204" t="s">
        <v>1891</v>
      </c>
      <c r="R308" s="204" t="s">
        <v>1890</v>
      </c>
      <c r="S308" s="204" t="s">
        <v>1889</v>
      </c>
      <c r="T308" s="204" t="s">
        <v>1888</v>
      </c>
      <c r="U308" s="204" t="s">
        <v>1887</v>
      </c>
      <c r="V308" s="204" t="s">
        <v>1886</v>
      </c>
      <c r="W308" s="204" t="s">
        <v>1765</v>
      </c>
      <c r="X308" s="204" t="s">
        <v>297</v>
      </c>
      <c r="Y308" s="204" t="s">
        <v>319</v>
      </c>
      <c r="Z308" s="204" t="s">
        <v>850</v>
      </c>
      <c r="AA308" s="204" t="s">
        <v>849</v>
      </c>
      <c r="AB308" s="204" t="s">
        <v>329</v>
      </c>
      <c r="AC308" s="204" t="s">
        <v>297</v>
      </c>
      <c r="AD308" s="204" t="s">
        <v>848</v>
      </c>
      <c r="AE308" s="204" t="s">
        <v>847</v>
      </c>
      <c r="AG308" s="204" t="s">
        <v>1773</v>
      </c>
      <c r="AH308" s="204" t="s">
        <v>1826</v>
      </c>
      <c r="AO308" s="204" t="s">
        <v>1825</v>
      </c>
      <c r="AR308" s="204" t="s">
        <v>1817</v>
      </c>
      <c r="AS308" s="204" t="s">
        <v>1823</v>
      </c>
      <c r="AV308" s="204" t="s">
        <v>1885</v>
      </c>
      <c r="AX308" s="204">
        <v>1</v>
      </c>
      <c r="AY308" s="204">
        <v>0</v>
      </c>
      <c r="AZ308" s="204">
        <v>2.0420000000000001E-2</v>
      </c>
      <c r="BB308" s="204">
        <v>178.89402999999999</v>
      </c>
      <c r="BH308" s="204">
        <v>0</v>
      </c>
      <c r="BI308" s="204">
        <v>87.5</v>
      </c>
      <c r="BJ308" s="204">
        <v>42749</v>
      </c>
      <c r="BK308" s="204">
        <v>42758.8470783218</v>
      </c>
      <c r="BL308" s="204" t="s">
        <v>293</v>
      </c>
      <c r="BM308" s="204" t="s">
        <v>1884</v>
      </c>
      <c r="BN308" s="269">
        <f t="shared" si="69"/>
        <v>178.89402999999999</v>
      </c>
      <c r="BO308" s="269">
        <f t="shared" si="70"/>
        <v>87.5</v>
      </c>
      <c r="BP308" s="269">
        <f>INDEX('App Data Outliers'!$M:$M,MATCH($E308,'App Data Outliers'!$A:$A,0))</f>
        <v>164.03409531250006</v>
      </c>
      <c r="BQ308" s="269">
        <f>INDEX('App Data Outliers'!$N:$N,MATCH($E308,'App Data Outliers'!$A:$A,0))</f>
        <v>36.173336303462285</v>
      </c>
      <c r="BR308" s="269">
        <f>INDEX('App Data Outliers'!$S:$S,MATCH($E308,'App Data Outliers'!$A:$A,0))</f>
        <v>83.125</v>
      </c>
      <c r="BS308" s="269">
        <f>INDEX('App Data Outliers'!$T:$T,MATCH($E308,'App Data Outliers'!$A:$A,0))</f>
        <v>11.986360561328565</v>
      </c>
    </row>
    <row r="309" spans="1:71" s="204" customFormat="1" hidden="1">
      <c r="A309" s="241">
        <v>305</v>
      </c>
      <c r="B309" s="241" t="str">
        <f t="shared" si="61"/>
        <v>Residential - BHPSD - Residential Energy Efficiency Rebate</v>
      </c>
      <c r="C309" s="241" t="b">
        <f t="shared" si="62"/>
        <v>1</v>
      </c>
      <c r="D309" s="241" t="str">
        <f t="shared" si="63"/>
        <v>Residential - BHPSD - Residential Energy Efficiency Rebate_Residential Water Heating :- Customer Incentives_Electric Water Heater - EF &gt;= 0.95</v>
      </c>
      <c r="E309" s="241" t="str">
        <f t="shared" si="64"/>
        <v>Residential_High Efficiency HVAC_Water Heating_Electric Storage Water Heater EF &gt;0.95</v>
      </c>
      <c r="F309" s="241" t="str">
        <f>INDEX('VDSM MAPPING'!E:E,MATCH($D309,'VDSM MAPPING'!$A:$A,0))</f>
        <v>Residential</v>
      </c>
      <c r="G309" s="241" t="str">
        <f>INDEX('VDSM MAPPING'!F:F,MATCH($D309,'VDSM MAPPING'!$A:$A,0))</f>
        <v>High Efficiency HVAC</v>
      </c>
      <c r="H309" s="241" t="str">
        <f>INDEX('VDSM MAPPING'!G:G,MATCH($D309,'VDSM MAPPING'!$A:$A,0))</f>
        <v>Water Heating</v>
      </c>
      <c r="I309" s="241" t="str">
        <f>INDEX('VDSM MAPPING'!H:H,MATCH($D309,'VDSM MAPPING'!$A:$A,0))</f>
        <v>Electric Storage Water Heater EF &gt;0.95</v>
      </c>
      <c r="J309" s="240">
        <f t="shared" si="65"/>
        <v>0.41079801328907639</v>
      </c>
      <c r="K309" s="240">
        <f t="shared" si="66"/>
        <v>0.3649981975442157</v>
      </c>
      <c r="L309" s="240" t="b">
        <f t="shared" si="67"/>
        <v>0</v>
      </c>
      <c r="M309" s="240" t="b">
        <f t="shared" si="68"/>
        <v>0</v>
      </c>
      <c r="N309" s="204" t="s">
        <v>289</v>
      </c>
      <c r="O309" s="204" t="s">
        <v>1883</v>
      </c>
      <c r="P309" s="350">
        <v>1</v>
      </c>
      <c r="Q309" s="204" t="s">
        <v>1883</v>
      </c>
      <c r="R309" s="204" t="s">
        <v>1882</v>
      </c>
      <c r="S309" s="204" t="s">
        <v>541</v>
      </c>
      <c r="T309" s="204" t="s">
        <v>1881</v>
      </c>
      <c r="V309" s="204" t="s">
        <v>1880</v>
      </c>
      <c r="W309" s="204" t="s">
        <v>345</v>
      </c>
      <c r="X309" s="204" t="s">
        <v>297</v>
      </c>
      <c r="Y309" s="204" t="s">
        <v>344</v>
      </c>
      <c r="Z309" s="204" t="s">
        <v>601</v>
      </c>
      <c r="AA309" s="204" t="s">
        <v>600</v>
      </c>
      <c r="AB309" s="204" t="s">
        <v>329</v>
      </c>
      <c r="AC309" s="204" t="s">
        <v>297</v>
      </c>
      <c r="AD309" s="204" t="s">
        <v>599</v>
      </c>
      <c r="AE309" s="204" t="s">
        <v>598</v>
      </c>
      <c r="AG309" s="204" t="s">
        <v>1773</v>
      </c>
      <c r="AH309" s="204" t="s">
        <v>1826</v>
      </c>
      <c r="AO309" s="204" t="s">
        <v>1825</v>
      </c>
      <c r="AR309" s="204" t="s">
        <v>1879</v>
      </c>
      <c r="AS309" s="204" t="s">
        <v>1823</v>
      </c>
      <c r="AV309" s="204" t="s">
        <v>1878</v>
      </c>
      <c r="AX309" s="204">
        <v>1</v>
      </c>
      <c r="AY309" s="204">
        <v>0</v>
      </c>
      <c r="AZ309" s="204">
        <v>2.0420000000000001E-2</v>
      </c>
      <c r="BB309" s="204">
        <v>178.89402999999999</v>
      </c>
      <c r="BH309" s="204">
        <v>0</v>
      </c>
      <c r="BI309" s="204">
        <v>87.5</v>
      </c>
      <c r="BJ309" s="204">
        <v>42774</v>
      </c>
      <c r="BK309" s="204">
        <v>42774.537028819403</v>
      </c>
      <c r="BL309" s="204" t="s">
        <v>293</v>
      </c>
      <c r="BM309" s="204" t="s">
        <v>1877</v>
      </c>
      <c r="BN309" s="269">
        <f t="shared" si="69"/>
        <v>178.89402999999999</v>
      </c>
      <c r="BO309" s="269">
        <f t="shared" si="70"/>
        <v>87.5</v>
      </c>
      <c r="BP309" s="269">
        <f>INDEX('App Data Outliers'!$M:$M,MATCH($E309,'App Data Outliers'!$A:$A,0))</f>
        <v>164.03409531250006</v>
      </c>
      <c r="BQ309" s="269">
        <f>INDEX('App Data Outliers'!$N:$N,MATCH($E309,'App Data Outliers'!$A:$A,0))</f>
        <v>36.173336303462285</v>
      </c>
      <c r="BR309" s="269">
        <f>INDEX('App Data Outliers'!$S:$S,MATCH($E309,'App Data Outliers'!$A:$A,0))</f>
        <v>83.125</v>
      </c>
      <c r="BS309" s="269">
        <f>INDEX('App Data Outliers'!$T:$T,MATCH($E309,'App Data Outliers'!$A:$A,0))</f>
        <v>11.986360561328565</v>
      </c>
    </row>
    <row r="310" spans="1:71" s="204" customFormat="1" hidden="1">
      <c r="A310" s="241">
        <v>306</v>
      </c>
      <c r="B310" s="241" t="str">
        <f t="shared" si="61"/>
        <v>Residential - BHPSD - Residential Energy Efficiency Rebate</v>
      </c>
      <c r="C310" s="241" t="b">
        <f t="shared" si="62"/>
        <v>1</v>
      </c>
      <c r="D310" s="241" t="str">
        <f t="shared" si="63"/>
        <v>Residential - BHPSD - Residential Energy Efficiency Rebate_Residential Water Heating :- Customer Incentives_Electric Water Heater - EF &gt;= 0.95</v>
      </c>
      <c r="E310" s="241" t="str">
        <f t="shared" si="64"/>
        <v>Residential_High Efficiency HVAC_Water Heating_Electric Storage Water Heater EF &gt;0.95</v>
      </c>
      <c r="F310" s="241" t="str">
        <f>INDEX('VDSM MAPPING'!E:E,MATCH($D310,'VDSM MAPPING'!$A:$A,0))</f>
        <v>Residential</v>
      </c>
      <c r="G310" s="241" t="str">
        <f>INDEX('VDSM MAPPING'!F:F,MATCH($D310,'VDSM MAPPING'!$A:$A,0))</f>
        <v>High Efficiency HVAC</v>
      </c>
      <c r="H310" s="241" t="str">
        <f>INDEX('VDSM MAPPING'!G:G,MATCH($D310,'VDSM MAPPING'!$A:$A,0))</f>
        <v>Water Heating</v>
      </c>
      <c r="I310" s="241" t="str">
        <f>INDEX('VDSM MAPPING'!H:H,MATCH($D310,'VDSM MAPPING'!$A:$A,0))</f>
        <v>Electric Storage Water Heater EF &gt;0.95</v>
      </c>
      <c r="J310" s="240">
        <f t="shared" si="65"/>
        <v>0.41079801328907639</v>
      </c>
      <c r="K310" s="240">
        <f t="shared" si="66"/>
        <v>0.3649981975442157</v>
      </c>
      <c r="L310" s="240" t="b">
        <f t="shared" si="67"/>
        <v>0</v>
      </c>
      <c r="M310" s="240" t="b">
        <f t="shared" si="68"/>
        <v>0</v>
      </c>
      <c r="N310" s="204" t="s">
        <v>289</v>
      </c>
      <c r="O310" s="204" t="s">
        <v>1876</v>
      </c>
      <c r="P310" s="350">
        <v>1</v>
      </c>
      <c r="Q310" s="204" t="s">
        <v>1876</v>
      </c>
      <c r="R310" s="204" t="s">
        <v>1875</v>
      </c>
      <c r="S310" s="204" t="s">
        <v>1874</v>
      </c>
      <c r="T310" s="204" t="s">
        <v>1873</v>
      </c>
      <c r="V310" s="204" t="s">
        <v>1872</v>
      </c>
      <c r="W310" s="204" t="s">
        <v>320</v>
      </c>
      <c r="X310" s="204" t="s">
        <v>297</v>
      </c>
      <c r="Y310" s="204" t="s">
        <v>319</v>
      </c>
      <c r="Z310" s="204" t="s">
        <v>1871</v>
      </c>
      <c r="AA310" s="204" t="s">
        <v>1870</v>
      </c>
      <c r="AB310" s="204" t="s">
        <v>320</v>
      </c>
      <c r="AC310" s="204" t="s">
        <v>297</v>
      </c>
      <c r="AD310" s="204" t="s">
        <v>319</v>
      </c>
      <c r="AE310" s="204" t="s">
        <v>1869</v>
      </c>
      <c r="AF310" s="204" t="s">
        <v>1868</v>
      </c>
      <c r="AG310" s="204" t="s">
        <v>1773</v>
      </c>
      <c r="AH310" s="204" t="s">
        <v>1826</v>
      </c>
      <c r="AO310" s="204" t="s">
        <v>1825</v>
      </c>
      <c r="AR310" s="204" t="s">
        <v>1817</v>
      </c>
      <c r="AS310" s="204" t="s">
        <v>1823</v>
      </c>
      <c r="AV310" s="204" t="s">
        <v>1867</v>
      </c>
      <c r="AX310" s="204">
        <v>1</v>
      </c>
      <c r="AY310" s="204">
        <v>0</v>
      </c>
      <c r="AZ310" s="204">
        <v>2.0420000000000001E-2</v>
      </c>
      <c r="BB310" s="204">
        <v>178.89402999999999</v>
      </c>
      <c r="BH310" s="204">
        <v>0</v>
      </c>
      <c r="BI310" s="204">
        <v>87.5</v>
      </c>
      <c r="BJ310" s="204">
        <v>42774</v>
      </c>
      <c r="BK310" s="204">
        <v>42774.542676192097</v>
      </c>
      <c r="BL310" s="204" t="s">
        <v>293</v>
      </c>
      <c r="BM310" s="204" t="s">
        <v>1866</v>
      </c>
      <c r="BN310" s="269">
        <f t="shared" si="69"/>
        <v>178.89402999999999</v>
      </c>
      <c r="BO310" s="269">
        <f t="shared" si="70"/>
        <v>87.5</v>
      </c>
      <c r="BP310" s="269">
        <f>INDEX('App Data Outliers'!$M:$M,MATCH($E310,'App Data Outliers'!$A:$A,0))</f>
        <v>164.03409531250006</v>
      </c>
      <c r="BQ310" s="269">
        <f>INDEX('App Data Outliers'!$N:$N,MATCH($E310,'App Data Outliers'!$A:$A,0))</f>
        <v>36.173336303462285</v>
      </c>
      <c r="BR310" s="269">
        <f>INDEX('App Data Outliers'!$S:$S,MATCH($E310,'App Data Outliers'!$A:$A,0))</f>
        <v>83.125</v>
      </c>
      <c r="BS310" s="269">
        <f>INDEX('App Data Outliers'!$T:$T,MATCH($E310,'App Data Outliers'!$A:$A,0))</f>
        <v>11.986360561328565</v>
      </c>
    </row>
    <row r="311" spans="1:71" s="204" customFormat="1" hidden="1">
      <c r="A311" s="241">
        <v>307</v>
      </c>
      <c r="B311" s="241" t="str">
        <f t="shared" si="61"/>
        <v>Residential - BHPSD - Residential Energy Efficiency Rebate</v>
      </c>
      <c r="C311" s="241" t="b">
        <f t="shared" si="62"/>
        <v>1</v>
      </c>
      <c r="D311" s="241" t="str">
        <f t="shared" si="63"/>
        <v>Residential - BHPSD - Residential Energy Efficiency Rebate_Residential Heat Pumps :- Residential Mini-Split :- Customer Incentives_Ductless Mini-Split HP SEER &gt;= 19</v>
      </c>
      <c r="E311" s="241" t="str">
        <f t="shared" si="64"/>
        <v>Residential_High Efficiency HVAC_HVAC_Ductless Mini-Split HP SEER ≥19</v>
      </c>
      <c r="F311" s="241" t="str">
        <f>INDEX('VDSM MAPPING'!E:E,MATCH($D311,'VDSM MAPPING'!$A:$A,0))</f>
        <v>Residential</v>
      </c>
      <c r="G311" s="241" t="str">
        <f>INDEX('VDSM MAPPING'!F:F,MATCH($D311,'VDSM MAPPING'!$A:$A,0))</f>
        <v>High Efficiency HVAC</v>
      </c>
      <c r="H311" s="241" t="str">
        <f>INDEX('VDSM MAPPING'!G:G,MATCH($D311,'VDSM MAPPING'!$A:$A,0))</f>
        <v>HVAC</v>
      </c>
      <c r="I311" s="241" t="str">
        <f>INDEX('VDSM MAPPING'!H:H,MATCH($D311,'VDSM MAPPING'!$A:$A,0))</f>
        <v>Ductless Mini-Split HP SEER ≥19</v>
      </c>
      <c r="J311" s="240">
        <f t="shared" si="65"/>
        <v>-0.9564988189981819</v>
      </c>
      <c r="K311" s="240">
        <f t="shared" si="66"/>
        <v>-0.92571866782486023</v>
      </c>
      <c r="L311" s="240" t="b">
        <f t="shared" si="67"/>
        <v>0</v>
      </c>
      <c r="M311" s="240" t="b">
        <f t="shared" si="68"/>
        <v>0</v>
      </c>
      <c r="N311" s="204" t="s">
        <v>289</v>
      </c>
      <c r="O311" s="204" t="s">
        <v>1865</v>
      </c>
      <c r="P311" s="350">
        <v>1</v>
      </c>
      <c r="Q311" s="204" t="s">
        <v>1865</v>
      </c>
      <c r="R311" s="204" t="s">
        <v>1864</v>
      </c>
      <c r="S311" s="204" t="s">
        <v>868</v>
      </c>
      <c r="T311" s="204" t="s">
        <v>1863</v>
      </c>
      <c r="V311" s="204" t="s">
        <v>1862</v>
      </c>
      <c r="W311" s="204" t="s">
        <v>320</v>
      </c>
      <c r="X311" s="204" t="s">
        <v>297</v>
      </c>
      <c r="Y311" s="204" t="s">
        <v>319</v>
      </c>
      <c r="Z311" s="204" t="s">
        <v>1736</v>
      </c>
      <c r="AA311" s="204" t="s">
        <v>1735</v>
      </c>
      <c r="AB311" s="204" t="s">
        <v>320</v>
      </c>
      <c r="AC311" s="204" t="s">
        <v>297</v>
      </c>
      <c r="AD311" s="204" t="s">
        <v>319</v>
      </c>
      <c r="AE311" s="204" t="s">
        <v>1734</v>
      </c>
      <c r="AG311" s="204" t="s">
        <v>1680</v>
      </c>
      <c r="AH311" s="204" t="s">
        <v>1679</v>
      </c>
      <c r="AO311" s="204" t="s">
        <v>1861</v>
      </c>
      <c r="AV311" s="204" t="s">
        <v>1860</v>
      </c>
      <c r="AX311" s="204">
        <v>1</v>
      </c>
      <c r="AY311" s="204">
        <v>0</v>
      </c>
      <c r="AZ311" s="204">
        <v>0.46700000000000003</v>
      </c>
      <c r="BB311" s="204">
        <v>1415.2380000000001</v>
      </c>
      <c r="BH311" s="204">
        <v>0</v>
      </c>
      <c r="BI311" s="204">
        <v>75</v>
      </c>
      <c r="BJ311" s="204">
        <v>42774</v>
      </c>
      <c r="BK311" s="204">
        <v>42774.545717905101</v>
      </c>
      <c r="BL311" s="204" t="s">
        <v>293</v>
      </c>
      <c r="BM311" s="204" t="s">
        <v>1859</v>
      </c>
      <c r="BN311" s="269">
        <f t="shared" si="69"/>
        <v>1415.2380000000001</v>
      </c>
      <c r="BO311" s="269">
        <f t="shared" si="70"/>
        <v>75</v>
      </c>
      <c r="BP311" s="269">
        <f>INDEX('App Data Outliers'!$M:$M,MATCH($E311,'App Data Outliers'!$A:$A,0))</f>
        <v>2495.8377857142855</v>
      </c>
      <c r="BQ311" s="269">
        <f>INDEX('App Data Outliers'!$N:$N,MATCH($E311,'App Data Outliers'!$A:$A,0))</f>
        <v>1129.7450286933804</v>
      </c>
      <c r="BR311" s="269">
        <f>INDEX('App Data Outliers'!$S:$S,MATCH($E311,'App Data Outliers'!$A:$A,0))</f>
        <v>107.14285714285714</v>
      </c>
      <c r="BS311" s="269">
        <f>INDEX('App Data Outliers'!$T:$T,MATCH($E311,'App Data Outliers'!$A:$A,0))</f>
        <v>34.722057856284209</v>
      </c>
    </row>
    <row r="312" spans="1:71" s="204" customFormat="1" hidden="1">
      <c r="A312" s="241">
        <v>308</v>
      </c>
      <c r="B312" s="241" t="str">
        <f t="shared" si="61"/>
        <v>Residential - BHPSD - Residential Energy Efficiency Rebate</v>
      </c>
      <c r="C312" s="241" t="b">
        <f t="shared" si="62"/>
        <v>1</v>
      </c>
      <c r="D312" s="241" t="str">
        <f t="shared" si="63"/>
        <v>Residential - BHPSD - Residential Energy Efficiency Rebate_Residential Heat Pumps :- Residential Heat Pumps - Air Source Heat Pumps :- Customer Incentives_Air Source Heat Pump - SEER &gt;= 15, EER &gt;= 12.5, HSPF &gt;= 8.5</v>
      </c>
      <c r="E312" s="241" t="str">
        <f t="shared" si="64"/>
        <v>Residential_High Efficiency HVAC_HVAC_Heat Pump SEER 15</v>
      </c>
      <c r="F312" s="241" t="str">
        <f>INDEX('VDSM MAPPING'!E:E,MATCH($D312,'VDSM MAPPING'!$A:$A,0))</f>
        <v>Residential</v>
      </c>
      <c r="G312" s="241" t="str">
        <f>INDEX('VDSM MAPPING'!F:F,MATCH($D312,'VDSM MAPPING'!$A:$A,0))</f>
        <v>High Efficiency HVAC</v>
      </c>
      <c r="H312" s="241" t="str">
        <f>INDEX('VDSM MAPPING'!G:G,MATCH($D312,'VDSM MAPPING'!$A:$A,0))</f>
        <v>HVAC</v>
      </c>
      <c r="I312" s="241" t="str">
        <f>INDEX('VDSM MAPPING'!H:H,MATCH($D312,'VDSM MAPPING'!$A:$A,0))</f>
        <v>Heat Pump SEER 15</v>
      </c>
      <c r="J312" s="240">
        <f t="shared" si="65"/>
        <v>-0.48406379359252888</v>
      </c>
      <c r="K312" s="240">
        <f t="shared" si="66"/>
        <v>-0.26620695282483414</v>
      </c>
      <c r="L312" s="240" t="b">
        <f t="shared" si="67"/>
        <v>0</v>
      </c>
      <c r="M312" s="240" t="b">
        <f t="shared" si="68"/>
        <v>0</v>
      </c>
      <c r="N312" s="204" t="s">
        <v>289</v>
      </c>
      <c r="O312" s="204" t="s">
        <v>1858</v>
      </c>
      <c r="P312" s="350">
        <v>1</v>
      </c>
      <c r="Q312" s="204" t="s">
        <v>1858</v>
      </c>
      <c r="R312" s="204" t="s">
        <v>1857</v>
      </c>
      <c r="S312" s="204" t="s">
        <v>1856</v>
      </c>
      <c r="T312" s="204" t="s">
        <v>1855</v>
      </c>
      <c r="V312" s="204" t="s">
        <v>1854</v>
      </c>
      <c r="W312" s="204" t="s">
        <v>329</v>
      </c>
      <c r="X312" s="204" t="s">
        <v>297</v>
      </c>
      <c r="Y312" s="204" t="s">
        <v>328</v>
      </c>
      <c r="Z312" s="204" t="s">
        <v>1853</v>
      </c>
      <c r="AA312" s="204" t="s">
        <v>1852</v>
      </c>
      <c r="AB312" s="204" t="s">
        <v>413</v>
      </c>
      <c r="AC312" s="204" t="s">
        <v>297</v>
      </c>
      <c r="AD312" s="204" t="s">
        <v>412</v>
      </c>
      <c r="AE312" s="204" t="s">
        <v>1851</v>
      </c>
      <c r="AF312" s="204" t="s">
        <v>1850</v>
      </c>
      <c r="AG312" s="204" t="s">
        <v>1715</v>
      </c>
      <c r="AH312" s="204" t="s">
        <v>1714</v>
      </c>
      <c r="AV312" s="204" t="s">
        <v>1849</v>
      </c>
      <c r="AX312" s="204">
        <v>1</v>
      </c>
      <c r="AY312" s="204">
        <v>0</v>
      </c>
      <c r="AZ312" s="204">
        <v>0.41099999999999998</v>
      </c>
      <c r="BB312" s="204">
        <v>399.00400000000002</v>
      </c>
      <c r="BH312" s="204">
        <v>0</v>
      </c>
      <c r="BI312" s="204">
        <v>187.5</v>
      </c>
      <c r="BJ312" s="204">
        <v>42774</v>
      </c>
      <c r="BK312" s="204">
        <v>42774.586342326402</v>
      </c>
      <c r="BL312" s="204" t="s">
        <v>293</v>
      </c>
      <c r="BM312" s="204" t="s">
        <v>1848</v>
      </c>
      <c r="BN312" s="269">
        <f t="shared" si="69"/>
        <v>399.00400000000002</v>
      </c>
      <c r="BO312" s="269">
        <f t="shared" si="70"/>
        <v>187.5</v>
      </c>
      <c r="BP312" s="269">
        <f>INDEX('App Data Outliers'!$M:$M,MATCH($E312,'App Data Outliers'!$A:$A,0))</f>
        <v>901.38850000000002</v>
      </c>
      <c r="BQ312" s="269">
        <f>INDEX('App Data Outliers'!$N:$N,MATCH($E312,'App Data Outliers'!$A:$A,0))</f>
        <v>1037.8477106736327</v>
      </c>
      <c r="BR312" s="269">
        <f>INDEX('App Data Outliers'!$S:$S,MATCH($E312,'App Data Outliers'!$A:$A,0))</f>
        <v>201.5625</v>
      </c>
      <c r="BS312" s="269">
        <f>INDEX('App Data Outliers'!$T:$T,MATCH($E312,'App Data Outliers'!$A:$A,0))</f>
        <v>52.825442201178021</v>
      </c>
    </row>
    <row r="313" spans="1:71" s="204" customFormat="1" hidden="1">
      <c r="A313" s="241">
        <v>309</v>
      </c>
      <c r="B313" s="241" t="str">
        <f t="shared" si="61"/>
        <v>Residential - BHPSD - Residential Energy Efficiency Rebate</v>
      </c>
      <c r="C313" s="241" t="b">
        <f t="shared" si="62"/>
        <v>1</v>
      </c>
      <c r="D313" s="241" t="str">
        <f t="shared" si="63"/>
        <v>Residential - BHPSD - Residential Energy Efficiency Rebate_Residential Heat Pumps :- Residential Heat Pumps - ER Heat Pump :- Customer Incentives_Early Retirement Heat Pump (1-5 tons)</v>
      </c>
      <c r="E313" s="241" t="str">
        <f t="shared" si="64"/>
        <v>Residential_High Efficiency HVAC_HVAC_Early Retirement Heat Pump SEER 15</v>
      </c>
      <c r="F313" s="241" t="str">
        <f>INDEX('VDSM MAPPING'!E:E,MATCH($D313,'VDSM MAPPING'!$A:$A,0))</f>
        <v>Residential</v>
      </c>
      <c r="G313" s="241" t="str">
        <f>INDEX('VDSM MAPPING'!F:F,MATCH($D313,'VDSM MAPPING'!$A:$A,0))</f>
        <v>High Efficiency HVAC</v>
      </c>
      <c r="H313" s="241" t="str">
        <f>INDEX('VDSM MAPPING'!G:G,MATCH($D313,'VDSM MAPPING'!$A:$A,0))</f>
        <v>HVAC</v>
      </c>
      <c r="I313" s="241" t="str">
        <f>INDEX('VDSM MAPPING'!H:H,MATCH($D313,'VDSM MAPPING'!$A:$A,0))</f>
        <v>Early Retirement Heat Pump SEER 15</v>
      </c>
      <c r="J313" s="240">
        <f t="shared" si="65"/>
        <v>1.7027730867570068</v>
      </c>
      <c r="K313" s="240">
        <f t="shared" si="66"/>
        <v>-0.42919753763947632</v>
      </c>
      <c r="L313" s="240" t="b">
        <f t="shared" si="67"/>
        <v>0</v>
      </c>
      <c r="M313" s="240" t="b">
        <f t="shared" si="68"/>
        <v>0</v>
      </c>
      <c r="N313" s="204" t="s">
        <v>289</v>
      </c>
      <c r="O313" s="204" t="s">
        <v>1847</v>
      </c>
      <c r="P313" s="350">
        <v>1</v>
      </c>
      <c r="Q313" s="204" t="s">
        <v>1847</v>
      </c>
      <c r="R313" s="204" t="s">
        <v>1846</v>
      </c>
      <c r="S313" s="204" t="s">
        <v>1845</v>
      </c>
      <c r="T313" s="204" t="s">
        <v>1396</v>
      </c>
      <c r="V313" s="204" t="s">
        <v>1844</v>
      </c>
      <c r="W313" s="204" t="s">
        <v>329</v>
      </c>
      <c r="X313" s="204" t="s">
        <v>297</v>
      </c>
      <c r="Y313" s="204" t="s">
        <v>328</v>
      </c>
      <c r="Z313" s="204" t="s">
        <v>1727</v>
      </c>
      <c r="AA313" s="204" t="s">
        <v>1726</v>
      </c>
      <c r="AB313" s="204" t="s">
        <v>329</v>
      </c>
      <c r="AC313" s="204" t="s">
        <v>297</v>
      </c>
      <c r="AD313" s="204" t="s">
        <v>328</v>
      </c>
      <c r="AF313" s="204" t="s">
        <v>1725</v>
      </c>
      <c r="AG313" s="204" t="s">
        <v>1706</v>
      </c>
      <c r="AH313" s="204" t="s">
        <v>1705</v>
      </c>
      <c r="AX313" s="204">
        <v>1</v>
      </c>
      <c r="AY313" s="204">
        <v>0</v>
      </c>
      <c r="AZ313" s="204">
        <v>3.4609999999999999</v>
      </c>
      <c r="BB313" s="204">
        <v>7186.7579999999998</v>
      </c>
      <c r="BH313" s="204">
        <v>0</v>
      </c>
      <c r="BI313" s="204">
        <v>600</v>
      </c>
      <c r="BJ313" s="204">
        <v>42774</v>
      </c>
      <c r="BK313" s="204">
        <v>42774.600277164398</v>
      </c>
      <c r="BL313" s="204" t="s">
        <v>293</v>
      </c>
      <c r="BM313" s="204" t="s">
        <v>1843</v>
      </c>
      <c r="BN313" s="269">
        <f t="shared" si="69"/>
        <v>7186.7579999999998</v>
      </c>
      <c r="BO313" s="269">
        <f t="shared" si="70"/>
        <v>600</v>
      </c>
      <c r="BP313" s="269">
        <f>INDEX('App Data Outliers'!$M:$M,MATCH($E313,'App Data Outliers'!$A:$A,0))</f>
        <v>4727.4153333333334</v>
      </c>
      <c r="BQ313" s="269">
        <f>INDEX('App Data Outliers'!$N:$N,MATCH($E313,'App Data Outliers'!$A:$A,0))</f>
        <v>1444.3161486364422</v>
      </c>
      <c r="BR313" s="269">
        <f>INDEX('App Data Outliers'!$S:$S,MATCH($E313,'App Data Outliers'!$A:$A,0))</f>
        <v>677.77777777777783</v>
      </c>
      <c r="BS313" s="269">
        <f>INDEX('App Data Outliers'!$T:$T,MATCH($E313,'App Data Outliers'!$A:$A,0))</f>
        <v>181.21673811444546</v>
      </c>
    </row>
    <row r="314" spans="1:71" s="204" customFormat="1" hidden="1">
      <c r="A314" s="241">
        <v>310</v>
      </c>
      <c r="B314" s="241" t="str">
        <f t="shared" si="61"/>
        <v>Residential - BHPSD - Residential Energy Efficiency Rebate</v>
      </c>
      <c r="C314" s="241" t="b">
        <f t="shared" si="62"/>
        <v>1</v>
      </c>
      <c r="D314" s="241" t="str">
        <f t="shared" si="63"/>
        <v>Residential - BHPSD - Residential Energy Efficiency Rebate_Residential Water Heating :- Customer Incentives_Electric Water Heater - EF &gt;= 0.95</v>
      </c>
      <c r="E314" s="241" t="str">
        <f t="shared" si="64"/>
        <v>Residential_High Efficiency HVAC_Water Heating_Electric Storage Water Heater EF &gt;0.95</v>
      </c>
      <c r="F314" s="241" t="str">
        <f>INDEX('VDSM MAPPING'!E:E,MATCH($D314,'VDSM MAPPING'!$A:$A,0))</f>
        <v>Residential</v>
      </c>
      <c r="G314" s="241" t="str">
        <f>INDEX('VDSM MAPPING'!F:F,MATCH($D314,'VDSM MAPPING'!$A:$A,0))</f>
        <v>High Efficiency HVAC</v>
      </c>
      <c r="H314" s="241" t="str">
        <f>INDEX('VDSM MAPPING'!G:G,MATCH($D314,'VDSM MAPPING'!$A:$A,0))</f>
        <v>Water Heating</v>
      </c>
      <c r="I314" s="241" t="str">
        <f>INDEX('VDSM MAPPING'!H:H,MATCH($D314,'VDSM MAPPING'!$A:$A,0))</f>
        <v>Electric Storage Water Heater EF &gt;0.95</v>
      </c>
      <c r="J314" s="240">
        <f t="shared" si="65"/>
        <v>0.41079801328907639</v>
      </c>
      <c r="K314" s="240">
        <f t="shared" si="66"/>
        <v>0.3649981975442157</v>
      </c>
      <c r="L314" s="240" t="b">
        <f t="shared" si="67"/>
        <v>0</v>
      </c>
      <c r="M314" s="240" t="b">
        <f t="shared" si="68"/>
        <v>0</v>
      </c>
      <c r="N314" s="204" t="s">
        <v>289</v>
      </c>
      <c r="O314" s="204" t="s">
        <v>1842</v>
      </c>
      <c r="P314" s="350">
        <v>1</v>
      </c>
      <c r="Q314" s="204" t="s">
        <v>1842</v>
      </c>
      <c r="R314" s="204" t="s">
        <v>1841</v>
      </c>
      <c r="S314" s="204" t="s">
        <v>1840</v>
      </c>
      <c r="T314" s="204" t="s">
        <v>1839</v>
      </c>
      <c r="V314" s="204" t="s">
        <v>1838</v>
      </c>
      <c r="W314" s="204" t="s">
        <v>531</v>
      </c>
      <c r="X314" s="204" t="s">
        <v>297</v>
      </c>
      <c r="Y314" s="204" t="s">
        <v>530</v>
      </c>
      <c r="Z314" s="204" t="s">
        <v>850</v>
      </c>
      <c r="AA314" s="204" t="s">
        <v>849</v>
      </c>
      <c r="AB314" s="204" t="s">
        <v>329</v>
      </c>
      <c r="AC314" s="204" t="s">
        <v>297</v>
      </c>
      <c r="AD314" s="204" t="s">
        <v>848</v>
      </c>
      <c r="AE314" s="204" t="s">
        <v>847</v>
      </c>
      <c r="AG314" s="204" t="s">
        <v>1773</v>
      </c>
      <c r="AH314" s="204" t="s">
        <v>1826</v>
      </c>
      <c r="AO314" s="204" t="s">
        <v>1825</v>
      </c>
      <c r="AR314" s="204" t="s">
        <v>1817</v>
      </c>
      <c r="AS314" s="204" t="s">
        <v>1823</v>
      </c>
      <c r="AV314" s="204" t="s">
        <v>1837</v>
      </c>
      <c r="AX314" s="204">
        <v>1</v>
      </c>
      <c r="AY314" s="204">
        <v>0</v>
      </c>
      <c r="AZ314" s="204">
        <v>2.0420000000000001E-2</v>
      </c>
      <c r="BB314" s="204">
        <v>178.89402999999999</v>
      </c>
      <c r="BH314" s="204">
        <v>0</v>
      </c>
      <c r="BI314" s="204">
        <v>87.5</v>
      </c>
      <c r="BJ314" s="204">
        <v>42796</v>
      </c>
      <c r="BK314" s="204">
        <v>42794.597953969896</v>
      </c>
      <c r="BL314" s="204" t="s">
        <v>293</v>
      </c>
      <c r="BM314" s="204" t="s">
        <v>1836</v>
      </c>
      <c r="BN314" s="269">
        <f t="shared" si="69"/>
        <v>178.89402999999999</v>
      </c>
      <c r="BO314" s="269">
        <f t="shared" si="70"/>
        <v>87.5</v>
      </c>
      <c r="BP314" s="269">
        <f>INDEX('App Data Outliers'!$M:$M,MATCH($E314,'App Data Outliers'!$A:$A,0))</f>
        <v>164.03409531250006</v>
      </c>
      <c r="BQ314" s="269">
        <f>INDEX('App Data Outliers'!$N:$N,MATCH($E314,'App Data Outliers'!$A:$A,0))</f>
        <v>36.173336303462285</v>
      </c>
      <c r="BR314" s="269">
        <f>INDEX('App Data Outliers'!$S:$S,MATCH($E314,'App Data Outliers'!$A:$A,0))</f>
        <v>83.125</v>
      </c>
      <c r="BS314" s="269">
        <f>INDEX('App Data Outliers'!$T:$T,MATCH($E314,'App Data Outliers'!$A:$A,0))</f>
        <v>11.986360561328565</v>
      </c>
    </row>
    <row r="315" spans="1:71" s="204" customFormat="1" hidden="1">
      <c r="A315" s="241">
        <v>311</v>
      </c>
      <c r="B315" s="241" t="str">
        <f t="shared" si="61"/>
        <v>Residential - BHPSD - Residential Energy Efficiency Rebate</v>
      </c>
      <c r="C315" s="241" t="b">
        <f t="shared" si="62"/>
        <v>1</v>
      </c>
      <c r="D315" s="241" t="str">
        <f t="shared" si="63"/>
        <v>Residential - BHPSD - Residential Energy Efficiency Rebate_Residential Heat Pumps :- Residential Heat Pumps - ER Heat Pump :- Customer Incentives_Early Retirement Heat Pump (1-5 tons)</v>
      </c>
      <c r="E315" s="241" t="str">
        <f t="shared" si="64"/>
        <v>Residential_High Efficiency HVAC_HVAC_Early Retirement Heat Pump SEER 15</v>
      </c>
      <c r="F315" s="241" t="str">
        <f>INDEX('VDSM MAPPING'!E:E,MATCH($D315,'VDSM MAPPING'!$A:$A,0))</f>
        <v>Residential</v>
      </c>
      <c r="G315" s="241" t="str">
        <f>INDEX('VDSM MAPPING'!F:F,MATCH($D315,'VDSM MAPPING'!$A:$A,0))</f>
        <v>High Efficiency HVAC</v>
      </c>
      <c r="H315" s="241" t="str">
        <f>INDEX('VDSM MAPPING'!G:G,MATCH($D315,'VDSM MAPPING'!$A:$A,0))</f>
        <v>HVAC</v>
      </c>
      <c r="I315" s="241" t="str">
        <f>INDEX('VDSM MAPPING'!H:H,MATCH($D315,'VDSM MAPPING'!$A:$A,0))</f>
        <v>Early Retirement Heat Pump SEER 15</v>
      </c>
      <c r="J315" s="240">
        <f t="shared" si="65"/>
        <v>1.1565810354220105</v>
      </c>
      <c r="K315" s="240">
        <f t="shared" si="66"/>
        <v>0.67445327343346206</v>
      </c>
      <c r="L315" s="240" t="b">
        <f t="shared" si="67"/>
        <v>0</v>
      </c>
      <c r="M315" s="240" t="b">
        <f t="shared" si="68"/>
        <v>0</v>
      </c>
      <c r="N315" s="204" t="s">
        <v>289</v>
      </c>
      <c r="O315" s="204" t="s">
        <v>1835</v>
      </c>
      <c r="P315" s="350">
        <v>1</v>
      </c>
      <c r="Q315" s="204" t="s">
        <v>1835</v>
      </c>
      <c r="R315" s="204" t="s">
        <v>1834</v>
      </c>
      <c r="S315" s="204" t="s">
        <v>1833</v>
      </c>
      <c r="T315" s="204" t="s">
        <v>1832</v>
      </c>
      <c r="V315" s="204" t="s">
        <v>1831</v>
      </c>
      <c r="W315" s="204" t="s">
        <v>320</v>
      </c>
      <c r="X315" s="204" t="s">
        <v>297</v>
      </c>
      <c r="Y315" s="204" t="s">
        <v>319</v>
      </c>
      <c r="Z315" s="204" t="s">
        <v>1736</v>
      </c>
      <c r="AA315" s="204" t="s">
        <v>1735</v>
      </c>
      <c r="AB315" s="204" t="s">
        <v>320</v>
      </c>
      <c r="AC315" s="204" t="s">
        <v>297</v>
      </c>
      <c r="AD315" s="204" t="s">
        <v>319</v>
      </c>
      <c r="AE315" s="204" t="s">
        <v>1734</v>
      </c>
      <c r="AG315" s="204" t="s">
        <v>1706</v>
      </c>
      <c r="AH315" s="204" t="s">
        <v>1705</v>
      </c>
      <c r="AX315" s="204">
        <v>1</v>
      </c>
      <c r="AY315" s="204">
        <v>0</v>
      </c>
      <c r="AZ315" s="204">
        <v>3.093</v>
      </c>
      <c r="BB315" s="204">
        <v>6397.884</v>
      </c>
      <c r="BH315" s="204">
        <v>0</v>
      </c>
      <c r="BI315" s="204">
        <v>800</v>
      </c>
      <c r="BJ315" s="204">
        <v>42796</v>
      </c>
      <c r="BK315" s="204">
        <v>42794.609445983799</v>
      </c>
      <c r="BL315" s="204" t="s">
        <v>293</v>
      </c>
      <c r="BM315" s="204" t="s">
        <v>1830</v>
      </c>
      <c r="BN315" s="269">
        <f t="shared" si="69"/>
        <v>6397.884</v>
      </c>
      <c r="BO315" s="269">
        <f t="shared" si="70"/>
        <v>800</v>
      </c>
      <c r="BP315" s="269">
        <f>INDEX('App Data Outliers'!$M:$M,MATCH($E315,'App Data Outliers'!$A:$A,0))</f>
        <v>4727.4153333333334</v>
      </c>
      <c r="BQ315" s="269">
        <f>INDEX('App Data Outliers'!$N:$N,MATCH($E315,'App Data Outliers'!$A:$A,0))</f>
        <v>1444.3161486364422</v>
      </c>
      <c r="BR315" s="269">
        <f>INDEX('App Data Outliers'!$S:$S,MATCH($E315,'App Data Outliers'!$A:$A,0))</f>
        <v>677.77777777777783</v>
      </c>
      <c r="BS315" s="269">
        <f>INDEX('App Data Outliers'!$T:$T,MATCH($E315,'App Data Outliers'!$A:$A,0))</f>
        <v>181.21673811444546</v>
      </c>
    </row>
    <row r="316" spans="1:71" s="204" customFormat="1" hidden="1">
      <c r="A316" s="241">
        <v>312</v>
      </c>
      <c r="B316" s="241" t="str">
        <f t="shared" si="61"/>
        <v>Residential - BHPSD - Residential Energy Efficiency Rebate</v>
      </c>
      <c r="C316" s="241" t="b">
        <f t="shared" si="62"/>
        <v>1</v>
      </c>
      <c r="D316" s="241" t="str">
        <f t="shared" si="63"/>
        <v>Residential - BHPSD - Residential Energy Efficiency Rebate_Residential Water Heating :- Customer Incentives_Electric Water Heater - EF &gt;= 0.95</v>
      </c>
      <c r="E316" s="241" t="str">
        <f t="shared" si="64"/>
        <v>Residential_High Efficiency HVAC_Water Heating_Electric Storage Water Heater EF &gt;0.95</v>
      </c>
      <c r="F316" s="241" t="str">
        <f>INDEX('VDSM MAPPING'!E:E,MATCH($D316,'VDSM MAPPING'!$A:$A,0))</f>
        <v>Residential</v>
      </c>
      <c r="G316" s="241" t="str">
        <f>INDEX('VDSM MAPPING'!F:F,MATCH($D316,'VDSM MAPPING'!$A:$A,0))</f>
        <v>High Efficiency HVAC</v>
      </c>
      <c r="H316" s="241" t="str">
        <f>INDEX('VDSM MAPPING'!G:G,MATCH($D316,'VDSM MAPPING'!$A:$A,0))</f>
        <v>Water Heating</v>
      </c>
      <c r="I316" s="241" t="str">
        <f>INDEX('VDSM MAPPING'!H:H,MATCH($D316,'VDSM MAPPING'!$A:$A,0))</f>
        <v>Electric Storage Water Heater EF &gt;0.95</v>
      </c>
      <c r="J316" s="240">
        <f t="shared" si="65"/>
        <v>-1.0590854819446998</v>
      </c>
      <c r="K316" s="240">
        <f t="shared" si="66"/>
        <v>-1.0949945926326472</v>
      </c>
      <c r="L316" s="240" t="b">
        <f t="shared" si="67"/>
        <v>0</v>
      </c>
      <c r="M316" s="240" t="b">
        <f t="shared" si="68"/>
        <v>0</v>
      </c>
      <c r="N316" s="204" t="s">
        <v>289</v>
      </c>
      <c r="O316" s="204" t="s">
        <v>1829</v>
      </c>
      <c r="P316" s="350">
        <v>1</v>
      </c>
      <c r="Q316" s="204" t="s">
        <v>1829</v>
      </c>
      <c r="R316" s="204" t="s">
        <v>1828</v>
      </c>
      <c r="S316" s="204" t="s">
        <v>1423</v>
      </c>
      <c r="T316" s="204" t="s">
        <v>997</v>
      </c>
      <c r="V316" s="204" t="s">
        <v>1827</v>
      </c>
      <c r="W316" s="204" t="s">
        <v>413</v>
      </c>
      <c r="X316" s="204" t="s">
        <v>297</v>
      </c>
      <c r="Y316" s="204" t="s">
        <v>412</v>
      </c>
      <c r="Z316" s="204" t="s">
        <v>850</v>
      </c>
      <c r="AA316" s="204" t="s">
        <v>849</v>
      </c>
      <c r="AB316" s="204" t="s">
        <v>329</v>
      </c>
      <c r="AC316" s="204" t="s">
        <v>297</v>
      </c>
      <c r="AD316" s="204" t="s">
        <v>848</v>
      </c>
      <c r="AE316" s="204" t="s">
        <v>847</v>
      </c>
      <c r="AG316" s="204" t="s">
        <v>1773</v>
      </c>
      <c r="AH316" s="204" t="s">
        <v>1826</v>
      </c>
      <c r="AO316" s="204" t="s">
        <v>1825</v>
      </c>
      <c r="AR316" s="204" t="s">
        <v>1824</v>
      </c>
      <c r="AS316" s="204" t="s">
        <v>1823</v>
      </c>
      <c r="AV316" s="204" t="s">
        <v>1822</v>
      </c>
      <c r="AX316" s="204">
        <v>1</v>
      </c>
      <c r="AY316" s="204">
        <v>0</v>
      </c>
      <c r="AZ316" s="204">
        <v>1.435E-2</v>
      </c>
      <c r="BB316" s="204">
        <v>125.72344</v>
      </c>
      <c r="BH316" s="204">
        <v>0</v>
      </c>
      <c r="BI316" s="204">
        <v>70</v>
      </c>
      <c r="BJ316" s="204">
        <v>42795</v>
      </c>
      <c r="BK316" s="204">
        <v>42795.7318815162</v>
      </c>
      <c r="BL316" s="204" t="s">
        <v>293</v>
      </c>
      <c r="BM316" s="204" t="s">
        <v>1821</v>
      </c>
      <c r="BN316" s="269">
        <f t="shared" si="69"/>
        <v>125.72344</v>
      </c>
      <c r="BO316" s="269">
        <f t="shared" si="70"/>
        <v>70</v>
      </c>
      <c r="BP316" s="269">
        <f>INDEX('App Data Outliers'!$M:$M,MATCH($E316,'App Data Outliers'!$A:$A,0))</f>
        <v>164.03409531250006</v>
      </c>
      <c r="BQ316" s="269">
        <f>INDEX('App Data Outliers'!$N:$N,MATCH($E316,'App Data Outliers'!$A:$A,0))</f>
        <v>36.173336303462285</v>
      </c>
      <c r="BR316" s="269">
        <f>INDEX('App Data Outliers'!$S:$S,MATCH($E316,'App Data Outliers'!$A:$A,0))</f>
        <v>83.125</v>
      </c>
      <c r="BS316" s="269">
        <f>INDEX('App Data Outliers'!$T:$T,MATCH($E316,'App Data Outliers'!$A:$A,0))</f>
        <v>11.986360561328565</v>
      </c>
    </row>
    <row r="317" spans="1:71" s="204" customFormat="1" hidden="1">
      <c r="A317" s="241">
        <v>313</v>
      </c>
      <c r="B317" s="241" t="str">
        <f t="shared" si="61"/>
        <v>Residential - BHPSD - Residential Energy Efficiency Rebate</v>
      </c>
      <c r="C317" s="241" t="b">
        <f t="shared" si="62"/>
        <v>1</v>
      </c>
      <c r="D317" s="241" t="str">
        <f t="shared" si="63"/>
        <v>Residential - BHPSD - Residential Energy Efficiency Rebate_Residential Heat Pumps :- Residential Heat Pumps - ER Heat Pump :- Customer Incentives_Early Retirement Heat Pump (1-5 tons)</v>
      </c>
      <c r="E317" s="241" t="str">
        <f t="shared" si="64"/>
        <v>Residential_High Efficiency HVAC_HVAC_Early Retirement Heat Pump SEER 15</v>
      </c>
      <c r="F317" s="241" t="str">
        <f>INDEX('VDSM MAPPING'!E:E,MATCH($D317,'VDSM MAPPING'!$A:$A,0))</f>
        <v>Residential</v>
      </c>
      <c r="G317" s="241" t="str">
        <f>INDEX('VDSM MAPPING'!F:F,MATCH($D317,'VDSM MAPPING'!$A:$A,0))</f>
        <v>High Efficiency HVAC</v>
      </c>
      <c r="H317" s="241" t="str">
        <f>INDEX('VDSM MAPPING'!G:G,MATCH($D317,'VDSM MAPPING'!$A:$A,0))</f>
        <v>HVAC</v>
      </c>
      <c r="I317" s="241" t="str">
        <f>INDEX('VDSM MAPPING'!H:H,MATCH($D317,'VDSM MAPPING'!$A:$A,0))</f>
        <v>Early Retirement Heat Pump SEER 15</v>
      </c>
      <c r="J317" s="240">
        <f t="shared" si="65"/>
        <v>-1.176928150348622</v>
      </c>
      <c r="K317" s="240">
        <f t="shared" si="66"/>
        <v>-1.5328483487124147</v>
      </c>
      <c r="L317" s="240" t="b">
        <f t="shared" si="67"/>
        <v>0</v>
      </c>
      <c r="M317" s="240" t="b">
        <f t="shared" si="68"/>
        <v>0</v>
      </c>
      <c r="N317" s="204" t="s">
        <v>289</v>
      </c>
      <c r="O317" s="204" t="s">
        <v>1815</v>
      </c>
      <c r="P317" s="350">
        <v>1</v>
      </c>
      <c r="Q317" s="204" t="s">
        <v>1815</v>
      </c>
      <c r="R317" s="204" t="s">
        <v>1814</v>
      </c>
      <c r="S317" s="204" t="s">
        <v>1813</v>
      </c>
      <c r="T317" s="204" t="s">
        <v>799</v>
      </c>
      <c r="V317" s="204" t="s">
        <v>1812</v>
      </c>
      <c r="W317" s="204" t="s">
        <v>329</v>
      </c>
      <c r="X317" s="204" t="s">
        <v>297</v>
      </c>
      <c r="Y317" s="204" t="s">
        <v>328</v>
      </c>
      <c r="Z317" s="204" t="s">
        <v>1811</v>
      </c>
      <c r="AA317" s="204" t="s">
        <v>1810</v>
      </c>
      <c r="AB317" s="204" t="s">
        <v>1252</v>
      </c>
      <c r="AC317" s="204" t="s">
        <v>297</v>
      </c>
      <c r="AD317" s="204" t="s">
        <v>1251</v>
      </c>
      <c r="AE317" s="204" t="s">
        <v>1809</v>
      </c>
      <c r="AF317" s="204" t="s">
        <v>1808</v>
      </c>
      <c r="AG317" s="204" t="s">
        <v>1706</v>
      </c>
      <c r="AH317" s="204" t="s">
        <v>1705</v>
      </c>
      <c r="AX317" s="204">
        <v>1</v>
      </c>
      <c r="AY317" s="204">
        <v>0</v>
      </c>
      <c r="AZ317" s="204">
        <v>1.589</v>
      </c>
      <c r="BB317" s="204">
        <v>3027.5590000000002</v>
      </c>
      <c r="BH317" s="204">
        <v>0</v>
      </c>
      <c r="BI317" s="204">
        <v>400</v>
      </c>
      <c r="BJ317" s="204">
        <v>42822</v>
      </c>
      <c r="BK317" s="204">
        <v>42822.727818055602</v>
      </c>
      <c r="BL317" s="204" t="s">
        <v>293</v>
      </c>
      <c r="BM317" s="204" t="s">
        <v>1807</v>
      </c>
      <c r="BN317" s="269">
        <f t="shared" si="69"/>
        <v>3027.5590000000002</v>
      </c>
      <c r="BO317" s="269">
        <f t="shared" si="70"/>
        <v>400</v>
      </c>
      <c r="BP317" s="269">
        <f>INDEX('App Data Outliers'!$M:$M,MATCH($E317,'App Data Outliers'!$A:$A,0))</f>
        <v>4727.4153333333334</v>
      </c>
      <c r="BQ317" s="269">
        <f>INDEX('App Data Outliers'!$N:$N,MATCH($E317,'App Data Outliers'!$A:$A,0))</f>
        <v>1444.3161486364422</v>
      </c>
      <c r="BR317" s="269">
        <f>INDEX('App Data Outliers'!$S:$S,MATCH($E317,'App Data Outliers'!$A:$A,0))</f>
        <v>677.77777777777783</v>
      </c>
      <c r="BS317" s="269">
        <f>INDEX('App Data Outliers'!$T:$T,MATCH($E317,'App Data Outliers'!$A:$A,0))</f>
        <v>181.21673811444546</v>
      </c>
    </row>
    <row r="318" spans="1:71" s="204" customFormat="1" hidden="1">
      <c r="A318" s="241">
        <v>314</v>
      </c>
      <c r="B318" s="241" t="str">
        <f t="shared" si="61"/>
        <v>Residential - BHPSD - Residential Energy Efficiency Rebate</v>
      </c>
      <c r="C318" s="241" t="b">
        <f t="shared" si="62"/>
        <v>1</v>
      </c>
      <c r="D318" s="241" t="str">
        <f t="shared" si="63"/>
        <v>Residential - BHPSD - Residential Energy Efficiency Rebate_Residential Heat Pumps :- Residential Mini-Split :- Customer Incentives_Ductless Mini-Split HP SEER &gt;= 19</v>
      </c>
      <c r="E318" s="241" t="str">
        <f t="shared" si="64"/>
        <v>Residential_High Efficiency HVAC_HVAC_Ductless Mini-Split HP SEER ≥19</v>
      </c>
      <c r="F318" s="241" t="str">
        <f>INDEX('VDSM MAPPING'!E:E,MATCH($D318,'VDSM MAPPING'!$A:$A,0))</f>
        <v>Residential</v>
      </c>
      <c r="G318" s="241" t="str">
        <f>INDEX('VDSM MAPPING'!F:F,MATCH($D318,'VDSM MAPPING'!$A:$A,0))</f>
        <v>High Efficiency HVAC</v>
      </c>
      <c r="H318" s="241" t="str">
        <f>INDEX('VDSM MAPPING'!G:G,MATCH($D318,'VDSM MAPPING'!$A:$A,0))</f>
        <v>HVAC</v>
      </c>
      <c r="I318" s="241" t="str">
        <f>INDEX('VDSM MAPPING'!H:H,MATCH($D318,'VDSM MAPPING'!$A:$A,0))</f>
        <v>Ductless Mini-Split HP SEER ≥19</v>
      </c>
      <c r="J318" s="240">
        <f t="shared" si="65"/>
        <v>-1.0145181050629404</v>
      </c>
      <c r="K318" s="240">
        <f t="shared" si="66"/>
        <v>-0.2057152595166355</v>
      </c>
      <c r="L318" s="240" t="b">
        <f t="shared" si="67"/>
        <v>0</v>
      </c>
      <c r="M318" s="240" t="b">
        <f t="shared" si="68"/>
        <v>0</v>
      </c>
      <c r="N318" s="204" t="s">
        <v>289</v>
      </c>
      <c r="O318" s="204" t="s">
        <v>1806</v>
      </c>
      <c r="P318" s="350">
        <v>1</v>
      </c>
      <c r="Q318" s="204" t="s">
        <v>1806</v>
      </c>
      <c r="R318" s="204" t="s">
        <v>1805</v>
      </c>
      <c r="S318" s="204" t="s">
        <v>1804</v>
      </c>
      <c r="T318" s="204" t="s">
        <v>1803</v>
      </c>
      <c r="V318" s="204" t="s">
        <v>1802</v>
      </c>
      <c r="W318" s="204" t="s">
        <v>337</v>
      </c>
      <c r="X318" s="204" t="s">
        <v>297</v>
      </c>
      <c r="Y318" s="204" t="s">
        <v>336</v>
      </c>
      <c r="Z318" s="204" t="s">
        <v>1801</v>
      </c>
      <c r="AA318" s="204" t="s">
        <v>1800</v>
      </c>
      <c r="AB318" s="204" t="s">
        <v>337</v>
      </c>
      <c r="AC318" s="204" t="s">
        <v>297</v>
      </c>
      <c r="AD318" s="204" t="s">
        <v>336</v>
      </c>
      <c r="AE318" s="204" t="s">
        <v>1799</v>
      </c>
      <c r="AG318" s="204" t="s">
        <v>1680</v>
      </c>
      <c r="AH318" s="204" t="s">
        <v>1679</v>
      </c>
      <c r="AO318" s="204" t="s">
        <v>1798</v>
      </c>
      <c r="AV318" s="204" t="s">
        <v>1797</v>
      </c>
      <c r="AX318" s="204">
        <v>1</v>
      </c>
      <c r="AY318" s="204">
        <v>0</v>
      </c>
      <c r="AZ318" s="204">
        <v>0.497</v>
      </c>
      <c r="BB318" s="204">
        <v>1349.691</v>
      </c>
      <c r="BH318" s="204">
        <v>0</v>
      </c>
      <c r="BI318" s="204">
        <v>100</v>
      </c>
      <c r="BJ318" s="204">
        <v>42823</v>
      </c>
      <c r="BK318" s="204">
        <v>42823.683478090301</v>
      </c>
      <c r="BL318" s="204" t="s">
        <v>293</v>
      </c>
      <c r="BM318" s="204" t="s">
        <v>1796</v>
      </c>
      <c r="BN318" s="269">
        <f t="shared" si="69"/>
        <v>1349.691</v>
      </c>
      <c r="BO318" s="269">
        <f t="shared" si="70"/>
        <v>100</v>
      </c>
      <c r="BP318" s="269">
        <f>INDEX('App Data Outliers'!$M:$M,MATCH($E318,'App Data Outliers'!$A:$A,0))</f>
        <v>2495.8377857142855</v>
      </c>
      <c r="BQ318" s="269">
        <f>INDEX('App Data Outliers'!$N:$N,MATCH($E318,'App Data Outliers'!$A:$A,0))</f>
        <v>1129.7450286933804</v>
      </c>
      <c r="BR318" s="269">
        <f>INDEX('App Data Outliers'!$S:$S,MATCH($E318,'App Data Outliers'!$A:$A,0))</f>
        <v>107.14285714285714</v>
      </c>
      <c r="BS318" s="269">
        <f>INDEX('App Data Outliers'!$T:$T,MATCH($E318,'App Data Outliers'!$A:$A,0))</f>
        <v>34.722057856284209</v>
      </c>
    </row>
    <row r="319" spans="1:71" s="204" customFormat="1" hidden="1">
      <c r="A319" s="241">
        <v>315</v>
      </c>
      <c r="B319" s="241" t="str">
        <f t="shared" si="61"/>
        <v>Residential - BHPSD - Residential Energy Efficiency Rebate</v>
      </c>
      <c r="C319" s="241" t="b">
        <f t="shared" si="62"/>
        <v>1</v>
      </c>
      <c r="D319" s="241" t="str">
        <f t="shared" si="63"/>
        <v>Residential - BHPSD - Residential Energy Efficiency Rebate_Residential Heat Pumps :- Residential Heat Pumps - HP Water Heater :- Customer Incentives_Heat Pump Water Heater</v>
      </c>
      <c r="E319" s="241" t="str">
        <f t="shared" si="64"/>
        <v>Residential_High Efficiency HVAC_Water Heating_Heat Pump Water Heater</v>
      </c>
      <c r="F319" s="241" t="str">
        <f>INDEX('VDSM MAPPING'!E:E,MATCH($D319,'VDSM MAPPING'!$A:$A,0))</f>
        <v>Residential</v>
      </c>
      <c r="G319" s="241" t="str">
        <f>INDEX('VDSM MAPPING'!F:F,MATCH($D319,'VDSM MAPPING'!$A:$A,0))</f>
        <v>High Efficiency HVAC</v>
      </c>
      <c r="H319" s="241" t="str">
        <f>INDEX('VDSM MAPPING'!G:G,MATCH($D319,'VDSM MAPPING'!$A:$A,0))</f>
        <v>Water Heating</v>
      </c>
      <c r="I319" s="241" t="str">
        <f>INDEX('VDSM MAPPING'!H:H,MATCH($D319,'VDSM MAPPING'!$A:$A,0))</f>
        <v>Heat Pump Water Heater</v>
      </c>
      <c r="J319" s="240">
        <f t="shared" si="65"/>
        <v>-0.32863411582734914</v>
      </c>
      <c r="K319" s="240">
        <f t="shared" si="66"/>
        <v>-0.40824829046386363</v>
      </c>
      <c r="L319" s="240" t="b">
        <f t="shared" si="67"/>
        <v>0</v>
      </c>
      <c r="M319" s="240" t="b">
        <f t="shared" si="68"/>
        <v>0</v>
      </c>
      <c r="N319" s="204" t="s">
        <v>289</v>
      </c>
      <c r="O319" s="204" t="s">
        <v>1795</v>
      </c>
      <c r="P319" s="350">
        <v>1</v>
      </c>
      <c r="Q319" s="204" t="s">
        <v>1795</v>
      </c>
      <c r="R319" s="204" t="s">
        <v>1794</v>
      </c>
      <c r="S319" s="204" t="s">
        <v>1793</v>
      </c>
      <c r="T319" s="204" t="s">
        <v>1792</v>
      </c>
      <c r="U319" s="204" t="s">
        <v>1791</v>
      </c>
      <c r="V319" s="204" t="s">
        <v>1790</v>
      </c>
      <c r="W319" s="204" t="s">
        <v>1789</v>
      </c>
      <c r="X319" s="204" t="s">
        <v>297</v>
      </c>
      <c r="Y319" s="204" t="s">
        <v>412</v>
      </c>
      <c r="Z319" s="204" t="s">
        <v>1788</v>
      </c>
      <c r="AA319" s="204" t="s">
        <v>958</v>
      </c>
      <c r="AB319" s="204" t="s">
        <v>329</v>
      </c>
      <c r="AC319" s="204" t="s">
        <v>297</v>
      </c>
      <c r="AD319" s="204" t="s">
        <v>397</v>
      </c>
      <c r="AE319" s="204" t="s">
        <v>957</v>
      </c>
      <c r="AG319" s="204" t="s">
        <v>1698</v>
      </c>
      <c r="AH319" s="204" t="s">
        <v>212</v>
      </c>
      <c r="AV319" s="204" t="s">
        <v>1787</v>
      </c>
      <c r="AX319" s="204">
        <v>1</v>
      </c>
      <c r="AY319" s="204">
        <v>0</v>
      </c>
      <c r="AZ319" s="204">
        <v>0.13800000000000001</v>
      </c>
      <c r="BB319" s="204">
        <v>2920</v>
      </c>
      <c r="BH319" s="204">
        <v>0</v>
      </c>
      <c r="BI319" s="204">
        <v>250</v>
      </c>
      <c r="BJ319" s="204">
        <v>42829</v>
      </c>
      <c r="BK319" s="204">
        <v>42824.630196411999</v>
      </c>
      <c r="BL319" s="204" t="s">
        <v>293</v>
      </c>
      <c r="BM319" s="204" t="s">
        <v>1786</v>
      </c>
      <c r="BN319" s="269">
        <f t="shared" si="69"/>
        <v>2920</v>
      </c>
      <c r="BO319" s="269">
        <f t="shared" si="70"/>
        <v>250</v>
      </c>
      <c r="BP319" s="269">
        <f>INDEX('App Data Outliers'!$M:$M,MATCH($E319,'App Data Outliers'!$A:$A,0))</f>
        <v>3035.2857142857142</v>
      </c>
      <c r="BQ319" s="269">
        <f>INDEX('App Data Outliers'!$N:$N,MATCH($E319,'App Data Outliers'!$A:$A,0))</f>
        <v>350.80263652931455</v>
      </c>
      <c r="BR319" s="269">
        <f>INDEX('App Data Outliers'!$S:$S,MATCH($E319,'App Data Outliers'!$A:$A,0))</f>
        <v>261.42857142857144</v>
      </c>
      <c r="BS319" s="269">
        <f>INDEX('App Data Outliers'!$T:$T,MATCH($E319,'App Data Outliers'!$A:$A,0))</f>
        <v>27.994168488950606</v>
      </c>
    </row>
    <row r="320" spans="1:71" s="204" customFormat="1" hidden="1">
      <c r="A320" s="241">
        <v>316</v>
      </c>
      <c r="B320" s="241" t="str">
        <f t="shared" si="61"/>
        <v>Residential - BHPSD - Residential Energy Efficiency Rebate</v>
      </c>
      <c r="C320" s="241" t="b">
        <f t="shared" si="62"/>
        <v>1</v>
      </c>
      <c r="D320" s="241" t="str">
        <f t="shared" si="63"/>
        <v>Residential - BHPSD - Residential Energy Efficiency Rebate_Residential Heat Pumps :- Residential Heat Pumps - Air Source Heat Pumps :- Customer Incentives_Air Source Heat Pump - SEER &gt;= 15, EER &gt;= 12.5, HSPF &gt;= 8.5</v>
      </c>
      <c r="E320" s="241" t="str">
        <f t="shared" si="64"/>
        <v>Residential_High Efficiency HVAC_HVAC_Heat Pump SEER 15</v>
      </c>
      <c r="F320" s="241" t="str">
        <f>INDEX('VDSM MAPPING'!E:E,MATCH($D320,'VDSM MAPPING'!$A:$A,0))</f>
        <v>Residential</v>
      </c>
      <c r="G320" s="241" t="str">
        <f>INDEX('VDSM MAPPING'!F:F,MATCH($D320,'VDSM MAPPING'!$A:$A,0))</f>
        <v>High Efficiency HVAC</v>
      </c>
      <c r="H320" s="241" t="str">
        <f>INDEX('VDSM MAPPING'!G:G,MATCH($D320,'VDSM MAPPING'!$A:$A,0))</f>
        <v>HVAC</v>
      </c>
      <c r="I320" s="241" t="str">
        <f>INDEX('VDSM MAPPING'!H:H,MATCH($D320,'VDSM MAPPING'!$A:$A,0))</f>
        <v>Heat Pump SEER 15</v>
      </c>
      <c r="J320" s="240">
        <f t="shared" si="65"/>
        <v>-0.38912982689711717</v>
      </c>
      <c r="K320" s="240">
        <f t="shared" si="66"/>
        <v>0.44367825470805689</v>
      </c>
      <c r="L320" s="240" t="b">
        <f t="shared" si="67"/>
        <v>0</v>
      </c>
      <c r="M320" s="240" t="b">
        <f t="shared" si="68"/>
        <v>0</v>
      </c>
      <c r="N320" s="204" t="s">
        <v>289</v>
      </c>
      <c r="O320" s="204" t="s">
        <v>1785</v>
      </c>
      <c r="P320" s="350">
        <v>1</v>
      </c>
      <c r="Q320" s="204" t="s">
        <v>1785</v>
      </c>
      <c r="R320" s="204" t="s">
        <v>1784</v>
      </c>
      <c r="S320" s="204" t="s">
        <v>497</v>
      </c>
      <c r="T320" s="204" t="s">
        <v>1783</v>
      </c>
      <c r="V320" s="204" t="s">
        <v>1782</v>
      </c>
      <c r="W320" s="204" t="s">
        <v>320</v>
      </c>
      <c r="X320" s="204" t="s">
        <v>297</v>
      </c>
      <c r="Y320" s="204" t="s">
        <v>319</v>
      </c>
      <c r="Z320" s="204" t="s">
        <v>1736</v>
      </c>
      <c r="AA320" s="204" t="s">
        <v>1735</v>
      </c>
      <c r="AB320" s="204" t="s">
        <v>320</v>
      </c>
      <c r="AC320" s="204" t="s">
        <v>297</v>
      </c>
      <c r="AD320" s="204" t="s">
        <v>319</v>
      </c>
      <c r="AE320" s="204" t="s">
        <v>1734</v>
      </c>
      <c r="AG320" s="204" t="s">
        <v>1715</v>
      </c>
      <c r="AH320" s="204" t="s">
        <v>1714</v>
      </c>
      <c r="AV320" s="204" t="s">
        <v>1781</v>
      </c>
      <c r="AX320" s="204">
        <v>1</v>
      </c>
      <c r="AY320" s="204">
        <v>0</v>
      </c>
      <c r="AZ320" s="204">
        <v>0.49299999999999999</v>
      </c>
      <c r="BB320" s="204">
        <v>497.53100000000001</v>
      </c>
      <c r="BH320" s="204">
        <v>0</v>
      </c>
      <c r="BI320" s="204">
        <v>225</v>
      </c>
      <c r="BJ320" s="204">
        <v>42832</v>
      </c>
      <c r="BK320" s="204">
        <v>42832.536610266201</v>
      </c>
      <c r="BL320" s="204" t="s">
        <v>293</v>
      </c>
      <c r="BM320" s="204" t="s">
        <v>1780</v>
      </c>
      <c r="BN320" s="269">
        <f t="shared" si="69"/>
        <v>497.53100000000001</v>
      </c>
      <c r="BO320" s="269">
        <f t="shared" si="70"/>
        <v>225</v>
      </c>
      <c r="BP320" s="269">
        <f>INDEX('App Data Outliers'!$M:$M,MATCH($E320,'App Data Outliers'!$A:$A,0))</f>
        <v>901.38850000000002</v>
      </c>
      <c r="BQ320" s="269">
        <f>INDEX('App Data Outliers'!$N:$N,MATCH($E320,'App Data Outliers'!$A:$A,0))</f>
        <v>1037.8477106736327</v>
      </c>
      <c r="BR320" s="269">
        <f>INDEX('App Data Outliers'!$S:$S,MATCH($E320,'App Data Outliers'!$A:$A,0))</f>
        <v>201.5625</v>
      </c>
      <c r="BS320" s="269">
        <f>INDEX('App Data Outliers'!$T:$T,MATCH($E320,'App Data Outliers'!$A:$A,0))</f>
        <v>52.825442201178021</v>
      </c>
    </row>
    <row r="321" spans="1:71" s="204" customFormat="1" hidden="1">
      <c r="A321" s="241">
        <v>317</v>
      </c>
      <c r="B321" s="241" t="str">
        <f t="shared" si="61"/>
        <v>Residential - BHPSD - Residential Energy Efficiency Rebate</v>
      </c>
      <c r="C321" s="241" t="b">
        <f t="shared" si="62"/>
        <v>1</v>
      </c>
      <c r="D321" s="241" t="str">
        <f t="shared" si="63"/>
        <v>Residential - BHPSD - Residential Energy Efficiency Rebate_Residential Heat Pumps :- Residential Heat Pumps - ER Heat Pump :- Customer Incentives_Early Retirement Heat Pump (1-5 tons)</v>
      </c>
      <c r="E321" s="241" t="str">
        <f t="shared" si="64"/>
        <v>Residential_High Efficiency HVAC_HVAC_Early Retirement Heat Pump SEER 15</v>
      </c>
      <c r="F321" s="241" t="str">
        <f>INDEX('VDSM MAPPING'!E:E,MATCH($D321,'VDSM MAPPING'!$A:$A,0))</f>
        <v>Residential</v>
      </c>
      <c r="G321" s="241" t="str">
        <f>INDEX('VDSM MAPPING'!F:F,MATCH($D321,'VDSM MAPPING'!$A:$A,0))</f>
        <v>High Efficiency HVAC</v>
      </c>
      <c r="H321" s="241" t="str">
        <f>INDEX('VDSM MAPPING'!G:G,MATCH($D321,'VDSM MAPPING'!$A:$A,0))</f>
        <v>HVAC</v>
      </c>
      <c r="I321" s="241" t="str">
        <f>INDEX('VDSM MAPPING'!H:H,MATCH($D321,'VDSM MAPPING'!$A:$A,0))</f>
        <v>Early Retirement Heat Pump SEER 15</v>
      </c>
      <c r="J321" s="240">
        <f t="shared" si="65"/>
        <v>-0.60143503494953277</v>
      </c>
      <c r="K321" s="240">
        <f t="shared" si="66"/>
        <v>0.12262786789699287</v>
      </c>
      <c r="L321" s="240" t="b">
        <f t="shared" si="67"/>
        <v>0</v>
      </c>
      <c r="M321" s="240" t="b">
        <f t="shared" si="68"/>
        <v>0</v>
      </c>
      <c r="N321" s="204" t="s">
        <v>289</v>
      </c>
      <c r="O321" s="204" t="s">
        <v>1779</v>
      </c>
      <c r="P321" s="350">
        <v>1</v>
      </c>
      <c r="Q321" s="204" t="s">
        <v>1779</v>
      </c>
      <c r="R321" s="204" t="s">
        <v>1778</v>
      </c>
      <c r="S321" s="204" t="s">
        <v>1777</v>
      </c>
      <c r="T321" s="204" t="s">
        <v>1776</v>
      </c>
      <c r="V321" s="204" t="s">
        <v>1775</v>
      </c>
      <c r="W321" s="204" t="s">
        <v>320</v>
      </c>
      <c r="X321" s="204" t="s">
        <v>297</v>
      </c>
      <c r="Y321" s="204" t="s">
        <v>319</v>
      </c>
      <c r="Z321" s="204" t="s">
        <v>1736</v>
      </c>
      <c r="AA321" s="204" t="s">
        <v>1735</v>
      </c>
      <c r="AB321" s="204" t="s">
        <v>320</v>
      </c>
      <c r="AC321" s="204" t="s">
        <v>297</v>
      </c>
      <c r="AD321" s="204" t="s">
        <v>319</v>
      </c>
      <c r="AE321" s="204" t="s">
        <v>1734</v>
      </c>
      <c r="AG321" s="204" t="s">
        <v>1706</v>
      </c>
      <c r="AH321" s="204" t="s">
        <v>1705</v>
      </c>
      <c r="AX321" s="204">
        <v>1</v>
      </c>
      <c r="AY321" s="204">
        <v>0</v>
      </c>
      <c r="AZ321" s="204">
        <v>2.3130000000000002</v>
      </c>
      <c r="BB321" s="204">
        <v>3858.7530000000002</v>
      </c>
      <c r="BH321" s="204">
        <v>0</v>
      </c>
      <c r="BI321" s="204">
        <v>700</v>
      </c>
      <c r="BJ321" s="204">
        <v>42832</v>
      </c>
      <c r="BK321" s="204">
        <v>42832.552044525502</v>
      </c>
      <c r="BL321" s="204" t="s">
        <v>293</v>
      </c>
      <c r="BM321" s="204" t="s">
        <v>1774</v>
      </c>
      <c r="BN321" s="269">
        <f t="shared" si="69"/>
        <v>3858.7530000000002</v>
      </c>
      <c r="BO321" s="269">
        <f t="shared" si="70"/>
        <v>700</v>
      </c>
      <c r="BP321" s="269">
        <f>INDEX('App Data Outliers'!$M:$M,MATCH($E321,'App Data Outliers'!$A:$A,0))</f>
        <v>4727.4153333333334</v>
      </c>
      <c r="BQ321" s="269">
        <f>INDEX('App Data Outliers'!$N:$N,MATCH($E321,'App Data Outliers'!$A:$A,0))</f>
        <v>1444.3161486364422</v>
      </c>
      <c r="BR321" s="269">
        <f>INDEX('App Data Outliers'!$S:$S,MATCH($E321,'App Data Outliers'!$A:$A,0))</f>
        <v>677.77777777777783</v>
      </c>
      <c r="BS321" s="269">
        <f>INDEX('App Data Outliers'!$T:$T,MATCH($E321,'App Data Outliers'!$A:$A,0))</f>
        <v>181.21673811444546</v>
      </c>
    </row>
    <row r="322" spans="1:71" s="204" customFormat="1" hidden="1">
      <c r="A322" s="241">
        <v>318</v>
      </c>
      <c r="B322" s="241" t="str">
        <f t="shared" si="61"/>
        <v>Residential - BHPSD - Residential Energy Efficiency Rebate</v>
      </c>
      <c r="C322" s="241" t="b">
        <f t="shared" si="62"/>
        <v>1</v>
      </c>
      <c r="D322" s="241" t="str">
        <f t="shared" si="63"/>
        <v>Residential - BHPSD - Residential Energy Efficiency Rebate_Residential Heat Pumps :- Residential Heat Pumps - Air Source Heat Pumps :- Customer Incentives_Air Source Heat Pump - SEER &gt;= 15, EER &gt;= 12.5, HSPF &gt;= 8.5</v>
      </c>
      <c r="E322" s="241" t="str">
        <f t="shared" si="64"/>
        <v>Residential_High Efficiency HVAC_HVAC_Heat Pump SEER 15</v>
      </c>
      <c r="F322" s="241" t="str">
        <f>INDEX('VDSM MAPPING'!E:E,MATCH($D322,'VDSM MAPPING'!$A:$A,0))</f>
        <v>Residential</v>
      </c>
      <c r="G322" s="241" t="str">
        <f>INDEX('VDSM MAPPING'!F:F,MATCH($D322,'VDSM MAPPING'!$A:$A,0))</f>
        <v>High Efficiency HVAC</v>
      </c>
      <c r="H322" s="241" t="str">
        <f>INDEX('VDSM MAPPING'!G:G,MATCH($D322,'VDSM MAPPING'!$A:$A,0))</f>
        <v>HVAC</v>
      </c>
      <c r="I322" s="241" t="str">
        <f>INDEX('VDSM MAPPING'!H:H,MATCH($D322,'VDSM MAPPING'!$A:$A,0))</f>
        <v>Heat Pump SEER 15</v>
      </c>
      <c r="J322" s="240">
        <f t="shared" si="65"/>
        <v>-0.40717293650502445</v>
      </c>
      <c r="K322" s="240">
        <f t="shared" si="66"/>
        <v>0.44367825470805689</v>
      </c>
      <c r="L322" s="240" t="b">
        <f t="shared" si="67"/>
        <v>0</v>
      </c>
      <c r="M322" s="240" t="b">
        <f t="shared" si="68"/>
        <v>0</v>
      </c>
      <c r="N322" s="204" t="s">
        <v>289</v>
      </c>
      <c r="O322" s="204" t="s">
        <v>1771</v>
      </c>
      <c r="P322" s="350">
        <v>1</v>
      </c>
      <c r="Q322" s="204" t="s">
        <v>1771</v>
      </c>
      <c r="R322" s="204" t="s">
        <v>1770</v>
      </c>
      <c r="S322" s="204" t="s">
        <v>1769</v>
      </c>
      <c r="T322" s="204" t="s">
        <v>1768</v>
      </c>
      <c r="U322" s="204" t="s">
        <v>1767</v>
      </c>
      <c r="V322" s="204" t="s">
        <v>1766</v>
      </c>
      <c r="W322" s="204" t="s">
        <v>1765</v>
      </c>
      <c r="X322" s="204" t="s">
        <v>297</v>
      </c>
      <c r="Y322" s="204" t="s">
        <v>319</v>
      </c>
      <c r="Z322" s="204" t="s">
        <v>1757</v>
      </c>
      <c r="AA322" s="204" t="s">
        <v>1756</v>
      </c>
      <c r="AB322" s="204" t="s">
        <v>413</v>
      </c>
      <c r="AC322" s="204" t="s">
        <v>297</v>
      </c>
      <c r="AD322" s="204" t="s">
        <v>412</v>
      </c>
      <c r="AE322" s="204" t="s">
        <v>1755</v>
      </c>
      <c r="AG322" s="204" t="s">
        <v>1715</v>
      </c>
      <c r="AH322" s="204" t="s">
        <v>1714</v>
      </c>
      <c r="AV322" s="204" t="s">
        <v>1764</v>
      </c>
      <c r="AX322" s="204">
        <v>1</v>
      </c>
      <c r="AY322" s="204">
        <v>0</v>
      </c>
      <c r="AZ322" s="204">
        <v>0.49299999999999999</v>
      </c>
      <c r="BB322" s="204">
        <v>478.80500000000001</v>
      </c>
      <c r="BH322" s="204">
        <v>0</v>
      </c>
      <c r="BI322" s="204">
        <v>225</v>
      </c>
      <c r="BJ322" s="204">
        <v>42872</v>
      </c>
      <c r="BK322" s="204">
        <v>42872.457182754602</v>
      </c>
      <c r="BL322" s="204" t="s">
        <v>293</v>
      </c>
      <c r="BM322" s="204" t="s">
        <v>1763</v>
      </c>
      <c r="BN322" s="269">
        <f t="shared" si="69"/>
        <v>478.80500000000001</v>
      </c>
      <c r="BO322" s="269">
        <f t="shared" si="70"/>
        <v>225</v>
      </c>
      <c r="BP322" s="269">
        <f>INDEX('App Data Outliers'!$M:$M,MATCH($E322,'App Data Outliers'!$A:$A,0))</f>
        <v>901.38850000000002</v>
      </c>
      <c r="BQ322" s="269">
        <f>INDEX('App Data Outliers'!$N:$N,MATCH($E322,'App Data Outliers'!$A:$A,0))</f>
        <v>1037.8477106736327</v>
      </c>
      <c r="BR322" s="269">
        <f>INDEX('App Data Outliers'!$S:$S,MATCH($E322,'App Data Outliers'!$A:$A,0))</f>
        <v>201.5625</v>
      </c>
      <c r="BS322" s="269">
        <f>INDEX('App Data Outliers'!$T:$T,MATCH($E322,'App Data Outliers'!$A:$A,0))</f>
        <v>52.825442201178021</v>
      </c>
    </row>
    <row r="323" spans="1:71" s="204" customFormat="1" hidden="1">
      <c r="A323" s="241">
        <v>319</v>
      </c>
      <c r="B323" s="241" t="str">
        <f t="shared" si="61"/>
        <v>Residential - BHPSD - Residential Energy Efficiency Rebate</v>
      </c>
      <c r="C323" s="241" t="b">
        <f t="shared" si="62"/>
        <v>1</v>
      </c>
      <c r="D323" s="241" t="str">
        <f t="shared" si="63"/>
        <v>Residential - BHPSD - Residential Energy Efficiency Rebate_Residential Heat Pumps :- Residential Mini-Split :- Customer Incentives_Ductless Mini-Split HP SEER &gt;= 19</v>
      </c>
      <c r="E323" s="241" t="str">
        <f t="shared" si="64"/>
        <v>Residential_High Efficiency HVAC_HVAC_Ductless Mini-Split HP SEER ≥19</v>
      </c>
      <c r="F323" s="241" t="str">
        <f>INDEX('VDSM MAPPING'!E:E,MATCH($D323,'VDSM MAPPING'!$A:$A,0))</f>
        <v>Residential</v>
      </c>
      <c r="G323" s="241" t="str">
        <f>INDEX('VDSM MAPPING'!F:F,MATCH($D323,'VDSM MAPPING'!$A:$A,0))</f>
        <v>High Efficiency HVAC</v>
      </c>
      <c r="H323" s="241" t="str">
        <f>INDEX('VDSM MAPPING'!G:G,MATCH($D323,'VDSM MAPPING'!$A:$A,0))</f>
        <v>HVAC</v>
      </c>
      <c r="I323" s="241" t="str">
        <f>INDEX('VDSM MAPPING'!H:H,MATCH($D323,'VDSM MAPPING'!$A:$A,0))</f>
        <v>Ductless Mini-Split HP SEER ≥19</v>
      </c>
      <c r="J323" s="240">
        <f t="shared" si="65"/>
        <v>3.4911606852858393E-2</v>
      </c>
      <c r="K323" s="240">
        <f t="shared" si="66"/>
        <v>1.2342915570998139</v>
      </c>
      <c r="L323" s="240" t="b">
        <f t="shared" si="67"/>
        <v>0</v>
      </c>
      <c r="M323" s="240" t="b">
        <f t="shared" si="68"/>
        <v>0</v>
      </c>
      <c r="N323" s="204" t="s">
        <v>289</v>
      </c>
      <c r="O323" s="204" t="s">
        <v>1762</v>
      </c>
      <c r="P323" s="350">
        <v>1</v>
      </c>
      <c r="Q323" s="204" t="s">
        <v>1762</v>
      </c>
      <c r="R323" s="204" t="s">
        <v>1761</v>
      </c>
      <c r="S323" s="204" t="s">
        <v>1760</v>
      </c>
      <c r="T323" s="204" t="s">
        <v>1759</v>
      </c>
      <c r="V323" s="204" t="s">
        <v>1758</v>
      </c>
      <c r="W323" s="204" t="s">
        <v>413</v>
      </c>
      <c r="X323" s="204" t="s">
        <v>297</v>
      </c>
      <c r="Y323" s="204" t="s">
        <v>412</v>
      </c>
      <c r="Z323" s="204" t="s">
        <v>1757</v>
      </c>
      <c r="AA323" s="204" t="s">
        <v>1756</v>
      </c>
      <c r="AB323" s="204" t="s">
        <v>413</v>
      </c>
      <c r="AC323" s="204" t="s">
        <v>297</v>
      </c>
      <c r="AD323" s="204" t="s">
        <v>412</v>
      </c>
      <c r="AE323" s="204" t="s">
        <v>1755</v>
      </c>
      <c r="AG323" s="204" t="s">
        <v>1680</v>
      </c>
      <c r="AH323" s="204" t="s">
        <v>1679</v>
      </c>
      <c r="AO323" s="204" t="s">
        <v>1754</v>
      </c>
      <c r="AV323" s="204" t="s">
        <v>1753</v>
      </c>
      <c r="AX323" s="204">
        <v>1</v>
      </c>
      <c r="AY323" s="204">
        <v>0</v>
      </c>
      <c r="AZ323" s="204">
        <v>0.76</v>
      </c>
      <c r="BB323" s="204">
        <v>2535.279</v>
      </c>
      <c r="BH323" s="204">
        <v>0</v>
      </c>
      <c r="BI323" s="204">
        <v>150</v>
      </c>
      <c r="BJ323" s="204">
        <v>42877</v>
      </c>
      <c r="BK323" s="204">
        <v>42877.453338425898</v>
      </c>
      <c r="BL323" s="204" t="s">
        <v>293</v>
      </c>
      <c r="BM323" s="204" t="s">
        <v>1752</v>
      </c>
      <c r="BN323" s="269">
        <f t="shared" si="69"/>
        <v>2535.279</v>
      </c>
      <c r="BO323" s="269">
        <f t="shared" si="70"/>
        <v>150</v>
      </c>
      <c r="BP323" s="269">
        <f>INDEX('App Data Outliers'!$M:$M,MATCH($E323,'App Data Outliers'!$A:$A,0))</f>
        <v>2495.8377857142855</v>
      </c>
      <c r="BQ323" s="269">
        <f>INDEX('App Data Outliers'!$N:$N,MATCH($E323,'App Data Outliers'!$A:$A,0))</f>
        <v>1129.7450286933804</v>
      </c>
      <c r="BR323" s="269">
        <f>INDEX('App Data Outliers'!$S:$S,MATCH($E323,'App Data Outliers'!$A:$A,0))</f>
        <v>107.14285714285714</v>
      </c>
      <c r="BS323" s="269">
        <f>INDEX('App Data Outliers'!$T:$T,MATCH($E323,'App Data Outliers'!$A:$A,0))</f>
        <v>34.722057856284209</v>
      </c>
    </row>
    <row r="324" spans="1:71" s="204" customFormat="1" hidden="1">
      <c r="A324" s="241">
        <v>320</v>
      </c>
      <c r="B324" s="241" t="str">
        <f t="shared" si="61"/>
        <v>Residential - BHPSD - Residential Energy Efficiency Rebate</v>
      </c>
      <c r="C324" s="241" t="b">
        <f t="shared" si="62"/>
        <v>1</v>
      </c>
      <c r="D324" s="241" t="str">
        <f t="shared" si="63"/>
        <v>Residential - BHPSD - Residential Energy Efficiency Rebate_Residential Heat Pumps :- Residential Heat Pumps - Air Source Heat Pumps :- Customer Incentives_Air Source Heat Pump - SEER &gt;= 15, EER &gt;= 12.5, HSPF &gt;= 8.5</v>
      </c>
      <c r="E324" s="241" t="str">
        <f t="shared" si="64"/>
        <v>Residential_High Efficiency HVAC_HVAC_Heat Pump SEER 15</v>
      </c>
      <c r="F324" s="241" t="str">
        <f>INDEX('VDSM MAPPING'!E:E,MATCH($D324,'VDSM MAPPING'!$A:$A,0))</f>
        <v>Residential</v>
      </c>
      <c r="G324" s="241" t="str">
        <f>INDEX('VDSM MAPPING'!F:F,MATCH($D324,'VDSM MAPPING'!$A:$A,0))</f>
        <v>High Efficiency HVAC</v>
      </c>
      <c r="H324" s="241" t="str">
        <f>INDEX('VDSM MAPPING'!G:G,MATCH($D324,'VDSM MAPPING'!$A:$A,0))</f>
        <v>HVAC</v>
      </c>
      <c r="I324" s="241" t="str">
        <f>INDEX('VDSM MAPPING'!H:H,MATCH($D324,'VDSM MAPPING'!$A:$A,0))</f>
        <v>Heat Pump SEER 15</v>
      </c>
      <c r="J324" s="240">
        <f t="shared" si="65"/>
        <v>-0.43565881135540202</v>
      </c>
      <c r="K324" s="240">
        <f t="shared" si="66"/>
        <v>-0.26620695282483414</v>
      </c>
      <c r="L324" s="240" t="b">
        <f t="shared" si="67"/>
        <v>0</v>
      </c>
      <c r="M324" s="240" t="b">
        <f t="shared" si="68"/>
        <v>0</v>
      </c>
      <c r="N324" s="204" t="s">
        <v>289</v>
      </c>
      <c r="O324" s="204" t="s">
        <v>1751</v>
      </c>
      <c r="P324" s="350">
        <v>1</v>
      </c>
      <c r="Q324" s="204" t="s">
        <v>1751</v>
      </c>
      <c r="R324" s="204" t="s">
        <v>1750</v>
      </c>
      <c r="S324" s="204" t="s">
        <v>1749</v>
      </c>
      <c r="T324" s="204" t="s">
        <v>1748</v>
      </c>
      <c r="V324" s="204" t="s">
        <v>1747</v>
      </c>
      <c r="W324" s="204" t="s">
        <v>337</v>
      </c>
      <c r="X324" s="204" t="s">
        <v>297</v>
      </c>
      <c r="Y324" s="204" t="s">
        <v>336</v>
      </c>
      <c r="Z324" s="204" t="s">
        <v>1746</v>
      </c>
      <c r="AA324" s="204" t="s">
        <v>1745</v>
      </c>
      <c r="AB324" s="204" t="s">
        <v>337</v>
      </c>
      <c r="AC324" s="204" t="s">
        <v>297</v>
      </c>
      <c r="AD324" s="204" t="s">
        <v>336</v>
      </c>
      <c r="AE324" s="204" t="s">
        <v>1744</v>
      </c>
      <c r="AG324" s="204" t="s">
        <v>1715</v>
      </c>
      <c r="AH324" s="204" t="s">
        <v>1714</v>
      </c>
      <c r="AV324" s="204" t="s">
        <v>1743</v>
      </c>
      <c r="AX324" s="204">
        <v>1</v>
      </c>
      <c r="AY324" s="204">
        <v>0</v>
      </c>
      <c r="AZ324" s="204">
        <v>0.42899999999999999</v>
      </c>
      <c r="BB324" s="204">
        <v>449.24099999999999</v>
      </c>
      <c r="BH324" s="204">
        <v>0</v>
      </c>
      <c r="BI324" s="204">
        <v>187.5</v>
      </c>
      <c r="BJ324" s="204">
        <v>42877</v>
      </c>
      <c r="BK324" s="204">
        <v>42877.6103021991</v>
      </c>
      <c r="BL324" s="204" t="s">
        <v>293</v>
      </c>
      <c r="BM324" s="204" t="s">
        <v>1742</v>
      </c>
      <c r="BN324" s="269">
        <f t="shared" si="69"/>
        <v>449.24099999999999</v>
      </c>
      <c r="BO324" s="269">
        <f t="shared" si="70"/>
        <v>187.5</v>
      </c>
      <c r="BP324" s="269">
        <f>INDEX('App Data Outliers'!$M:$M,MATCH($E324,'App Data Outliers'!$A:$A,0))</f>
        <v>901.38850000000002</v>
      </c>
      <c r="BQ324" s="269">
        <f>INDEX('App Data Outliers'!$N:$N,MATCH($E324,'App Data Outliers'!$A:$A,0))</f>
        <v>1037.8477106736327</v>
      </c>
      <c r="BR324" s="269">
        <f>INDEX('App Data Outliers'!$S:$S,MATCH($E324,'App Data Outliers'!$A:$A,0))</f>
        <v>201.5625</v>
      </c>
      <c r="BS324" s="269">
        <f>INDEX('App Data Outliers'!$T:$T,MATCH($E324,'App Data Outliers'!$A:$A,0))</f>
        <v>52.825442201178021</v>
      </c>
    </row>
    <row r="325" spans="1:71" s="204" customFormat="1" hidden="1">
      <c r="A325" s="241">
        <v>321</v>
      </c>
      <c r="B325" s="241" t="str">
        <f t="shared" ref="B325:B388" si="71">IF(N325="",B324,N325)</f>
        <v>Residential - BHPSD - Residential Energy Efficiency Rebate</v>
      </c>
      <c r="C325" s="241" t="b">
        <f t="shared" ref="C325:C388" si="72">(N325="")</f>
        <v>1</v>
      </c>
      <c r="D325" s="241" t="str">
        <f t="shared" ref="D325:D388" si="73">B325&amp;"_"&amp;AG325&amp;"_"&amp;AH325</f>
        <v>Residential - BHPSD - Residential Energy Efficiency Rebate_Residential Heat Pumps :- Residential Heat Pumps - ER Heat Pump :- Customer Incentives_Early Retirement Heat Pump (1-5 tons)</v>
      </c>
      <c r="E325" s="241" t="str">
        <f t="shared" ref="E325:E388" si="74">IFERROR(F325&amp;"_"&amp;G325&amp;"_"&amp;H325&amp;"_"&amp;I325,0)</f>
        <v>Residential_High Efficiency HVAC_HVAC_Early Retirement Heat Pump SEER 15</v>
      </c>
      <c r="F325" s="241" t="str">
        <f>INDEX('VDSM MAPPING'!E:E,MATCH($D325,'VDSM MAPPING'!$A:$A,0))</f>
        <v>Residential</v>
      </c>
      <c r="G325" s="241" t="str">
        <f>INDEX('VDSM MAPPING'!F:F,MATCH($D325,'VDSM MAPPING'!$A:$A,0))</f>
        <v>High Efficiency HVAC</v>
      </c>
      <c r="H325" s="241" t="str">
        <f>INDEX('VDSM MAPPING'!G:G,MATCH($D325,'VDSM MAPPING'!$A:$A,0))</f>
        <v>HVAC</v>
      </c>
      <c r="I325" s="241" t="str">
        <f>INDEX('VDSM MAPPING'!H:H,MATCH($D325,'VDSM MAPPING'!$A:$A,0))</f>
        <v>Early Retirement Heat Pump SEER 15</v>
      </c>
      <c r="J325" s="240">
        <f t="shared" si="65"/>
        <v>-1.3647727578164102</v>
      </c>
      <c r="K325" s="240">
        <f t="shared" si="66"/>
        <v>-0.98102294317594552</v>
      </c>
      <c r="L325" s="240" t="b">
        <f t="shared" si="67"/>
        <v>0</v>
      </c>
      <c r="M325" s="240" t="b">
        <f t="shared" si="68"/>
        <v>0</v>
      </c>
      <c r="N325" s="204" t="s">
        <v>289</v>
      </c>
      <c r="O325" s="204" t="s">
        <v>1741</v>
      </c>
      <c r="P325" s="350">
        <v>1</v>
      </c>
      <c r="Q325" s="204" t="s">
        <v>1741</v>
      </c>
      <c r="R325" s="204" t="s">
        <v>1740</v>
      </c>
      <c r="S325" s="204" t="s">
        <v>1739</v>
      </c>
      <c r="T325" s="204" t="s">
        <v>1738</v>
      </c>
      <c r="V325" s="204" t="s">
        <v>1737</v>
      </c>
      <c r="W325" s="204" t="s">
        <v>320</v>
      </c>
      <c r="X325" s="204" t="s">
        <v>297</v>
      </c>
      <c r="Y325" s="204" t="s">
        <v>319</v>
      </c>
      <c r="Z325" s="204" t="s">
        <v>1736</v>
      </c>
      <c r="AA325" s="204" t="s">
        <v>1735</v>
      </c>
      <c r="AB325" s="204" t="s">
        <v>320</v>
      </c>
      <c r="AC325" s="204" t="s">
        <v>297</v>
      </c>
      <c r="AD325" s="204" t="s">
        <v>319</v>
      </c>
      <c r="AE325" s="204" t="s">
        <v>1734</v>
      </c>
      <c r="AG325" s="204" t="s">
        <v>1706</v>
      </c>
      <c r="AH325" s="204" t="s">
        <v>1705</v>
      </c>
      <c r="AX325" s="204">
        <v>1</v>
      </c>
      <c r="AY325" s="204">
        <v>0</v>
      </c>
      <c r="AZ325" s="204">
        <v>1.6830000000000001</v>
      </c>
      <c r="BB325" s="204">
        <v>2756.252</v>
      </c>
      <c r="BH325" s="204">
        <v>0</v>
      </c>
      <c r="BI325" s="204">
        <v>500</v>
      </c>
      <c r="BJ325" s="204">
        <v>42919</v>
      </c>
      <c r="BK325" s="204">
        <v>42907.686208645799</v>
      </c>
      <c r="BL325" s="204" t="s">
        <v>293</v>
      </c>
      <c r="BM325" s="204" t="s">
        <v>1733</v>
      </c>
      <c r="BN325" s="269">
        <f t="shared" si="69"/>
        <v>2756.252</v>
      </c>
      <c r="BO325" s="269">
        <f t="shared" si="70"/>
        <v>500</v>
      </c>
      <c r="BP325" s="269">
        <f>INDEX('App Data Outliers'!$M:$M,MATCH($E325,'App Data Outliers'!$A:$A,0))</f>
        <v>4727.4153333333334</v>
      </c>
      <c r="BQ325" s="269">
        <f>INDEX('App Data Outliers'!$N:$N,MATCH($E325,'App Data Outliers'!$A:$A,0))</f>
        <v>1444.3161486364422</v>
      </c>
      <c r="BR325" s="269">
        <f>INDEX('App Data Outliers'!$S:$S,MATCH($E325,'App Data Outliers'!$A:$A,0))</f>
        <v>677.77777777777783</v>
      </c>
      <c r="BS325" s="269">
        <f>INDEX('App Data Outliers'!$T:$T,MATCH($E325,'App Data Outliers'!$A:$A,0))</f>
        <v>181.21673811444546</v>
      </c>
    </row>
    <row r="326" spans="1:71" s="204" customFormat="1" hidden="1">
      <c r="A326" s="241">
        <v>322</v>
      </c>
      <c r="B326" s="241" t="str">
        <f t="shared" si="71"/>
        <v>Residential - BHPSD - Residential Energy Efficiency Rebate</v>
      </c>
      <c r="C326" s="241" t="b">
        <f t="shared" si="72"/>
        <v>1</v>
      </c>
      <c r="D326" s="241" t="str">
        <f t="shared" si="73"/>
        <v>Residential - BHPSD - Residential Energy Efficiency Rebate_Residential Heat Pumps :- Residential Heat Pumps - ER Heat Pump :- Customer Incentives_Early Retirement Heat Pump (1-5 tons)</v>
      </c>
      <c r="E326" s="241" t="str">
        <f t="shared" si="74"/>
        <v>Residential_High Efficiency HVAC_HVAC_Early Retirement Heat Pump SEER 15</v>
      </c>
      <c r="F326" s="241" t="str">
        <f>INDEX('VDSM MAPPING'!E:E,MATCH($D326,'VDSM MAPPING'!$A:$A,0))</f>
        <v>Residential</v>
      </c>
      <c r="G326" s="241" t="str">
        <f>INDEX('VDSM MAPPING'!F:F,MATCH($D326,'VDSM MAPPING'!$A:$A,0))</f>
        <v>High Efficiency HVAC</v>
      </c>
      <c r="H326" s="241" t="str">
        <f>INDEX('VDSM MAPPING'!G:G,MATCH($D326,'VDSM MAPPING'!$A:$A,0))</f>
        <v>HVAC</v>
      </c>
      <c r="I326" s="241" t="str">
        <f>INDEX('VDSM MAPPING'!H:H,MATCH($D326,'VDSM MAPPING'!$A:$A,0))</f>
        <v>Early Retirement Heat Pump SEER 15</v>
      </c>
      <c r="J326" s="240">
        <f t="shared" ref="J326:J389" si="75">IFERROR(STANDARDIZE(BN326,BP326,BQ326),"")</f>
        <v>0.52196236078810887</v>
      </c>
      <c r="K326" s="240">
        <f t="shared" ref="K326:K389" si="76">IFERROR(STANDARDIZE($BO326,$BR326,$BS326),"")</f>
        <v>1.7781040845064005</v>
      </c>
      <c r="L326" s="240" t="b">
        <f t="shared" ref="L326:L389" si="77">AND(ISNUMBER(J326),OR(J326&gt;=L$1,J326&lt;=-L$1))</f>
        <v>0</v>
      </c>
      <c r="M326" s="240" t="b">
        <f t="shared" ref="M326:M389" si="78">AND(ISNUMBER(K326),OR(K326&gt;=M$1,K326&lt;=-M$1))</f>
        <v>0</v>
      </c>
      <c r="N326" s="204" t="s">
        <v>289</v>
      </c>
      <c r="O326" s="204" t="s">
        <v>1732</v>
      </c>
      <c r="P326" s="350">
        <v>1</v>
      </c>
      <c r="Q326" s="204" t="s">
        <v>1732</v>
      </c>
      <c r="R326" s="204" t="s">
        <v>1731</v>
      </c>
      <c r="S326" s="204" t="s">
        <v>1730</v>
      </c>
      <c r="T326" s="204" t="s">
        <v>1729</v>
      </c>
      <c r="V326" s="204" t="s">
        <v>1728</v>
      </c>
      <c r="W326" s="204" t="s">
        <v>337</v>
      </c>
      <c r="X326" s="204" t="s">
        <v>297</v>
      </c>
      <c r="Y326" s="204" t="s">
        <v>336</v>
      </c>
      <c r="Z326" s="204" t="s">
        <v>1727</v>
      </c>
      <c r="AA326" s="204" t="s">
        <v>1726</v>
      </c>
      <c r="AB326" s="204" t="s">
        <v>329</v>
      </c>
      <c r="AC326" s="204" t="s">
        <v>297</v>
      </c>
      <c r="AD326" s="204" t="s">
        <v>328</v>
      </c>
      <c r="AF326" s="204" t="s">
        <v>1725</v>
      </c>
      <c r="AG326" s="204" t="s">
        <v>1706</v>
      </c>
      <c r="AH326" s="204" t="s">
        <v>1705</v>
      </c>
      <c r="AX326" s="204">
        <v>1</v>
      </c>
      <c r="AY326" s="204">
        <v>0</v>
      </c>
      <c r="AZ326" s="204">
        <v>3.1379999999999999</v>
      </c>
      <c r="BB326" s="204">
        <v>5481.2939999999999</v>
      </c>
      <c r="BH326" s="204">
        <v>0</v>
      </c>
      <c r="BI326" s="204">
        <v>1000</v>
      </c>
      <c r="BJ326" s="204">
        <v>42919</v>
      </c>
      <c r="BK326" s="204">
        <v>42912.532128240702</v>
      </c>
      <c r="BL326" s="204" t="s">
        <v>293</v>
      </c>
      <c r="BM326" s="204" t="s">
        <v>1724</v>
      </c>
      <c r="BN326" s="269">
        <f t="shared" ref="BN326:BN389" si="79">IFERROR(BB326/$AX326,"")</f>
        <v>5481.2939999999999</v>
      </c>
      <c r="BO326" s="269">
        <f t="shared" ref="BO326:BO389" si="80">BI326/$AX326</f>
        <v>1000</v>
      </c>
      <c r="BP326" s="269">
        <f>INDEX('App Data Outliers'!$M:$M,MATCH($E326,'App Data Outliers'!$A:$A,0))</f>
        <v>4727.4153333333334</v>
      </c>
      <c r="BQ326" s="269">
        <f>INDEX('App Data Outliers'!$N:$N,MATCH($E326,'App Data Outliers'!$A:$A,0))</f>
        <v>1444.3161486364422</v>
      </c>
      <c r="BR326" s="269">
        <f>INDEX('App Data Outliers'!$S:$S,MATCH($E326,'App Data Outliers'!$A:$A,0))</f>
        <v>677.77777777777783</v>
      </c>
      <c r="BS326" s="269">
        <f>INDEX('App Data Outliers'!$T:$T,MATCH($E326,'App Data Outliers'!$A:$A,0))</f>
        <v>181.21673811444546</v>
      </c>
    </row>
    <row r="327" spans="1:71" s="204" customFormat="1" hidden="1">
      <c r="A327" s="241">
        <v>323</v>
      </c>
      <c r="B327" s="241" t="str">
        <f t="shared" si="71"/>
        <v>Residential - BHPSD - Residential Energy Efficiency Rebate</v>
      </c>
      <c r="C327" s="241" t="b">
        <f t="shared" si="72"/>
        <v>1</v>
      </c>
      <c r="D327" s="241" t="str">
        <f t="shared" si="73"/>
        <v>Residential - BHPSD - Residential Energy Efficiency Rebate_Residential Heat Pumps :- Residential Heat Pumps - Air Source Heat Pumps :- Customer Incentives_Air Source Heat Pump - SEER &gt;= 15, EER &gt;= 12.5, HSPF &gt;= 8.5</v>
      </c>
      <c r="E327" s="241" t="str">
        <f t="shared" si="74"/>
        <v>Residential_High Efficiency HVAC_HVAC_Heat Pump SEER 15</v>
      </c>
      <c r="F327" s="241" t="str">
        <f>INDEX('VDSM MAPPING'!E:E,MATCH($D327,'VDSM MAPPING'!$A:$A,0))</f>
        <v>Residential</v>
      </c>
      <c r="G327" s="241" t="str">
        <f>INDEX('VDSM MAPPING'!F:F,MATCH($D327,'VDSM MAPPING'!$A:$A,0))</f>
        <v>High Efficiency HVAC</v>
      </c>
      <c r="H327" s="241" t="str">
        <f>INDEX('VDSM MAPPING'!G:G,MATCH($D327,'VDSM MAPPING'!$A:$A,0))</f>
        <v>HVAC</v>
      </c>
      <c r="I327" s="241" t="str">
        <f>INDEX('VDSM MAPPING'!H:H,MATCH($D327,'VDSM MAPPING'!$A:$A,0))</f>
        <v>Heat Pump SEER 15</v>
      </c>
      <c r="J327" s="240">
        <f t="shared" si="75"/>
        <v>2.6151307866145048</v>
      </c>
      <c r="K327" s="240">
        <f t="shared" si="76"/>
        <v>1.8634486697738391</v>
      </c>
      <c r="L327" s="240" t="b">
        <f t="shared" si="77"/>
        <v>1</v>
      </c>
      <c r="M327" s="240" t="b">
        <f t="shared" si="78"/>
        <v>0</v>
      </c>
      <c r="N327" s="204" t="s">
        <v>289</v>
      </c>
      <c r="O327" s="204" t="s">
        <v>1723</v>
      </c>
      <c r="P327" s="350">
        <v>1</v>
      </c>
      <c r="Q327" s="204" t="s">
        <v>1723</v>
      </c>
      <c r="R327" s="204" t="s">
        <v>1722</v>
      </c>
      <c r="S327" s="204" t="s">
        <v>323</v>
      </c>
      <c r="T327" s="204" t="s">
        <v>1721</v>
      </c>
      <c r="V327" s="204" t="s">
        <v>1720</v>
      </c>
      <c r="W327" s="204" t="s">
        <v>329</v>
      </c>
      <c r="X327" s="204" t="s">
        <v>297</v>
      </c>
      <c r="Y327" s="204" t="s">
        <v>397</v>
      </c>
      <c r="Z327" s="204" t="s">
        <v>1719</v>
      </c>
      <c r="AA327" s="204" t="s">
        <v>1718</v>
      </c>
      <c r="AB327" s="204" t="s">
        <v>329</v>
      </c>
      <c r="AC327" s="204" t="s">
        <v>297</v>
      </c>
      <c r="AD327" s="204" t="s">
        <v>328</v>
      </c>
      <c r="AE327" s="204" t="s">
        <v>1717</v>
      </c>
      <c r="AF327" s="204" t="s">
        <v>1716</v>
      </c>
      <c r="AG327" s="204" t="s">
        <v>1715</v>
      </c>
      <c r="AH327" s="204" t="s">
        <v>1714</v>
      </c>
      <c r="AV327" s="204" t="s">
        <v>1713</v>
      </c>
      <c r="AX327" s="204">
        <v>1</v>
      </c>
      <c r="AY327" s="204">
        <v>0</v>
      </c>
      <c r="AZ327" s="204">
        <v>1.625</v>
      </c>
      <c r="BB327" s="204">
        <v>3615.4960000000001</v>
      </c>
      <c r="BH327" s="204">
        <v>0</v>
      </c>
      <c r="BI327" s="204">
        <v>300</v>
      </c>
      <c r="BJ327" s="204">
        <v>42921</v>
      </c>
      <c r="BK327" s="204">
        <v>42921.5528611111</v>
      </c>
      <c r="BL327" s="204" t="s">
        <v>293</v>
      </c>
      <c r="BM327" s="204" t="s">
        <v>1712</v>
      </c>
      <c r="BN327" s="269">
        <f t="shared" si="79"/>
        <v>3615.4960000000001</v>
      </c>
      <c r="BO327" s="269">
        <f t="shared" si="80"/>
        <v>300</v>
      </c>
      <c r="BP327" s="269">
        <f>INDEX('App Data Outliers'!$M:$M,MATCH($E327,'App Data Outliers'!$A:$A,0))</f>
        <v>901.38850000000002</v>
      </c>
      <c r="BQ327" s="269">
        <f>INDEX('App Data Outliers'!$N:$N,MATCH($E327,'App Data Outliers'!$A:$A,0))</f>
        <v>1037.8477106736327</v>
      </c>
      <c r="BR327" s="269">
        <f>INDEX('App Data Outliers'!$S:$S,MATCH($E327,'App Data Outliers'!$A:$A,0))</f>
        <v>201.5625</v>
      </c>
      <c r="BS327" s="269">
        <f>INDEX('App Data Outliers'!$T:$T,MATCH($E327,'App Data Outliers'!$A:$A,0))</f>
        <v>52.825442201178021</v>
      </c>
    </row>
    <row r="328" spans="1:71" s="204" customFormat="1" hidden="1">
      <c r="A328" s="241">
        <v>324</v>
      </c>
      <c r="B328" s="241" t="str">
        <f t="shared" si="71"/>
        <v>Residential - BHPSD - Residential Energy Efficiency Rebate</v>
      </c>
      <c r="C328" s="241" t="b">
        <f t="shared" si="72"/>
        <v>1</v>
      </c>
      <c r="D328" s="241" t="str">
        <f t="shared" si="73"/>
        <v>Residential - BHPSD - Residential Energy Efficiency Rebate_Residential Heat Pumps :- Residential Heat Pumps - ER Heat Pump :- Customer Incentives_Early Retirement Heat Pump (1-5 tons)</v>
      </c>
      <c r="E328" s="241" t="str">
        <f t="shared" si="74"/>
        <v>Residential_High Efficiency HVAC_HVAC_Early Retirement Heat Pump SEER 15</v>
      </c>
      <c r="F328" s="241" t="str">
        <f>INDEX('VDSM MAPPING'!E:E,MATCH($D328,'VDSM MAPPING'!$A:$A,0))</f>
        <v>Residential</v>
      </c>
      <c r="G328" s="241" t="str">
        <f>INDEX('VDSM MAPPING'!F:F,MATCH($D328,'VDSM MAPPING'!$A:$A,0))</f>
        <v>High Efficiency HVAC</v>
      </c>
      <c r="H328" s="241" t="str">
        <f>INDEX('VDSM MAPPING'!G:G,MATCH($D328,'VDSM MAPPING'!$A:$A,0))</f>
        <v>HVAC</v>
      </c>
      <c r="I328" s="241" t="str">
        <f>INDEX('VDSM MAPPING'!H:H,MATCH($D328,'VDSM MAPPING'!$A:$A,0))</f>
        <v>Early Retirement Heat Pump SEER 15</v>
      </c>
      <c r="J328" s="240">
        <f t="shared" si="75"/>
        <v>-0.64273001046878331</v>
      </c>
      <c r="K328" s="240">
        <f t="shared" si="76"/>
        <v>-0.98102294317594552</v>
      </c>
      <c r="L328" s="240" t="b">
        <f t="shared" si="77"/>
        <v>0</v>
      </c>
      <c r="M328" s="240" t="b">
        <f t="shared" si="78"/>
        <v>0</v>
      </c>
      <c r="N328" s="204" t="s">
        <v>289</v>
      </c>
      <c r="O328" s="204" t="s">
        <v>1711</v>
      </c>
      <c r="P328" s="350">
        <v>1</v>
      </c>
      <c r="Q328" s="204" t="s">
        <v>1711</v>
      </c>
      <c r="R328" s="204" t="s">
        <v>1710</v>
      </c>
      <c r="S328" s="204" t="s">
        <v>1709</v>
      </c>
      <c r="T328" s="204" t="s">
        <v>1708</v>
      </c>
      <c r="V328" s="204" t="s">
        <v>1707</v>
      </c>
      <c r="W328" s="204" t="s">
        <v>928</v>
      </c>
      <c r="X328" s="204" t="s">
        <v>297</v>
      </c>
      <c r="Y328" s="204" t="s">
        <v>412</v>
      </c>
      <c r="Z328" s="204" t="s">
        <v>1690</v>
      </c>
      <c r="AA328" s="204" t="s">
        <v>1689</v>
      </c>
      <c r="AB328" s="204" t="s">
        <v>329</v>
      </c>
      <c r="AC328" s="204" t="s">
        <v>297</v>
      </c>
      <c r="AD328" s="204" t="s">
        <v>397</v>
      </c>
      <c r="AE328" s="204" t="s">
        <v>1688</v>
      </c>
      <c r="AG328" s="204" t="s">
        <v>1706</v>
      </c>
      <c r="AH328" s="204" t="s">
        <v>1705</v>
      </c>
      <c r="AX328" s="204">
        <v>1</v>
      </c>
      <c r="AY328" s="204">
        <v>0</v>
      </c>
      <c r="AZ328" s="204">
        <v>2.016</v>
      </c>
      <c r="BB328" s="204">
        <v>3799.11</v>
      </c>
      <c r="BH328" s="204">
        <v>0</v>
      </c>
      <c r="BI328" s="204">
        <v>500</v>
      </c>
      <c r="BJ328" s="204">
        <v>42940</v>
      </c>
      <c r="BK328" s="204">
        <v>42940.8008198264</v>
      </c>
      <c r="BL328" s="204" t="s">
        <v>293</v>
      </c>
      <c r="BM328" s="204" t="s">
        <v>1704</v>
      </c>
      <c r="BN328" s="269">
        <f t="shared" si="79"/>
        <v>3799.11</v>
      </c>
      <c r="BO328" s="269">
        <f t="shared" si="80"/>
        <v>500</v>
      </c>
      <c r="BP328" s="269">
        <f>INDEX('App Data Outliers'!$M:$M,MATCH($E328,'App Data Outliers'!$A:$A,0))</f>
        <v>4727.4153333333334</v>
      </c>
      <c r="BQ328" s="269">
        <f>INDEX('App Data Outliers'!$N:$N,MATCH($E328,'App Data Outliers'!$A:$A,0))</f>
        <v>1444.3161486364422</v>
      </c>
      <c r="BR328" s="269">
        <f>INDEX('App Data Outliers'!$S:$S,MATCH($E328,'App Data Outliers'!$A:$A,0))</f>
        <v>677.77777777777783</v>
      </c>
      <c r="BS328" s="269">
        <f>INDEX('App Data Outliers'!$T:$T,MATCH($E328,'App Data Outliers'!$A:$A,0))</f>
        <v>181.21673811444546</v>
      </c>
    </row>
    <row r="329" spans="1:71" s="204" customFormat="1" hidden="1">
      <c r="A329" s="241">
        <v>325</v>
      </c>
      <c r="B329" s="241" t="str">
        <f t="shared" si="71"/>
        <v>Residential - BHPSD - Residential Energy Efficiency Rebate</v>
      </c>
      <c r="C329" s="241" t="b">
        <f t="shared" si="72"/>
        <v>1</v>
      </c>
      <c r="D329" s="241" t="str">
        <f t="shared" si="73"/>
        <v>Residential - BHPSD - Residential Energy Efficiency Rebate_Residential Heat Pumps :- Residential Heat Pumps - HP Water Heater :- Customer Incentives_Heat Pump Water Heater</v>
      </c>
      <c r="E329" s="241" t="str">
        <f t="shared" si="74"/>
        <v>Residential_High Efficiency HVAC_Water Heating_Heat Pump Water Heater</v>
      </c>
      <c r="F329" s="241" t="str">
        <f>INDEX('VDSM MAPPING'!E:E,MATCH($D329,'VDSM MAPPING'!$A:$A,0))</f>
        <v>Residential</v>
      </c>
      <c r="G329" s="241" t="str">
        <f>INDEX('VDSM MAPPING'!F:F,MATCH($D329,'VDSM MAPPING'!$A:$A,0))</f>
        <v>High Efficiency HVAC</v>
      </c>
      <c r="H329" s="241" t="str">
        <f>INDEX('VDSM MAPPING'!G:G,MATCH($D329,'VDSM MAPPING'!$A:$A,0))</f>
        <v>Water Heating</v>
      </c>
      <c r="I329" s="241" t="str">
        <f>INDEX('VDSM MAPPING'!H:H,MATCH($D329,'VDSM MAPPING'!$A:$A,0))</f>
        <v>Heat Pump Water Heater</v>
      </c>
      <c r="J329" s="240">
        <f t="shared" si="75"/>
        <v>-0.30297866440588322</v>
      </c>
      <c r="K329" s="240">
        <f t="shared" si="76"/>
        <v>-0.40824829046386363</v>
      </c>
      <c r="L329" s="240" t="b">
        <f t="shared" si="77"/>
        <v>0</v>
      </c>
      <c r="M329" s="240" t="b">
        <f t="shared" si="78"/>
        <v>0</v>
      </c>
      <c r="N329" s="204" t="s">
        <v>289</v>
      </c>
      <c r="O329" s="204" t="s">
        <v>1703</v>
      </c>
      <c r="P329" s="350">
        <v>1</v>
      </c>
      <c r="Q329" s="204" t="s">
        <v>1703</v>
      </c>
      <c r="R329" s="204" t="s">
        <v>1702</v>
      </c>
      <c r="S329" s="204" t="s">
        <v>1701</v>
      </c>
      <c r="T329" s="204" t="s">
        <v>1700</v>
      </c>
      <c r="V329" s="204" t="s">
        <v>1699</v>
      </c>
      <c r="W329" s="204" t="s">
        <v>413</v>
      </c>
      <c r="X329" s="204" t="s">
        <v>297</v>
      </c>
      <c r="Y329" s="204" t="s">
        <v>412</v>
      </c>
      <c r="Z329" s="204" t="s">
        <v>959</v>
      </c>
      <c r="AA329" s="204" t="s">
        <v>958</v>
      </c>
      <c r="AB329" s="204" t="s">
        <v>329</v>
      </c>
      <c r="AC329" s="204" t="s">
        <v>297</v>
      </c>
      <c r="AD329" s="204" t="s">
        <v>397</v>
      </c>
      <c r="AE329" s="204" t="s">
        <v>957</v>
      </c>
      <c r="AG329" s="204" t="s">
        <v>1698</v>
      </c>
      <c r="AH329" s="204" t="s">
        <v>212</v>
      </c>
      <c r="AV329" s="204" t="s">
        <v>1697</v>
      </c>
      <c r="AX329" s="204">
        <v>1</v>
      </c>
      <c r="AY329" s="204">
        <v>0</v>
      </c>
      <c r="AZ329" s="204">
        <v>0.13900000000000001</v>
      </c>
      <c r="BB329" s="204">
        <v>2929</v>
      </c>
      <c r="BH329" s="204">
        <v>0</v>
      </c>
      <c r="BI329" s="204">
        <v>250</v>
      </c>
      <c r="BJ329" s="204">
        <v>42949</v>
      </c>
      <c r="BK329" s="204">
        <v>42947.585833333302</v>
      </c>
      <c r="BL329" s="204" t="s">
        <v>293</v>
      </c>
      <c r="BM329" s="204" t="s">
        <v>1696</v>
      </c>
      <c r="BN329" s="269">
        <f t="shared" si="79"/>
        <v>2929</v>
      </c>
      <c r="BO329" s="269">
        <f t="shared" si="80"/>
        <v>250</v>
      </c>
      <c r="BP329" s="269">
        <f>INDEX('App Data Outliers'!$M:$M,MATCH($E329,'App Data Outliers'!$A:$A,0))</f>
        <v>3035.2857142857142</v>
      </c>
      <c r="BQ329" s="269">
        <f>INDEX('App Data Outliers'!$N:$N,MATCH($E329,'App Data Outliers'!$A:$A,0))</f>
        <v>350.80263652931455</v>
      </c>
      <c r="BR329" s="269">
        <f>INDEX('App Data Outliers'!$S:$S,MATCH($E329,'App Data Outliers'!$A:$A,0))</f>
        <v>261.42857142857144</v>
      </c>
      <c r="BS329" s="269">
        <f>INDEX('App Data Outliers'!$T:$T,MATCH($E329,'App Data Outliers'!$A:$A,0))</f>
        <v>27.994168488950606</v>
      </c>
    </row>
    <row r="330" spans="1:71" s="204" customFormat="1" hidden="1">
      <c r="A330" s="241">
        <v>326</v>
      </c>
      <c r="B330" s="241" t="str">
        <f t="shared" si="71"/>
        <v>Residential - BHPSD - Residential Energy Efficiency Rebate</v>
      </c>
      <c r="C330" s="241" t="b">
        <f t="shared" si="72"/>
        <v>1</v>
      </c>
      <c r="D330" s="241" t="str">
        <f t="shared" si="73"/>
        <v>Residential - BHPSD - Residential Energy Efficiency Rebate_Residential Heat Pumps :- Residential Mini-Split :- Customer Incentives_Ductless Mini-Split HP SEER &gt;= 19</v>
      </c>
      <c r="E330" s="241" t="str">
        <f t="shared" si="74"/>
        <v>Residential_High Efficiency HVAC_HVAC_Ductless Mini-Split HP SEER ≥19</v>
      </c>
      <c r="F330" s="241" t="str">
        <f>INDEX('VDSM MAPPING'!E:E,MATCH($D330,'VDSM MAPPING'!$A:$A,0))</f>
        <v>Residential</v>
      </c>
      <c r="G330" s="241" t="str">
        <f>INDEX('VDSM MAPPING'!F:F,MATCH($D330,'VDSM MAPPING'!$A:$A,0))</f>
        <v>High Efficiency HVAC</v>
      </c>
      <c r="H330" s="241" t="str">
        <f>INDEX('VDSM MAPPING'!G:G,MATCH($D330,'VDSM MAPPING'!$A:$A,0))</f>
        <v>HVAC</v>
      </c>
      <c r="I330" s="241" t="str">
        <f>INDEX('VDSM MAPPING'!H:H,MATCH($D330,'VDSM MAPPING'!$A:$A,0))</f>
        <v>Ductless Mini-Split HP SEER ≥19</v>
      </c>
      <c r="J330" s="240">
        <f t="shared" si="75"/>
        <v>0.28532651713327561</v>
      </c>
      <c r="K330" s="240">
        <f t="shared" si="76"/>
        <v>-0.2057152595166355</v>
      </c>
      <c r="L330" s="240" t="b">
        <f t="shared" si="77"/>
        <v>0</v>
      </c>
      <c r="M330" s="240" t="b">
        <f t="shared" si="78"/>
        <v>0</v>
      </c>
      <c r="N330" s="204" t="s">
        <v>289</v>
      </c>
      <c r="O330" s="204" t="s">
        <v>1695</v>
      </c>
      <c r="P330" s="350">
        <v>1</v>
      </c>
      <c r="Q330" s="204" t="s">
        <v>1695</v>
      </c>
      <c r="R330" s="204" t="s">
        <v>1694</v>
      </c>
      <c r="S330" s="204" t="s">
        <v>1693</v>
      </c>
      <c r="T330" s="204" t="s">
        <v>1692</v>
      </c>
      <c r="V330" s="204" t="s">
        <v>1691</v>
      </c>
      <c r="W330" s="204" t="s">
        <v>413</v>
      </c>
      <c r="X330" s="204" t="s">
        <v>297</v>
      </c>
      <c r="Y330" s="204" t="s">
        <v>412</v>
      </c>
      <c r="Z330" s="204" t="s">
        <v>1690</v>
      </c>
      <c r="AA330" s="204" t="s">
        <v>1689</v>
      </c>
      <c r="AB330" s="204" t="s">
        <v>329</v>
      </c>
      <c r="AC330" s="204" t="s">
        <v>297</v>
      </c>
      <c r="AD330" s="204" t="s">
        <v>397</v>
      </c>
      <c r="AE330" s="204" t="s">
        <v>1688</v>
      </c>
      <c r="AG330" s="204" t="s">
        <v>1680</v>
      </c>
      <c r="AH330" s="204" t="s">
        <v>1679</v>
      </c>
      <c r="AO330" s="204" t="s">
        <v>1678</v>
      </c>
      <c r="AV330" s="204" t="s">
        <v>1687</v>
      </c>
      <c r="AX330" s="204">
        <v>1</v>
      </c>
      <c r="AY330" s="204">
        <v>0</v>
      </c>
      <c r="AZ330" s="204">
        <v>1.024</v>
      </c>
      <c r="BB330" s="204">
        <v>2818.1840000000002</v>
      </c>
      <c r="BH330" s="204">
        <v>0</v>
      </c>
      <c r="BI330" s="204">
        <v>100</v>
      </c>
      <c r="BJ330" s="204">
        <v>42956</v>
      </c>
      <c r="BK330" s="204">
        <v>42956.693181597198</v>
      </c>
      <c r="BL330" s="204" t="s">
        <v>293</v>
      </c>
      <c r="BM330" s="204" t="s">
        <v>1686</v>
      </c>
      <c r="BN330" s="242">
        <f t="shared" si="79"/>
        <v>2818.1840000000002</v>
      </c>
      <c r="BO330" s="242">
        <f t="shared" si="80"/>
        <v>100</v>
      </c>
      <c r="BP330" s="242">
        <f>INDEX('App Data Outliers'!$M:$M,MATCH($E330,'App Data Outliers'!$A:$A,0))</f>
        <v>2495.8377857142855</v>
      </c>
      <c r="BQ330" s="242">
        <f>INDEX('App Data Outliers'!$N:$N,MATCH($E330,'App Data Outliers'!$A:$A,0))</f>
        <v>1129.7450286933804</v>
      </c>
      <c r="BR330" s="242">
        <f>INDEX('App Data Outliers'!$S:$S,MATCH($E330,'App Data Outliers'!$A:$A,0))</f>
        <v>107.14285714285714</v>
      </c>
      <c r="BS330" s="242">
        <f>INDEX('App Data Outliers'!$T:$T,MATCH($E330,'App Data Outliers'!$A:$A,0))</f>
        <v>34.722057856284209</v>
      </c>
    </row>
    <row r="331" spans="1:71" s="204" customFormat="1" hidden="1">
      <c r="A331" s="241">
        <v>327</v>
      </c>
      <c r="B331" s="241" t="str">
        <f t="shared" si="71"/>
        <v>Residential - BHPSD - Residential Energy Efficiency Rebate</v>
      </c>
      <c r="C331" s="241" t="b">
        <f t="shared" si="72"/>
        <v>1</v>
      </c>
      <c r="D331" s="241" t="str">
        <f t="shared" si="73"/>
        <v>Residential - BHPSD - Residential Energy Efficiency Rebate_Residential Heat Pumps :- Residential Mini-Split :- Customer Incentives_Ductless Mini-Split HP SEER &gt;= 19</v>
      </c>
      <c r="E331" s="241" t="str">
        <f t="shared" si="74"/>
        <v>Residential_High Efficiency HVAC_HVAC_Ductless Mini-Split HP SEER ≥19</v>
      </c>
      <c r="F331" s="241" t="str">
        <f>INDEX('VDSM MAPPING'!E:E,MATCH($D331,'VDSM MAPPING'!$A:$A,0))</f>
        <v>Residential</v>
      </c>
      <c r="G331" s="241" t="str">
        <f>INDEX('VDSM MAPPING'!F:F,MATCH($D331,'VDSM MAPPING'!$A:$A,0))</f>
        <v>High Efficiency HVAC</v>
      </c>
      <c r="H331" s="241" t="str">
        <f>INDEX('VDSM MAPPING'!G:G,MATCH($D331,'VDSM MAPPING'!$A:$A,0))</f>
        <v>HVAC</v>
      </c>
      <c r="I331" s="241" t="str">
        <f>INDEX('VDSM MAPPING'!H:H,MATCH($D331,'VDSM MAPPING'!$A:$A,0))</f>
        <v>Ductless Mini-Split HP SEER ≥19</v>
      </c>
      <c r="J331" s="240">
        <f t="shared" si="75"/>
        <v>6.4343026470128739E-2</v>
      </c>
      <c r="K331" s="240">
        <f t="shared" si="76"/>
        <v>-0.2057152595166355</v>
      </c>
      <c r="L331" s="240" t="b">
        <f t="shared" si="77"/>
        <v>0</v>
      </c>
      <c r="M331" s="240" t="b">
        <f t="shared" si="78"/>
        <v>0</v>
      </c>
      <c r="N331" s="204" t="s">
        <v>289</v>
      </c>
      <c r="O331" s="204" t="s">
        <v>1685</v>
      </c>
      <c r="P331" s="350">
        <v>1</v>
      </c>
      <c r="Q331" s="204" t="s">
        <v>1685</v>
      </c>
      <c r="R331" s="204" t="s">
        <v>1684</v>
      </c>
      <c r="S331" s="204" t="s">
        <v>1683</v>
      </c>
      <c r="T331" s="204" t="s">
        <v>1682</v>
      </c>
      <c r="V331" s="204" t="s">
        <v>1681</v>
      </c>
      <c r="W331" s="204" t="s">
        <v>329</v>
      </c>
      <c r="X331" s="204" t="s">
        <v>297</v>
      </c>
      <c r="Y331" s="204" t="s">
        <v>328</v>
      </c>
      <c r="Z331" s="204" t="s">
        <v>601</v>
      </c>
      <c r="AA331" s="204" t="s">
        <v>600</v>
      </c>
      <c r="AB331" s="204" t="s">
        <v>329</v>
      </c>
      <c r="AC331" s="204" t="s">
        <v>297</v>
      </c>
      <c r="AD331" s="204" t="s">
        <v>599</v>
      </c>
      <c r="AE331" s="204" t="s">
        <v>598</v>
      </c>
      <c r="AG331" s="204" t="s">
        <v>1680</v>
      </c>
      <c r="AH331" s="204" t="s">
        <v>1679</v>
      </c>
      <c r="AO331" s="204" t="s">
        <v>1678</v>
      </c>
      <c r="AV331" s="204" t="s">
        <v>1677</v>
      </c>
      <c r="AX331" s="204">
        <v>1</v>
      </c>
      <c r="AY331" s="204">
        <v>0</v>
      </c>
      <c r="AZ331" s="204">
        <v>0.98399999999999999</v>
      </c>
      <c r="BB331" s="204">
        <v>2568.529</v>
      </c>
      <c r="BH331" s="204">
        <v>0</v>
      </c>
      <c r="BI331" s="204">
        <v>100</v>
      </c>
      <c r="BJ331" s="204">
        <v>42958</v>
      </c>
      <c r="BK331" s="204">
        <v>42958.703575115702</v>
      </c>
      <c r="BL331" s="204" t="s">
        <v>293</v>
      </c>
      <c r="BM331" s="204" t="s">
        <v>1676</v>
      </c>
      <c r="BN331" s="269">
        <f t="shared" si="79"/>
        <v>2568.529</v>
      </c>
      <c r="BO331" s="269">
        <f t="shared" si="80"/>
        <v>100</v>
      </c>
      <c r="BP331" s="269">
        <f>INDEX('App Data Outliers'!$M:$M,MATCH($E331,'App Data Outliers'!$A:$A,0))</f>
        <v>2495.8377857142855</v>
      </c>
      <c r="BQ331" s="269">
        <f>INDEX('App Data Outliers'!$N:$N,MATCH($E331,'App Data Outliers'!$A:$A,0))</f>
        <v>1129.7450286933804</v>
      </c>
      <c r="BR331" s="269">
        <f>INDEX('App Data Outliers'!$S:$S,MATCH($E331,'App Data Outliers'!$A:$A,0))</f>
        <v>107.14285714285714</v>
      </c>
      <c r="BS331" s="269">
        <f>INDEX('App Data Outliers'!$T:$T,MATCH($E331,'App Data Outliers'!$A:$A,0))</f>
        <v>34.722057856284209</v>
      </c>
    </row>
    <row r="332" spans="1:71" s="204" customFormat="1" hidden="1">
      <c r="A332" s="241">
        <v>328</v>
      </c>
      <c r="B332" s="241" t="str">
        <f t="shared" si="71"/>
        <v>Residential - BHPSD - Residential Lighting &amp; Appliances</v>
      </c>
      <c r="C332" s="241" t="b">
        <f t="shared" si="72"/>
        <v>0</v>
      </c>
      <c r="D332" s="241" t="str">
        <f t="shared" si="73"/>
        <v>Residential - BHPSD - Residential Lighting &amp; Appliances__</v>
      </c>
      <c r="E332" s="241">
        <f t="shared" si="74"/>
        <v>0</v>
      </c>
      <c r="F332" s="241" t="e">
        <f>INDEX('VDSM MAPPING'!E:E,MATCH($D332,'VDSM MAPPING'!$A:$A,0))</f>
        <v>#N/A</v>
      </c>
      <c r="G332" s="241" t="e">
        <f>INDEX('VDSM MAPPING'!F:F,MATCH($D332,'VDSM MAPPING'!$A:$A,0))</f>
        <v>#N/A</v>
      </c>
      <c r="H332" s="241" t="e">
        <f>INDEX('VDSM MAPPING'!G:G,MATCH($D332,'VDSM MAPPING'!$A:$A,0))</f>
        <v>#N/A</v>
      </c>
      <c r="I332" s="241" t="e">
        <f>INDEX('VDSM MAPPING'!H:H,MATCH($D332,'VDSM MAPPING'!$A:$A,0))</f>
        <v>#N/A</v>
      </c>
      <c r="J332" s="240" t="str">
        <f t="shared" si="75"/>
        <v/>
      </c>
      <c r="K332" s="240" t="str">
        <f t="shared" si="76"/>
        <v/>
      </c>
      <c r="L332" s="240" t="b">
        <f t="shared" si="77"/>
        <v>0</v>
      </c>
      <c r="M332" s="240" t="b">
        <f t="shared" si="78"/>
        <v>0</v>
      </c>
      <c r="N332" s="204" t="s">
        <v>1675</v>
      </c>
      <c r="O332" s="204">
        <v>128</v>
      </c>
      <c r="P332" s="350">
        <v>1</v>
      </c>
      <c r="Q332" s="204" t="s">
        <v>289</v>
      </c>
      <c r="R332" s="204" t="s">
        <v>289</v>
      </c>
      <c r="S332" s="204" t="s">
        <v>289</v>
      </c>
      <c r="T332" s="204" t="s">
        <v>289</v>
      </c>
      <c r="U332" s="204" t="s">
        <v>289</v>
      </c>
      <c r="V332" s="204" t="s">
        <v>289</v>
      </c>
      <c r="W332" s="204" t="s">
        <v>289</v>
      </c>
      <c r="X332" s="204" t="s">
        <v>289</v>
      </c>
      <c r="Y332" s="204" t="s">
        <v>289</v>
      </c>
      <c r="Z332" s="204" t="s">
        <v>289</v>
      </c>
      <c r="AA332" s="204" t="s">
        <v>289</v>
      </c>
      <c r="AB332" s="204" t="s">
        <v>289</v>
      </c>
      <c r="AC332" s="204" t="s">
        <v>289</v>
      </c>
      <c r="AD332" s="204" t="s">
        <v>289</v>
      </c>
      <c r="AE332" s="204" t="s">
        <v>289</v>
      </c>
      <c r="AF332" s="204" t="s">
        <v>289</v>
      </c>
      <c r="AG332" s="204" t="s">
        <v>289</v>
      </c>
      <c r="AH332" s="204" t="s">
        <v>289</v>
      </c>
      <c r="AI332" s="204" t="s">
        <v>289</v>
      </c>
      <c r="AJ332" s="204" t="s">
        <v>289</v>
      </c>
      <c r="AK332" s="204" t="s">
        <v>289</v>
      </c>
      <c r="AL332" s="204" t="s">
        <v>289</v>
      </c>
      <c r="AM332" s="204" t="s">
        <v>289</v>
      </c>
      <c r="AN332" s="204" t="s">
        <v>289</v>
      </c>
      <c r="AO332" s="204" t="s">
        <v>289</v>
      </c>
      <c r="AP332" s="204" t="s">
        <v>289</v>
      </c>
      <c r="AQ332" s="204" t="s">
        <v>289</v>
      </c>
      <c r="AR332" s="204" t="s">
        <v>289</v>
      </c>
      <c r="AS332" s="204" t="s">
        <v>289</v>
      </c>
      <c r="AT332" s="204" t="s">
        <v>289</v>
      </c>
      <c r="AU332" s="204" t="s">
        <v>289</v>
      </c>
      <c r="AV332" s="204" t="s">
        <v>289</v>
      </c>
      <c r="AW332" s="204" t="s">
        <v>289</v>
      </c>
      <c r="AX332" s="204">
        <v>1538</v>
      </c>
      <c r="AY332" s="204">
        <v>0</v>
      </c>
      <c r="AZ332" s="204">
        <v>5.9438000000000004</v>
      </c>
      <c r="BB332" s="204">
        <v>50491.896000000001</v>
      </c>
      <c r="BH332" s="204">
        <v>0</v>
      </c>
      <c r="BI332" s="204">
        <v>8130.0972000000002</v>
      </c>
      <c r="BJ332" s="204" t="s">
        <v>289</v>
      </c>
      <c r="BM332" s="204" t="s">
        <v>289</v>
      </c>
      <c r="BN332" s="269">
        <f t="shared" si="79"/>
        <v>32.829581274382313</v>
      </c>
      <c r="BO332" s="269">
        <f t="shared" si="80"/>
        <v>5.2861490247074121</v>
      </c>
      <c r="BP332" s="269" t="e">
        <f>INDEX('App Data Outliers'!$M:$M,MATCH($E332,'App Data Outliers'!$A:$A,0))</f>
        <v>#N/A</v>
      </c>
      <c r="BQ332" s="269" t="e">
        <f>INDEX('App Data Outliers'!$N:$N,MATCH($E332,'App Data Outliers'!$A:$A,0))</f>
        <v>#N/A</v>
      </c>
      <c r="BR332" s="269" t="e">
        <f>INDEX('App Data Outliers'!$S:$S,MATCH($E332,'App Data Outliers'!$A:$A,0))</f>
        <v>#N/A</v>
      </c>
      <c r="BS332" s="269" t="e">
        <f>INDEX('App Data Outliers'!$T:$T,MATCH($E332,'App Data Outliers'!$A:$A,0))</f>
        <v>#N/A</v>
      </c>
    </row>
    <row r="333" spans="1:71" s="204" customFormat="1" hidden="1">
      <c r="A333" s="241">
        <v>329</v>
      </c>
      <c r="B333" s="241" t="str">
        <f t="shared" si="71"/>
        <v>Residential - BHPSD - Residential Lighting &amp; Appliances</v>
      </c>
      <c r="C333" s="241" t="b">
        <f t="shared" si="72"/>
        <v>1</v>
      </c>
      <c r="D333" s="241" t="str">
        <f t="shared" si="73"/>
        <v>Residential - BHPSD - Residential Lighting &amp; Appliances_Residential Lighting &amp; Appliances :- LED :- Customer Incentives_LED</v>
      </c>
      <c r="E333" s="241" t="str">
        <f t="shared" si="74"/>
        <v>Residential_Residential Lighting_Lighting_LED</v>
      </c>
      <c r="F333" s="241" t="str">
        <f>INDEX('VDSM MAPPING'!E:E,MATCH($D333,'VDSM MAPPING'!$A:$A,0))</f>
        <v>Residential</v>
      </c>
      <c r="G333" s="241" t="str">
        <f>INDEX('VDSM MAPPING'!F:F,MATCH($D333,'VDSM MAPPING'!$A:$A,0))</f>
        <v>Residential Lighting</v>
      </c>
      <c r="H333" s="241" t="str">
        <f>INDEX('VDSM MAPPING'!G:G,MATCH($D333,'VDSM MAPPING'!$A:$A,0))</f>
        <v>Lighting</v>
      </c>
      <c r="I333" s="241" t="str">
        <f>INDEX('VDSM MAPPING'!H:H,MATCH($D333,'VDSM MAPPING'!$A:$A,0))</f>
        <v>LED</v>
      </c>
      <c r="J333" s="240">
        <f t="shared" si="75"/>
        <v>7.6540760934603463E-2</v>
      </c>
      <c r="K333" s="240">
        <f t="shared" si="76"/>
        <v>0.50765345000200468</v>
      </c>
      <c r="L333" s="240" t="b">
        <f t="shared" si="77"/>
        <v>0</v>
      </c>
      <c r="M333" s="240" t="b">
        <f t="shared" si="78"/>
        <v>0</v>
      </c>
      <c r="N333" s="204" t="s">
        <v>289</v>
      </c>
      <c r="O333" s="204" t="s">
        <v>1674</v>
      </c>
      <c r="P333" s="350">
        <v>1</v>
      </c>
      <c r="Q333" s="204" t="s">
        <v>1674</v>
      </c>
      <c r="R333" s="204" t="s">
        <v>1673</v>
      </c>
      <c r="S333" s="204" t="s">
        <v>1672</v>
      </c>
      <c r="T333" s="204" t="s">
        <v>1671</v>
      </c>
      <c r="V333" s="204" t="s">
        <v>1670</v>
      </c>
      <c r="W333" s="204" t="s">
        <v>345</v>
      </c>
      <c r="X333" s="204" t="s">
        <v>297</v>
      </c>
      <c r="Y333" s="204" t="s">
        <v>344</v>
      </c>
      <c r="Z333" s="204" t="s">
        <v>601</v>
      </c>
      <c r="AA333" s="204" t="s">
        <v>600</v>
      </c>
      <c r="AB333" s="204" t="s">
        <v>329</v>
      </c>
      <c r="AC333" s="204" t="s">
        <v>297</v>
      </c>
      <c r="AD333" s="204" t="s">
        <v>599</v>
      </c>
      <c r="AE333" s="204" t="s">
        <v>598</v>
      </c>
      <c r="AG333" s="204" t="s">
        <v>791</v>
      </c>
      <c r="AH333" s="204" t="s">
        <v>151</v>
      </c>
      <c r="AX333" s="204">
        <v>12</v>
      </c>
      <c r="AY333" s="204">
        <v>0</v>
      </c>
      <c r="AZ333" s="204">
        <v>4.5600000000000002E-2</v>
      </c>
      <c r="BB333" s="204">
        <v>387.20400000000001</v>
      </c>
      <c r="BH333" s="204">
        <v>0</v>
      </c>
      <c r="BI333" s="204">
        <v>54</v>
      </c>
      <c r="BJ333" s="204">
        <v>42641</v>
      </c>
      <c r="BK333" s="204">
        <v>42641.6487158565</v>
      </c>
      <c r="BL333" s="204" t="s">
        <v>293</v>
      </c>
      <c r="BM333" s="204" t="s">
        <v>1669</v>
      </c>
      <c r="BN333" s="242">
        <f t="shared" si="79"/>
        <v>32.267000000000003</v>
      </c>
      <c r="BO333" s="269">
        <f t="shared" si="80"/>
        <v>4.5</v>
      </c>
      <c r="BP333" s="269">
        <f>INDEX('App Data Outliers'!$M:$M,MATCH($E333,'App Data Outliers'!$A:$A,0))</f>
        <v>31.912660854402784</v>
      </c>
      <c r="BQ333" s="269">
        <f>INDEX('App Data Outliers'!$N:$N,MATCH($E333,'App Data Outliers'!$A:$A,0))</f>
        <v>4.6294175975068628</v>
      </c>
      <c r="BR333" s="269">
        <f>INDEX('App Data Outliers'!$S:$S,MATCH($E333,'App Data Outliers'!$A:$A,0))</f>
        <v>3.9162224934612029</v>
      </c>
      <c r="BS333" s="269">
        <f>INDEX('App Data Outliers'!$T:$T,MATCH($E333,'App Data Outliers'!$A:$A,0))</f>
        <v>1.1499528005502413</v>
      </c>
    </row>
    <row r="334" spans="1:71" s="204" customFormat="1" hidden="1">
      <c r="A334" s="241">
        <v>330</v>
      </c>
      <c r="B334" s="241" t="str">
        <f t="shared" si="71"/>
        <v>Residential - BHPSD - Residential Lighting &amp; Appliances</v>
      </c>
      <c r="C334" s="241" t="b">
        <f t="shared" si="72"/>
        <v>1</v>
      </c>
      <c r="D334" s="241" t="str">
        <f t="shared" si="73"/>
        <v>Residential - BHPSD - Residential Lighting &amp; Appliances_Residential Lighting &amp; Appliances :- LED :- Customer Incentives_LED</v>
      </c>
      <c r="E334" s="241" t="str">
        <f t="shared" si="74"/>
        <v>Residential_Residential Lighting_Lighting_LED</v>
      </c>
      <c r="F334" s="241" t="str">
        <f>INDEX('VDSM MAPPING'!E:E,MATCH($D334,'VDSM MAPPING'!$A:$A,0))</f>
        <v>Residential</v>
      </c>
      <c r="G334" s="241" t="str">
        <f>INDEX('VDSM MAPPING'!F:F,MATCH($D334,'VDSM MAPPING'!$A:$A,0))</f>
        <v>Residential Lighting</v>
      </c>
      <c r="H334" s="241" t="str">
        <f>INDEX('VDSM MAPPING'!G:G,MATCH($D334,'VDSM MAPPING'!$A:$A,0))</f>
        <v>Lighting</v>
      </c>
      <c r="I334" s="241" t="str">
        <f>INDEX('VDSM MAPPING'!H:H,MATCH($D334,'VDSM MAPPING'!$A:$A,0))</f>
        <v>LED</v>
      </c>
      <c r="J334" s="240">
        <f t="shared" si="75"/>
        <v>7.6540760934603463E-2</v>
      </c>
      <c r="K334" s="240">
        <f t="shared" si="76"/>
        <v>0.50765345000200468</v>
      </c>
      <c r="L334" s="240" t="b">
        <f t="shared" si="77"/>
        <v>0</v>
      </c>
      <c r="M334" s="240" t="b">
        <f t="shared" si="78"/>
        <v>0</v>
      </c>
      <c r="N334" s="204" t="s">
        <v>289</v>
      </c>
      <c r="O334" s="204" t="s">
        <v>1668</v>
      </c>
      <c r="P334" s="350">
        <v>1</v>
      </c>
      <c r="Q334" s="204" t="s">
        <v>1668</v>
      </c>
      <c r="R334" s="204" t="s">
        <v>1667</v>
      </c>
      <c r="S334" s="204" t="s">
        <v>1666</v>
      </c>
      <c r="T334" s="204" t="s">
        <v>1665</v>
      </c>
      <c r="V334" s="204" t="s">
        <v>1664</v>
      </c>
      <c r="W334" s="204" t="s">
        <v>345</v>
      </c>
      <c r="X334" s="204" t="s">
        <v>297</v>
      </c>
      <c r="Y334" s="204" t="s">
        <v>344</v>
      </c>
      <c r="Z334" s="204" t="s">
        <v>601</v>
      </c>
      <c r="AA334" s="204" t="s">
        <v>600</v>
      </c>
      <c r="AB334" s="204" t="s">
        <v>329</v>
      </c>
      <c r="AC334" s="204" t="s">
        <v>297</v>
      </c>
      <c r="AD334" s="204" t="s">
        <v>599</v>
      </c>
      <c r="AE334" s="204" t="s">
        <v>598</v>
      </c>
      <c r="AG334" s="204" t="s">
        <v>791</v>
      </c>
      <c r="AH334" s="204" t="s">
        <v>151</v>
      </c>
      <c r="AX334" s="204">
        <v>2</v>
      </c>
      <c r="AY334" s="204">
        <v>0</v>
      </c>
      <c r="AZ334" s="204">
        <v>7.6E-3</v>
      </c>
      <c r="BB334" s="204">
        <v>64.534000000000006</v>
      </c>
      <c r="BH334" s="204">
        <v>0</v>
      </c>
      <c r="BI334" s="204">
        <v>9</v>
      </c>
      <c r="BJ334" s="204">
        <v>42641</v>
      </c>
      <c r="BK334" s="204">
        <v>42641.649760185202</v>
      </c>
      <c r="BL334" s="204" t="s">
        <v>293</v>
      </c>
      <c r="BM334" s="204" t="s">
        <v>1663</v>
      </c>
      <c r="BN334" s="242">
        <f t="shared" si="79"/>
        <v>32.267000000000003</v>
      </c>
      <c r="BO334" s="269">
        <f t="shared" si="80"/>
        <v>4.5</v>
      </c>
      <c r="BP334" s="269">
        <f>INDEX('App Data Outliers'!$M:$M,MATCH($E334,'App Data Outliers'!$A:$A,0))</f>
        <v>31.912660854402784</v>
      </c>
      <c r="BQ334" s="269">
        <f>INDEX('App Data Outliers'!$N:$N,MATCH($E334,'App Data Outliers'!$A:$A,0))</f>
        <v>4.6294175975068628</v>
      </c>
      <c r="BR334" s="269">
        <f>INDEX('App Data Outliers'!$S:$S,MATCH($E334,'App Data Outliers'!$A:$A,0))</f>
        <v>3.9162224934612029</v>
      </c>
      <c r="BS334" s="269">
        <f>INDEX('App Data Outliers'!$T:$T,MATCH($E334,'App Data Outliers'!$A:$A,0))</f>
        <v>1.1499528005502413</v>
      </c>
    </row>
    <row r="335" spans="1:71" s="204" customFormat="1" hidden="1">
      <c r="A335" s="241">
        <v>331</v>
      </c>
      <c r="B335" s="241" t="str">
        <f t="shared" si="71"/>
        <v>Residential - BHPSD - Residential Lighting &amp; Appliances</v>
      </c>
      <c r="C335" s="241" t="b">
        <f t="shared" si="72"/>
        <v>1</v>
      </c>
      <c r="D335" s="241" t="str">
        <f t="shared" si="73"/>
        <v>Residential - BHPSD - Residential Lighting &amp; Appliances_Residential Lighting &amp; Appliances :- LED :- Customer Incentives_LED</v>
      </c>
      <c r="E335" s="241" t="str">
        <f t="shared" si="74"/>
        <v>Residential_Residential Lighting_Lighting_LED</v>
      </c>
      <c r="F335" s="241" t="str">
        <f>INDEX('VDSM MAPPING'!E:E,MATCH($D335,'VDSM MAPPING'!$A:$A,0))</f>
        <v>Residential</v>
      </c>
      <c r="G335" s="241" t="str">
        <f>INDEX('VDSM MAPPING'!F:F,MATCH($D335,'VDSM MAPPING'!$A:$A,0))</f>
        <v>Residential Lighting</v>
      </c>
      <c r="H335" s="241" t="str">
        <f>INDEX('VDSM MAPPING'!G:G,MATCH($D335,'VDSM MAPPING'!$A:$A,0))</f>
        <v>Lighting</v>
      </c>
      <c r="I335" s="241" t="str">
        <f>INDEX('VDSM MAPPING'!H:H,MATCH($D335,'VDSM MAPPING'!$A:$A,0))</f>
        <v>LED</v>
      </c>
      <c r="J335" s="240">
        <f t="shared" si="75"/>
        <v>0.40336372907962731</v>
      </c>
      <c r="K335" s="240">
        <f t="shared" si="76"/>
        <v>1.4642144492653311</v>
      </c>
      <c r="L335" s="240" t="b">
        <f t="shared" si="77"/>
        <v>0</v>
      </c>
      <c r="M335" s="240" t="b">
        <f t="shared" si="78"/>
        <v>0</v>
      </c>
      <c r="N335" s="204" t="s">
        <v>289</v>
      </c>
      <c r="O335" s="204" t="s">
        <v>1661</v>
      </c>
      <c r="P335" s="350">
        <v>1</v>
      </c>
      <c r="Q335" s="204" t="s">
        <v>1661</v>
      </c>
      <c r="R335" s="204" t="s">
        <v>1660</v>
      </c>
      <c r="S335" s="204" t="s">
        <v>1659</v>
      </c>
      <c r="T335" s="204" t="s">
        <v>1658</v>
      </c>
      <c r="V335" s="204" t="s">
        <v>1657</v>
      </c>
      <c r="W335" s="204" t="s">
        <v>329</v>
      </c>
      <c r="X335" s="204" t="s">
        <v>297</v>
      </c>
      <c r="Y335" s="204" t="s">
        <v>397</v>
      </c>
      <c r="Z335" s="204" t="s">
        <v>601</v>
      </c>
      <c r="AA335" s="204" t="s">
        <v>600</v>
      </c>
      <c r="AB335" s="204" t="s">
        <v>329</v>
      </c>
      <c r="AC335" s="204" t="s">
        <v>297</v>
      </c>
      <c r="AD335" s="204" t="s">
        <v>599</v>
      </c>
      <c r="AE335" s="204" t="s">
        <v>598</v>
      </c>
      <c r="AG335" s="204" t="s">
        <v>791</v>
      </c>
      <c r="AH335" s="204" t="s">
        <v>151</v>
      </c>
      <c r="AX335" s="204">
        <v>5</v>
      </c>
      <c r="AY335" s="204">
        <v>0</v>
      </c>
      <c r="AZ335" s="204">
        <v>0.02</v>
      </c>
      <c r="BB335" s="204">
        <v>168.9</v>
      </c>
      <c r="BH335" s="204">
        <v>0</v>
      </c>
      <c r="BI335" s="204">
        <v>28</v>
      </c>
      <c r="BJ335" s="204">
        <v>42641</v>
      </c>
      <c r="BK335" s="204">
        <v>42641.651869294001</v>
      </c>
      <c r="BL335" s="204" t="s">
        <v>293</v>
      </c>
      <c r="BM335" s="204" t="s">
        <v>1656</v>
      </c>
      <c r="BN335" s="242">
        <f t="shared" si="79"/>
        <v>33.78</v>
      </c>
      <c r="BO335" s="269">
        <f t="shared" si="80"/>
        <v>5.6</v>
      </c>
      <c r="BP335" s="269">
        <f>INDEX('App Data Outliers'!$M:$M,MATCH($E335,'App Data Outliers'!$A:$A,0))</f>
        <v>31.912660854402784</v>
      </c>
      <c r="BQ335" s="269">
        <f>INDEX('App Data Outliers'!$N:$N,MATCH($E335,'App Data Outliers'!$A:$A,0))</f>
        <v>4.6294175975068628</v>
      </c>
      <c r="BR335" s="269">
        <f>INDEX('App Data Outliers'!$S:$S,MATCH($E335,'App Data Outliers'!$A:$A,0))</f>
        <v>3.9162224934612029</v>
      </c>
      <c r="BS335" s="269">
        <f>INDEX('App Data Outliers'!$T:$T,MATCH($E335,'App Data Outliers'!$A:$A,0))</f>
        <v>1.1499528005502413</v>
      </c>
    </row>
    <row r="336" spans="1:71" s="204" customFormat="1" hidden="1">
      <c r="A336" s="241">
        <v>332</v>
      </c>
      <c r="B336" s="241" t="str">
        <f t="shared" si="71"/>
        <v>Residential - BHPSD - Residential Lighting &amp; Appliances</v>
      </c>
      <c r="C336" s="241" t="b">
        <f t="shared" si="72"/>
        <v>1</v>
      </c>
      <c r="D336" s="241" t="str">
        <f t="shared" si="73"/>
        <v>Residential - BHPSD - Residential Lighting &amp; Appliances_Residential Lighting &amp; Appliances :- LED :- Customer Incentives_LED</v>
      </c>
      <c r="E336" s="241" t="str">
        <f t="shared" si="74"/>
        <v>Residential_Residential Lighting_Lighting_LED</v>
      </c>
      <c r="F336" s="241" t="str">
        <f>INDEX('VDSM MAPPING'!E:E,MATCH($D336,'VDSM MAPPING'!$A:$A,0))</f>
        <v>Residential</v>
      </c>
      <c r="G336" s="241" t="str">
        <f>INDEX('VDSM MAPPING'!F:F,MATCH($D336,'VDSM MAPPING'!$A:$A,0))</f>
        <v>Residential Lighting</v>
      </c>
      <c r="H336" s="241" t="str">
        <f>INDEX('VDSM MAPPING'!G:G,MATCH($D336,'VDSM MAPPING'!$A:$A,0))</f>
        <v>Lighting</v>
      </c>
      <c r="I336" s="241" t="str">
        <f>INDEX('VDSM MAPPING'!H:H,MATCH($D336,'VDSM MAPPING'!$A:$A,0))</f>
        <v>LED</v>
      </c>
      <c r="J336" s="240">
        <f t="shared" si="75"/>
        <v>7.6540760934603463E-2</v>
      </c>
      <c r="K336" s="240">
        <f t="shared" si="76"/>
        <v>0.50765345000200468</v>
      </c>
      <c r="L336" s="240" t="b">
        <f t="shared" si="77"/>
        <v>0</v>
      </c>
      <c r="M336" s="240" t="b">
        <f t="shared" si="78"/>
        <v>0</v>
      </c>
      <c r="N336" s="204" t="s">
        <v>289</v>
      </c>
      <c r="O336" s="204" t="s">
        <v>1661</v>
      </c>
      <c r="P336" s="350">
        <v>0</v>
      </c>
      <c r="Q336" s="204" t="s">
        <v>1661</v>
      </c>
      <c r="R336" s="204" t="s">
        <v>1660</v>
      </c>
      <c r="S336" s="204" t="s">
        <v>1659</v>
      </c>
      <c r="T336" s="204" t="s">
        <v>1658</v>
      </c>
      <c r="V336" s="204" t="s">
        <v>1657</v>
      </c>
      <c r="W336" s="204" t="s">
        <v>329</v>
      </c>
      <c r="X336" s="204" t="s">
        <v>297</v>
      </c>
      <c r="Y336" s="204" t="s">
        <v>397</v>
      </c>
      <c r="Z336" s="204" t="s">
        <v>601</v>
      </c>
      <c r="AA336" s="204" t="s">
        <v>600</v>
      </c>
      <c r="AB336" s="204" t="s">
        <v>329</v>
      </c>
      <c r="AC336" s="204" t="s">
        <v>297</v>
      </c>
      <c r="AD336" s="204" t="s">
        <v>599</v>
      </c>
      <c r="AE336" s="204" t="s">
        <v>598</v>
      </c>
      <c r="AG336" s="204" t="s">
        <v>791</v>
      </c>
      <c r="AH336" s="204" t="s">
        <v>151</v>
      </c>
      <c r="AX336" s="204">
        <v>6</v>
      </c>
      <c r="AY336" s="204">
        <v>0</v>
      </c>
      <c r="AZ336" s="204">
        <v>2.2800000000000001E-2</v>
      </c>
      <c r="BB336" s="204">
        <v>193.602</v>
      </c>
      <c r="BH336" s="204">
        <v>0</v>
      </c>
      <c r="BI336" s="204">
        <v>27</v>
      </c>
      <c r="BJ336" s="204">
        <v>42641</v>
      </c>
      <c r="BK336" s="204">
        <v>42641.651869294001</v>
      </c>
      <c r="BL336" s="204" t="s">
        <v>293</v>
      </c>
      <c r="BM336" s="204" t="s">
        <v>1662</v>
      </c>
      <c r="BN336" s="242">
        <f t="shared" si="79"/>
        <v>32.267000000000003</v>
      </c>
      <c r="BO336" s="269">
        <f t="shared" si="80"/>
        <v>4.5</v>
      </c>
      <c r="BP336" s="269">
        <f>INDEX('App Data Outliers'!$M:$M,MATCH($E336,'App Data Outliers'!$A:$A,0))</f>
        <v>31.912660854402784</v>
      </c>
      <c r="BQ336" s="269">
        <f>INDEX('App Data Outliers'!$N:$N,MATCH($E336,'App Data Outliers'!$A:$A,0))</f>
        <v>4.6294175975068628</v>
      </c>
      <c r="BR336" s="269">
        <f>INDEX('App Data Outliers'!$S:$S,MATCH($E336,'App Data Outliers'!$A:$A,0))</f>
        <v>3.9162224934612029</v>
      </c>
      <c r="BS336" s="269">
        <f>INDEX('App Data Outliers'!$T:$T,MATCH($E336,'App Data Outliers'!$A:$A,0))</f>
        <v>1.1499528005502413</v>
      </c>
    </row>
    <row r="337" spans="1:71" s="204" customFormat="1" hidden="1">
      <c r="A337" s="241">
        <v>333</v>
      </c>
      <c r="B337" s="241" t="str">
        <f t="shared" si="71"/>
        <v>Residential - BHPSD - Residential Lighting &amp; Appliances</v>
      </c>
      <c r="C337" s="241" t="b">
        <f t="shared" si="72"/>
        <v>1</v>
      </c>
      <c r="D337" s="241" t="str">
        <f t="shared" si="73"/>
        <v>Residential - BHPSD - Residential Lighting &amp; Appliances_Residential Lighting &amp; Appliances :- LED :- Customer Incentives_LED</v>
      </c>
      <c r="E337" s="241" t="str">
        <f t="shared" si="74"/>
        <v>Residential_Residential Lighting_Lighting_LED</v>
      </c>
      <c r="F337" s="241" t="str">
        <f>INDEX('VDSM MAPPING'!E:E,MATCH($D337,'VDSM MAPPING'!$A:$A,0))</f>
        <v>Residential</v>
      </c>
      <c r="G337" s="241" t="str">
        <f>INDEX('VDSM MAPPING'!F:F,MATCH($D337,'VDSM MAPPING'!$A:$A,0))</f>
        <v>Residential Lighting</v>
      </c>
      <c r="H337" s="241" t="str">
        <f>INDEX('VDSM MAPPING'!G:G,MATCH($D337,'VDSM MAPPING'!$A:$A,0))</f>
        <v>Lighting</v>
      </c>
      <c r="I337" s="241" t="str">
        <f>INDEX('VDSM MAPPING'!H:H,MATCH($D337,'VDSM MAPPING'!$A:$A,0))</f>
        <v>LED</v>
      </c>
      <c r="J337" s="240">
        <f t="shared" si="75"/>
        <v>7.6540760934601937E-2</v>
      </c>
      <c r="K337" s="240">
        <f t="shared" si="76"/>
        <v>0.50765345000200468</v>
      </c>
      <c r="L337" s="240" t="b">
        <f t="shared" si="77"/>
        <v>0</v>
      </c>
      <c r="M337" s="240" t="b">
        <f t="shared" si="78"/>
        <v>0</v>
      </c>
      <c r="N337" s="204" t="s">
        <v>289</v>
      </c>
      <c r="O337" s="204" t="s">
        <v>1655</v>
      </c>
      <c r="P337" s="350">
        <v>1</v>
      </c>
      <c r="Q337" s="204" t="s">
        <v>1655</v>
      </c>
      <c r="R337" s="204" t="s">
        <v>1654</v>
      </c>
      <c r="S337" s="204" t="s">
        <v>1653</v>
      </c>
      <c r="T337" s="204" t="s">
        <v>1652</v>
      </c>
      <c r="V337" s="204" t="s">
        <v>1651</v>
      </c>
      <c r="W337" s="204" t="s">
        <v>329</v>
      </c>
      <c r="X337" s="204" t="s">
        <v>297</v>
      </c>
      <c r="Y337" s="204" t="s">
        <v>397</v>
      </c>
      <c r="Z337" s="204" t="s">
        <v>601</v>
      </c>
      <c r="AA337" s="204" t="s">
        <v>600</v>
      </c>
      <c r="AB337" s="204" t="s">
        <v>329</v>
      </c>
      <c r="AC337" s="204" t="s">
        <v>297</v>
      </c>
      <c r="AD337" s="204" t="s">
        <v>599</v>
      </c>
      <c r="AE337" s="204" t="s">
        <v>598</v>
      </c>
      <c r="AG337" s="204" t="s">
        <v>791</v>
      </c>
      <c r="AH337" s="204" t="s">
        <v>151</v>
      </c>
      <c r="AX337" s="204">
        <v>25</v>
      </c>
      <c r="AY337" s="204">
        <v>0</v>
      </c>
      <c r="AZ337" s="204">
        <v>9.5000000000000001E-2</v>
      </c>
      <c r="BB337" s="204">
        <v>806.67499999999995</v>
      </c>
      <c r="BH337" s="204">
        <v>0</v>
      </c>
      <c r="BI337" s="204">
        <v>112.5</v>
      </c>
      <c r="BJ337" s="204">
        <v>42641</v>
      </c>
      <c r="BK337" s="204">
        <v>42641.659832638899</v>
      </c>
      <c r="BL337" s="204" t="s">
        <v>293</v>
      </c>
      <c r="BM337" s="204" t="s">
        <v>1650</v>
      </c>
      <c r="BN337" s="242">
        <f t="shared" si="79"/>
        <v>32.266999999999996</v>
      </c>
      <c r="BO337" s="269">
        <f t="shared" si="80"/>
        <v>4.5</v>
      </c>
      <c r="BP337" s="269">
        <f>INDEX('App Data Outliers'!$M:$M,MATCH($E337,'App Data Outliers'!$A:$A,0))</f>
        <v>31.912660854402784</v>
      </c>
      <c r="BQ337" s="269">
        <f>INDEX('App Data Outliers'!$N:$N,MATCH($E337,'App Data Outliers'!$A:$A,0))</f>
        <v>4.6294175975068628</v>
      </c>
      <c r="BR337" s="269">
        <f>INDEX('App Data Outliers'!$S:$S,MATCH($E337,'App Data Outliers'!$A:$A,0))</f>
        <v>3.9162224934612029</v>
      </c>
      <c r="BS337" s="269">
        <f>INDEX('App Data Outliers'!$T:$T,MATCH($E337,'App Data Outliers'!$A:$A,0))</f>
        <v>1.1499528005502413</v>
      </c>
    </row>
    <row r="338" spans="1:71" s="204" customFormat="1" hidden="1">
      <c r="A338" s="241">
        <v>334</v>
      </c>
      <c r="B338" s="241" t="str">
        <f t="shared" si="71"/>
        <v>Residential - BHPSD - Residential Lighting &amp; Appliances</v>
      </c>
      <c r="C338" s="241" t="b">
        <f t="shared" si="72"/>
        <v>1</v>
      </c>
      <c r="D338" s="241" t="str">
        <f t="shared" si="73"/>
        <v>Residential - BHPSD - Residential Lighting &amp; Appliances_Residential Lighting &amp; Appliances :- LED :- Customer Incentives_LED</v>
      </c>
      <c r="E338" s="241" t="str">
        <f t="shared" si="74"/>
        <v>Residential_Residential Lighting_Lighting_LED</v>
      </c>
      <c r="F338" s="241" t="str">
        <f>INDEX('VDSM MAPPING'!E:E,MATCH($D338,'VDSM MAPPING'!$A:$A,0))</f>
        <v>Residential</v>
      </c>
      <c r="G338" s="241" t="str">
        <f>INDEX('VDSM MAPPING'!F:F,MATCH($D338,'VDSM MAPPING'!$A:$A,0))</f>
        <v>Residential Lighting</v>
      </c>
      <c r="H338" s="241" t="str">
        <f>INDEX('VDSM MAPPING'!G:G,MATCH($D338,'VDSM MAPPING'!$A:$A,0))</f>
        <v>Lighting</v>
      </c>
      <c r="I338" s="241" t="str">
        <f>INDEX('VDSM MAPPING'!H:H,MATCH($D338,'VDSM MAPPING'!$A:$A,0))</f>
        <v>LED</v>
      </c>
      <c r="J338" s="240">
        <f t="shared" si="75"/>
        <v>0.40336372907962731</v>
      </c>
      <c r="K338" s="240">
        <f t="shared" si="76"/>
        <v>1.4642144492653311</v>
      </c>
      <c r="L338" s="240" t="b">
        <f t="shared" si="77"/>
        <v>0</v>
      </c>
      <c r="M338" s="240" t="b">
        <f t="shared" si="78"/>
        <v>0</v>
      </c>
      <c r="N338" s="204" t="s">
        <v>289</v>
      </c>
      <c r="O338" s="204" t="s">
        <v>1647</v>
      </c>
      <c r="P338" s="350">
        <v>1</v>
      </c>
      <c r="Q338" s="204" t="s">
        <v>1647</v>
      </c>
      <c r="R338" s="204" t="s">
        <v>1646</v>
      </c>
      <c r="S338" s="204" t="s">
        <v>1645</v>
      </c>
      <c r="T338" s="204" t="s">
        <v>1644</v>
      </c>
      <c r="V338" s="204" t="s">
        <v>1643</v>
      </c>
      <c r="W338" s="204" t="s">
        <v>329</v>
      </c>
      <c r="X338" s="204" t="s">
        <v>297</v>
      </c>
      <c r="Y338" s="204" t="s">
        <v>328</v>
      </c>
      <c r="Z338" s="204" t="s">
        <v>601</v>
      </c>
      <c r="AA338" s="204" t="s">
        <v>600</v>
      </c>
      <c r="AB338" s="204" t="s">
        <v>329</v>
      </c>
      <c r="AC338" s="204" t="s">
        <v>297</v>
      </c>
      <c r="AD338" s="204" t="s">
        <v>599</v>
      </c>
      <c r="AE338" s="204" t="s">
        <v>598</v>
      </c>
      <c r="AG338" s="204" t="s">
        <v>791</v>
      </c>
      <c r="AH338" s="204" t="s">
        <v>151</v>
      </c>
      <c r="AX338" s="204">
        <v>4</v>
      </c>
      <c r="AY338" s="204">
        <v>0</v>
      </c>
      <c r="AZ338" s="204">
        <v>1.6E-2</v>
      </c>
      <c r="BB338" s="204">
        <v>135.12</v>
      </c>
      <c r="BH338" s="204">
        <v>0</v>
      </c>
      <c r="BI338" s="204">
        <v>22.4</v>
      </c>
      <c r="BJ338" s="204">
        <v>42641</v>
      </c>
      <c r="BK338" s="204">
        <v>42641.660829016197</v>
      </c>
      <c r="BL338" s="204" t="s">
        <v>293</v>
      </c>
      <c r="BM338" s="204" t="s">
        <v>1642</v>
      </c>
      <c r="BN338" s="242">
        <f t="shared" si="79"/>
        <v>33.78</v>
      </c>
      <c r="BO338" s="269">
        <f t="shared" si="80"/>
        <v>5.6</v>
      </c>
      <c r="BP338" s="269">
        <f>INDEX('App Data Outliers'!$M:$M,MATCH($E338,'App Data Outliers'!$A:$A,0))</f>
        <v>31.912660854402784</v>
      </c>
      <c r="BQ338" s="269">
        <f>INDEX('App Data Outliers'!$N:$N,MATCH($E338,'App Data Outliers'!$A:$A,0))</f>
        <v>4.6294175975068628</v>
      </c>
      <c r="BR338" s="269">
        <f>INDEX('App Data Outliers'!$S:$S,MATCH($E338,'App Data Outliers'!$A:$A,0))</f>
        <v>3.9162224934612029</v>
      </c>
      <c r="BS338" s="269">
        <f>INDEX('App Data Outliers'!$T:$T,MATCH($E338,'App Data Outliers'!$A:$A,0))</f>
        <v>1.1499528005502413</v>
      </c>
    </row>
    <row r="339" spans="1:71" s="204" customFormat="1" hidden="1">
      <c r="A339" s="241">
        <v>335</v>
      </c>
      <c r="B339" s="241" t="str">
        <f t="shared" si="71"/>
        <v>Residential - BHPSD - Residential Lighting &amp; Appliances</v>
      </c>
      <c r="C339" s="241" t="b">
        <f t="shared" si="72"/>
        <v>1</v>
      </c>
      <c r="D339" s="241" t="str">
        <f t="shared" si="73"/>
        <v>Residential - BHPSD - Residential Lighting &amp; Appliances_Residential Lighting &amp; Appliances :- LED :- Customer Incentives_LED</v>
      </c>
      <c r="E339" s="241" t="str">
        <f t="shared" si="74"/>
        <v>Residential_Residential Lighting_Lighting_LED</v>
      </c>
      <c r="F339" s="241" t="str">
        <f>INDEX('VDSM MAPPING'!E:E,MATCH($D339,'VDSM MAPPING'!$A:$A,0))</f>
        <v>Residential</v>
      </c>
      <c r="G339" s="241" t="str">
        <f>INDEX('VDSM MAPPING'!F:F,MATCH($D339,'VDSM MAPPING'!$A:$A,0))</f>
        <v>Residential Lighting</v>
      </c>
      <c r="H339" s="241" t="str">
        <f>INDEX('VDSM MAPPING'!G:G,MATCH($D339,'VDSM MAPPING'!$A:$A,0))</f>
        <v>Lighting</v>
      </c>
      <c r="I339" s="241" t="str">
        <f>INDEX('VDSM MAPPING'!H:H,MATCH($D339,'VDSM MAPPING'!$A:$A,0))</f>
        <v>LED</v>
      </c>
      <c r="J339" s="240">
        <f t="shared" si="75"/>
        <v>-1.8837490182564711</v>
      </c>
      <c r="K339" s="240">
        <f t="shared" si="76"/>
        <v>7.2852995791401517E-2</v>
      </c>
      <c r="L339" s="240" t="b">
        <f t="shared" si="77"/>
        <v>0</v>
      </c>
      <c r="M339" s="240" t="b">
        <f t="shared" si="78"/>
        <v>0</v>
      </c>
      <c r="N339" s="204" t="s">
        <v>289</v>
      </c>
      <c r="O339" s="204" t="s">
        <v>1647</v>
      </c>
      <c r="P339" s="350">
        <v>0</v>
      </c>
      <c r="Q339" s="204" t="s">
        <v>1647</v>
      </c>
      <c r="R339" s="204" t="s">
        <v>1646</v>
      </c>
      <c r="S339" s="204" t="s">
        <v>1645</v>
      </c>
      <c r="T339" s="204" t="s">
        <v>1644</v>
      </c>
      <c r="V339" s="204" t="s">
        <v>1643</v>
      </c>
      <c r="W339" s="204" t="s">
        <v>329</v>
      </c>
      <c r="X339" s="204" t="s">
        <v>297</v>
      </c>
      <c r="Y339" s="204" t="s">
        <v>328</v>
      </c>
      <c r="Z339" s="204" t="s">
        <v>601</v>
      </c>
      <c r="AA339" s="204" t="s">
        <v>600</v>
      </c>
      <c r="AB339" s="204" t="s">
        <v>329</v>
      </c>
      <c r="AC339" s="204" t="s">
        <v>297</v>
      </c>
      <c r="AD339" s="204" t="s">
        <v>599</v>
      </c>
      <c r="AE339" s="204" t="s">
        <v>598</v>
      </c>
      <c r="AG339" s="204" t="s">
        <v>791</v>
      </c>
      <c r="AH339" s="204" t="s">
        <v>151</v>
      </c>
      <c r="AX339" s="204">
        <v>4</v>
      </c>
      <c r="AY339" s="204">
        <v>0</v>
      </c>
      <c r="AZ339" s="204">
        <v>1.0800000000000001E-2</v>
      </c>
      <c r="BB339" s="204">
        <v>92.768000000000001</v>
      </c>
      <c r="BH339" s="204">
        <v>0</v>
      </c>
      <c r="BI339" s="204">
        <v>16</v>
      </c>
      <c r="BJ339" s="204">
        <v>42641</v>
      </c>
      <c r="BK339" s="204">
        <v>42641.660829016197</v>
      </c>
      <c r="BL339" s="204" t="s">
        <v>293</v>
      </c>
      <c r="BM339" s="204" t="s">
        <v>1649</v>
      </c>
      <c r="BN339" s="242">
        <f t="shared" si="79"/>
        <v>23.192</v>
      </c>
      <c r="BO339" s="269">
        <f t="shared" si="80"/>
        <v>4</v>
      </c>
      <c r="BP339" s="269">
        <f>INDEX('App Data Outliers'!$M:$M,MATCH($E339,'App Data Outliers'!$A:$A,0))</f>
        <v>31.912660854402784</v>
      </c>
      <c r="BQ339" s="269">
        <f>INDEX('App Data Outliers'!$N:$N,MATCH($E339,'App Data Outliers'!$A:$A,0))</f>
        <v>4.6294175975068628</v>
      </c>
      <c r="BR339" s="269">
        <f>INDEX('App Data Outliers'!$S:$S,MATCH($E339,'App Data Outliers'!$A:$A,0))</f>
        <v>3.9162224934612029</v>
      </c>
      <c r="BS339" s="269">
        <f>INDEX('App Data Outliers'!$T:$T,MATCH($E339,'App Data Outliers'!$A:$A,0))</f>
        <v>1.1499528005502413</v>
      </c>
    </row>
    <row r="340" spans="1:71" s="204" customFormat="1" hidden="1">
      <c r="A340" s="241">
        <v>336</v>
      </c>
      <c r="B340" s="241" t="str">
        <f t="shared" si="71"/>
        <v>Residential - BHPSD - Residential Lighting &amp; Appliances</v>
      </c>
      <c r="C340" s="241" t="b">
        <f t="shared" si="72"/>
        <v>1</v>
      </c>
      <c r="D340" s="241" t="str">
        <f t="shared" si="73"/>
        <v>Residential - BHPSD - Residential Lighting &amp; Appliances_Residential Lighting &amp; Appliances :- LED :- Customer Incentives_LED</v>
      </c>
      <c r="E340" s="241" t="str">
        <f t="shared" si="74"/>
        <v>Residential_Residential Lighting_Lighting_LED</v>
      </c>
      <c r="F340" s="241" t="str">
        <f>INDEX('VDSM MAPPING'!E:E,MATCH($D340,'VDSM MAPPING'!$A:$A,0))</f>
        <v>Residential</v>
      </c>
      <c r="G340" s="241" t="str">
        <f>INDEX('VDSM MAPPING'!F:F,MATCH($D340,'VDSM MAPPING'!$A:$A,0))</f>
        <v>Residential Lighting</v>
      </c>
      <c r="H340" s="241" t="str">
        <f>INDEX('VDSM MAPPING'!G:G,MATCH($D340,'VDSM MAPPING'!$A:$A,0))</f>
        <v>Lighting</v>
      </c>
      <c r="I340" s="241" t="str">
        <f>INDEX('VDSM MAPPING'!H:H,MATCH($D340,'VDSM MAPPING'!$A:$A,0))</f>
        <v>LED</v>
      </c>
      <c r="J340" s="240">
        <f t="shared" si="75"/>
        <v>7.6540760934603463E-2</v>
      </c>
      <c r="K340" s="240">
        <f t="shared" si="76"/>
        <v>0.50765345000200468</v>
      </c>
      <c r="L340" s="240" t="b">
        <f t="shared" si="77"/>
        <v>0</v>
      </c>
      <c r="M340" s="240" t="b">
        <f t="shared" si="78"/>
        <v>0</v>
      </c>
      <c r="N340" s="204" t="s">
        <v>289</v>
      </c>
      <c r="O340" s="204" t="s">
        <v>1647</v>
      </c>
      <c r="P340" s="350">
        <v>0</v>
      </c>
      <c r="Q340" s="204" t="s">
        <v>1647</v>
      </c>
      <c r="R340" s="204" t="s">
        <v>1646</v>
      </c>
      <c r="S340" s="204" t="s">
        <v>1645</v>
      </c>
      <c r="T340" s="204" t="s">
        <v>1644</v>
      </c>
      <c r="V340" s="204" t="s">
        <v>1643</v>
      </c>
      <c r="W340" s="204" t="s">
        <v>329</v>
      </c>
      <c r="X340" s="204" t="s">
        <v>297</v>
      </c>
      <c r="Y340" s="204" t="s">
        <v>328</v>
      </c>
      <c r="Z340" s="204" t="s">
        <v>601</v>
      </c>
      <c r="AA340" s="204" t="s">
        <v>600</v>
      </c>
      <c r="AB340" s="204" t="s">
        <v>329</v>
      </c>
      <c r="AC340" s="204" t="s">
        <v>297</v>
      </c>
      <c r="AD340" s="204" t="s">
        <v>599</v>
      </c>
      <c r="AE340" s="204" t="s">
        <v>598</v>
      </c>
      <c r="AG340" s="204" t="s">
        <v>791</v>
      </c>
      <c r="AH340" s="204" t="s">
        <v>151</v>
      </c>
      <c r="AX340" s="204">
        <v>4</v>
      </c>
      <c r="AY340" s="204">
        <v>0</v>
      </c>
      <c r="AZ340" s="204">
        <v>1.52E-2</v>
      </c>
      <c r="BB340" s="204">
        <v>129.06800000000001</v>
      </c>
      <c r="BH340" s="204">
        <v>0</v>
      </c>
      <c r="BI340" s="204">
        <v>18</v>
      </c>
      <c r="BJ340" s="204">
        <v>42641</v>
      </c>
      <c r="BK340" s="204">
        <v>42641.660829016197</v>
      </c>
      <c r="BL340" s="204" t="s">
        <v>293</v>
      </c>
      <c r="BM340" s="204" t="s">
        <v>1648</v>
      </c>
      <c r="BN340" s="242">
        <f t="shared" si="79"/>
        <v>32.267000000000003</v>
      </c>
      <c r="BO340" s="269">
        <f t="shared" si="80"/>
        <v>4.5</v>
      </c>
      <c r="BP340" s="269">
        <f>INDEX('App Data Outliers'!$M:$M,MATCH($E340,'App Data Outliers'!$A:$A,0))</f>
        <v>31.912660854402784</v>
      </c>
      <c r="BQ340" s="269">
        <f>INDEX('App Data Outliers'!$N:$N,MATCH($E340,'App Data Outliers'!$A:$A,0))</f>
        <v>4.6294175975068628</v>
      </c>
      <c r="BR340" s="269">
        <f>INDEX('App Data Outliers'!$S:$S,MATCH($E340,'App Data Outliers'!$A:$A,0))</f>
        <v>3.9162224934612029</v>
      </c>
      <c r="BS340" s="269">
        <f>INDEX('App Data Outliers'!$T:$T,MATCH($E340,'App Data Outliers'!$A:$A,0))</f>
        <v>1.1499528005502413</v>
      </c>
    </row>
    <row r="341" spans="1:71" s="204" customFormat="1" hidden="1">
      <c r="A341" s="241">
        <v>337</v>
      </c>
      <c r="B341" s="241" t="str">
        <f t="shared" si="71"/>
        <v>Residential - BHPSD - Residential Lighting &amp; Appliances</v>
      </c>
      <c r="C341" s="241" t="b">
        <f t="shared" si="72"/>
        <v>1</v>
      </c>
      <c r="D341" s="241" t="str">
        <f t="shared" si="73"/>
        <v>Residential - BHPSD - Residential Lighting &amp; Appliances_Residential Lighting &amp; Appliances :- LED :- Customer Incentives_LED</v>
      </c>
      <c r="E341" s="241" t="str">
        <f t="shared" si="74"/>
        <v>Residential_Residential Lighting_Lighting_LED</v>
      </c>
      <c r="F341" s="241" t="str">
        <f>INDEX('VDSM MAPPING'!E:E,MATCH($D341,'VDSM MAPPING'!$A:$A,0))</f>
        <v>Residential</v>
      </c>
      <c r="G341" s="241" t="str">
        <f>INDEX('VDSM MAPPING'!F:F,MATCH($D341,'VDSM MAPPING'!$A:$A,0))</f>
        <v>Residential Lighting</v>
      </c>
      <c r="H341" s="241" t="str">
        <f>INDEX('VDSM MAPPING'!G:G,MATCH($D341,'VDSM MAPPING'!$A:$A,0))</f>
        <v>Lighting</v>
      </c>
      <c r="I341" s="241" t="str">
        <f>INDEX('VDSM MAPPING'!H:H,MATCH($D341,'VDSM MAPPING'!$A:$A,0))</f>
        <v>LED</v>
      </c>
      <c r="J341" s="240">
        <f t="shared" si="75"/>
        <v>0.40336372907962731</v>
      </c>
      <c r="K341" s="240">
        <f t="shared" si="76"/>
        <v>1.4642144492653311</v>
      </c>
      <c r="L341" s="240" t="b">
        <f t="shared" si="77"/>
        <v>0</v>
      </c>
      <c r="M341" s="240" t="b">
        <f t="shared" si="78"/>
        <v>0</v>
      </c>
      <c r="N341" s="204" t="s">
        <v>289</v>
      </c>
      <c r="O341" s="204" t="s">
        <v>1641</v>
      </c>
      <c r="P341" s="350">
        <v>1</v>
      </c>
      <c r="Q341" s="204" t="s">
        <v>1641</v>
      </c>
      <c r="R341" s="204" t="s">
        <v>1640</v>
      </c>
      <c r="S341" s="204" t="s">
        <v>1639</v>
      </c>
      <c r="T341" s="204" t="s">
        <v>1638</v>
      </c>
      <c r="V341" s="204" t="s">
        <v>1637</v>
      </c>
      <c r="W341" s="204" t="s">
        <v>329</v>
      </c>
      <c r="X341" s="204" t="s">
        <v>297</v>
      </c>
      <c r="Y341" s="204" t="s">
        <v>328</v>
      </c>
      <c r="Z341" s="204" t="s">
        <v>601</v>
      </c>
      <c r="AA341" s="204" t="s">
        <v>600</v>
      </c>
      <c r="AB341" s="204" t="s">
        <v>329</v>
      </c>
      <c r="AC341" s="204" t="s">
        <v>297</v>
      </c>
      <c r="AD341" s="204" t="s">
        <v>599</v>
      </c>
      <c r="AE341" s="204" t="s">
        <v>598</v>
      </c>
      <c r="AG341" s="204" t="s">
        <v>791</v>
      </c>
      <c r="AH341" s="204" t="s">
        <v>151</v>
      </c>
      <c r="AX341" s="204">
        <v>4</v>
      </c>
      <c r="AY341" s="204">
        <v>0</v>
      </c>
      <c r="AZ341" s="204">
        <v>1.6E-2</v>
      </c>
      <c r="BB341" s="204">
        <v>135.12</v>
      </c>
      <c r="BH341" s="204">
        <v>0</v>
      </c>
      <c r="BI341" s="204">
        <v>22.4</v>
      </c>
      <c r="BJ341" s="204">
        <v>42641</v>
      </c>
      <c r="BK341" s="204">
        <v>42641.662202118103</v>
      </c>
      <c r="BL341" s="204" t="s">
        <v>293</v>
      </c>
      <c r="BM341" s="204" t="s">
        <v>1636</v>
      </c>
      <c r="BN341" s="242">
        <f t="shared" si="79"/>
        <v>33.78</v>
      </c>
      <c r="BO341" s="269">
        <f t="shared" si="80"/>
        <v>5.6</v>
      </c>
      <c r="BP341" s="269">
        <f>INDEX('App Data Outliers'!$M:$M,MATCH($E341,'App Data Outliers'!$A:$A,0))</f>
        <v>31.912660854402784</v>
      </c>
      <c r="BQ341" s="269">
        <f>INDEX('App Data Outliers'!$N:$N,MATCH($E341,'App Data Outliers'!$A:$A,0))</f>
        <v>4.6294175975068628</v>
      </c>
      <c r="BR341" s="269">
        <f>INDEX('App Data Outliers'!$S:$S,MATCH($E341,'App Data Outliers'!$A:$A,0))</f>
        <v>3.9162224934612029</v>
      </c>
      <c r="BS341" s="269">
        <f>INDEX('App Data Outliers'!$T:$T,MATCH($E341,'App Data Outliers'!$A:$A,0))</f>
        <v>1.1499528005502413</v>
      </c>
    </row>
    <row r="342" spans="1:71" s="204" customFormat="1" hidden="1">
      <c r="A342" s="241">
        <v>338</v>
      </c>
      <c r="B342" s="241" t="str">
        <f t="shared" si="71"/>
        <v>Residential - BHPSD - Residential Lighting &amp; Appliances</v>
      </c>
      <c r="C342" s="241" t="b">
        <f t="shared" si="72"/>
        <v>1</v>
      </c>
      <c r="D342" s="241" t="str">
        <f t="shared" si="73"/>
        <v>Residential - BHPSD - Residential Lighting &amp; Appliances_Residential Lighting &amp; Appliances :- LED :- Customer Incentives_LED</v>
      </c>
      <c r="E342" s="241" t="str">
        <f t="shared" si="74"/>
        <v>Residential_Residential Lighting_Lighting_LED</v>
      </c>
      <c r="F342" s="241" t="str">
        <f>INDEX('VDSM MAPPING'!E:E,MATCH($D342,'VDSM MAPPING'!$A:$A,0))</f>
        <v>Residential</v>
      </c>
      <c r="G342" s="241" t="str">
        <f>INDEX('VDSM MAPPING'!F:F,MATCH($D342,'VDSM MAPPING'!$A:$A,0))</f>
        <v>Residential Lighting</v>
      </c>
      <c r="H342" s="241" t="str">
        <f>INDEX('VDSM MAPPING'!G:G,MATCH($D342,'VDSM MAPPING'!$A:$A,0))</f>
        <v>Lighting</v>
      </c>
      <c r="I342" s="241" t="str">
        <f>INDEX('VDSM MAPPING'!H:H,MATCH($D342,'VDSM MAPPING'!$A:$A,0))</f>
        <v>LED</v>
      </c>
      <c r="J342" s="240">
        <f t="shared" si="75"/>
        <v>0.40336372907962731</v>
      </c>
      <c r="K342" s="240">
        <f t="shared" si="76"/>
        <v>1.4642144492653311</v>
      </c>
      <c r="L342" s="240" t="b">
        <f t="shared" si="77"/>
        <v>0</v>
      </c>
      <c r="M342" s="240" t="b">
        <f t="shared" si="78"/>
        <v>0</v>
      </c>
      <c r="N342" s="204" t="s">
        <v>289</v>
      </c>
      <c r="O342" s="204" t="s">
        <v>1634</v>
      </c>
      <c r="P342" s="350">
        <v>1</v>
      </c>
      <c r="Q342" s="204" t="s">
        <v>1634</v>
      </c>
      <c r="R342" s="204" t="s">
        <v>1633</v>
      </c>
      <c r="S342" s="204" t="s">
        <v>1632</v>
      </c>
      <c r="T342" s="204" t="s">
        <v>1631</v>
      </c>
      <c r="V342" s="204" t="s">
        <v>1630</v>
      </c>
      <c r="W342" s="204" t="s">
        <v>329</v>
      </c>
      <c r="X342" s="204" t="s">
        <v>297</v>
      </c>
      <c r="Y342" s="204" t="s">
        <v>397</v>
      </c>
      <c r="Z342" s="204" t="s">
        <v>601</v>
      </c>
      <c r="AA342" s="204" t="s">
        <v>600</v>
      </c>
      <c r="AB342" s="204" t="s">
        <v>329</v>
      </c>
      <c r="AC342" s="204" t="s">
        <v>297</v>
      </c>
      <c r="AD342" s="204" t="s">
        <v>599</v>
      </c>
      <c r="AE342" s="204" t="s">
        <v>598</v>
      </c>
      <c r="AG342" s="204" t="s">
        <v>791</v>
      </c>
      <c r="AH342" s="204" t="s">
        <v>151</v>
      </c>
      <c r="AX342" s="204">
        <v>2</v>
      </c>
      <c r="AY342" s="204">
        <v>0</v>
      </c>
      <c r="AZ342" s="204">
        <v>8.0000000000000002E-3</v>
      </c>
      <c r="BB342" s="204">
        <v>67.56</v>
      </c>
      <c r="BH342" s="204">
        <v>0</v>
      </c>
      <c r="BI342" s="204">
        <v>11.2</v>
      </c>
      <c r="BJ342" s="204">
        <v>42641</v>
      </c>
      <c r="BK342" s="204">
        <v>42641.666079594899</v>
      </c>
      <c r="BL342" s="204" t="s">
        <v>293</v>
      </c>
      <c r="BM342" s="204" t="s">
        <v>1629</v>
      </c>
      <c r="BN342" s="242">
        <f t="shared" si="79"/>
        <v>33.78</v>
      </c>
      <c r="BO342" s="269">
        <f t="shared" si="80"/>
        <v>5.6</v>
      </c>
      <c r="BP342" s="269">
        <f>INDEX('App Data Outliers'!$M:$M,MATCH($E342,'App Data Outliers'!$A:$A,0))</f>
        <v>31.912660854402784</v>
      </c>
      <c r="BQ342" s="269">
        <f>INDEX('App Data Outliers'!$N:$N,MATCH($E342,'App Data Outliers'!$A:$A,0))</f>
        <v>4.6294175975068628</v>
      </c>
      <c r="BR342" s="269">
        <f>INDEX('App Data Outliers'!$S:$S,MATCH($E342,'App Data Outliers'!$A:$A,0))</f>
        <v>3.9162224934612029</v>
      </c>
      <c r="BS342" s="269">
        <f>INDEX('App Data Outliers'!$T:$T,MATCH($E342,'App Data Outliers'!$A:$A,0))</f>
        <v>1.1499528005502413</v>
      </c>
    </row>
    <row r="343" spans="1:71" s="204" customFormat="1" hidden="1">
      <c r="A343" s="241">
        <v>339</v>
      </c>
      <c r="B343" s="241" t="str">
        <f t="shared" si="71"/>
        <v>Residential - BHPSD - Residential Lighting &amp; Appliances</v>
      </c>
      <c r="C343" s="241" t="b">
        <f t="shared" si="72"/>
        <v>1</v>
      </c>
      <c r="D343" s="241" t="str">
        <f t="shared" si="73"/>
        <v>Residential - BHPSD - Residential Lighting &amp; Appliances_Residential Lighting &amp; Appliances :- LED :- Customer Incentives_LED</v>
      </c>
      <c r="E343" s="241" t="str">
        <f t="shared" si="74"/>
        <v>Residential_Residential Lighting_Lighting_LED</v>
      </c>
      <c r="F343" s="241" t="str">
        <f>INDEX('VDSM MAPPING'!E:E,MATCH($D343,'VDSM MAPPING'!$A:$A,0))</f>
        <v>Residential</v>
      </c>
      <c r="G343" s="241" t="str">
        <f>INDEX('VDSM MAPPING'!F:F,MATCH($D343,'VDSM MAPPING'!$A:$A,0))</f>
        <v>Residential Lighting</v>
      </c>
      <c r="H343" s="241" t="str">
        <f>INDEX('VDSM MAPPING'!G:G,MATCH($D343,'VDSM MAPPING'!$A:$A,0))</f>
        <v>Lighting</v>
      </c>
      <c r="I343" s="241" t="str">
        <f>INDEX('VDSM MAPPING'!H:H,MATCH($D343,'VDSM MAPPING'!$A:$A,0))</f>
        <v>LED</v>
      </c>
      <c r="J343" s="240">
        <f t="shared" si="75"/>
        <v>7.6540760934603463E-2</v>
      </c>
      <c r="K343" s="240">
        <f t="shared" si="76"/>
        <v>0.50765345000200468</v>
      </c>
      <c r="L343" s="240" t="b">
        <f t="shared" si="77"/>
        <v>0</v>
      </c>
      <c r="M343" s="240" t="b">
        <f t="shared" si="78"/>
        <v>0</v>
      </c>
      <c r="N343" s="204" t="s">
        <v>289</v>
      </c>
      <c r="O343" s="204" t="s">
        <v>1634</v>
      </c>
      <c r="P343" s="350">
        <v>0</v>
      </c>
      <c r="Q343" s="204" t="s">
        <v>1634</v>
      </c>
      <c r="R343" s="204" t="s">
        <v>1633</v>
      </c>
      <c r="S343" s="204" t="s">
        <v>1632</v>
      </c>
      <c r="T343" s="204" t="s">
        <v>1631</v>
      </c>
      <c r="V343" s="204" t="s">
        <v>1630</v>
      </c>
      <c r="W343" s="204" t="s">
        <v>329</v>
      </c>
      <c r="X343" s="204" t="s">
        <v>297</v>
      </c>
      <c r="Y343" s="204" t="s">
        <v>397</v>
      </c>
      <c r="Z343" s="204" t="s">
        <v>601</v>
      </c>
      <c r="AA343" s="204" t="s">
        <v>600</v>
      </c>
      <c r="AB343" s="204" t="s">
        <v>329</v>
      </c>
      <c r="AC343" s="204" t="s">
        <v>297</v>
      </c>
      <c r="AD343" s="204" t="s">
        <v>599</v>
      </c>
      <c r="AE343" s="204" t="s">
        <v>598</v>
      </c>
      <c r="AG343" s="204" t="s">
        <v>791</v>
      </c>
      <c r="AH343" s="204" t="s">
        <v>151</v>
      </c>
      <c r="AX343" s="204">
        <v>1</v>
      </c>
      <c r="AY343" s="204">
        <v>0</v>
      </c>
      <c r="AZ343" s="204">
        <v>3.8E-3</v>
      </c>
      <c r="BB343" s="204">
        <v>32.267000000000003</v>
      </c>
      <c r="BH343" s="204">
        <v>0</v>
      </c>
      <c r="BI343" s="204">
        <v>4.5</v>
      </c>
      <c r="BJ343" s="204">
        <v>42641</v>
      </c>
      <c r="BK343" s="204">
        <v>42641.666079594899</v>
      </c>
      <c r="BL343" s="204" t="s">
        <v>293</v>
      </c>
      <c r="BM343" s="204" t="s">
        <v>1635</v>
      </c>
      <c r="BN343" s="242">
        <f t="shared" si="79"/>
        <v>32.267000000000003</v>
      </c>
      <c r="BO343" s="269">
        <f t="shared" si="80"/>
        <v>4.5</v>
      </c>
      <c r="BP343" s="269">
        <f>INDEX('App Data Outliers'!$M:$M,MATCH($E343,'App Data Outliers'!$A:$A,0))</f>
        <v>31.912660854402784</v>
      </c>
      <c r="BQ343" s="269">
        <f>INDEX('App Data Outliers'!$N:$N,MATCH($E343,'App Data Outliers'!$A:$A,0))</f>
        <v>4.6294175975068628</v>
      </c>
      <c r="BR343" s="269">
        <f>INDEX('App Data Outliers'!$S:$S,MATCH($E343,'App Data Outliers'!$A:$A,0))</f>
        <v>3.9162224934612029</v>
      </c>
      <c r="BS343" s="269">
        <f>INDEX('App Data Outliers'!$T:$T,MATCH($E343,'App Data Outliers'!$A:$A,0))</f>
        <v>1.1499528005502413</v>
      </c>
    </row>
    <row r="344" spans="1:71" s="204" customFormat="1" hidden="1">
      <c r="A344" s="241">
        <v>340</v>
      </c>
      <c r="B344" s="241" t="str">
        <f t="shared" si="71"/>
        <v>Residential - BHPSD - Residential Lighting &amp; Appliances</v>
      </c>
      <c r="C344" s="241" t="b">
        <f t="shared" si="72"/>
        <v>1</v>
      </c>
      <c r="D344" s="241" t="str">
        <f t="shared" si="73"/>
        <v>Residential - BHPSD - Residential Lighting &amp; Appliances_Residential Lighting &amp; Appliances :- LED :- Customer Incentives_LED</v>
      </c>
      <c r="E344" s="241" t="str">
        <f t="shared" si="74"/>
        <v>Residential_Residential Lighting_Lighting_LED</v>
      </c>
      <c r="F344" s="241" t="str">
        <f>INDEX('VDSM MAPPING'!E:E,MATCH($D344,'VDSM MAPPING'!$A:$A,0))</f>
        <v>Residential</v>
      </c>
      <c r="G344" s="241" t="str">
        <f>INDEX('VDSM MAPPING'!F:F,MATCH($D344,'VDSM MAPPING'!$A:$A,0))</f>
        <v>Residential Lighting</v>
      </c>
      <c r="H344" s="241" t="str">
        <f>INDEX('VDSM MAPPING'!G:G,MATCH($D344,'VDSM MAPPING'!$A:$A,0))</f>
        <v>Lighting</v>
      </c>
      <c r="I344" s="241" t="str">
        <f>INDEX('VDSM MAPPING'!H:H,MATCH($D344,'VDSM MAPPING'!$A:$A,0))</f>
        <v>LED</v>
      </c>
      <c r="J344" s="240">
        <f t="shared" si="75"/>
        <v>7.6540760934603463E-2</v>
      </c>
      <c r="K344" s="240">
        <f t="shared" si="76"/>
        <v>0.50765345000200468</v>
      </c>
      <c r="L344" s="240" t="b">
        <f t="shared" si="77"/>
        <v>0</v>
      </c>
      <c r="M344" s="240" t="b">
        <f t="shared" si="78"/>
        <v>0</v>
      </c>
      <c r="N344" s="204" t="s">
        <v>289</v>
      </c>
      <c r="O344" s="204" t="s">
        <v>1627</v>
      </c>
      <c r="P344" s="350">
        <v>1</v>
      </c>
      <c r="Q344" s="204" t="s">
        <v>1627</v>
      </c>
      <c r="R344" s="204" t="s">
        <v>1626</v>
      </c>
      <c r="S344" s="204" t="s">
        <v>1625</v>
      </c>
      <c r="T344" s="204" t="s">
        <v>1624</v>
      </c>
      <c r="V344" s="204" t="s">
        <v>1623</v>
      </c>
      <c r="W344" s="204" t="s">
        <v>531</v>
      </c>
      <c r="X344" s="204" t="s">
        <v>297</v>
      </c>
      <c r="Y344" s="204" t="s">
        <v>530</v>
      </c>
      <c r="Z344" s="204" t="s">
        <v>601</v>
      </c>
      <c r="AA344" s="204" t="s">
        <v>600</v>
      </c>
      <c r="AB344" s="204" t="s">
        <v>329</v>
      </c>
      <c r="AC344" s="204" t="s">
        <v>297</v>
      </c>
      <c r="AD344" s="204" t="s">
        <v>599</v>
      </c>
      <c r="AE344" s="204" t="s">
        <v>598</v>
      </c>
      <c r="AG344" s="204" t="s">
        <v>791</v>
      </c>
      <c r="AH344" s="204" t="s">
        <v>151</v>
      </c>
      <c r="AX344" s="204">
        <v>4</v>
      </c>
      <c r="AY344" s="204">
        <v>0</v>
      </c>
      <c r="AZ344" s="204">
        <v>1.52E-2</v>
      </c>
      <c r="BB344" s="204">
        <v>129.06800000000001</v>
      </c>
      <c r="BH344" s="204">
        <v>0</v>
      </c>
      <c r="BI344" s="204">
        <v>18</v>
      </c>
      <c r="BJ344" s="204">
        <v>42641</v>
      </c>
      <c r="BK344" s="204">
        <v>42641.667324305599</v>
      </c>
      <c r="BL344" s="204" t="s">
        <v>293</v>
      </c>
      <c r="BM344" s="204" t="s">
        <v>1622</v>
      </c>
      <c r="BN344" s="242">
        <f t="shared" si="79"/>
        <v>32.267000000000003</v>
      </c>
      <c r="BO344" s="269">
        <f t="shared" si="80"/>
        <v>4.5</v>
      </c>
      <c r="BP344" s="269">
        <f>INDEX('App Data Outliers'!$M:$M,MATCH($E344,'App Data Outliers'!$A:$A,0))</f>
        <v>31.912660854402784</v>
      </c>
      <c r="BQ344" s="269">
        <f>INDEX('App Data Outliers'!$N:$N,MATCH($E344,'App Data Outliers'!$A:$A,0))</f>
        <v>4.6294175975068628</v>
      </c>
      <c r="BR344" s="269">
        <f>INDEX('App Data Outliers'!$S:$S,MATCH($E344,'App Data Outliers'!$A:$A,0))</f>
        <v>3.9162224934612029</v>
      </c>
      <c r="BS344" s="269">
        <f>INDEX('App Data Outliers'!$T:$T,MATCH($E344,'App Data Outliers'!$A:$A,0))</f>
        <v>1.1499528005502413</v>
      </c>
    </row>
    <row r="345" spans="1:71" s="204" customFormat="1" hidden="1">
      <c r="A345" s="241">
        <v>341</v>
      </c>
      <c r="B345" s="241" t="str">
        <f t="shared" si="71"/>
        <v>Residential - BHPSD - Residential Lighting &amp; Appliances</v>
      </c>
      <c r="C345" s="241" t="b">
        <f t="shared" si="72"/>
        <v>1</v>
      </c>
      <c r="D345" s="241" t="str">
        <f t="shared" si="73"/>
        <v>Residential - BHPSD - Residential Lighting &amp; Appliances_Residential Lighting &amp; Appliances :- LED :- Customer Incentives_LED</v>
      </c>
      <c r="E345" s="241" t="str">
        <f t="shared" si="74"/>
        <v>Residential_Residential Lighting_Lighting_LED</v>
      </c>
      <c r="F345" s="241" t="str">
        <f>INDEX('VDSM MAPPING'!E:E,MATCH($D345,'VDSM MAPPING'!$A:$A,0))</f>
        <v>Residential</v>
      </c>
      <c r="G345" s="241" t="str">
        <f>INDEX('VDSM MAPPING'!F:F,MATCH($D345,'VDSM MAPPING'!$A:$A,0))</f>
        <v>Residential Lighting</v>
      </c>
      <c r="H345" s="241" t="str">
        <f>INDEX('VDSM MAPPING'!G:G,MATCH($D345,'VDSM MAPPING'!$A:$A,0))</f>
        <v>Lighting</v>
      </c>
      <c r="I345" s="241" t="str">
        <f>INDEX('VDSM MAPPING'!H:H,MATCH($D345,'VDSM MAPPING'!$A:$A,0))</f>
        <v>LED</v>
      </c>
      <c r="J345" s="240">
        <f t="shared" si="75"/>
        <v>0.40336372907962731</v>
      </c>
      <c r="K345" s="240">
        <f t="shared" si="76"/>
        <v>1.4642144492653311</v>
      </c>
      <c r="L345" s="240" t="b">
        <f t="shared" si="77"/>
        <v>0</v>
      </c>
      <c r="M345" s="240" t="b">
        <f t="shared" si="78"/>
        <v>0</v>
      </c>
      <c r="N345" s="204" t="s">
        <v>289</v>
      </c>
      <c r="O345" s="204" t="s">
        <v>1627</v>
      </c>
      <c r="P345" s="350">
        <v>0</v>
      </c>
      <c r="Q345" s="204" t="s">
        <v>1627</v>
      </c>
      <c r="R345" s="204" t="s">
        <v>1626</v>
      </c>
      <c r="S345" s="204" t="s">
        <v>1625</v>
      </c>
      <c r="T345" s="204" t="s">
        <v>1624</v>
      </c>
      <c r="V345" s="204" t="s">
        <v>1623</v>
      </c>
      <c r="W345" s="204" t="s">
        <v>531</v>
      </c>
      <c r="X345" s="204" t="s">
        <v>297</v>
      </c>
      <c r="Y345" s="204" t="s">
        <v>530</v>
      </c>
      <c r="Z345" s="204" t="s">
        <v>601</v>
      </c>
      <c r="AA345" s="204" t="s">
        <v>600</v>
      </c>
      <c r="AB345" s="204" t="s">
        <v>329</v>
      </c>
      <c r="AC345" s="204" t="s">
        <v>297</v>
      </c>
      <c r="AD345" s="204" t="s">
        <v>599</v>
      </c>
      <c r="AE345" s="204" t="s">
        <v>598</v>
      </c>
      <c r="AG345" s="204" t="s">
        <v>791</v>
      </c>
      <c r="AH345" s="204" t="s">
        <v>151</v>
      </c>
      <c r="AX345" s="204">
        <v>1</v>
      </c>
      <c r="AY345" s="204">
        <v>0</v>
      </c>
      <c r="AZ345" s="204">
        <v>4.0000000000000001E-3</v>
      </c>
      <c r="BB345" s="204">
        <v>33.78</v>
      </c>
      <c r="BH345" s="204">
        <v>0</v>
      </c>
      <c r="BI345" s="204">
        <v>5.6</v>
      </c>
      <c r="BJ345" s="204">
        <v>42641</v>
      </c>
      <c r="BK345" s="204">
        <v>42641.667324305599</v>
      </c>
      <c r="BL345" s="204" t="s">
        <v>293</v>
      </c>
      <c r="BM345" s="204" t="s">
        <v>1628</v>
      </c>
      <c r="BN345" s="242">
        <f t="shared" si="79"/>
        <v>33.78</v>
      </c>
      <c r="BO345" s="269">
        <f t="shared" si="80"/>
        <v>5.6</v>
      </c>
      <c r="BP345" s="269">
        <f>INDEX('App Data Outliers'!$M:$M,MATCH($E345,'App Data Outliers'!$A:$A,0))</f>
        <v>31.912660854402784</v>
      </c>
      <c r="BQ345" s="269">
        <f>INDEX('App Data Outliers'!$N:$N,MATCH($E345,'App Data Outliers'!$A:$A,0))</f>
        <v>4.6294175975068628</v>
      </c>
      <c r="BR345" s="269">
        <f>INDEX('App Data Outliers'!$S:$S,MATCH($E345,'App Data Outliers'!$A:$A,0))</f>
        <v>3.9162224934612029</v>
      </c>
      <c r="BS345" s="269">
        <f>INDEX('App Data Outliers'!$T:$T,MATCH($E345,'App Data Outliers'!$A:$A,0))</f>
        <v>1.1499528005502413</v>
      </c>
    </row>
    <row r="346" spans="1:71" s="204" customFormat="1" hidden="1">
      <c r="A346" s="241">
        <v>342</v>
      </c>
      <c r="B346" s="241" t="str">
        <f t="shared" si="71"/>
        <v>Residential - BHPSD - Residential Lighting &amp; Appliances</v>
      </c>
      <c r="C346" s="241" t="b">
        <f t="shared" si="72"/>
        <v>1</v>
      </c>
      <c r="D346" s="241" t="str">
        <f t="shared" si="73"/>
        <v>Residential - BHPSD - Residential Lighting &amp; Appliances_Residential Lighting &amp; Appliances :- LED :- Customer Incentives_LED</v>
      </c>
      <c r="E346" s="241" t="str">
        <f t="shared" si="74"/>
        <v>Residential_Residential Lighting_Lighting_LED</v>
      </c>
      <c r="F346" s="241" t="str">
        <f>INDEX('VDSM MAPPING'!E:E,MATCH($D346,'VDSM MAPPING'!$A:$A,0))</f>
        <v>Residential</v>
      </c>
      <c r="G346" s="241" t="str">
        <f>INDEX('VDSM MAPPING'!F:F,MATCH($D346,'VDSM MAPPING'!$A:$A,0))</f>
        <v>Residential Lighting</v>
      </c>
      <c r="H346" s="241" t="str">
        <f>INDEX('VDSM MAPPING'!G:G,MATCH($D346,'VDSM MAPPING'!$A:$A,0))</f>
        <v>Lighting</v>
      </c>
      <c r="I346" s="241" t="str">
        <f>INDEX('VDSM MAPPING'!H:H,MATCH($D346,'VDSM MAPPING'!$A:$A,0))</f>
        <v>LED</v>
      </c>
      <c r="J346" s="240">
        <f t="shared" si="75"/>
        <v>-1.8837490182564718</v>
      </c>
      <c r="K346" s="240">
        <f t="shared" si="76"/>
        <v>7.2852995791401517E-2</v>
      </c>
      <c r="L346" s="240" t="b">
        <f t="shared" si="77"/>
        <v>0</v>
      </c>
      <c r="M346" s="240" t="b">
        <f t="shared" si="78"/>
        <v>0</v>
      </c>
      <c r="N346" s="204" t="s">
        <v>289</v>
      </c>
      <c r="O346" s="204" t="s">
        <v>1621</v>
      </c>
      <c r="P346" s="350">
        <v>1</v>
      </c>
      <c r="Q346" s="204" t="s">
        <v>1621</v>
      </c>
      <c r="R346" s="204" t="s">
        <v>1364</v>
      </c>
      <c r="S346" s="204" t="s">
        <v>1363</v>
      </c>
      <c r="T346" s="204" t="s">
        <v>1362</v>
      </c>
      <c r="V346" s="204" t="s">
        <v>1361</v>
      </c>
      <c r="W346" s="204" t="s">
        <v>329</v>
      </c>
      <c r="X346" s="204" t="s">
        <v>297</v>
      </c>
      <c r="Y346" s="204" t="s">
        <v>328</v>
      </c>
      <c r="Z346" s="204" t="s">
        <v>601</v>
      </c>
      <c r="AA346" s="204" t="s">
        <v>600</v>
      </c>
      <c r="AB346" s="204" t="s">
        <v>329</v>
      </c>
      <c r="AC346" s="204" t="s">
        <v>297</v>
      </c>
      <c r="AD346" s="204" t="s">
        <v>599</v>
      </c>
      <c r="AE346" s="204" t="s">
        <v>598</v>
      </c>
      <c r="AG346" s="204" t="s">
        <v>791</v>
      </c>
      <c r="AH346" s="204" t="s">
        <v>151</v>
      </c>
      <c r="AX346" s="204">
        <v>3</v>
      </c>
      <c r="AY346" s="204">
        <v>0</v>
      </c>
      <c r="AZ346" s="204">
        <v>8.0999999999999996E-3</v>
      </c>
      <c r="BB346" s="204">
        <v>69.575999999999993</v>
      </c>
      <c r="BH346" s="204">
        <v>0</v>
      </c>
      <c r="BI346" s="204">
        <v>12</v>
      </c>
      <c r="BJ346" s="204">
        <v>42641</v>
      </c>
      <c r="BK346" s="204">
        <v>42641.672716203699</v>
      </c>
      <c r="BL346" s="204" t="s">
        <v>293</v>
      </c>
      <c r="BM346" s="204" t="s">
        <v>1620</v>
      </c>
      <c r="BN346" s="242">
        <f t="shared" si="79"/>
        <v>23.191999999999997</v>
      </c>
      <c r="BO346" s="269">
        <f t="shared" si="80"/>
        <v>4</v>
      </c>
      <c r="BP346" s="269">
        <f>INDEX('App Data Outliers'!$M:$M,MATCH($E346,'App Data Outliers'!$A:$A,0))</f>
        <v>31.912660854402784</v>
      </c>
      <c r="BQ346" s="269">
        <f>INDEX('App Data Outliers'!$N:$N,MATCH($E346,'App Data Outliers'!$A:$A,0))</f>
        <v>4.6294175975068628</v>
      </c>
      <c r="BR346" s="269">
        <f>INDEX('App Data Outliers'!$S:$S,MATCH($E346,'App Data Outliers'!$A:$A,0))</f>
        <v>3.9162224934612029</v>
      </c>
      <c r="BS346" s="269">
        <f>INDEX('App Data Outliers'!$T:$T,MATCH($E346,'App Data Outliers'!$A:$A,0))</f>
        <v>1.1499528005502413</v>
      </c>
    </row>
    <row r="347" spans="1:71" s="204" customFormat="1" hidden="1">
      <c r="A347" s="241">
        <v>343</v>
      </c>
      <c r="B347" s="241" t="str">
        <f t="shared" si="71"/>
        <v>Residential - BHPSD - Residential Lighting &amp; Appliances</v>
      </c>
      <c r="C347" s="241" t="b">
        <f t="shared" si="72"/>
        <v>1</v>
      </c>
      <c r="D347" s="241" t="str">
        <f t="shared" si="73"/>
        <v>Residential - BHPSD - Residential Lighting &amp; Appliances_Residential Lighting &amp; Appliances :- LED :- Customer Incentives_LED</v>
      </c>
      <c r="E347" s="241" t="str">
        <f t="shared" si="74"/>
        <v>Residential_Residential Lighting_Lighting_LED</v>
      </c>
      <c r="F347" s="241" t="str">
        <f>INDEX('VDSM MAPPING'!E:E,MATCH($D347,'VDSM MAPPING'!$A:$A,0))</f>
        <v>Residential</v>
      </c>
      <c r="G347" s="241" t="str">
        <f>INDEX('VDSM MAPPING'!F:F,MATCH($D347,'VDSM MAPPING'!$A:$A,0))</f>
        <v>Residential Lighting</v>
      </c>
      <c r="H347" s="241" t="str">
        <f>INDEX('VDSM MAPPING'!G:G,MATCH($D347,'VDSM MAPPING'!$A:$A,0))</f>
        <v>Lighting</v>
      </c>
      <c r="I347" s="241" t="str">
        <f>INDEX('VDSM MAPPING'!H:H,MATCH($D347,'VDSM MAPPING'!$A:$A,0))</f>
        <v>LED</v>
      </c>
      <c r="J347" s="240">
        <f t="shared" si="75"/>
        <v>0.40336372907962731</v>
      </c>
      <c r="K347" s="240">
        <f t="shared" si="76"/>
        <v>1.4642144492653311</v>
      </c>
      <c r="L347" s="240" t="b">
        <f t="shared" si="77"/>
        <v>0</v>
      </c>
      <c r="M347" s="240" t="b">
        <f t="shared" si="78"/>
        <v>0</v>
      </c>
      <c r="N347" s="204" t="s">
        <v>289</v>
      </c>
      <c r="O347" s="204" t="s">
        <v>1618</v>
      </c>
      <c r="P347" s="350">
        <v>1</v>
      </c>
      <c r="Q347" s="204" t="s">
        <v>1618</v>
      </c>
      <c r="R347" s="204" t="s">
        <v>1617</v>
      </c>
      <c r="S347" s="204" t="s">
        <v>1616</v>
      </c>
      <c r="T347" s="204" t="s">
        <v>1615</v>
      </c>
      <c r="V347" s="204" t="s">
        <v>1614</v>
      </c>
      <c r="W347" s="204" t="s">
        <v>345</v>
      </c>
      <c r="X347" s="204" t="s">
        <v>297</v>
      </c>
      <c r="Y347" s="204" t="s">
        <v>344</v>
      </c>
      <c r="Z347" s="204" t="s">
        <v>601</v>
      </c>
      <c r="AA347" s="204" t="s">
        <v>600</v>
      </c>
      <c r="AB347" s="204" t="s">
        <v>329</v>
      </c>
      <c r="AC347" s="204" t="s">
        <v>297</v>
      </c>
      <c r="AD347" s="204" t="s">
        <v>599</v>
      </c>
      <c r="AE347" s="204" t="s">
        <v>598</v>
      </c>
      <c r="AG347" s="204" t="s">
        <v>791</v>
      </c>
      <c r="AH347" s="204" t="s">
        <v>151</v>
      </c>
      <c r="AX347" s="204">
        <v>4</v>
      </c>
      <c r="AY347" s="204">
        <v>0</v>
      </c>
      <c r="AZ347" s="204">
        <v>1.6E-2</v>
      </c>
      <c r="BB347" s="204">
        <v>135.12</v>
      </c>
      <c r="BH347" s="204">
        <v>0</v>
      </c>
      <c r="BI347" s="204">
        <v>22.4</v>
      </c>
      <c r="BJ347" s="204">
        <v>42650</v>
      </c>
      <c r="BK347" s="204">
        <v>42650.501885451398</v>
      </c>
      <c r="BL347" s="204" t="s">
        <v>293</v>
      </c>
      <c r="BM347" s="204" t="s">
        <v>1619</v>
      </c>
      <c r="BN347" s="242">
        <f t="shared" si="79"/>
        <v>33.78</v>
      </c>
      <c r="BO347" s="269">
        <f t="shared" si="80"/>
        <v>5.6</v>
      </c>
      <c r="BP347" s="269">
        <f>INDEX('App Data Outliers'!$M:$M,MATCH($E347,'App Data Outliers'!$A:$A,0))</f>
        <v>31.912660854402784</v>
      </c>
      <c r="BQ347" s="269">
        <f>INDEX('App Data Outliers'!$N:$N,MATCH($E347,'App Data Outliers'!$A:$A,0))</f>
        <v>4.6294175975068628</v>
      </c>
      <c r="BR347" s="269">
        <f>INDEX('App Data Outliers'!$S:$S,MATCH($E347,'App Data Outliers'!$A:$A,0))</f>
        <v>3.9162224934612029</v>
      </c>
      <c r="BS347" s="269">
        <f>INDEX('App Data Outliers'!$T:$T,MATCH($E347,'App Data Outliers'!$A:$A,0))</f>
        <v>1.1499528005502413</v>
      </c>
    </row>
    <row r="348" spans="1:71" s="204" customFormat="1" hidden="1">
      <c r="A348" s="241">
        <v>344</v>
      </c>
      <c r="B348" s="241" t="str">
        <f t="shared" si="71"/>
        <v>Residential - BHPSD - Residential Lighting &amp; Appliances</v>
      </c>
      <c r="C348" s="241" t="b">
        <f t="shared" si="72"/>
        <v>1</v>
      </c>
      <c r="D348" s="241" t="str">
        <f t="shared" si="73"/>
        <v>Residential - BHPSD - Residential Lighting &amp; Appliances_Residential Lighting &amp; Appliances :- LED :- Customer Incentives_LED</v>
      </c>
      <c r="E348" s="241" t="str">
        <f t="shared" si="74"/>
        <v>Residential_Residential Lighting_Lighting_LED</v>
      </c>
      <c r="F348" s="241" t="str">
        <f>INDEX('VDSM MAPPING'!E:E,MATCH($D348,'VDSM MAPPING'!$A:$A,0))</f>
        <v>Residential</v>
      </c>
      <c r="G348" s="241" t="str">
        <f>INDEX('VDSM MAPPING'!F:F,MATCH($D348,'VDSM MAPPING'!$A:$A,0))</f>
        <v>Residential Lighting</v>
      </c>
      <c r="H348" s="241" t="str">
        <f>INDEX('VDSM MAPPING'!G:G,MATCH($D348,'VDSM MAPPING'!$A:$A,0))</f>
        <v>Lighting</v>
      </c>
      <c r="I348" s="241" t="str">
        <f>INDEX('VDSM MAPPING'!H:H,MATCH($D348,'VDSM MAPPING'!$A:$A,0))</f>
        <v>LED</v>
      </c>
      <c r="J348" s="240">
        <f t="shared" si="75"/>
        <v>7.6540760934603463E-2</v>
      </c>
      <c r="K348" s="240">
        <f t="shared" si="76"/>
        <v>0.50765345000200468</v>
      </c>
      <c r="L348" s="240" t="b">
        <f t="shared" si="77"/>
        <v>0</v>
      </c>
      <c r="M348" s="240" t="b">
        <f t="shared" si="78"/>
        <v>0</v>
      </c>
      <c r="N348" s="204" t="s">
        <v>289</v>
      </c>
      <c r="O348" s="204" t="s">
        <v>1618</v>
      </c>
      <c r="P348" s="350">
        <v>0</v>
      </c>
      <c r="Q348" s="204" t="s">
        <v>1618</v>
      </c>
      <c r="R348" s="204" t="s">
        <v>1617</v>
      </c>
      <c r="S348" s="204" t="s">
        <v>1616</v>
      </c>
      <c r="T348" s="204" t="s">
        <v>1615</v>
      </c>
      <c r="V348" s="204" t="s">
        <v>1614</v>
      </c>
      <c r="W348" s="204" t="s">
        <v>345</v>
      </c>
      <c r="X348" s="204" t="s">
        <v>297</v>
      </c>
      <c r="Y348" s="204" t="s">
        <v>344</v>
      </c>
      <c r="Z348" s="204" t="s">
        <v>601</v>
      </c>
      <c r="AA348" s="204" t="s">
        <v>600</v>
      </c>
      <c r="AB348" s="204" t="s">
        <v>329</v>
      </c>
      <c r="AC348" s="204" t="s">
        <v>297</v>
      </c>
      <c r="AD348" s="204" t="s">
        <v>599</v>
      </c>
      <c r="AE348" s="204" t="s">
        <v>598</v>
      </c>
      <c r="AG348" s="204" t="s">
        <v>791</v>
      </c>
      <c r="AH348" s="204" t="s">
        <v>151</v>
      </c>
      <c r="AX348" s="204">
        <v>20</v>
      </c>
      <c r="AY348" s="204">
        <v>0</v>
      </c>
      <c r="AZ348" s="204">
        <v>7.5999999999999998E-2</v>
      </c>
      <c r="BB348" s="204">
        <v>645.34</v>
      </c>
      <c r="BH348" s="204">
        <v>0</v>
      </c>
      <c r="BI348" s="204">
        <v>90</v>
      </c>
      <c r="BJ348" s="204">
        <v>42650</v>
      </c>
      <c r="BK348" s="204">
        <v>42650.501885451398</v>
      </c>
      <c r="BL348" s="204" t="s">
        <v>293</v>
      </c>
      <c r="BM348" s="204" t="s">
        <v>1613</v>
      </c>
      <c r="BN348" s="242">
        <f t="shared" si="79"/>
        <v>32.267000000000003</v>
      </c>
      <c r="BO348" s="269">
        <f t="shared" si="80"/>
        <v>4.5</v>
      </c>
      <c r="BP348" s="269">
        <f>INDEX('App Data Outliers'!$M:$M,MATCH($E348,'App Data Outliers'!$A:$A,0))</f>
        <v>31.912660854402784</v>
      </c>
      <c r="BQ348" s="269">
        <f>INDEX('App Data Outliers'!$N:$N,MATCH($E348,'App Data Outliers'!$A:$A,0))</f>
        <v>4.6294175975068628</v>
      </c>
      <c r="BR348" s="269">
        <f>INDEX('App Data Outliers'!$S:$S,MATCH($E348,'App Data Outliers'!$A:$A,0))</f>
        <v>3.9162224934612029</v>
      </c>
      <c r="BS348" s="269">
        <f>INDEX('App Data Outliers'!$T:$T,MATCH($E348,'App Data Outliers'!$A:$A,0))</f>
        <v>1.1499528005502413</v>
      </c>
    </row>
    <row r="349" spans="1:71" s="204" customFormat="1" hidden="1">
      <c r="A349" s="241">
        <v>345</v>
      </c>
      <c r="B349" s="241" t="str">
        <f t="shared" si="71"/>
        <v>Residential - BHPSD - Residential Lighting &amp; Appliances</v>
      </c>
      <c r="C349" s="241" t="b">
        <f t="shared" si="72"/>
        <v>1</v>
      </c>
      <c r="D349" s="241" t="str">
        <f t="shared" si="73"/>
        <v>Residential - BHPSD - Residential Lighting &amp; Appliances_Residential Lighting &amp; Appliances :- ES Star Fixture :- Customer Incentives_ENERGY STAR LED Fixture</v>
      </c>
      <c r="E349" s="241" t="str">
        <f t="shared" si="74"/>
        <v>Residential_Residential Lighting_Lighting_ENERGY STAR Fixture</v>
      </c>
      <c r="F349" s="241" t="str">
        <f>INDEX('VDSM MAPPING'!E:E,MATCH($D349,'VDSM MAPPING'!$A:$A,0))</f>
        <v>Residential</v>
      </c>
      <c r="G349" s="241" t="str">
        <f>INDEX('VDSM MAPPING'!F:F,MATCH($D349,'VDSM MAPPING'!$A:$A,0))</f>
        <v>Residential Lighting</v>
      </c>
      <c r="H349" s="241" t="str">
        <f>INDEX('VDSM MAPPING'!G:G,MATCH($D349,'VDSM MAPPING'!$A:$A,0))</f>
        <v>Lighting</v>
      </c>
      <c r="I349" s="241" t="str">
        <f>INDEX('VDSM MAPPING'!H:H,MATCH($D349,'VDSM MAPPING'!$A:$A,0))</f>
        <v>ENERGY STAR Fixture</v>
      </c>
      <c r="J349" s="240">
        <f t="shared" si="75"/>
        <v>-5.0515134880505345E-2</v>
      </c>
      <c r="K349" s="240">
        <f t="shared" si="76"/>
        <v>0.4214787522569125</v>
      </c>
      <c r="L349" s="240" t="b">
        <f t="shared" si="77"/>
        <v>0</v>
      </c>
      <c r="M349" s="240" t="b">
        <f t="shared" si="78"/>
        <v>0</v>
      </c>
      <c r="N349" s="204" t="s">
        <v>289</v>
      </c>
      <c r="O349" s="204" t="s">
        <v>1612</v>
      </c>
      <c r="P349" s="350">
        <v>1</v>
      </c>
      <c r="Q349" s="204" t="s">
        <v>1612</v>
      </c>
      <c r="R349" s="204" t="s">
        <v>1611</v>
      </c>
      <c r="S349" s="204" t="s">
        <v>1610</v>
      </c>
      <c r="T349" s="204" t="s">
        <v>1609</v>
      </c>
      <c r="V349" s="204" t="s">
        <v>1608</v>
      </c>
      <c r="W349" s="204" t="s">
        <v>337</v>
      </c>
      <c r="X349" s="204" t="s">
        <v>297</v>
      </c>
      <c r="Y349" s="204" t="s">
        <v>336</v>
      </c>
      <c r="Z349" s="204" t="s">
        <v>601</v>
      </c>
      <c r="AA349" s="204" t="s">
        <v>600</v>
      </c>
      <c r="AB349" s="204" t="s">
        <v>329</v>
      </c>
      <c r="AC349" s="204" t="s">
        <v>297</v>
      </c>
      <c r="AD349" s="204" t="s">
        <v>599</v>
      </c>
      <c r="AE349" s="204" t="s">
        <v>598</v>
      </c>
      <c r="AG349" s="204" t="s">
        <v>895</v>
      </c>
      <c r="AH349" s="204" t="s">
        <v>150</v>
      </c>
      <c r="AV349" s="204" t="s">
        <v>1607</v>
      </c>
      <c r="AX349" s="204">
        <v>94</v>
      </c>
      <c r="AY349" s="204">
        <v>0</v>
      </c>
      <c r="AZ349" s="204">
        <v>0.36659999999999998</v>
      </c>
      <c r="BB349" s="204">
        <v>3127.944</v>
      </c>
      <c r="BH349" s="204">
        <v>0</v>
      </c>
      <c r="BI349" s="204">
        <v>940</v>
      </c>
      <c r="BJ349" s="204">
        <v>42660</v>
      </c>
      <c r="BK349" s="204">
        <v>42660.5513741088</v>
      </c>
      <c r="BL349" s="204" t="s">
        <v>293</v>
      </c>
      <c r="BM349" s="204" t="s">
        <v>1606</v>
      </c>
      <c r="BN349" s="242">
        <f t="shared" si="79"/>
        <v>33.275999999999996</v>
      </c>
      <c r="BO349" s="269">
        <f t="shared" si="80"/>
        <v>10</v>
      </c>
      <c r="BP349" s="269">
        <f>INDEX('App Data Outliers'!$M:$M,MATCH($E349,'App Data Outliers'!$A:$A,0))</f>
        <v>35.519370843989762</v>
      </c>
      <c r="BQ349" s="269">
        <f>INDEX('App Data Outliers'!$N:$N,MATCH($E349,'App Data Outliers'!$A:$A,0))</f>
        <v>44.409875363027503</v>
      </c>
      <c r="BR349" s="269">
        <f>INDEX('App Data Outliers'!$S:$S,MATCH($E349,'App Data Outliers'!$A:$A,0))</f>
        <v>9.3048337595907924</v>
      </c>
      <c r="BS349" s="269">
        <f>INDEX('App Data Outliers'!$T:$T,MATCH($E349,'App Data Outliers'!$A:$A,0))</f>
        <v>1.6493506177636894</v>
      </c>
    </row>
    <row r="350" spans="1:71" s="204" customFormat="1" hidden="1">
      <c r="A350" s="241">
        <v>346</v>
      </c>
      <c r="B350" s="241" t="str">
        <f t="shared" si="71"/>
        <v>Residential - BHPSD - Residential Lighting &amp; Appliances</v>
      </c>
      <c r="C350" s="241" t="b">
        <f t="shared" si="72"/>
        <v>1</v>
      </c>
      <c r="D350" s="241" t="str">
        <f t="shared" si="73"/>
        <v>Residential - BHPSD - Residential Lighting &amp; Appliances_Residential Lighting &amp; Appliances :- LED :- Customer Incentives_LED</v>
      </c>
      <c r="E350" s="241" t="str">
        <f t="shared" si="74"/>
        <v>Residential_Residential Lighting_Lighting_LED</v>
      </c>
      <c r="F350" s="241" t="str">
        <f>INDEX('VDSM MAPPING'!E:E,MATCH($D350,'VDSM MAPPING'!$A:$A,0))</f>
        <v>Residential</v>
      </c>
      <c r="G350" s="241" t="str">
        <f>INDEX('VDSM MAPPING'!F:F,MATCH($D350,'VDSM MAPPING'!$A:$A,0))</f>
        <v>Residential Lighting</v>
      </c>
      <c r="H350" s="241" t="str">
        <f>INDEX('VDSM MAPPING'!G:G,MATCH($D350,'VDSM MAPPING'!$A:$A,0))</f>
        <v>Lighting</v>
      </c>
      <c r="I350" s="241" t="str">
        <f>INDEX('VDSM MAPPING'!H:H,MATCH($D350,'VDSM MAPPING'!$A:$A,0))</f>
        <v>LED</v>
      </c>
      <c r="J350" s="240">
        <f t="shared" si="75"/>
        <v>7.6540760934603463E-2</v>
      </c>
      <c r="K350" s="240">
        <f t="shared" si="76"/>
        <v>0.50765345000200468</v>
      </c>
      <c r="L350" s="240" t="b">
        <f t="shared" si="77"/>
        <v>0</v>
      </c>
      <c r="M350" s="240" t="b">
        <f t="shared" si="78"/>
        <v>0</v>
      </c>
      <c r="N350" s="204" t="s">
        <v>289</v>
      </c>
      <c r="O350" s="204" t="s">
        <v>1604</v>
      </c>
      <c r="P350" s="350">
        <v>1</v>
      </c>
      <c r="Q350" s="204" t="s">
        <v>1604</v>
      </c>
      <c r="R350" s="204" t="s">
        <v>1603</v>
      </c>
      <c r="S350" s="204" t="s">
        <v>1602</v>
      </c>
      <c r="T350" s="204" t="s">
        <v>1601</v>
      </c>
      <c r="V350" s="204" t="s">
        <v>1600</v>
      </c>
      <c r="W350" s="204" t="s">
        <v>480</v>
      </c>
      <c r="X350" s="204" t="s">
        <v>297</v>
      </c>
      <c r="Y350" s="204" t="s">
        <v>479</v>
      </c>
      <c r="Z350" s="204" t="s">
        <v>601</v>
      </c>
      <c r="AA350" s="204" t="s">
        <v>600</v>
      </c>
      <c r="AB350" s="204" t="s">
        <v>329</v>
      </c>
      <c r="AC350" s="204" t="s">
        <v>297</v>
      </c>
      <c r="AD350" s="204" t="s">
        <v>599</v>
      </c>
      <c r="AE350" s="204" t="s">
        <v>598</v>
      </c>
      <c r="AG350" s="204" t="s">
        <v>791</v>
      </c>
      <c r="AH350" s="204" t="s">
        <v>151</v>
      </c>
      <c r="AX350" s="204">
        <v>2</v>
      </c>
      <c r="AY350" s="204">
        <v>0</v>
      </c>
      <c r="AZ350" s="204">
        <v>7.6E-3</v>
      </c>
      <c r="BB350" s="204">
        <v>64.534000000000006</v>
      </c>
      <c r="BH350" s="204">
        <v>0</v>
      </c>
      <c r="BI350" s="204">
        <v>9</v>
      </c>
      <c r="BJ350" s="204">
        <v>42660</v>
      </c>
      <c r="BK350" s="204">
        <v>42660.5947008449</v>
      </c>
      <c r="BL350" s="204" t="s">
        <v>293</v>
      </c>
      <c r="BM350" s="204" t="s">
        <v>1605</v>
      </c>
      <c r="BN350" s="242">
        <f t="shared" si="79"/>
        <v>32.267000000000003</v>
      </c>
      <c r="BO350" s="269">
        <f t="shared" si="80"/>
        <v>4.5</v>
      </c>
      <c r="BP350" s="269">
        <f>INDEX('App Data Outliers'!$M:$M,MATCH($E350,'App Data Outliers'!$A:$A,0))</f>
        <v>31.912660854402784</v>
      </c>
      <c r="BQ350" s="269">
        <f>INDEX('App Data Outliers'!$N:$N,MATCH($E350,'App Data Outliers'!$A:$A,0))</f>
        <v>4.6294175975068628</v>
      </c>
      <c r="BR350" s="269">
        <f>INDEX('App Data Outliers'!$S:$S,MATCH($E350,'App Data Outliers'!$A:$A,0))</f>
        <v>3.9162224934612029</v>
      </c>
      <c r="BS350" s="269">
        <f>INDEX('App Data Outliers'!$T:$T,MATCH($E350,'App Data Outliers'!$A:$A,0))</f>
        <v>1.1499528005502413</v>
      </c>
    </row>
    <row r="351" spans="1:71" s="204" customFormat="1" hidden="1">
      <c r="A351" s="241">
        <v>347</v>
      </c>
      <c r="B351" s="241" t="str">
        <f t="shared" si="71"/>
        <v>Residential - BHPSD - Residential Lighting &amp; Appliances</v>
      </c>
      <c r="C351" s="241" t="b">
        <f t="shared" si="72"/>
        <v>1</v>
      </c>
      <c r="D351" s="241" t="str">
        <f t="shared" si="73"/>
        <v>Residential - BHPSD - Residential Lighting &amp; Appliances_Residential Lighting &amp; Appliances :- LED :- Customer Incentives_LED</v>
      </c>
      <c r="E351" s="241" t="str">
        <f t="shared" si="74"/>
        <v>Residential_Residential Lighting_Lighting_LED</v>
      </c>
      <c r="F351" s="241" t="str">
        <f>INDEX('VDSM MAPPING'!E:E,MATCH($D351,'VDSM MAPPING'!$A:$A,0))</f>
        <v>Residential</v>
      </c>
      <c r="G351" s="241" t="str">
        <f>INDEX('VDSM MAPPING'!F:F,MATCH($D351,'VDSM MAPPING'!$A:$A,0))</f>
        <v>Residential Lighting</v>
      </c>
      <c r="H351" s="241" t="str">
        <f>INDEX('VDSM MAPPING'!G:G,MATCH($D351,'VDSM MAPPING'!$A:$A,0))</f>
        <v>Lighting</v>
      </c>
      <c r="I351" s="241" t="str">
        <f>INDEX('VDSM MAPPING'!H:H,MATCH($D351,'VDSM MAPPING'!$A:$A,0))</f>
        <v>LED</v>
      </c>
      <c r="J351" s="240">
        <f t="shared" si="75"/>
        <v>-1.8837490182564711</v>
      </c>
      <c r="K351" s="240">
        <f t="shared" si="76"/>
        <v>7.2852995791401517E-2</v>
      </c>
      <c r="L351" s="240" t="b">
        <f t="shared" si="77"/>
        <v>0</v>
      </c>
      <c r="M351" s="240" t="b">
        <f t="shared" si="78"/>
        <v>0</v>
      </c>
      <c r="N351" s="204" t="s">
        <v>289</v>
      </c>
      <c r="O351" s="204" t="s">
        <v>1604</v>
      </c>
      <c r="P351" s="350">
        <v>0</v>
      </c>
      <c r="Q351" s="204" t="s">
        <v>1604</v>
      </c>
      <c r="R351" s="204" t="s">
        <v>1603</v>
      </c>
      <c r="S351" s="204" t="s">
        <v>1602</v>
      </c>
      <c r="T351" s="204" t="s">
        <v>1601</v>
      </c>
      <c r="V351" s="204" t="s">
        <v>1600</v>
      </c>
      <c r="W351" s="204" t="s">
        <v>480</v>
      </c>
      <c r="X351" s="204" t="s">
        <v>297</v>
      </c>
      <c r="Y351" s="204" t="s">
        <v>479</v>
      </c>
      <c r="Z351" s="204" t="s">
        <v>601</v>
      </c>
      <c r="AA351" s="204" t="s">
        <v>600</v>
      </c>
      <c r="AB351" s="204" t="s">
        <v>329</v>
      </c>
      <c r="AC351" s="204" t="s">
        <v>297</v>
      </c>
      <c r="AD351" s="204" t="s">
        <v>599</v>
      </c>
      <c r="AE351" s="204" t="s">
        <v>598</v>
      </c>
      <c r="AG351" s="204" t="s">
        <v>791</v>
      </c>
      <c r="AH351" s="204" t="s">
        <v>151</v>
      </c>
      <c r="AX351" s="204">
        <v>1</v>
      </c>
      <c r="AY351" s="204">
        <v>0</v>
      </c>
      <c r="AZ351" s="204">
        <v>2.7000000000000001E-3</v>
      </c>
      <c r="BB351" s="204">
        <v>23.192</v>
      </c>
      <c r="BH351" s="204">
        <v>0</v>
      </c>
      <c r="BI351" s="204">
        <v>4</v>
      </c>
      <c r="BJ351" s="204">
        <v>42660</v>
      </c>
      <c r="BK351" s="204">
        <v>42660.5947008449</v>
      </c>
      <c r="BL351" s="204" t="s">
        <v>293</v>
      </c>
      <c r="BM351" s="204" t="s">
        <v>1599</v>
      </c>
      <c r="BN351" s="242">
        <f t="shared" si="79"/>
        <v>23.192</v>
      </c>
      <c r="BO351" s="269">
        <f t="shared" si="80"/>
        <v>4</v>
      </c>
      <c r="BP351" s="269">
        <f>INDEX('App Data Outliers'!$M:$M,MATCH($E351,'App Data Outliers'!$A:$A,0))</f>
        <v>31.912660854402784</v>
      </c>
      <c r="BQ351" s="269">
        <f>INDEX('App Data Outliers'!$N:$N,MATCH($E351,'App Data Outliers'!$A:$A,0))</f>
        <v>4.6294175975068628</v>
      </c>
      <c r="BR351" s="269">
        <f>INDEX('App Data Outliers'!$S:$S,MATCH($E351,'App Data Outliers'!$A:$A,0))</f>
        <v>3.9162224934612029</v>
      </c>
      <c r="BS351" s="269">
        <f>INDEX('App Data Outliers'!$T:$T,MATCH($E351,'App Data Outliers'!$A:$A,0))</f>
        <v>1.1499528005502413</v>
      </c>
    </row>
    <row r="352" spans="1:71" s="204" customFormat="1" hidden="1">
      <c r="A352" s="241">
        <v>348</v>
      </c>
      <c r="B352" s="241" t="str">
        <f t="shared" si="71"/>
        <v>Residential - BHPSD - Residential Lighting &amp; Appliances</v>
      </c>
      <c r="C352" s="241" t="b">
        <f t="shared" si="72"/>
        <v>1</v>
      </c>
      <c r="D352" s="241" t="str">
        <f t="shared" si="73"/>
        <v>Residential - BHPSD - Residential Lighting &amp; Appliances_Residential Lighting &amp; Appliances :- LED :- Customer Incentives_LED</v>
      </c>
      <c r="E352" s="241" t="str">
        <f t="shared" si="74"/>
        <v>Residential_Residential Lighting_Lighting_LED</v>
      </c>
      <c r="F352" s="241" t="str">
        <f>INDEX('VDSM MAPPING'!E:E,MATCH($D352,'VDSM MAPPING'!$A:$A,0))</f>
        <v>Residential</v>
      </c>
      <c r="G352" s="241" t="str">
        <f>INDEX('VDSM MAPPING'!F:F,MATCH($D352,'VDSM MAPPING'!$A:$A,0))</f>
        <v>Residential Lighting</v>
      </c>
      <c r="H352" s="241" t="str">
        <f>INDEX('VDSM MAPPING'!G:G,MATCH($D352,'VDSM MAPPING'!$A:$A,0))</f>
        <v>Lighting</v>
      </c>
      <c r="I352" s="241" t="str">
        <f>INDEX('VDSM MAPPING'!H:H,MATCH($D352,'VDSM MAPPING'!$A:$A,0))</f>
        <v>LED</v>
      </c>
      <c r="J352" s="240">
        <f t="shared" si="75"/>
        <v>7.6540760934603463E-2</v>
      </c>
      <c r="K352" s="240">
        <f t="shared" si="76"/>
        <v>0.50765345000200468</v>
      </c>
      <c r="L352" s="240" t="b">
        <f t="shared" si="77"/>
        <v>0</v>
      </c>
      <c r="M352" s="240" t="b">
        <f t="shared" si="78"/>
        <v>0</v>
      </c>
      <c r="N352" s="204" t="s">
        <v>289</v>
      </c>
      <c r="O352" s="204" t="s">
        <v>1598</v>
      </c>
      <c r="P352" s="350">
        <v>1</v>
      </c>
      <c r="Q352" s="204" t="s">
        <v>1598</v>
      </c>
      <c r="R352" s="204" t="s">
        <v>1597</v>
      </c>
      <c r="S352" s="204" t="s">
        <v>1596</v>
      </c>
      <c r="T352" s="204" t="s">
        <v>1595</v>
      </c>
      <c r="V352" s="204" t="s">
        <v>1594</v>
      </c>
      <c r="W352" s="204" t="s">
        <v>337</v>
      </c>
      <c r="X352" s="204" t="s">
        <v>297</v>
      </c>
      <c r="Y352" s="204" t="s">
        <v>336</v>
      </c>
      <c r="Z352" s="204" t="s">
        <v>601</v>
      </c>
      <c r="AA352" s="204" t="s">
        <v>600</v>
      </c>
      <c r="AB352" s="204" t="s">
        <v>329</v>
      </c>
      <c r="AC352" s="204" t="s">
        <v>297</v>
      </c>
      <c r="AD352" s="204" t="s">
        <v>599</v>
      </c>
      <c r="AE352" s="204" t="s">
        <v>598</v>
      </c>
      <c r="AG352" s="204" t="s">
        <v>791</v>
      </c>
      <c r="AH352" s="204" t="s">
        <v>151</v>
      </c>
      <c r="AX352" s="204">
        <v>2</v>
      </c>
      <c r="AY352" s="204">
        <v>0</v>
      </c>
      <c r="AZ352" s="204">
        <v>7.6E-3</v>
      </c>
      <c r="BB352" s="204">
        <v>64.534000000000006</v>
      </c>
      <c r="BH352" s="204">
        <v>0</v>
      </c>
      <c r="BI352" s="204">
        <v>9</v>
      </c>
      <c r="BJ352" s="204">
        <v>42660</v>
      </c>
      <c r="BK352" s="204">
        <v>42660.596036307899</v>
      </c>
      <c r="BL352" s="204" t="s">
        <v>293</v>
      </c>
      <c r="BM352" s="204" t="s">
        <v>1593</v>
      </c>
      <c r="BN352" s="242">
        <f t="shared" si="79"/>
        <v>32.267000000000003</v>
      </c>
      <c r="BO352" s="269">
        <f t="shared" si="80"/>
        <v>4.5</v>
      </c>
      <c r="BP352" s="269">
        <f>INDEX('App Data Outliers'!$M:$M,MATCH($E352,'App Data Outliers'!$A:$A,0))</f>
        <v>31.912660854402784</v>
      </c>
      <c r="BQ352" s="269">
        <f>INDEX('App Data Outliers'!$N:$N,MATCH($E352,'App Data Outliers'!$A:$A,0))</f>
        <v>4.6294175975068628</v>
      </c>
      <c r="BR352" s="269">
        <f>INDEX('App Data Outliers'!$S:$S,MATCH($E352,'App Data Outliers'!$A:$A,0))</f>
        <v>3.9162224934612029</v>
      </c>
      <c r="BS352" s="269">
        <f>INDEX('App Data Outliers'!$T:$T,MATCH($E352,'App Data Outliers'!$A:$A,0))</f>
        <v>1.1499528005502413</v>
      </c>
    </row>
    <row r="353" spans="1:71" s="204" customFormat="1" hidden="1">
      <c r="A353" s="241">
        <v>349</v>
      </c>
      <c r="B353" s="241" t="str">
        <f t="shared" si="71"/>
        <v>Residential - BHPSD - Residential Lighting &amp; Appliances</v>
      </c>
      <c r="C353" s="241" t="b">
        <f t="shared" si="72"/>
        <v>1</v>
      </c>
      <c r="D353" s="241" t="str">
        <f t="shared" si="73"/>
        <v>Residential - BHPSD - Residential Lighting &amp; Appliances_Residential Lighting &amp; Appliances :- LED :- Customer Incentives_LED</v>
      </c>
      <c r="E353" s="241" t="str">
        <f t="shared" si="74"/>
        <v>Residential_Residential Lighting_Lighting_LED</v>
      </c>
      <c r="F353" s="241" t="str">
        <f>INDEX('VDSM MAPPING'!E:E,MATCH($D353,'VDSM MAPPING'!$A:$A,0))</f>
        <v>Residential</v>
      </c>
      <c r="G353" s="241" t="str">
        <f>INDEX('VDSM MAPPING'!F:F,MATCH($D353,'VDSM MAPPING'!$A:$A,0))</f>
        <v>Residential Lighting</v>
      </c>
      <c r="H353" s="241" t="str">
        <f>INDEX('VDSM MAPPING'!G:G,MATCH($D353,'VDSM MAPPING'!$A:$A,0))</f>
        <v>Lighting</v>
      </c>
      <c r="I353" s="241" t="str">
        <f>INDEX('VDSM MAPPING'!H:H,MATCH($D353,'VDSM MAPPING'!$A:$A,0))</f>
        <v>LED</v>
      </c>
      <c r="J353" s="240">
        <f t="shared" si="75"/>
        <v>-1.8837490182564718</v>
      </c>
      <c r="K353" s="240">
        <f t="shared" si="76"/>
        <v>7.2852995791401517E-2</v>
      </c>
      <c r="L353" s="240" t="b">
        <f t="shared" si="77"/>
        <v>0</v>
      </c>
      <c r="M353" s="240" t="b">
        <f t="shared" si="78"/>
        <v>0</v>
      </c>
      <c r="N353" s="204" t="s">
        <v>289</v>
      </c>
      <c r="O353" s="204" t="s">
        <v>1590</v>
      </c>
      <c r="P353" s="350">
        <v>1</v>
      </c>
      <c r="Q353" s="204" t="s">
        <v>1590</v>
      </c>
      <c r="R353" s="204" t="s">
        <v>1589</v>
      </c>
      <c r="S353" s="204" t="s">
        <v>1588</v>
      </c>
      <c r="T353" s="204" t="s">
        <v>1556</v>
      </c>
      <c r="V353" s="204" t="s">
        <v>1587</v>
      </c>
      <c r="W353" s="204" t="s">
        <v>329</v>
      </c>
      <c r="X353" s="204" t="s">
        <v>297</v>
      </c>
      <c r="Y353" s="204" t="s">
        <v>328</v>
      </c>
      <c r="Z353" s="204" t="s">
        <v>601</v>
      </c>
      <c r="AA353" s="204" t="s">
        <v>600</v>
      </c>
      <c r="AB353" s="204" t="s">
        <v>329</v>
      </c>
      <c r="AC353" s="204" t="s">
        <v>297</v>
      </c>
      <c r="AD353" s="204" t="s">
        <v>599</v>
      </c>
      <c r="AE353" s="204" t="s">
        <v>598</v>
      </c>
      <c r="AG353" s="204" t="s">
        <v>791</v>
      </c>
      <c r="AH353" s="204" t="s">
        <v>151</v>
      </c>
      <c r="AX353" s="204">
        <v>6</v>
      </c>
      <c r="AY353" s="204">
        <v>0</v>
      </c>
      <c r="AZ353" s="204">
        <v>1.6199999999999999E-2</v>
      </c>
      <c r="BB353" s="204">
        <v>139.15199999999999</v>
      </c>
      <c r="BH353" s="204">
        <v>0</v>
      </c>
      <c r="BI353" s="204">
        <v>24</v>
      </c>
      <c r="BJ353" s="204">
        <v>42660</v>
      </c>
      <c r="BK353" s="204">
        <v>42660.596960798597</v>
      </c>
      <c r="BL353" s="204" t="s">
        <v>293</v>
      </c>
      <c r="BM353" s="204" t="s">
        <v>1591</v>
      </c>
      <c r="BN353" s="242">
        <f t="shared" si="79"/>
        <v>23.191999999999997</v>
      </c>
      <c r="BO353" s="269">
        <f t="shared" si="80"/>
        <v>4</v>
      </c>
      <c r="BP353" s="269">
        <f>INDEX('App Data Outliers'!$M:$M,MATCH($E353,'App Data Outliers'!$A:$A,0))</f>
        <v>31.912660854402784</v>
      </c>
      <c r="BQ353" s="269">
        <f>INDEX('App Data Outliers'!$N:$N,MATCH($E353,'App Data Outliers'!$A:$A,0))</f>
        <v>4.6294175975068628</v>
      </c>
      <c r="BR353" s="269">
        <f>INDEX('App Data Outliers'!$S:$S,MATCH($E353,'App Data Outliers'!$A:$A,0))</f>
        <v>3.9162224934612029</v>
      </c>
      <c r="BS353" s="269">
        <f>INDEX('App Data Outliers'!$T:$T,MATCH($E353,'App Data Outliers'!$A:$A,0))</f>
        <v>1.1499528005502413</v>
      </c>
    </row>
    <row r="354" spans="1:71" s="204" customFormat="1" hidden="1">
      <c r="A354" s="241">
        <v>350</v>
      </c>
      <c r="B354" s="241" t="str">
        <f t="shared" si="71"/>
        <v>Residential - BHPSD - Residential Lighting &amp; Appliances</v>
      </c>
      <c r="C354" s="241" t="b">
        <f t="shared" si="72"/>
        <v>1</v>
      </c>
      <c r="D354" s="241" t="str">
        <f t="shared" si="73"/>
        <v>Residential - BHPSD - Residential Lighting &amp; Appliances_Residential Lighting &amp; Appliances :- LED :- Customer Incentives_LED</v>
      </c>
      <c r="E354" s="241" t="str">
        <f t="shared" si="74"/>
        <v>Residential_Residential Lighting_Lighting_LED</v>
      </c>
      <c r="F354" s="241" t="str">
        <f>INDEX('VDSM MAPPING'!E:E,MATCH($D354,'VDSM MAPPING'!$A:$A,0))</f>
        <v>Residential</v>
      </c>
      <c r="G354" s="241" t="str">
        <f>INDEX('VDSM MAPPING'!F:F,MATCH($D354,'VDSM MAPPING'!$A:$A,0))</f>
        <v>Residential Lighting</v>
      </c>
      <c r="H354" s="241" t="str">
        <f>INDEX('VDSM MAPPING'!G:G,MATCH($D354,'VDSM MAPPING'!$A:$A,0))</f>
        <v>Lighting</v>
      </c>
      <c r="I354" s="241" t="str">
        <f>INDEX('VDSM MAPPING'!H:H,MATCH($D354,'VDSM MAPPING'!$A:$A,0))</f>
        <v>LED</v>
      </c>
      <c r="J354" s="240">
        <f t="shared" si="75"/>
        <v>0.40336372907962731</v>
      </c>
      <c r="K354" s="240">
        <f t="shared" si="76"/>
        <v>1.4642144492653311</v>
      </c>
      <c r="L354" s="240" t="b">
        <f t="shared" si="77"/>
        <v>0</v>
      </c>
      <c r="M354" s="240" t="b">
        <f t="shared" si="78"/>
        <v>0</v>
      </c>
      <c r="N354" s="204" t="s">
        <v>289</v>
      </c>
      <c r="O354" s="204" t="s">
        <v>1590</v>
      </c>
      <c r="P354" s="350">
        <v>0</v>
      </c>
      <c r="Q354" s="204" t="s">
        <v>1590</v>
      </c>
      <c r="R354" s="204" t="s">
        <v>1589</v>
      </c>
      <c r="S354" s="204" t="s">
        <v>1588</v>
      </c>
      <c r="T354" s="204" t="s">
        <v>1556</v>
      </c>
      <c r="V354" s="204" t="s">
        <v>1587</v>
      </c>
      <c r="W354" s="204" t="s">
        <v>329</v>
      </c>
      <c r="X354" s="204" t="s">
        <v>297</v>
      </c>
      <c r="Y354" s="204" t="s">
        <v>328</v>
      </c>
      <c r="Z354" s="204" t="s">
        <v>601</v>
      </c>
      <c r="AA354" s="204" t="s">
        <v>600</v>
      </c>
      <c r="AB354" s="204" t="s">
        <v>329</v>
      </c>
      <c r="AC354" s="204" t="s">
        <v>297</v>
      </c>
      <c r="AD354" s="204" t="s">
        <v>599</v>
      </c>
      <c r="AE354" s="204" t="s">
        <v>598</v>
      </c>
      <c r="AG354" s="204" t="s">
        <v>791</v>
      </c>
      <c r="AH354" s="204" t="s">
        <v>151</v>
      </c>
      <c r="AX354" s="204">
        <v>25</v>
      </c>
      <c r="AY354" s="204">
        <v>0</v>
      </c>
      <c r="AZ354" s="204">
        <v>0.1</v>
      </c>
      <c r="BB354" s="204">
        <v>844.5</v>
      </c>
      <c r="BH354" s="204">
        <v>0</v>
      </c>
      <c r="BI354" s="204">
        <v>140</v>
      </c>
      <c r="BJ354" s="204">
        <v>42660</v>
      </c>
      <c r="BK354" s="204">
        <v>42660.596960798597</v>
      </c>
      <c r="BL354" s="204" t="s">
        <v>293</v>
      </c>
      <c r="BM354" s="204" t="s">
        <v>1586</v>
      </c>
      <c r="BN354" s="242">
        <f t="shared" si="79"/>
        <v>33.78</v>
      </c>
      <c r="BO354" s="269">
        <f t="shared" si="80"/>
        <v>5.6</v>
      </c>
      <c r="BP354" s="269">
        <f>INDEX('App Data Outliers'!$M:$M,MATCH($E354,'App Data Outliers'!$A:$A,0))</f>
        <v>31.912660854402784</v>
      </c>
      <c r="BQ354" s="269">
        <f>INDEX('App Data Outliers'!$N:$N,MATCH($E354,'App Data Outliers'!$A:$A,0))</f>
        <v>4.6294175975068628</v>
      </c>
      <c r="BR354" s="269">
        <f>INDEX('App Data Outliers'!$S:$S,MATCH($E354,'App Data Outliers'!$A:$A,0))</f>
        <v>3.9162224934612029</v>
      </c>
      <c r="BS354" s="269">
        <f>INDEX('App Data Outliers'!$T:$T,MATCH($E354,'App Data Outliers'!$A:$A,0))</f>
        <v>1.1499528005502413</v>
      </c>
    </row>
    <row r="355" spans="1:71" s="204" customFormat="1" hidden="1">
      <c r="A355" s="241">
        <v>351</v>
      </c>
      <c r="B355" s="241" t="str">
        <f t="shared" si="71"/>
        <v>Residential - BHPSD - Residential Lighting &amp; Appliances</v>
      </c>
      <c r="C355" s="241" t="b">
        <f t="shared" si="72"/>
        <v>1</v>
      </c>
      <c r="D355" s="241" t="str">
        <f t="shared" si="73"/>
        <v>Residential - BHPSD - Residential Lighting &amp; Appliances_Residential Lighting &amp; Appliances :- LED :- Customer Incentives_LED</v>
      </c>
      <c r="E355" s="241" t="str">
        <f t="shared" si="74"/>
        <v>Residential_Residential Lighting_Lighting_LED</v>
      </c>
      <c r="F355" s="241" t="str">
        <f>INDEX('VDSM MAPPING'!E:E,MATCH($D355,'VDSM MAPPING'!$A:$A,0))</f>
        <v>Residential</v>
      </c>
      <c r="G355" s="241" t="str">
        <f>INDEX('VDSM MAPPING'!F:F,MATCH($D355,'VDSM MAPPING'!$A:$A,0))</f>
        <v>Residential Lighting</v>
      </c>
      <c r="H355" s="241" t="str">
        <f>INDEX('VDSM MAPPING'!G:G,MATCH($D355,'VDSM MAPPING'!$A:$A,0))</f>
        <v>Lighting</v>
      </c>
      <c r="I355" s="241" t="str">
        <f>INDEX('VDSM MAPPING'!H:H,MATCH($D355,'VDSM MAPPING'!$A:$A,0))</f>
        <v>LED</v>
      </c>
      <c r="J355" s="240">
        <f t="shared" si="75"/>
        <v>7.6540760934603463E-2</v>
      </c>
      <c r="K355" s="240">
        <f t="shared" si="76"/>
        <v>0.50765345000200468</v>
      </c>
      <c r="L355" s="240" t="b">
        <f t="shared" si="77"/>
        <v>0</v>
      </c>
      <c r="M355" s="240" t="b">
        <f t="shared" si="78"/>
        <v>0</v>
      </c>
      <c r="N355" s="204" t="s">
        <v>289</v>
      </c>
      <c r="O355" s="204" t="s">
        <v>1590</v>
      </c>
      <c r="P355" s="350">
        <v>0</v>
      </c>
      <c r="Q355" s="204" t="s">
        <v>1590</v>
      </c>
      <c r="R355" s="204" t="s">
        <v>1589</v>
      </c>
      <c r="S355" s="204" t="s">
        <v>1588</v>
      </c>
      <c r="T355" s="204" t="s">
        <v>1556</v>
      </c>
      <c r="V355" s="204" t="s">
        <v>1587</v>
      </c>
      <c r="W355" s="204" t="s">
        <v>329</v>
      </c>
      <c r="X355" s="204" t="s">
        <v>297</v>
      </c>
      <c r="Y355" s="204" t="s">
        <v>328</v>
      </c>
      <c r="Z355" s="204" t="s">
        <v>601</v>
      </c>
      <c r="AA355" s="204" t="s">
        <v>600</v>
      </c>
      <c r="AB355" s="204" t="s">
        <v>329</v>
      </c>
      <c r="AC355" s="204" t="s">
        <v>297</v>
      </c>
      <c r="AD355" s="204" t="s">
        <v>599</v>
      </c>
      <c r="AE355" s="204" t="s">
        <v>598</v>
      </c>
      <c r="AG355" s="204" t="s">
        <v>791</v>
      </c>
      <c r="AH355" s="204" t="s">
        <v>151</v>
      </c>
      <c r="AX355" s="204">
        <v>12</v>
      </c>
      <c r="AY355" s="204">
        <v>0</v>
      </c>
      <c r="AZ355" s="204">
        <v>4.5600000000000002E-2</v>
      </c>
      <c r="BB355" s="204">
        <v>387.20400000000001</v>
      </c>
      <c r="BH355" s="204">
        <v>0</v>
      </c>
      <c r="BI355" s="204">
        <v>54</v>
      </c>
      <c r="BJ355" s="204">
        <v>42660</v>
      </c>
      <c r="BK355" s="204">
        <v>42660.596960798597</v>
      </c>
      <c r="BL355" s="204" t="s">
        <v>293</v>
      </c>
      <c r="BM355" s="204" t="s">
        <v>1592</v>
      </c>
      <c r="BN355" s="242">
        <f t="shared" si="79"/>
        <v>32.267000000000003</v>
      </c>
      <c r="BO355" s="269">
        <f t="shared" si="80"/>
        <v>4.5</v>
      </c>
      <c r="BP355" s="269">
        <f>INDEX('App Data Outliers'!$M:$M,MATCH($E355,'App Data Outliers'!$A:$A,0))</f>
        <v>31.912660854402784</v>
      </c>
      <c r="BQ355" s="269">
        <f>INDEX('App Data Outliers'!$N:$N,MATCH($E355,'App Data Outliers'!$A:$A,0))</f>
        <v>4.6294175975068628</v>
      </c>
      <c r="BR355" s="269">
        <f>INDEX('App Data Outliers'!$S:$S,MATCH($E355,'App Data Outliers'!$A:$A,0))</f>
        <v>3.9162224934612029</v>
      </c>
      <c r="BS355" s="269">
        <f>INDEX('App Data Outliers'!$T:$T,MATCH($E355,'App Data Outliers'!$A:$A,0))</f>
        <v>1.1499528005502413</v>
      </c>
    </row>
    <row r="356" spans="1:71" s="204" customFormat="1" hidden="1">
      <c r="A356" s="241">
        <v>352</v>
      </c>
      <c r="B356" s="241" t="str">
        <f t="shared" si="71"/>
        <v>Residential - BHPSD - Residential Lighting &amp; Appliances</v>
      </c>
      <c r="C356" s="241" t="b">
        <f t="shared" si="72"/>
        <v>1</v>
      </c>
      <c r="D356" s="241" t="str">
        <f t="shared" si="73"/>
        <v>Residential - BHPSD - Residential Lighting &amp; Appliances_Residential Lighting &amp; Appliances :- LED :- Customer Incentives_LED</v>
      </c>
      <c r="E356" s="241" t="str">
        <f t="shared" si="74"/>
        <v>Residential_Residential Lighting_Lighting_LED</v>
      </c>
      <c r="F356" s="241" t="str">
        <f>INDEX('VDSM MAPPING'!E:E,MATCH($D356,'VDSM MAPPING'!$A:$A,0))</f>
        <v>Residential</v>
      </c>
      <c r="G356" s="241" t="str">
        <f>INDEX('VDSM MAPPING'!F:F,MATCH($D356,'VDSM MAPPING'!$A:$A,0))</f>
        <v>Residential Lighting</v>
      </c>
      <c r="H356" s="241" t="str">
        <f>INDEX('VDSM MAPPING'!G:G,MATCH($D356,'VDSM MAPPING'!$A:$A,0))</f>
        <v>Lighting</v>
      </c>
      <c r="I356" s="241" t="str">
        <f>INDEX('VDSM MAPPING'!H:H,MATCH($D356,'VDSM MAPPING'!$A:$A,0))</f>
        <v>LED</v>
      </c>
      <c r="J356" s="240">
        <f t="shared" si="75"/>
        <v>0.40336372907962731</v>
      </c>
      <c r="K356" s="240">
        <f t="shared" si="76"/>
        <v>1.464214449265332</v>
      </c>
      <c r="L356" s="240" t="b">
        <f t="shared" si="77"/>
        <v>0</v>
      </c>
      <c r="M356" s="240" t="b">
        <f t="shared" si="78"/>
        <v>0</v>
      </c>
      <c r="N356" s="204" t="s">
        <v>289</v>
      </c>
      <c r="O356" s="204" t="s">
        <v>1585</v>
      </c>
      <c r="P356" s="350">
        <v>1</v>
      </c>
      <c r="Q356" s="204" t="s">
        <v>1585</v>
      </c>
      <c r="R356" s="204" t="s">
        <v>1584</v>
      </c>
      <c r="S356" s="204" t="s">
        <v>1583</v>
      </c>
      <c r="T356" s="204" t="s">
        <v>1582</v>
      </c>
      <c r="V356" s="204" t="s">
        <v>1581</v>
      </c>
      <c r="W356" s="204" t="s">
        <v>308</v>
      </c>
      <c r="X356" s="204" t="s">
        <v>297</v>
      </c>
      <c r="Y356" s="204" t="s">
        <v>307</v>
      </c>
      <c r="Z356" s="204" t="s">
        <v>601</v>
      </c>
      <c r="AA356" s="204" t="s">
        <v>600</v>
      </c>
      <c r="AB356" s="204" t="s">
        <v>329</v>
      </c>
      <c r="AC356" s="204" t="s">
        <v>297</v>
      </c>
      <c r="AD356" s="204" t="s">
        <v>599</v>
      </c>
      <c r="AE356" s="204" t="s">
        <v>598</v>
      </c>
      <c r="AG356" s="204" t="s">
        <v>791</v>
      </c>
      <c r="AH356" s="204" t="s">
        <v>151</v>
      </c>
      <c r="AX356" s="204">
        <v>6</v>
      </c>
      <c r="AY356" s="204">
        <v>0</v>
      </c>
      <c r="AZ356" s="204">
        <v>2.4E-2</v>
      </c>
      <c r="BB356" s="204">
        <v>202.68</v>
      </c>
      <c r="BH356" s="204">
        <v>0</v>
      </c>
      <c r="BI356" s="204">
        <v>33.6</v>
      </c>
      <c r="BJ356" s="204">
        <v>42660</v>
      </c>
      <c r="BK356" s="204">
        <v>42660.598553044001</v>
      </c>
      <c r="BL356" s="204" t="s">
        <v>293</v>
      </c>
      <c r="BM356" s="204" t="s">
        <v>1580</v>
      </c>
      <c r="BN356" s="242">
        <f t="shared" si="79"/>
        <v>33.78</v>
      </c>
      <c r="BO356" s="269">
        <f t="shared" si="80"/>
        <v>5.6000000000000005</v>
      </c>
      <c r="BP356" s="269">
        <f>INDEX('App Data Outliers'!$M:$M,MATCH($E356,'App Data Outliers'!$A:$A,0))</f>
        <v>31.912660854402784</v>
      </c>
      <c r="BQ356" s="269">
        <f>INDEX('App Data Outliers'!$N:$N,MATCH($E356,'App Data Outliers'!$A:$A,0))</f>
        <v>4.6294175975068628</v>
      </c>
      <c r="BR356" s="269">
        <f>INDEX('App Data Outliers'!$S:$S,MATCH($E356,'App Data Outliers'!$A:$A,0))</f>
        <v>3.9162224934612029</v>
      </c>
      <c r="BS356" s="269">
        <f>INDEX('App Data Outliers'!$T:$T,MATCH($E356,'App Data Outliers'!$A:$A,0))</f>
        <v>1.1499528005502413</v>
      </c>
    </row>
    <row r="357" spans="1:71" s="204" customFormat="1" hidden="1">
      <c r="A357" s="241">
        <v>353</v>
      </c>
      <c r="B357" s="241" t="str">
        <f t="shared" si="71"/>
        <v>Residential - BHPSD - Residential Lighting &amp; Appliances</v>
      </c>
      <c r="C357" s="241" t="b">
        <f t="shared" si="72"/>
        <v>1</v>
      </c>
      <c r="D357" s="241" t="str">
        <f t="shared" si="73"/>
        <v>Residential - BHPSD - Residential Lighting &amp; Appliances_Residential Lighting &amp; Appliances :- LED :- Customer Incentives_LED</v>
      </c>
      <c r="E357" s="241" t="str">
        <f t="shared" si="74"/>
        <v>Residential_Residential Lighting_Lighting_LED</v>
      </c>
      <c r="F357" s="241" t="str">
        <f>INDEX('VDSM MAPPING'!E:E,MATCH($D357,'VDSM MAPPING'!$A:$A,0))</f>
        <v>Residential</v>
      </c>
      <c r="G357" s="241" t="str">
        <f>INDEX('VDSM MAPPING'!F:F,MATCH($D357,'VDSM MAPPING'!$A:$A,0))</f>
        <v>Residential Lighting</v>
      </c>
      <c r="H357" s="241" t="str">
        <f>INDEX('VDSM MAPPING'!G:G,MATCH($D357,'VDSM MAPPING'!$A:$A,0))</f>
        <v>Lighting</v>
      </c>
      <c r="I357" s="241" t="str">
        <f>INDEX('VDSM MAPPING'!H:H,MATCH($D357,'VDSM MAPPING'!$A:$A,0))</f>
        <v>LED</v>
      </c>
      <c r="J357" s="240">
        <f t="shared" si="75"/>
        <v>0.40336372907962731</v>
      </c>
      <c r="K357" s="240">
        <f t="shared" si="76"/>
        <v>1.464214449265332</v>
      </c>
      <c r="L357" s="240" t="b">
        <f t="shared" si="77"/>
        <v>0</v>
      </c>
      <c r="M357" s="240" t="b">
        <f t="shared" si="78"/>
        <v>0</v>
      </c>
      <c r="N357" s="204" t="s">
        <v>289</v>
      </c>
      <c r="O357" s="204" t="s">
        <v>1578</v>
      </c>
      <c r="P357" s="350">
        <v>1</v>
      </c>
      <c r="Q357" s="204" t="s">
        <v>1578</v>
      </c>
      <c r="R357" s="204" t="s">
        <v>1577</v>
      </c>
      <c r="S357" s="204" t="s">
        <v>1576</v>
      </c>
      <c r="T357" s="204" t="s">
        <v>1575</v>
      </c>
      <c r="V357" s="204" t="s">
        <v>1574</v>
      </c>
      <c r="W357" s="204" t="s">
        <v>337</v>
      </c>
      <c r="X357" s="204" t="s">
        <v>297</v>
      </c>
      <c r="Y357" s="204" t="s">
        <v>336</v>
      </c>
      <c r="Z357" s="204" t="s">
        <v>601</v>
      </c>
      <c r="AA357" s="204" t="s">
        <v>600</v>
      </c>
      <c r="AB357" s="204" t="s">
        <v>329</v>
      </c>
      <c r="AC357" s="204" t="s">
        <v>297</v>
      </c>
      <c r="AD357" s="204" t="s">
        <v>599</v>
      </c>
      <c r="AE357" s="204" t="s">
        <v>598</v>
      </c>
      <c r="AG357" s="204" t="s">
        <v>791</v>
      </c>
      <c r="AH357" s="204" t="s">
        <v>151</v>
      </c>
      <c r="AX357" s="204">
        <v>6</v>
      </c>
      <c r="AY357" s="204">
        <v>0</v>
      </c>
      <c r="AZ357" s="204">
        <v>2.4E-2</v>
      </c>
      <c r="BB357" s="204">
        <v>202.68</v>
      </c>
      <c r="BH357" s="204">
        <v>0</v>
      </c>
      <c r="BI357" s="204">
        <v>33.6</v>
      </c>
      <c r="BJ357" s="204">
        <v>42660</v>
      </c>
      <c r="BK357" s="204">
        <v>42660.599751817099</v>
      </c>
      <c r="BL357" s="204" t="s">
        <v>293</v>
      </c>
      <c r="BM357" s="204" t="s">
        <v>1579</v>
      </c>
      <c r="BN357" s="242">
        <f t="shared" si="79"/>
        <v>33.78</v>
      </c>
      <c r="BO357" s="269">
        <f t="shared" si="80"/>
        <v>5.6000000000000005</v>
      </c>
      <c r="BP357" s="269">
        <f>INDEX('App Data Outliers'!$M:$M,MATCH($E357,'App Data Outliers'!$A:$A,0))</f>
        <v>31.912660854402784</v>
      </c>
      <c r="BQ357" s="269">
        <f>INDEX('App Data Outliers'!$N:$N,MATCH($E357,'App Data Outliers'!$A:$A,0))</f>
        <v>4.6294175975068628</v>
      </c>
      <c r="BR357" s="269">
        <f>INDEX('App Data Outliers'!$S:$S,MATCH($E357,'App Data Outliers'!$A:$A,0))</f>
        <v>3.9162224934612029</v>
      </c>
      <c r="BS357" s="269">
        <f>INDEX('App Data Outliers'!$T:$T,MATCH($E357,'App Data Outliers'!$A:$A,0))</f>
        <v>1.1499528005502413</v>
      </c>
    </row>
    <row r="358" spans="1:71" s="204" customFormat="1" hidden="1">
      <c r="A358" s="241">
        <v>354</v>
      </c>
      <c r="B358" s="241" t="str">
        <f t="shared" si="71"/>
        <v>Residential - BHPSD - Residential Lighting &amp; Appliances</v>
      </c>
      <c r="C358" s="241" t="b">
        <f t="shared" si="72"/>
        <v>1</v>
      </c>
      <c r="D358" s="241" t="str">
        <f t="shared" si="73"/>
        <v>Residential - BHPSD - Residential Lighting &amp; Appliances_Residential Lighting &amp; Appliances :- LED :- Customer Incentives_LED</v>
      </c>
      <c r="E358" s="241" t="str">
        <f t="shared" si="74"/>
        <v>Residential_Residential Lighting_Lighting_LED</v>
      </c>
      <c r="F358" s="241" t="str">
        <f>INDEX('VDSM MAPPING'!E:E,MATCH($D358,'VDSM MAPPING'!$A:$A,0))</f>
        <v>Residential</v>
      </c>
      <c r="G358" s="241" t="str">
        <f>INDEX('VDSM MAPPING'!F:F,MATCH($D358,'VDSM MAPPING'!$A:$A,0))</f>
        <v>Residential Lighting</v>
      </c>
      <c r="H358" s="241" t="str">
        <f>INDEX('VDSM MAPPING'!G:G,MATCH($D358,'VDSM MAPPING'!$A:$A,0))</f>
        <v>Lighting</v>
      </c>
      <c r="I358" s="241" t="str">
        <f>INDEX('VDSM MAPPING'!H:H,MATCH($D358,'VDSM MAPPING'!$A:$A,0))</f>
        <v>LED</v>
      </c>
      <c r="J358" s="240">
        <f t="shared" si="75"/>
        <v>7.6540760934603463E-2</v>
      </c>
      <c r="K358" s="240">
        <f t="shared" si="76"/>
        <v>0.50765345000200468</v>
      </c>
      <c r="L358" s="240" t="b">
        <f t="shared" si="77"/>
        <v>0</v>
      </c>
      <c r="M358" s="240" t="b">
        <f t="shared" si="78"/>
        <v>0</v>
      </c>
      <c r="N358" s="204" t="s">
        <v>289</v>
      </c>
      <c r="O358" s="204" t="s">
        <v>1578</v>
      </c>
      <c r="P358" s="350">
        <v>0</v>
      </c>
      <c r="Q358" s="204" t="s">
        <v>1578</v>
      </c>
      <c r="R358" s="204" t="s">
        <v>1577</v>
      </c>
      <c r="S358" s="204" t="s">
        <v>1576</v>
      </c>
      <c r="T358" s="204" t="s">
        <v>1575</v>
      </c>
      <c r="V358" s="204" t="s">
        <v>1574</v>
      </c>
      <c r="W358" s="204" t="s">
        <v>337</v>
      </c>
      <c r="X358" s="204" t="s">
        <v>297</v>
      </c>
      <c r="Y358" s="204" t="s">
        <v>336</v>
      </c>
      <c r="Z358" s="204" t="s">
        <v>601</v>
      </c>
      <c r="AA358" s="204" t="s">
        <v>600</v>
      </c>
      <c r="AB358" s="204" t="s">
        <v>329</v>
      </c>
      <c r="AC358" s="204" t="s">
        <v>297</v>
      </c>
      <c r="AD358" s="204" t="s">
        <v>599</v>
      </c>
      <c r="AE358" s="204" t="s">
        <v>598</v>
      </c>
      <c r="AG358" s="204" t="s">
        <v>791</v>
      </c>
      <c r="AH358" s="204" t="s">
        <v>151</v>
      </c>
      <c r="AX358" s="204">
        <v>6</v>
      </c>
      <c r="AY358" s="204">
        <v>0</v>
      </c>
      <c r="AZ358" s="204">
        <v>2.2800000000000001E-2</v>
      </c>
      <c r="BB358" s="204">
        <v>193.602</v>
      </c>
      <c r="BH358" s="204">
        <v>0</v>
      </c>
      <c r="BI358" s="204">
        <v>27</v>
      </c>
      <c r="BJ358" s="204">
        <v>42660</v>
      </c>
      <c r="BK358" s="204">
        <v>42660.599751817099</v>
      </c>
      <c r="BL358" s="204" t="s">
        <v>293</v>
      </c>
      <c r="BM358" s="204" t="s">
        <v>1573</v>
      </c>
      <c r="BN358" s="242">
        <f t="shared" si="79"/>
        <v>32.267000000000003</v>
      </c>
      <c r="BO358" s="269">
        <f t="shared" si="80"/>
        <v>4.5</v>
      </c>
      <c r="BP358" s="269">
        <f>INDEX('App Data Outliers'!$M:$M,MATCH($E358,'App Data Outliers'!$A:$A,0))</f>
        <v>31.912660854402784</v>
      </c>
      <c r="BQ358" s="269">
        <f>INDEX('App Data Outliers'!$N:$N,MATCH($E358,'App Data Outliers'!$A:$A,0))</f>
        <v>4.6294175975068628</v>
      </c>
      <c r="BR358" s="269">
        <f>INDEX('App Data Outliers'!$S:$S,MATCH($E358,'App Data Outliers'!$A:$A,0))</f>
        <v>3.9162224934612029</v>
      </c>
      <c r="BS358" s="269">
        <f>INDEX('App Data Outliers'!$T:$T,MATCH($E358,'App Data Outliers'!$A:$A,0))</f>
        <v>1.1499528005502413</v>
      </c>
    </row>
    <row r="359" spans="1:71" s="204" customFormat="1" hidden="1">
      <c r="A359" s="241">
        <v>355</v>
      </c>
      <c r="B359" s="241" t="str">
        <f t="shared" si="71"/>
        <v>Residential - BHPSD - Residential Lighting &amp; Appliances</v>
      </c>
      <c r="C359" s="241" t="b">
        <f t="shared" si="72"/>
        <v>1</v>
      </c>
      <c r="D359" s="241" t="str">
        <f t="shared" si="73"/>
        <v>Residential - BHPSD - Residential Lighting &amp; Appliances_Residential Lighting &amp; Appliances :- LED :- Customer Incentives_LED</v>
      </c>
      <c r="E359" s="241" t="str">
        <f t="shared" si="74"/>
        <v>Residential_Residential Lighting_Lighting_LED</v>
      </c>
      <c r="F359" s="241" t="str">
        <f>INDEX('VDSM MAPPING'!E:E,MATCH($D359,'VDSM MAPPING'!$A:$A,0))</f>
        <v>Residential</v>
      </c>
      <c r="G359" s="241" t="str">
        <f>INDEX('VDSM MAPPING'!F:F,MATCH($D359,'VDSM MAPPING'!$A:$A,0))</f>
        <v>Residential Lighting</v>
      </c>
      <c r="H359" s="241" t="str">
        <f>INDEX('VDSM MAPPING'!G:G,MATCH($D359,'VDSM MAPPING'!$A:$A,0))</f>
        <v>Lighting</v>
      </c>
      <c r="I359" s="241" t="str">
        <f>INDEX('VDSM MAPPING'!H:H,MATCH($D359,'VDSM MAPPING'!$A:$A,0))</f>
        <v>LED</v>
      </c>
      <c r="J359" s="240">
        <f t="shared" si="75"/>
        <v>7.6540760934603463E-2</v>
      </c>
      <c r="K359" s="240">
        <f t="shared" si="76"/>
        <v>0.50765345000200468</v>
      </c>
      <c r="L359" s="240" t="b">
        <f t="shared" si="77"/>
        <v>0</v>
      </c>
      <c r="M359" s="240" t="b">
        <f t="shared" si="78"/>
        <v>0</v>
      </c>
      <c r="N359" s="204" t="s">
        <v>289</v>
      </c>
      <c r="O359" s="204" t="s">
        <v>1572</v>
      </c>
      <c r="P359" s="350">
        <v>1</v>
      </c>
      <c r="Q359" s="204" t="s">
        <v>1572</v>
      </c>
      <c r="R359" s="204" t="s">
        <v>1571</v>
      </c>
      <c r="S359" s="204" t="s">
        <v>1570</v>
      </c>
      <c r="T359" s="204" t="s">
        <v>1569</v>
      </c>
      <c r="V359" s="204" t="s">
        <v>1568</v>
      </c>
      <c r="W359" s="204" t="s">
        <v>329</v>
      </c>
      <c r="X359" s="204" t="s">
        <v>297</v>
      </c>
      <c r="Y359" s="204" t="s">
        <v>328</v>
      </c>
      <c r="Z359" s="204" t="s">
        <v>601</v>
      </c>
      <c r="AA359" s="204" t="s">
        <v>600</v>
      </c>
      <c r="AB359" s="204" t="s">
        <v>329</v>
      </c>
      <c r="AC359" s="204" t="s">
        <v>297</v>
      </c>
      <c r="AD359" s="204" t="s">
        <v>599</v>
      </c>
      <c r="AE359" s="204" t="s">
        <v>598</v>
      </c>
      <c r="AG359" s="204" t="s">
        <v>791</v>
      </c>
      <c r="AH359" s="204" t="s">
        <v>151</v>
      </c>
      <c r="AX359" s="204">
        <v>2</v>
      </c>
      <c r="AY359" s="204">
        <v>0</v>
      </c>
      <c r="AZ359" s="204">
        <v>7.6E-3</v>
      </c>
      <c r="BB359" s="204">
        <v>64.534000000000006</v>
      </c>
      <c r="BH359" s="204">
        <v>0</v>
      </c>
      <c r="BI359" s="204">
        <v>9</v>
      </c>
      <c r="BJ359" s="204">
        <v>42664</v>
      </c>
      <c r="BK359" s="204">
        <v>42664.595228472201</v>
      </c>
      <c r="BL359" s="204" t="s">
        <v>293</v>
      </c>
      <c r="BM359" s="204" t="s">
        <v>1567</v>
      </c>
      <c r="BN359" s="242">
        <f t="shared" si="79"/>
        <v>32.267000000000003</v>
      </c>
      <c r="BO359" s="269">
        <f t="shared" si="80"/>
        <v>4.5</v>
      </c>
      <c r="BP359" s="269">
        <f>INDEX('App Data Outliers'!$M:$M,MATCH($E359,'App Data Outliers'!$A:$A,0))</f>
        <v>31.912660854402784</v>
      </c>
      <c r="BQ359" s="269">
        <f>INDEX('App Data Outliers'!$N:$N,MATCH($E359,'App Data Outliers'!$A:$A,0))</f>
        <v>4.6294175975068628</v>
      </c>
      <c r="BR359" s="269">
        <f>INDEX('App Data Outliers'!$S:$S,MATCH($E359,'App Data Outliers'!$A:$A,0))</f>
        <v>3.9162224934612029</v>
      </c>
      <c r="BS359" s="269">
        <f>INDEX('App Data Outliers'!$T:$T,MATCH($E359,'App Data Outliers'!$A:$A,0))</f>
        <v>1.1499528005502413</v>
      </c>
    </row>
    <row r="360" spans="1:71" s="204" customFormat="1" hidden="1">
      <c r="A360" s="241">
        <v>356</v>
      </c>
      <c r="B360" s="241" t="str">
        <f t="shared" si="71"/>
        <v>Residential - BHPSD - Residential Lighting &amp; Appliances</v>
      </c>
      <c r="C360" s="241" t="b">
        <f t="shared" si="72"/>
        <v>1</v>
      </c>
      <c r="D360" s="241" t="str">
        <f t="shared" si="73"/>
        <v>Residential - BHPSD - Residential Lighting &amp; Appliances_Residential Lighting &amp; Appliances :- LED :- Customer Incentives_LED</v>
      </c>
      <c r="E360" s="241" t="str">
        <f t="shared" si="74"/>
        <v>Residential_Residential Lighting_Lighting_LED</v>
      </c>
      <c r="F360" s="241" t="str">
        <f>INDEX('VDSM MAPPING'!E:E,MATCH($D360,'VDSM MAPPING'!$A:$A,0))</f>
        <v>Residential</v>
      </c>
      <c r="G360" s="241" t="str">
        <f>INDEX('VDSM MAPPING'!F:F,MATCH($D360,'VDSM MAPPING'!$A:$A,0))</f>
        <v>Residential Lighting</v>
      </c>
      <c r="H360" s="241" t="str">
        <f>INDEX('VDSM MAPPING'!G:G,MATCH($D360,'VDSM MAPPING'!$A:$A,0))</f>
        <v>Lighting</v>
      </c>
      <c r="I360" s="241" t="str">
        <f>INDEX('VDSM MAPPING'!H:H,MATCH($D360,'VDSM MAPPING'!$A:$A,0))</f>
        <v>LED</v>
      </c>
      <c r="J360" s="240">
        <f t="shared" si="75"/>
        <v>-1.8837490182564711</v>
      </c>
      <c r="K360" s="240">
        <f t="shared" si="76"/>
        <v>7.2852995791401517E-2</v>
      </c>
      <c r="L360" s="240" t="b">
        <f t="shared" si="77"/>
        <v>0</v>
      </c>
      <c r="M360" s="240" t="b">
        <f t="shared" si="78"/>
        <v>0</v>
      </c>
      <c r="N360" s="204" t="s">
        <v>289</v>
      </c>
      <c r="O360" s="204" t="s">
        <v>1566</v>
      </c>
      <c r="P360" s="350">
        <v>1</v>
      </c>
      <c r="Q360" s="204" t="s">
        <v>1566</v>
      </c>
      <c r="R360" s="204" t="s">
        <v>1565</v>
      </c>
      <c r="S360" s="204" t="s">
        <v>1564</v>
      </c>
      <c r="T360" s="204" t="s">
        <v>1563</v>
      </c>
      <c r="V360" s="204" t="s">
        <v>1562</v>
      </c>
      <c r="W360" s="204" t="s">
        <v>345</v>
      </c>
      <c r="X360" s="204" t="s">
        <v>297</v>
      </c>
      <c r="Y360" s="204" t="s">
        <v>344</v>
      </c>
      <c r="Z360" s="204" t="s">
        <v>601</v>
      </c>
      <c r="AA360" s="204" t="s">
        <v>600</v>
      </c>
      <c r="AB360" s="204" t="s">
        <v>329</v>
      </c>
      <c r="AC360" s="204" t="s">
        <v>297</v>
      </c>
      <c r="AD360" s="204" t="s">
        <v>599</v>
      </c>
      <c r="AE360" s="204" t="s">
        <v>598</v>
      </c>
      <c r="AG360" s="204" t="s">
        <v>791</v>
      </c>
      <c r="AH360" s="204" t="s">
        <v>151</v>
      </c>
      <c r="AX360" s="204">
        <v>4</v>
      </c>
      <c r="AY360" s="204">
        <v>0</v>
      </c>
      <c r="AZ360" s="204">
        <v>1.0800000000000001E-2</v>
      </c>
      <c r="BB360" s="204">
        <v>92.768000000000001</v>
      </c>
      <c r="BH360" s="204">
        <v>0</v>
      </c>
      <c r="BI360" s="204">
        <v>16</v>
      </c>
      <c r="BJ360" s="204">
        <v>42664</v>
      </c>
      <c r="BK360" s="204">
        <v>42664.596134108797</v>
      </c>
      <c r="BL360" s="204" t="s">
        <v>293</v>
      </c>
      <c r="BM360" s="204" t="s">
        <v>1561</v>
      </c>
      <c r="BN360" s="242">
        <f t="shared" si="79"/>
        <v>23.192</v>
      </c>
      <c r="BO360" s="269">
        <f t="shared" si="80"/>
        <v>4</v>
      </c>
      <c r="BP360" s="269">
        <f>INDEX('App Data Outliers'!$M:$M,MATCH($E360,'App Data Outliers'!$A:$A,0))</f>
        <v>31.912660854402784</v>
      </c>
      <c r="BQ360" s="269">
        <f>INDEX('App Data Outliers'!$N:$N,MATCH($E360,'App Data Outliers'!$A:$A,0))</f>
        <v>4.6294175975068628</v>
      </c>
      <c r="BR360" s="269">
        <f>INDEX('App Data Outliers'!$S:$S,MATCH($E360,'App Data Outliers'!$A:$A,0))</f>
        <v>3.9162224934612029</v>
      </c>
      <c r="BS360" s="269">
        <f>INDEX('App Data Outliers'!$T:$T,MATCH($E360,'App Data Outliers'!$A:$A,0))</f>
        <v>1.1499528005502413</v>
      </c>
    </row>
    <row r="361" spans="1:71" s="204" customFormat="1" hidden="1">
      <c r="A361" s="241">
        <v>357</v>
      </c>
      <c r="B361" s="241" t="str">
        <f t="shared" si="71"/>
        <v>Residential - BHPSD - Residential Lighting &amp; Appliances</v>
      </c>
      <c r="C361" s="241" t="b">
        <f t="shared" si="72"/>
        <v>1</v>
      </c>
      <c r="D361" s="241" t="str">
        <f t="shared" si="73"/>
        <v>Residential - BHPSD - Residential Lighting &amp; Appliances_Residential Lighting &amp; Appliances :- LED :- Customer Incentives_LED</v>
      </c>
      <c r="E361" s="241" t="str">
        <f t="shared" si="74"/>
        <v>Residential_Residential Lighting_Lighting_LED</v>
      </c>
      <c r="F361" s="241" t="str">
        <f>INDEX('VDSM MAPPING'!E:E,MATCH($D361,'VDSM MAPPING'!$A:$A,0))</f>
        <v>Residential</v>
      </c>
      <c r="G361" s="241" t="str">
        <f>INDEX('VDSM MAPPING'!F:F,MATCH($D361,'VDSM MAPPING'!$A:$A,0))</f>
        <v>Residential Lighting</v>
      </c>
      <c r="H361" s="241" t="str">
        <f>INDEX('VDSM MAPPING'!G:G,MATCH($D361,'VDSM MAPPING'!$A:$A,0))</f>
        <v>Lighting</v>
      </c>
      <c r="I361" s="241" t="str">
        <f>INDEX('VDSM MAPPING'!H:H,MATCH($D361,'VDSM MAPPING'!$A:$A,0))</f>
        <v>LED</v>
      </c>
      <c r="J361" s="240">
        <f t="shared" si="75"/>
        <v>7.6540760934603463E-2</v>
      </c>
      <c r="K361" s="240">
        <f t="shared" si="76"/>
        <v>0.50765345000200468</v>
      </c>
      <c r="L361" s="240" t="b">
        <f t="shared" si="77"/>
        <v>0</v>
      </c>
      <c r="M361" s="240" t="b">
        <f t="shared" si="78"/>
        <v>0</v>
      </c>
      <c r="N361" s="204" t="s">
        <v>289</v>
      </c>
      <c r="O361" s="204" t="s">
        <v>1559</v>
      </c>
      <c r="P361" s="350">
        <v>1</v>
      </c>
      <c r="Q361" s="204" t="s">
        <v>1559</v>
      </c>
      <c r="R361" s="204" t="s">
        <v>1558</v>
      </c>
      <c r="S361" s="204" t="s">
        <v>1557</v>
      </c>
      <c r="T361" s="204" t="s">
        <v>1556</v>
      </c>
      <c r="V361" s="204" t="s">
        <v>1555</v>
      </c>
      <c r="W361" s="204" t="s">
        <v>329</v>
      </c>
      <c r="X361" s="204" t="s">
        <v>297</v>
      </c>
      <c r="Y361" s="204" t="s">
        <v>328</v>
      </c>
      <c r="Z361" s="204" t="s">
        <v>601</v>
      </c>
      <c r="AA361" s="204" t="s">
        <v>600</v>
      </c>
      <c r="AB361" s="204" t="s">
        <v>329</v>
      </c>
      <c r="AC361" s="204" t="s">
        <v>297</v>
      </c>
      <c r="AD361" s="204" t="s">
        <v>599</v>
      </c>
      <c r="AE361" s="204" t="s">
        <v>598</v>
      </c>
      <c r="AG361" s="204" t="s">
        <v>791</v>
      </c>
      <c r="AH361" s="204" t="s">
        <v>151</v>
      </c>
      <c r="AX361" s="204">
        <v>4</v>
      </c>
      <c r="AY361" s="204">
        <v>0</v>
      </c>
      <c r="AZ361" s="204">
        <v>1.52E-2</v>
      </c>
      <c r="BB361" s="204">
        <v>129.06800000000001</v>
      </c>
      <c r="BH361" s="204">
        <v>0</v>
      </c>
      <c r="BI361" s="204">
        <v>18</v>
      </c>
      <c r="BJ361" s="204">
        <v>42664</v>
      </c>
      <c r="BK361" s="204">
        <v>42664.598347569401</v>
      </c>
      <c r="BL361" s="204" t="s">
        <v>293</v>
      </c>
      <c r="BM361" s="204" t="s">
        <v>1554</v>
      </c>
      <c r="BN361" s="242">
        <f t="shared" si="79"/>
        <v>32.267000000000003</v>
      </c>
      <c r="BO361" s="269">
        <f t="shared" si="80"/>
        <v>4.5</v>
      </c>
      <c r="BP361" s="269">
        <f>INDEX('App Data Outliers'!$M:$M,MATCH($E361,'App Data Outliers'!$A:$A,0))</f>
        <v>31.912660854402784</v>
      </c>
      <c r="BQ361" s="269">
        <f>INDEX('App Data Outliers'!$N:$N,MATCH($E361,'App Data Outliers'!$A:$A,0))</f>
        <v>4.6294175975068628</v>
      </c>
      <c r="BR361" s="269">
        <f>INDEX('App Data Outliers'!$S:$S,MATCH($E361,'App Data Outliers'!$A:$A,0))</f>
        <v>3.9162224934612029</v>
      </c>
      <c r="BS361" s="269">
        <f>INDEX('App Data Outliers'!$T:$T,MATCH($E361,'App Data Outliers'!$A:$A,0))</f>
        <v>1.1499528005502413</v>
      </c>
    </row>
    <row r="362" spans="1:71" s="204" customFormat="1" hidden="1">
      <c r="A362" s="241">
        <v>358</v>
      </c>
      <c r="B362" s="241" t="str">
        <f t="shared" si="71"/>
        <v>Residential - BHPSD - Residential Lighting &amp; Appliances</v>
      </c>
      <c r="C362" s="241" t="b">
        <f t="shared" si="72"/>
        <v>1</v>
      </c>
      <c r="D362" s="241" t="str">
        <f t="shared" si="73"/>
        <v>Residential - BHPSD - Residential Lighting &amp; Appliances_Residential Lighting &amp; Appliances :- LED :- Customer Incentives_LED</v>
      </c>
      <c r="E362" s="241" t="str">
        <f t="shared" si="74"/>
        <v>Residential_Residential Lighting_Lighting_LED</v>
      </c>
      <c r="F362" s="241" t="str">
        <f>INDEX('VDSM MAPPING'!E:E,MATCH($D362,'VDSM MAPPING'!$A:$A,0))</f>
        <v>Residential</v>
      </c>
      <c r="G362" s="241" t="str">
        <f>INDEX('VDSM MAPPING'!F:F,MATCH($D362,'VDSM MAPPING'!$A:$A,0))</f>
        <v>Residential Lighting</v>
      </c>
      <c r="H362" s="241" t="str">
        <f>INDEX('VDSM MAPPING'!G:G,MATCH($D362,'VDSM MAPPING'!$A:$A,0))</f>
        <v>Lighting</v>
      </c>
      <c r="I362" s="241" t="str">
        <f>INDEX('VDSM MAPPING'!H:H,MATCH($D362,'VDSM MAPPING'!$A:$A,0))</f>
        <v>LED</v>
      </c>
      <c r="J362" s="240">
        <f t="shared" si="75"/>
        <v>0.40336372907962731</v>
      </c>
      <c r="K362" s="240">
        <f t="shared" si="76"/>
        <v>1.4642144492653311</v>
      </c>
      <c r="L362" s="240" t="b">
        <f t="shared" si="77"/>
        <v>0</v>
      </c>
      <c r="M362" s="240" t="b">
        <f t="shared" si="78"/>
        <v>0</v>
      </c>
      <c r="N362" s="204" t="s">
        <v>289</v>
      </c>
      <c r="O362" s="204" t="s">
        <v>1559</v>
      </c>
      <c r="P362" s="350">
        <v>0</v>
      </c>
      <c r="Q362" s="204" t="s">
        <v>1559</v>
      </c>
      <c r="R362" s="204" t="s">
        <v>1558</v>
      </c>
      <c r="S362" s="204" t="s">
        <v>1557</v>
      </c>
      <c r="T362" s="204" t="s">
        <v>1556</v>
      </c>
      <c r="V362" s="204" t="s">
        <v>1555</v>
      </c>
      <c r="W362" s="204" t="s">
        <v>329</v>
      </c>
      <c r="X362" s="204" t="s">
        <v>297</v>
      </c>
      <c r="Y362" s="204" t="s">
        <v>328</v>
      </c>
      <c r="Z362" s="204" t="s">
        <v>601</v>
      </c>
      <c r="AA362" s="204" t="s">
        <v>600</v>
      </c>
      <c r="AB362" s="204" t="s">
        <v>329</v>
      </c>
      <c r="AC362" s="204" t="s">
        <v>297</v>
      </c>
      <c r="AD362" s="204" t="s">
        <v>599</v>
      </c>
      <c r="AE362" s="204" t="s">
        <v>598</v>
      </c>
      <c r="AG362" s="204" t="s">
        <v>791</v>
      </c>
      <c r="AH362" s="204" t="s">
        <v>151</v>
      </c>
      <c r="AX362" s="204">
        <v>2</v>
      </c>
      <c r="AY362" s="204">
        <v>0</v>
      </c>
      <c r="AZ362" s="204">
        <v>8.0000000000000002E-3</v>
      </c>
      <c r="BB362" s="204">
        <v>67.56</v>
      </c>
      <c r="BH362" s="204">
        <v>0</v>
      </c>
      <c r="BI362" s="204">
        <v>11.2</v>
      </c>
      <c r="BJ362" s="204">
        <v>42664</v>
      </c>
      <c r="BK362" s="204">
        <v>42664.598347569401</v>
      </c>
      <c r="BL362" s="204" t="s">
        <v>293</v>
      </c>
      <c r="BM362" s="204" t="s">
        <v>1560</v>
      </c>
      <c r="BN362" s="242">
        <f t="shared" si="79"/>
        <v>33.78</v>
      </c>
      <c r="BO362" s="269">
        <f t="shared" si="80"/>
        <v>5.6</v>
      </c>
      <c r="BP362" s="269">
        <f>INDEX('App Data Outliers'!$M:$M,MATCH($E362,'App Data Outliers'!$A:$A,0))</f>
        <v>31.912660854402784</v>
      </c>
      <c r="BQ362" s="269">
        <f>INDEX('App Data Outliers'!$N:$N,MATCH($E362,'App Data Outliers'!$A:$A,0))</f>
        <v>4.6294175975068628</v>
      </c>
      <c r="BR362" s="269">
        <f>INDEX('App Data Outliers'!$S:$S,MATCH($E362,'App Data Outliers'!$A:$A,0))</f>
        <v>3.9162224934612029</v>
      </c>
      <c r="BS362" s="269">
        <f>INDEX('App Data Outliers'!$T:$T,MATCH($E362,'App Data Outliers'!$A:$A,0))</f>
        <v>1.1499528005502413</v>
      </c>
    </row>
    <row r="363" spans="1:71" s="204" customFormat="1" hidden="1">
      <c r="A363" s="241">
        <v>359</v>
      </c>
      <c r="B363" s="241" t="str">
        <f t="shared" si="71"/>
        <v>Residential - BHPSD - Residential Lighting &amp; Appliances</v>
      </c>
      <c r="C363" s="241" t="b">
        <f t="shared" si="72"/>
        <v>1</v>
      </c>
      <c r="D363" s="241" t="str">
        <f t="shared" si="73"/>
        <v>Residential - BHPSD - Residential Lighting &amp; Appliances_Residential Lighting &amp; Appliances :- LED :- Customer Incentives_LED</v>
      </c>
      <c r="E363" s="241" t="str">
        <f t="shared" si="74"/>
        <v>Residential_Residential Lighting_Lighting_LED</v>
      </c>
      <c r="F363" s="241" t="str">
        <f>INDEX('VDSM MAPPING'!E:E,MATCH($D363,'VDSM MAPPING'!$A:$A,0))</f>
        <v>Residential</v>
      </c>
      <c r="G363" s="241" t="str">
        <f>INDEX('VDSM MAPPING'!F:F,MATCH($D363,'VDSM MAPPING'!$A:$A,0))</f>
        <v>Residential Lighting</v>
      </c>
      <c r="H363" s="241" t="str">
        <f>INDEX('VDSM MAPPING'!G:G,MATCH($D363,'VDSM MAPPING'!$A:$A,0))</f>
        <v>Lighting</v>
      </c>
      <c r="I363" s="241" t="str">
        <f>INDEX('VDSM MAPPING'!H:H,MATCH($D363,'VDSM MAPPING'!$A:$A,0))</f>
        <v>LED</v>
      </c>
      <c r="J363" s="240">
        <f t="shared" si="75"/>
        <v>0.40336372907962731</v>
      </c>
      <c r="K363" s="240">
        <f t="shared" si="76"/>
        <v>1.4642144492653311</v>
      </c>
      <c r="L363" s="240" t="b">
        <f t="shared" si="77"/>
        <v>0</v>
      </c>
      <c r="M363" s="240" t="b">
        <f t="shared" si="78"/>
        <v>0</v>
      </c>
      <c r="N363" s="204" t="s">
        <v>289</v>
      </c>
      <c r="O363" s="204" t="s">
        <v>1553</v>
      </c>
      <c r="P363" s="350">
        <v>1</v>
      </c>
      <c r="Q363" s="204" t="s">
        <v>1553</v>
      </c>
      <c r="R363" s="204" t="s">
        <v>1391</v>
      </c>
      <c r="S363" s="204" t="s">
        <v>1390</v>
      </c>
      <c r="T363" s="204" t="s">
        <v>1389</v>
      </c>
      <c r="V363" s="204" t="s">
        <v>1388</v>
      </c>
      <c r="W363" s="204" t="s">
        <v>531</v>
      </c>
      <c r="X363" s="204" t="s">
        <v>297</v>
      </c>
      <c r="Y363" s="204" t="s">
        <v>530</v>
      </c>
      <c r="Z363" s="204" t="s">
        <v>601</v>
      </c>
      <c r="AA363" s="204" t="s">
        <v>600</v>
      </c>
      <c r="AB363" s="204" t="s">
        <v>329</v>
      </c>
      <c r="AC363" s="204" t="s">
        <v>297</v>
      </c>
      <c r="AD363" s="204" t="s">
        <v>599</v>
      </c>
      <c r="AE363" s="204" t="s">
        <v>598</v>
      </c>
      <c r="AG363" s="204" t="s">
        <v>791</v>
      </c>
      <c r="AH363" s="204" t="s">
        <v>151</v>
      </c>
      <c r="AX363" s="204">
        <v>2</v>
      </c>
      <c r="AY363" s="204">
        <v>0</v>
      </c>
      <c r="AZ363" s="204">
        <v>8.0000000000000002E-3</v>
      </c>
      <c r="BB363" s="204">
        <v>67.56</v>
      </c>
      <c r="BH363" s="204">
        <v>0</v>
      </c>
      <c r="BI363" s="204">
        <v>11.2</v>
      </c>
      <c r="BJ363" s="204">
        <v>42664</v>
      </c>
      <c r="BK363" s="204">
        <v>42664.600054826398</v>
      </c>
      <c r="BL363" s="204" t="s">
        <v>293</v>
      </c>
      <c r="BM363" s="204" t="s">
        <v>1552</v>
      </c>
      <c r="BN363" s="242">
        <f t="shared" si="79"/>
        <v>33.78</v>
      </c>
      <c r="BO363" s="269">
        <f t="shared" si="80"/>
        <v>5.6</v>
      </c>
      <c r="BP363" s="269">
        <f>INDEX('App Data Outliers'!$M:$M,MATCH($E363,'App Data Outliers'!$A:$A,0))</f>
        <v>31.912660854402784</v>
      </c>
      <c r="BQ363" s="269">
        <f>INDEX('App Data Outliers'!$N:$N,MATCH($E363,'App Data Outliers'!$A:$A,0))</f>
        <v>4.6294175975068628</v>
      </c>
      <c r="BR363" s="269">
        <f>INDEX('App Data Outliers'!$S:$S,MATCH($E363,'App Data Outliers'!$A:$A,0))</f>
        <v>3.9162224934612029</v>
      </c>
      <c r="BS363" s="269">
        <f>INDEX('App Data Outliers'!$T:$T,MATCH($E363,'App Data Outliers'!$A:$A,0))</f>
        <v>1.1499528005502413</v>
      </c>
    </row>
    <row r="364" spans="1:71" s="204" customFormat="1" hidden="1">
      <c r="A364" s="241">
        <v>360</v>
      </c>
      <c r="B364" s="241" t="str">
        <f t="shared" si="71"/>
        <v>Residential - BHPSD - Residential Lighting &amp; Appliances</v>
      </c>
      <c r="C364" s="241" t="b">
        <f t="shared" si="72"/>
        <v>1</v>
      </c>
      <c r="D364" s="241" t="str">
        <f t="shared" si="73"/>
        <v>Residential - BHPSD - Residential Lighting &amp; Appliances_Residential Lighting &amp; Appliances :- LED :- Customer Incentives_LED</v>
      </c>
      <c r="E364" s="241" t="str">
        <f t="shared" si="74"/>
        <v>Residential_Residential Lighting_Lighting_LED</v>
      </c>
      <c r="F364" s="241" t="str">
        <f>INDEX('VDSM MAPPING'!E:E,MATCH($D364,'VDSM MAPPING'!$A:$A,0))</f>
        <v>Residential</v>
      </c>
      <c r="G364" s="241" t="str">
        <f>INDEX('VDSM MAPPING'!F:F,MATCH($D364,'VDSM MAPPING'!$A:$A,0))</f>
        <v>Residential Lighting</v>
      </c>
      <c r="H364" s="241" t="str">
        <f>INDEX('VDSM MAPPING'!G:G,MATCH($D364,'VDSM MAPPING'!$A:$A,0))</f>
        <v>Lighting</v>
      </c>
      <c r="I364" s="241" t="str">
        <f>INDEX('VDSM MAPPING'!H:H,MATCH($D364,'VDSM MAPPING'!$A:$A,0))</f>
        <v>LED</v>
      </c>
      <c r="J364" s="240">
        <f t="shared" si="75"/>
        <v>-1.8837490182564711</v>
      </c>
      <c r="K364" s="240">
        <f t="shared" si="76"/>
        <v>7.2852995791401517E-2</v>
      </c>
      <c r="L364" s="240" t="b">
        <f t="shared" si="77"/>
        <v>0</v>
      </c>
      <c r="M364" s="240" t="b">
        <f t="shared" si="78"/>
        <v>0</v>
      </c>
      <c r="N364" s="204" t="s">
        <v>289</v>
      </c>
      <c r="O364" s="204" t="s">
        <v>1550</v>
      </c>
      <c r="P364" s="350">
        <v>1</v>
      </c>
      <c r="Q364" s="204" t="s">
        <v>1550</v>
      </c>
      <c r="R364" s="204" t="s">
        <v>1198</v>
      </c>
      <c r="S364" s="204" t="s">
        <v>1197</v>
      </c>
      <c r="T364" s="204" t="s">
        <v>1196</v>
      </c>
      <c r="V364" s="204" t="s">
        <v>1195</v>
      </c>
      <c r="W364" s="204" t="s">
        <v>298</v>
      </c>
      <c r="X364" s="204" t="s">
        <v>297</v>
      </c>
      <c r="Y364" s="204" t="s">
        <v>296</v>
      </c>
      <c r="Z364" s="204" t="s">
        <v>601</v>
      </c>
      <c r="AA364" s="204" t="s">
        <v>600</v>
      </c>
      <c r="AB364" s="204" t="s">
        <v>329</v>
      </c>
      <c r="AC364" s="204" t="s">
        <v>297</v>
      </c>
      <c r="AD364" s="204" t="s">
        <v>599</v>
      </c>
      <c r="AE364" s="204" t="s">
        <v>598</v>
      </c>
      <c r="AG364" s="204" t="s">
        <v>791</v>
      </c>
      <c r="AH364" s="204" t="s">
        <v>151</v>
      </c>
      <c r="AX364" s="204">
        <v>10</v>
      </c>
      <c r="AY364" s="204">
        <v>0</v>
      </c>
      <c r="AZ364" s="204">
        <v>2.7E-2</v>
      </c>
      <c r="BB364" s="204">
        <v>231.92</v>
      </c>
      <c r="BH364" s="204">
        <v>0</v>
      </c>
      <c r="BI364" s="204">
        <v>40</v>
      </c>
      <c r="BJ364" s="204">
        <v>42664</v>
      </c>
      <c r="BK364" s="204">
        <v>42664.601184953703</v>
      </c>
      <c r="BL364" s="204" t="s">
        <v>293</v>
      </c>
      <c r="BM364" s="204" t="s">
        <v>1549</v>
      </c>
      <c r="BN364" s="242">
        <f t="shared" si="79"/>
        <v>23.192</v>
      </c>
      <c r="BO364" s="269">
        <f t="shared" si="80"/>
        <v>4</v>
      </c>
      <c r="BP364" s="269">
        <f>INDEX('App Data Outliers'!$M:$M,MATCH($E364,'App Data Outliers'!$A:$A,0))</f>
        <v>31.912660854402784</v>
      </c>
      <c r="BQ364" s="269">
        <f>INDEX('App Data Outliers'!$N:$N,MATCH($E364,'App Data Outliers'!$A:$A,0))</f>
        <v>4.6294175975068628</v>
      </c>
      <c r="BR364" s="269">
        <f>INDEX('App Data Outliers'!$S:$S,MATCH($E364,'App Data Outliers'!$A:$A,0))</f>
        <v>3.9162224934612029</v>
      </c>
      <c r="BS364" s="269">
        <f>INDEX('App Data Outliers'!$T:$T,MATCH($E364,'App Data Outliers'!$A:$A,0))</f>
        <v>1.1499528005502413</v>
      </c>
    </row>
    <row r="365" spans="1:71" s="204" customFormat="1" hidden="1">
      <c r="A365" s="241">
        <v>361</v>
      </c>
      <c r="B365" s="241" t="str">
        <f t="shared" si="71"/>
        <v>Residential - BHPSD - Residential Lighting &amp; Appliances</v>
      </c>
      <c r="C365" s="241" t="b">
        <f t="shared" si="72"/>
        <v>1</v>
      </c>
      <c r="D365" s="241" t="str">
        <f t="shared" si="73"/>
        <v>Residential - BHPSD - Residential Lighting &amp; Appliances_Residential Lighting &amp; Appliances :- LED :- Customer Incentives_LED</v>
      </c>
      <c r="E365" s="241" t="str">
        <f t="shared" si="74"/>
        <v>Residential_Residential Lighting_Lighting_LED</v>
      </c>
      <c r="F365" s="241" t="str">
        <f>INDEX('VDSM MAPPING'!E:E,MATCH($D365,'VDSM MAPPING'!$A:$A,0))</f>
        <v>Residential</v>
      </c>
      <c r="G365" s="241" t="str">
        <f>INDEX('VDSM MAPPING'!F:F,MATCH($D365,'VDSM MAPPING'!$A:$A,0))</f>
        <v>Residential Lighting</v>
      </c>
      <c r="H365" s="241" t="str">
        <f>INDEX('VDSM MAPPING'!G:G,MATCH($D365,'VDSM MAPPING'!$A:$A,0))</f>
        <v>Lighting</v>
      </c>
      <c r="I365" s="241" t="str">
        <f>INDEX('VDSM MAPPING'!H:H,MATCH($D365,'VDSM MAPPING'!$A:$A,0))</f>
        <v>LED</v>
      </c>
      <c r="J365" s="240">
        <f t="shared" si="75"/>
        <v>7.6540760934603463E-2</v>
      </c>
      <c r="K365" s="240">
        <f t="shared" si="76"/>
        <v>0.50765345000200468</v>
      </c>
      <c r="L365" s="240" t="b">
        <f t="shared" si="77"/>
        <v>0</v>
      </c>
      <c r="M365" s="240" t="b">
        <f t="shared" si="78"/>
        <v>0</v>
      </c>
      <c r="N365" s="204" t="s">
        <v>289</v>
      </c>
      <c r="O365" s="204" t="s">
        <v>1550</v>
      </c>
      <c r="P365" s="350">
        <v>0</v>
      </c>
      <c r="Q365" s="204" t="s">
        <v>1550</v>
      </c>
      <c r="R365" s="204" t="s">
        <v>1198</v>
      </c>
      <c r="S365" s="204" t="s">
        <v>1197</v>
      </c>
      <c r="T365" s="204" t="s">
        <v>1196</v>
      </c>
      <c r="V365" s="204" t="s">
        <v>1195</v>
      </c>
      <c r="W365" s="204" t="s">
        <v>298</v>
      </c>
      <c r="X365" s="204" t="s">
        <v>297</v>
      </c>
      <c r="Y365" s="204" t="s">
        <v>296</v>
      </c>
      <c r="Z365" s="204" t="s">
        <v>601</v>
      </c>
      <c r="AA365" s="204" t="s">
        <v>600</v>
      </c>
      <c r="AB365" s="204" t="s">
        <v>329</v>
      </c>
      <c r="AC365" s="204" t="s">
        <v>297</v>
      </c>
      <c r="AD365" s="204" t="s">
        <v>599</v>
      </c>
      <c r="AE365" s="204" t="s">
        <v>598</v>
      </c>
      <c r="AG365" s="204" t="s">
        <v>791</v>
      </c>
      <c r="AH365" s="204" t="s">
        <v>151</v>
      </c>
      <c r="AX365" s="204">
        <v>10</v>
      </c>
      <c r="AY365" s="204">
        <v>0</v>
      </c>
      <c r="AZ365" s="204">
        <v>3.7999999999999999E-2</v>
      </c>
      <c r="BB365" s="204">
        <v>322.67</v>
      </c>
      <c r="BH365" s="204">
        <v>0</v>
      </c>
      <c r="BI365" s="204">
        <v>45</v>
      </c>
      <c r="BJ365" s="204">
        <v>42664</v>
      </c>
      <c r="BK365" s="204">
        <v>42664.601184953703</v>
      </c>
      <c r="BL365" s="204" t="s">
        <v>293</v>
      </c>
      <c r="BM365" s="204" t="s">
        <v>1551</v>
      </c>
      <c r="BN365" s="242">
        <f t="shared" si="79"/>
        <v>32.267000000000003</v>
      </c>
      <c r="BO365" s="269">
        <f t="shared" si="80"/>
        <v>4.5</v>
      </c>
      <c r="BP365" s="269">
        <f>INDEX('App Data Outliers'!$M:$M,MATCH($E365,'App Data Outliers'!$A:$A,0))</f>
        <v>31.912660854402784</v>
      </c>
      <c r="BQ365" s="269">
        <f>INDEX('App Data Outliers'!$N:$N,MATCH($E365,'App Data Outliers'!$A:$A,0))</f>
        <v>4.6294175975068628</v>
      </c>
      <c r="BR365" s="269">
        <f>INDEX('App Data Outliers'!$S:$S,MATCH($E365,'App Data Outliers'!$A:$A,0))</f>
        <v>3.9162224934612029</v>
      </c>
      <c r="BS365" s="269">
        <f>INDEX('App Data Outliers'!$T:$T,MATCH($E365,'App Data Outliers'!$A:$A,0))</f>
        <v>1.1499528005502413</v>
      </c>
    </row>
    <row r="366" spans="1:71" s="204" customFormat="1" hidden="1">
      <c r="A366" s="241">
        <v>362</v>
      </c>
      <c r="B366" s="241" t="str">
        <f t="shared" si="71"/>
        <v>Residential - BHPSD - Residential Lighting &amp; Appliances</v>
      </c>
      <c r="C366" s="241" t="b">
        <f t="shared" si="72"/>
        <v>1</v>
      </c>
      <c r="D366" s="241" t="str">
        <f t="shared" si="73"/>
        <v>Residential - BHPSD - Residential Lighting &amp; Appliances_Residential Lighting &amp; Appliances :- LED :- Customer Incentives_LED</v>
      </c>
      <c r="E366" s="241" t="str">
        <f t="shared" si="74"/>
        <v>Residential_Residential Lighting_Lighting_LED</v>
      </c>
      <c r="F366" s="241" t="str">
        <f>INDEX('VDSM MAPPING'!E:E,MATCH($D366,'VDSM MAPPING'!$A:$A,0))</f>
        <v>Residential</v>
      </c>
      <c r="G366" s="241" t="str">
        <f>INDEX('VDSM MAPPING'!F:F,MATCH($D366,'VDSM MAPPING'!$A:$A,0))</f>
        <v>Residential Lighting</v>
      </c>
      <c r="H366" s="241" t="str">
        <f>INDEX('VDSM MAPPING'!G:G,MATCH($D366,'VDSM MAPPING'!$A:$A,0))</f>
        <v>Lighting</v>
      </c>
      <c r="I366" s="241" t="str">
        <f>INDEX('VDSM MAPPING'!H:H,MATCH($D366,'VDSM MAPPING'!$A:$A,0))</f>
        <v>LED</v>
      </c>
      <c r="J366" s="240">
        <f t="shared" si="75"/>
        <v>7.6540760934603463E-2</v>
      </c>
      <c r="K366" s="240">
        <f t="shared" si="76"/>
        <v>0.50765345000200468</v>
      </c>
      <c r="L366" s="240" t="b">
        <f t="shared" si="77"/>
        <v>0</v>
      </c>
      <c r="M366" s="240" t="b">
        <f t="shared" si="78"/>
        <v>0</v>
      </c>
      <c r="N366" s="204" t="s">
        <v>289</v>
      </c>
      <c r="O366" s="204" t="s">
        <v>1548</v>
      </c>
      <c r="P366" s="350">
        <v>1</v>
      </c>
      <c r="Q366" s="204" t="s">
        <v>1548</v>
      </c>
      <c r="R366" s="204" t="s">
        <v>1547</v>
      </c>
      <c r="S366" s="204" t="s">
        <v>1546</v>
      </c>
      <c r="T366" s="204" t="s">
        <v>1545</v>
      </c>
      <c r="V366" s="204" t="s">
        <v>1544</v>
      </c>
      <c r="W366" s="204" t="s">
        <v>298</v>
      </c>
      <c r="X366" s="204" t="s">
        <v>297</v>
      </c>
      <c r="Y366" s="204" t="s">
        <v>296</v>
      </c>
      <c r="Z366" s="204" t="s">
        <v>601</v>
      </c>
      <c r="AA366" s="204" t="s">
        <v>600</v>
      </c>
      <c r="AB366" s="204" t="s">
        <v>329</v>
      </c>
      <c r="AC366" s="204" t="s">
        <v>297</v>
      </c>
      <c r="AD366" s="204" t="s">
        <v>599</v>
      </c>
      <c r="AE366" s="204" t="s">
        <v>598</v>
      </c>
      <c r="AG366" s="204" t="s">
        <v>791</v>
      </c>
      <c r="AH366" s="204" t="s">
        <v>151</v>
      </c>
      <c r="AX366" s="204">
        <v>6</v>
      </c>
      <c r="AY366" s="204">
        <v>0</v>
      </c>
      <c r="AZ366" s="204">
        <v>2.2800000000000001E-2</v>
      </c>
      <c r="BB366" s="204">
        <v>193.602</v>
      </c>
      <c r="BH366" s="204">
        <v>0</v>
      </c>
      <c r="BI366" s="204">
        <v>27</v>
      </c>
      <c r="BJ366" s="204">
        <v>42664</v>
      </c>
      <c r="BK366" s="204">
        <v>42664.602399652802</v>
      </c>
      <c r="BL366" s="204" t="s">
        <v>293</v>
      </c>
      <c r="BM366" s="204" t="s">
        <v>1543</v>
      </c>
      <c r="BN366" s="242">
        <f t="shared" si="79"/>
        <v>32.267000000000003</v>
      </c>
      <c r="BO366" s="269">
        <f t="shared" si="80"/>
        <v>4.5</v>
      </c>
      <c r="BP366" s="269">
        <f>INDEX('App Data Outliers'!$M:$M,MATCH($E366,'App Data Outliers'!$A:$A,0))</f>
        <v>31.912660854402784</v>
      </c>
      <c r="BQ366" s="269">
        <f>INDEX('App Data Outliers'!$N:$N,MATCH($E366,'App Data Outliers'!$A:$A,0))</f>
        <v>4.6294175975068628</v>
      </c>
      <c r="BR366" s="269">
        <f>INDEX('App Data Outliers'!$S:$S,MATCH($E366,'App Data Outliers'!$A:$A,0))</f>
        <v>3.9162224934612029</v>
      </c>
      <c r="BS366" s="269">
        <f>INDEX('App Data Outliers'!$T:$T,MATCH($E366,'App Data Outliers'!$A:$A,0))</f>
        <v>1.1499528005502413</v>
      </c>
    </row>
    <row r="367" spans="1:71" s="204" customFormat="1" hidden="1">
      <c r="A367" s="241">
        <v>363</v>
      </c>
      <c r="B367" s="241" t="str">
        <f t="shared" si="71"/>
        <v>Residential - BHPSD - Residential Lighting &amp; Appliances</v>
      </c>
      <c r="C367" s="241" t="b">
        <f t="shared" si="72"/>
        <v>1</v>
      </c>
      <c r="D367" s="241" t="str">
        <f t="shared" si="73"/>
        <v>Residential - BHPSD - Residential Lighting &amp; Appliances_Residential Lighting &amp; Appliances :- LED :- Customer Incentives_LED</v>
      </c>
      <c r="E367" s="241" t="str">
        <f t="shared" si="74"/>
        <v>Residential_Residential Lighting_Lighting_LED</v>
      </c>
      <c r="F367" s="241" t="str">
        <f>INDEX('VDSM MAPPING'!E:E,MATCH($D367,'VDSM MAPPING'!$A:$A,0))</f>
        <v>Residential</v>
      </c>
      <c r="G367" s="241" t="str">
        <f>INDEX('VDSM MAPPING'!F:F,MATCH($D367,'VDSM MAPPING'!$A:$A,0))</f>
        <v>Residential Lighting</v>
      </c>
      <c r="H367" s="241" t="str">
        <f>INDEX('VDSM MAPPING'!G:G,MATCH($D367,'VDSM MAPPING'!$A:$A,0))</f>
        <v>Lighting</v>
      </c>
      <c r="I367" s="241" t="str">
        <f>INDEX('VDSM MAPPING'!H:H,MATCH($D367,'VDSM MAPPING'!$A:$A,0))</f>
        <v>LED</v>
      </c>
      <c r="J367" s="240">
        <f t="shared" si="75"/>
        <v>0.40336372907962731</v>
      </c>
      <c r="K367" s="240">
        <f t="shared" si="76"/>
        <v>1.4642144492653311</v>
      </c>
      <c r="L367" s="240" t="b">
        <f t="shared" si="77"/>
        <v>0</v>
      </c>
      <c r="M367" s="240" t="b">
        <f t="shared" si="78"/>
        <v>0</v>
      </c>
      <c r="N367" s="204" t="s">
        <v>289</v>
      </c>
      <c r="O367" s="204" t="s">
        <v>1542</v>
      </c>
      <c r="P367" s="350">
        <v>1</v>
      </c>
      <c r="Q367" s="204" t="s">
        <v>1542</v>
      </c>
      <c r="R367" s="204" t="s">
        <v>1541</v>
      </c>
      <c r="S367" s="204" t="s">
        <v>1540</v>
      </c>
      <c r="T367" s="204" t="s">
        <v>1539</v>
      </c>
      <c r="V367" s="204" t="s">
        <v>1538</v>
      </c>
      <c r="W367" s="204" t="s">
        <v>329</v>
      </c>
      <c r="X367" s="204" t="s">
        <v>297</v>
      </c>
      <c r="Y367" s="204" t="s">
        <v>397</v>
      </c>
      <c r="Z367" s="204" t="s">
        <v>601</v>
      </c>
      <c r="AA367" s="204" t="s">
        <v>600</v>
      </c>
      <c r="AB367" s="204" t="s">
        <v>329</v>
      </c>
      <c r="AC367" s="204" t="s">
        <v>297</v>
      </c>
      <c r="AD367" s="204" t="s">
        <v>599</v>
      </c>
      <c r="AE367" s="204" t="s">
        <v>598</v>
      </c>
      <c r="AG367" s="204" t="s">
        <v>791</v>
      </c>
      <c r="AH367" s="204" t="s">
        <v>151</v>
      </c>
      <c r="AX367" s="204">
        <v>25</v>
      </c>
      <c r="AY367" s="204">
        <v>0</v>
      </c>
      <c r="AZ367" s="204">
        <v>0.1</v>
      </c>
      <c r="BB367" s="204">
        <v>844.5</v>
      </c>
      <c r="BH367" s="204">
        <v>0</v>
      </c>
      <c r="BI367" s="204">
        <v>140</v>
      </c>
      <c r="BJ367" s="204">
        <v>42668</v>
      </c>
      <c r="BK367" s="204">
        <v>42668.751194791701</v>
      </c>
      <c r="BL367" s="204" t="s">
        <v>293</v>
      </c>
      <c r="BM367" s="204" t="s">
        <v>1537</v>
      </c>
      <c r="BN367" s="242">
        <f t="shared" si="79"/>
        <v>33.78</v>
      </c>
      <c r="BO367" s="269">
        <f t="shared" si="80"/>
        <v>5.6</v>
      </c>
      <c r="BP367" s="269">
        <f>INDEX('App Data Outliers'!$M:$M,MATCH($E367,'App Data Outliers'!$A:$A,0))</f>
        <v>31.912660854402784</v>
      </c>
      <c r="BQ367" s="269">
        <f>INDEX('App Data Outliers'!$N:$N,MATCH($E367,'App Data Outliers'!$A:$A,0))</f>
        <v>4.6294175975068628</v>
      </c>
      <c r="BR367" s="269">
        <f>INDEX('App Data Outliers'!$S:$S,MATCH($E367,'App Data Outliers'!$A:$A,0))</f>
        <v>3.9162224934612029</v>
      </c>
      <c r="BS367" s="269">
        <f>INDEX('App Data Outliers'!$T:$T,MATCH($E367,'App Data Outliers'!$A:$A,0))</f>
        <v>1.1499528005502413</v>
      </c>
    </row>
    <row r="368" spans="1:71" s="204" customFormat="1" hidden="1">
      <c r="A368" s="241">
        <v>364</v>
      </c>
      <c r="B368" s="241" t="str">
        <f t="shared" si="71"/>
        <v>Residential - BHPSD - Residential Lighting &amp; Appliances</v>
      </c>
      <c r="C368" s="241" t="b">
        <f t="shared" si="72"/>
        <v>1</v>
      </c>
      <c r="D368" s="241" t="str">
        <f t="shared" si="73"/>
        <v>Residential - BHPSD - Residential Lighting &amp; Appliances_Residential Lighting &amp; Appliances :- LED :- Customer Incentives_LED</v>
      </c>
      <c r="E368" s="241" t="str">
        <f t="shared" si="74"/>
        <v>Residential_Residential Lighting_Lighting_LED</v>
      </c>
      <c r="F368" s="241" t="str">
        <f>INDEX('VDSM MAPPING'!E:E,MATCH($D368,'VDSM MAPPING'!$A:$A,0))</f>
        <v>Residential</v>
      </c>
      <c r="G368" s="241" t="str">
        <f>INDEX('VDSM MAPPING'!F:F,MATCH($D368,'VDSM MAPPING'!$A:$A,0))</f>
        <v>Residential Lighting</v>
      </c>
      <c r="H368" s="241" t="str">
        <f>INDEX('VDSM MAPPING'!G:G,MATCH($D368,'VDSM MAPPING'!$A:$A,0))</f>
        <v>Lighting</v>
      </c>
      <c r="I368" s="241" t="str">
        <f>INDEX('VDSM MAPPING'!H:H,MATCH($D368,'VDSM MAPPING'!$A:$A,0))</f>
        <v>LED</v>
      </c>
      <c r="J368" s="240">
        <f t="shared" si="75"/>
        <v>-1.8837490182564711</v>
      </c>
      <c r="K368" s="240">
        <f t="shared" si="76"/>
        <v>7.2852995791401517E-2</v>
      </c>
      <c r="L368" s="240" t="b">
        <f t="shared" si="77"/>
        <v>0</v>
      </c>
      <c r="M368" s="240" t="b">
        <f t="shared" si="78"/>
        <v>0</v>
      </c>
      <c r="N368" s="204" t="s">
        <v>289</v>
      </c>
      <c r="O368" s="204" t="s">
        <v>1534</v>
      </c>
      <c r="P368" s="350">
        <v>1</v>
      </c>
      <c r="Q368" s="204" t="s">
        <v>1534</v>
      </c>
      <c r="R368" s="204" t="s">
        <v>1533</v>
      </c>
      <c r="S368" s="204" t="s">
        <v>1532</v>
      </c>
      <c r="T368" s="204" t="s">
        <v>1531</v>
      </c>
      <c r="V368" s="204" t="s">
        <v>1530</v>
      </c>
      <c r="W368" s="204" t="s">
        <v>413</v>
      </c>
      <c r="X368" s="204" t="s">
        <v>297</v>
      </c>
      <c r="Y368" s="204" t="s">
        <v>412</v>
      </c>
      <c r="Z368" s="204" t="s">
        <v>601</v>
      </c>
      <c r="AA368" s="204" t="s">
        <v>600</v>
      </c>
      <c r="AB368" s="204" t="s">
        <v>329</v>
      </c>
      <c r="AC368" s="204" t="s">
        <v>297</v>
      </c>
      <c r="AD368" s="204" t="s">
        <v>599</v>
      </c>
      <c r="AE368" s="204" t="s">
        <v>598</v>
      </c>
      <c r="AG368" s="204" t="s">
        <v>791</v>
      </c>
      <c r="AH368" s="204" t="s">
        <v>151</v>
      </c>
      <c r="AX368" s="204">
        <v>1</v>
      </c>
      <c r="AY368" s="204">
        <v>0</v>
      </c>
      <c r="AZ368" s="204">
        <v>2.7000000000000001E-3</v>
      </c>
      <c r="BB368" s="204">
        <v>23.192</v>
      </c>
      <c r="BH368" s="204">
        <v>0</v>
      </c>
      <c r="BI368" s="204">
        <v>4</v>
      </c>
      <c r="BJ368" s="204">
        <v>42668</v>
      </c>
      <c r="BK368" s="204">
        <v>42668.7539924421</v>
      </c>
      <c r="BL368" s="204" t="s">
        <v>293</v>
      </c>
      <c r="BM368" s="204" t="s">
        <v>1535</v>
      </c>
      <c r="BN368" s="242">
        <f t="shared" si="79"/>
        <v>23.192</v>
      </c>
      <c r="BO368" s="269">
        <f t="shared" si="80"/>
        <v>4</v>
      </c>
      <c r="BP368" s="269">
        <f>INDEX('App Data Outliers'!$M:$M,MATCH($E368,'App Data Outliers'!$A:$A,0))</f>
        <v>31.912660854402784</v>
      </c>
      <c r="BQ368" s="269">
        <f>INDEX('App Data Outliers'!$N:$N,MATCH($E368,'App Data Outliers'!$A:$A,0))</f>
        <v>4.6294175975068628</v>
      </c>
      <c r="BR368" s="269">
        <f>INDEX('App Data Outliers'!$S:$S,MATCH($E368,'App Data Outliers'!$A:$A,0))</f>
        <v>3.9162224934612029</v>
      </c>
      <c r="BS368" s="269">
        <f>INDEX('App Data Outliers'!$T:$T,MATCH($E368,'App Data Outliers'!$A:$A,0))</f>
        <v>1.1499528005502413</v>
      </c>
    </row>
    <row r="369" spans="1:71" s="204" customFormat="1" hidden="1">
      <c r="A369" s="241">
        <v>365</v>
      </c>
      <c r="B369" s="241" t="str">
        <f t="shared" si="71"/>
        <v>Residential - BHPSD - Residential Lighting &amp; Appliances</v>
      </c>
      <c r="C369" s="241" t="b">
        <f t="shared" si="72"/>
        <v>1</v>
      </c>
      <c r="D369" s="241" t="str">
        <f t="shared" si="73"/>
        <v>Residential - BHPSD - Residential Lighting &amp; Appliances_Residential Lighting &amp; Appliances :- LED :- Customer Incentives_LED</v>
      </c>
      <c r="E369" s="241" t="str">
        <f t="shared" si="74"/>
        <v>Residential_Residential Lighting_Lighting_LED</v>
      </c>
      <c r="F369" s="241" t="str">
        <f>INDEX('VDSM MAPPING'!E:E,MATCH($D369,'VDSM MAPPING'!$A:$A,0))</f>
        <v>Residential</v>
      </c>
      <c r="G369" s="241" t="str">
        <f>INDEX('VDSM MAPPING'!F:F,MATCH($D369,'VDSM MAPPING'!$A:$A,0))</f>
        <v>Residential Lighting</v>
      </c>
      <c r="H369" s="241" t="str">
        <f>INDEX('VDSM MAPPING'!G:G,MATCH($D369,'VDSM MAPPING'!$A:$A,0))</f>
        <v>Lighting</v>
      </c>
      <c r="I369" s="241" t="str">
        <f>INDEX('VDSM MAPPING'!H:H,MATCH($D369,'VDSM MAPPING'!$A:$A,0))</f>
        <v>LED</v>
      </c>
      <c r="J369" s="240">
        <f t="shared" si="75"/>
        <v>0.40336372907962731</v>
      </c>
      <c r="K369" s="240">
        <f t="shared" si="76"/>
        <v>1.464214449265332</v>
      </c>
      <c r="L369" s="240" t="b">
        <f t="shared" si="77"/>
        <v>0</v>
      </c>
      <c r="M369" s="240" t="b">
        <f t="shared" si="78"/>
        <v>0</v>
      </c>
      <c r="N369" s="204" t="s">
        <v>289</v>
      </c>
      <c r="O369" s="204" t="s">
        <v>1534</v>
      </c>
      <c r="P369" s="350">
        <v>0</v>
      </c>
      <c r="Q369" s="204" t="s">
        <v>1534</v>
      </c>
      <c r="R369" s="204" t="s">
        <v>1533</v>
      </c>
      <c r="S369" s="204" t="s">
        <v>1532</v>
      </c>
      <c r="T369" s="204" t="s">
        <v>1531</v>
      </c>
      <c r="V369" s="204" t="s">
        <v>1530</v>
      </c>
      <c r="W369" s="204" t="s">
        <v>413</v>
      </c>
      <c r="X369" s="204" t="s">
        <v>297</v>
      </c>
      <c r="Y369" s="204" t="s">
        <v>412</v>
      </c>
      <c r="Z369" s="204" t="s">
        <v>601</v>
      </c>
      <c r="AA369" s="204" t="s">
        <v>600</v>
      </c>
      <c r="AB369" s="204" t="s">
        <v>329</v>
      </c>
      <c r="AC369" s="204" t="s">
        <v>297</v>
      </c>
      <c r="AD369" s="204" t="s">
        <v>599</v>
      </c>
      <c r="AE369" s="204" t="s">
        <v>598</v>
      </c>
      <c r="AG369" s="204" t="s">
        <v>791</v>
      </c>
      <c r="AH369" s="204" t="s">
        <v>151</v>
      </c>
      <c r="AX369" s="204">
        <v>3</v>
      </c>
      <c r="AY369" s="204">
        <v>0</v>
      </c>
      <c r="AZ369" s="204">
        <v>1.2E-2</v>
      </c>
      <c r="BB369" s="204">
        <v>101.34</v>
      </c>
      <c r="BH369" s="204">
        <v>0</v>
      </c>
      <c r="BI369" s="204">
        <v>16.8</v>
      </c>
      <c r="BJ369" s="204">
        <v>42668</v>
      </c>
      <c r="BK369" s="204">
        <v>42668.7539924421</v>
      </c>
      <c r="BL369" s="204" t="s">
        <v>293</v>
      </c>
      <c r="BM369" s="204" t="s">
        <v>1529</v>
      </c>
      <c r="BN369" s="242">
        <f t="shared" si="79"/>
        <v>33.78</v>
      </c>
      <c r="BO369" s="269">
        <f t="shared" si="80"/>
        <v>5.6000000000000005</v>
      </c>
      <c r="BP369" s="269">
        <f>INDEX('App Data Outliers'!$M:$M,MATCH($E369,'App Data Outliers'!$A:$A,0))</f>
        <v>31.912660854402784</v>
      </c>
      <c r="BQ369" s="269">
        <f>INDEX('App Data Outliers'!$N:$N,MATCH($E369,'App Data Outliers'!$A:$A,0))</f>
        <v>4.6294175975068628</v>
      </c>
      <c r="BR369" s="269">
        <f>INDEX('App Data Outliers'!$S:$S,MATCH($E369,'App Data Outliers'!$A:$A,0))</f>
        <v>3.9162224934612029</v>
      </c>
      <c r="BS369" s="269">
        <f>INDEX('App Data Outliers'!$T:$T,MATCH($E369,'App Data Outliers'!$A:$A,0))</f>
        <v>1.1499528005502413</v>
      </c>
    </row>
    <row r="370" spans="1:71" s="204" customFormat="1" hidden="1">
      <c r="A370" s="241">
        <v>366</v>
      </c>
      <c r="B370" s="241" t="str">
        <f t="shared" si="71"/>
        <v>Residential - BHPSD - Residential Lighting &amp; Appliances</v>
      </c>
      <c r="C370" s="241" t="b">
        <f t="shared" si="72"/>
        <v>1</v>
      </c>
      <c r="D370" s="241" t="str">
        <f t="shared" si="73"/>
        <v>Residential - BHPSD - Residential Lighting &amp; Appliances_Residential Lighting &amp; Appliances :- LED :- Customer Incentives_LED</v>
      </c>
      <c r="E370" s="241" t="str">
        <f t="shared" si="74"/>
        <v>Residential_Residential Lighting_Lighting_LED</v>
      </c>
      <c r="F370" s="241" t="str">
        <f>INDEX('VDSM MAPPING'!E:E,MATCH($D370,'VDSM MAPPING'!$A:$A,0))</f>
        <v>Residential</v>
      </c>
      <c r="G370" s="241" t="str">
        <f>INDEX('VDSM MAPPING'!F:F,MATCH($D370,'VDSM MAPPING'!$A:$A,0))</f>
        <v>Residential Lighting</v>
      </c>
      <c r="H370" s="241" t="str">
        <f>INDEX('VDSM MAPPING'!G:G,MATCH($D370,'VDSM MAPPING'!$A:$A,0))</f>
        <v>Lighting</v>
      </c>
      <c r="I370" s="241" t="str">
        <f>INDEX('VDSM MAPPING'!H:H,MATCH($D370,'VDSM MAPPING'!$A:$A,0))</f>
        <v>LED</v>
      </c>
      <c r="J370" s="240">
        <f t="shared" si="75"/>
        <v>7.6540760934603463E-2</v>
      </c>
      <c r="K370" s="240">
        <f t="shared" si="76"/>
        <v>0.50765345000200468</v>
      </c>
      <c r="L370" s="240" t="b">
        <f t="shared" si="77"/>
        <v>0</v>
      </c>
      <c r="M370" s="240" t="b">
        <f t="shared" si="78"/>
        <v>0</v>
      </c>
      <c r="N370" s="204" t="s">
        <v>289</v>
      </c>
      <c r="O370" s="204" t="s">
        <v>1534</v>
      </c>
      <c r="P370" s="350">
        <v>0</v>
      </c>
      <c r="Q370" s="204" t="s">
        <v>1534</v>
      </c>
      <c r="R370" s="204" t="s">
        <v>1533</v>
      </c>
      <c r="S370" s="204" t="s">
        <v>1532</v>
      </c>
      <c r="T370" s="204" t="s">
        <v>1531</v>
      </c>
      <c r="V370" s="204" t="s">
        <v>1530</v>
      </c>
      <c r="W370" s="204" t="s">
        <v>413</v>
      </c>
      <c r="X370" s="204" t="s">
        <v>297</v>
      </c>
      <c r="Y370" s="204" t="s">
        <v>412</v>
      </c>
      <c r="Z370" s="204" t="s">
        <v>601</v>
      </c>
      <c r="AA370" s="204" t="s">
        <v>600</v>
      </c>
      <c r="AB370" s="204" t="s">
        <v>329</v>
      </c>
      <c r="AC370" s="204" t="s">
        <v>297</v>
      </c>
      <c r="AD370" s="204" t="s">
        <v>599</v>
      </c>
      <c r="AE370" s="204" t="s">
        <v>598</v>
      </c>
      <c r="AG370" s="204" t="s">
        <v>791</v>
      </c>
      <c r="AH370" s="204" t="s">
        <v>151</v>
      </c>
      <c r="AX370" s="204">
        <v>1</v>
      </c>
      <c r="AY370" s="204">
        <v>0</v>
      </c>
      <c r="AZ370" s="204">
        <v>3.8E-3</v>
      </c>
      <c r="BB370" s="204">
        <v>32.267000000000003</v>
      </c>
      <c r="BH370" s="204">
        <v>0</v>
      </c>
      <c r="BI370" s="204">
        <v>4.5</v>
      </c>
      <c r="BJ370" s="204">
        <v>42668</v>
      </c>
      <c r="BK370" s="204">
        <v>42668.7539924421</v>
      </c>
      <c r="BL370" s="204" t="s">
        <v>293</v>
      </c>
      <c r="BM370" s="204" t="s">
        <v>1536</v>
      </c>
      <c r="BN370" s="242">
        <f t="shared" si="79"/>
        <v>32.267000000000003</v>
      </c>
      <c r="BO370" s="269">
        <f t="shared" si="80"/>
        <v>4.5</v>
      </c>
      <c r="BP370" s="269">
        <f>INDEX('App Data Outliers'!$M:$M,MATCH($E370,'App Data Outliers'!$A:$A,0))</f>
        <v>31.912660854402784</v>
      </c>
      <c r="BQ370" s="269">
        <f>INDEX('App Data Outliers'!$N:$N,MATCH($E370,'App Data Outliers'!$A:$A,0))</f>
        <v>4.6294175975068628</v>
      </c>
      <c r="BR370" s="269">
        <f>INDEX('App Data Outliers'!$S:$S,MATCH($E370,'App Data Outliers'!$A:$A,0))</f>
        <v>3.9162224934612029</v>
      </c>
      <c r="BS370" s="269">
        <f>INDEX('App Data Outliers'!$T:$T,MATCH($E370,'App Data Outliers'!$A:$A,0))</f>
        <v>1.1499528005502413</v>
      </c>
    </row>
    <row r="371" spans="1:71" s="204" customFormat="1" hidden="1">
      <c r="A371" s="241">
        <v>367</v>
      </c>
      <c r="B371" s="241" t="str">
        <f t="shared" si="71"/>
        <v>Residential - BHPSD - Residential Lighting &amp; Appliances</v>
      </c>
      <c r="C371" s="241" t="b">
        <f t="shared" si="72"/>
        <v>1</v>
      </c>
      <c r="D371" s="241" t="str">
        <f t="shared" si="73"/>
        <v>Residential - BHPSD - Residential Lighting &amp; Appliances_Residential Lighting &amp; Appliances :- LED :- Customer Incentives_LED</v>
      </c>
      <c r="E371" s="241" t="str">
        <f t="shared" si="74"/>
        <v>Residential_Residential Lighting_Lighting_LED</v>
      </c>
      <c r="F371" s="241" t="str">
        <f>INDEX('VDSM MAPPING'!E:E,MATCH($D371,'VDSM MAPPING'!$A:$A,0))</f>
        <v>Residential</v>
      </c>
      <c r="G371" s="241" t="str">
        <f>INDEX('VDSM MAPPING'!F:F,MATCH($D371,'VDSM MAPPING'!$A:$A,0))</f>
        <v>Residential Lighting</v>
      </c>
      <c r="H371" s="241" t="str">
        <f>INDEX('VDSM MAPPING'!G:G,MATCH($D371,'VDSM MAPPING'!$A:$A,0))</f>
        <v>Lighting</v>
      </c>
      <c r="I371" s="241" t="str">
        <f>INDEX('VDSM MAPPING'!H:H,MATCH($D371,'VDSM MAPPING'!$A:$A,0))</f>
        <v>LED</v>
      </c>
      <c r="J371" s="240">
        <f t="shared" si="75"/>
        <v>7.6540760934603463E-2</v>
      </c>
      <c r="K371" s="240">
        <f t="shared" si="76"/>
        <v>0.50765345000200468</v>
      </c>
      <c r="L371" s="240" t="b">
        <f t="shared" si="77"/>
        <v>0</v>
      </c>
      <c r="M371" s="240" t="b">
        <f t="shared" si="78"/>
        <v>0</v>
      </c>
      <c r="N371" s="204" t="s">
        <v>289</v>
      </c>
      <c r="O371" s="204" t="s">
        <v>1527</v>
      </c>
      <c r="P371" s="350">
        <v>1</v>
      </c>
      <c r="Q371" s="204" t="s">
        <v>1527</v>
      </c>
      <c r="R371" s="204" t="s">
        <v>1526</v>
      </c>
      <c r="S371" s="204" t="s">
        <v>1525</v>
      </c>
      <c r="T371" s="204" t="s">
        <v>1524</v>
      </c>
      <c r="V371" s="204" t="s">
        <v>1523</v>
      </c>
      <c r="W371" s="204" t="s">
        <v>329</v>
      </c>
      <c r="X371" s="204" t="s">
        <v>297</v>
      </c>
      <c r="Y371" s="204" t="s">
        <v>397</v>
      </c>
      <c r="Z371" s="204" t="s">
        <v>601</v>
      </c>
      <c r="AA371" s="204" t="s">
        <v>600</v>
      </c>
      <c r="AB371" s="204" t="s">
        <v>329</v>
      </c>
      <c r="AC371" s="204" t="s">
        <v>297</v>
      </c>
      <c r="AD371" s="204" t="s">
        <v>599</v>
      </c>
      <c r="AE371" s="204" t="s">
        <v>598</v>
      </c>
      <c r="AG371" s="204" t="s">
        <v>791</v>
      </c>
      <c r="AH371" s="204" t="s">
        <v>151</v>
      </c>
      <c r="AX371" s="204">
        <v>3</v>
      </c>
      <c r="AY371" s="204">
        <v>0</v>
      </c>
      <c r="AZ371" s="204">
        <v>1.14E-2</v>
      </c>
      <c r="BB371" s="204">
        <v>96.801000000000002</v>
      </c>
      <c r="BH371" s="204">
        <v>0</v>
      </c>
      <c r="BI371" s="204">
        <v>13.5</v>
      </c>
      <c r="BJ371" s="204">
        <v>42668</v>
      </c>
      <c r="BK371" s="204">
        <v>42668.755524537002</v>
      </c>
      <c r="BL371" s="204" t="s">
        <v>293</v>
      </c>
      <c r="BM371" s="204" t="s">
        <v>1522</v>
      </c>
      <c r="BN371" s="242">
        <f t="shared" si="79"/>
        <v>32.267000000000003</v>
      </c>
      <c r="BO371" s="269">
        <f t="shared" si="80"/>
        <v>4.5</v>
      </c>
      <c r="BP371" s="269">
        <f>INDEX('App Data Outliers'!$M:$M,MATCH($E371,'App Data Outliers'!$A:$A,0))</f>
        <v>31.912660854402784</v>
      </c>
      <c r="BQ371" s="269">
        <f>INDEX('App Data Outliers'!$N:$N,MATCH($E371,'App Data Outliers'!$A:$A,0))</f>
        <v>4.6294175975068628</v>
      </c>
      <c r="BR371" s="269">
        <f>INDEX('App Data Outliers'!$S:$S,MATCH($E371,'App Data Outliers'!$A:$A,0))</f>
        <v>3.9162224934612029</v>
      </c>
      <c r="BS371" s="269">
        <f>INDEX('App Data Outliers'!$T:$T,MATCH($E371,'App Data Outliers'!$A:$A,0))</f>
        <v>1.1499528005502413</v>
      </c>
    </row>
    <row r="372" spans="1:71" s="204" customFormat="1" hidden="1">
      <c r="A372" s="241">
        <v>368</v>
      </c>
      <c r="B372" s="241" t="str">
        <f t="shared" si="71"/>
        <v>Residential - BHPSD - Residential Lighting &amp; Appliances</v>
      </c>
      <c r="C372" s="241" t="b">
        <f t="shared" si="72"/>
        <v>1</v>
      </c>
      <c r="D372" s="241" t="str">
        <f t="shared" si="73"/>
        <v>Residential - BHPSD - Residential Lighting &amp; Appliances_Residential Lighting &amp; Appliances :- LED :- Customer Incentives_LED</v>
      </c>
      <c r="E372" s="241" t="str">
        <f t="shared" si="74"/>
        <v>Residential_Residential Lighting_Lighting_LED</v>
      </c>
      <c r="F372" s="241" t="str">
        <f>INDEX('VDSM MAPPING'!E:E,MATCH($D372,'VDSM MAPPING'!$A:$A,0))</f>
        <v>Residential</v>
      </c>
      <c r="G372" s="241" t="str">
        <f>INDEX('VDSM MAPPING'!F:F,MATCH($D372,'VDSM MAPPING'!$A:$A,0))</f>
        <v>Residential Lighting</v>
      </c>
      <c r="H372" s="241" t="str">
        <f>INDEX('VDSM MAPPING'!G:G,MATCH($D372,'VDSM MAPPING'!$A:$A,0))</f>
        <v>Lighting</v>
      </c>
      <c r="I372" s="241" t="str">
        <f>INDEX('VDSM MAPPING'!H:H,MATCH($D372,'VDSM MAPPING'!$A:$A,0))</f>
        <v>LED</v>
      </c>
      <c r="J372" s="240">
        <f t="shared" si="75"/>
        <v>-1.8837490182564711</v>
      </c>
      <c r="K372" s="240">
        <f t="shared" si="76"/>
        <v>7.2852995791401517E-2</v>
      </c>
      <c r="L372" s="240" t="b">
        <f t="shared" si="77"/>
        <v>0</v>
      </c>
      <c r="M372" s="240" t="b">
        <f t="shared" si="78"/>
        <v>0</v>
      </c>
      <c r="N372" s="204" t="s">
        <v>289</v>
      </c>
      <c r="O372" s="204" t="s">
        <v>1527</v>
      </c>
      <c r="P372" s="350">
        <v>0</v>
      </c>
      <c r="Q372" s="204" t="s">
        <v>1527</v>
      </c>
      <c r="R372" s="204" t="s">
        <v>1526</v>
      </c>
      <c r="S372" s="204" t="s">
        <v>1525</v>
      </c>
      <c r="T372" s="204" t="s">
        <v>1524</v>
      </c>
      <c r="V372" s="204" t="s">
        <v>1523</v>
      </c>
      <c r="W372" s="204" t="s">
        <v>329</v>
      </c>
      <c r="X372" s="204" t="s">
        <v>297</v>
      </c>
      <c r="Y372" s="204" t="s">
        <v>397</v>
      </c>
      <c r="Z372" s="204" t="s">
        <v>601</v>
      </c>
      <c r="AA372" s="204" t="s">
        <v>600</v>
      </c>
      <c r="AB372" s="204" t="s">
        <v>329</v>
      </c>
      <c r="AC372" s="204" t="s">
        <v>297</v>
      </c>
      <c r="AD372" s="204" t="s">
        <v>599</v>
      </c>
      <c r="AE372" s="204" t="s">
        <v>598</v>
      </c>
      <c r="AG372" s="204" t="s">
        <v>791</v>
      </c>
      <c r="AH372" s="204" t="s">
        <v>151</v>
      </c>
      <c r="AX372" s="204">
        <v>1</v>
      </c>
      <c r="AY372" s="204">
        <v>0</v>
      </c>
      <c r="AZ372" s="204">
        <v>2.7000000000000001E-3</v>
      </c>
      <c r="BB372" s="204">
        <v>23.192</v>
      </c>
      <c r="BH372" s="204">
        <v>0</v>
      </c>
      <c r="BI372" s="204">
        <v>4</v>
      </c>
      <c r="BJ372" s="204">
        <v>42668</v>
      </c>
      <c r="BK372" s="204">
        <v>42668.755524537002</v>
      </c>
      <c r="BL372" s="204" t="s">
        <v>293</v>
      </c>
      <c r="BM372" s="204" t="s">
        <v>1528</v>
      </c>
      <c r="BN372" s="242">
        <f t="shared" si="79"/>
        <v>23.192</v>
      </c>
      <c r="BO372" s="269">
        <f t="shared" si="80"/>
        <v>4</v>
      </c>
      <c r="BP372" s="269">
        <f>INDEX('App Data Outliers'!$M:$M,MATCH($E372,'App Data Outliers'!$A:$A,0))</f>
        <v>31.912660854402784</v>
      </c>
      <c r="BQ372" s="269">
        <f>INDEX('App Data Outliers'!$N:$N,MATCH($E372,'App Data Outliers'!$A:$A,0))</f>
        <v>4.6294175975068628</v>
      </c>
      <c r="BR372" s="269">
        <f>INDEX('App Data Outliers'!$S:$S,MATCH($E372,'App Data Outliers'!$A:$A,0))</f>
        <v>3.9162224934612029</v>
      </c>
      <c r="BS372" s="269">
        <f>INDEX('App Data Outliers'!$T:$T,MATCH($E372,'App Data Outliers'!$A:$A,0))</f>
        <v>1.1499528005502413</v>
      </c>
    </row>
    <row r="373" spans="1:71" s="204" customFormat="1" hidden="1">
      <c r="A373" s="241">
        <v>369</v>
      </c>
      <c r="B373" s="241" t="str">
        <f t="shared" si="71"/>
        <v>Residential - BHPSD - Residential Lighting &amp; Appliances</v>
      </c>
      <c r="C373" s="241" t="b">
        <f t="shared" si="72"/>
        <v>1</v>
      </c>
      <c r="D373" s="241" t="str">
        <f t="shared" si="73"/>
        <v>Residential - BHPSD - Residential Lighting &amp; Appliances_Residential Lighting &amp; Appliances :- LED :- Customer Incentives_LED</v>
      </c>
      <c r="E373" s="241" t="str">
        <f t="shared" si="74"/>
        <v>Residential_Residential Lighting_Lighting_LED</v>
      </c>
      <c r="F373" s="241" t="str">
        <f>INDEX('VDSM MAPPING'!E:E,MATCH($D373,'VDSM MAPPING'!$A:$A,0))</f>
        <v>Residential</v>
      </c>
      <c r="G373" s="241" t="str">
        <f>INDEX('VDSM MAPPING'!F:F,MATCH($D373,'VDSM MAPPING'!$A:$A,0))</f>
        <v>Residential Lighting</v>
      </c>
      <c r="H373" s="241" t="str">
        <f>INDEX('VDSM MAPPING'!G:G,MATCH($D373,'VDSM MAPPING'!$A:$A,0))</f>
        <v>Lighting</v>
      </c>
      <c r="I373" s="241" t="str">
        <f>INDEX('VDSM MAPPING'!H:H,MATCH($D373,'VDSM MAPPING'!$A:$A,0))</f>
        <v>LED</v>
      </c>
      <c r="J373" s="240">
        <f t="shared" si="75"/>
        <v>7.6540760934603463E-2</v>
      </c>
      <c r="K373" s="240">
        <f t="shared" si="76"/>
        <v>0.50765345000200468</v>
      </c>
      <c r="L373" s="240" t="b">
        <f t="shared" si="77"/>
        <v>0</v>
      </c>
      <c r="M373" s="240" t="b">
        <f t="shared" si="78"/>
        <v>0</v>
      </c>
      <c r="N373" s="204" t="s">
        <v>289</v>
      </c>
      <c r="O373" s="204" t="s">
        <v>1521</v>
      </c>
      <c r="P373" s="350">
        <v>1</v>
      </c>
      <c r="Q373" s="204" t="s">
        <v>1521</v>
      </c>
      <c r="R373" s="204" t="s">
        <v>1520</v>
      </c>
      <c r="S373" s="204" t="s">
        <v>1519</v>
      </c>
      <c r="T373" s="204" t="s">
        <v>1518</v>
      </c>
      <c r="V373" s="204" t="s">
        <v>1517</v>
      </c>
      <c r="W373" s="204" t="s">
        <v>329</v>
      </c>
      <c r="X373" s="204" t="s">
        <v>297</v>
      </c>
      <c r="Y373" s="204" t="s">
        <v>328</v>
      </c>
      <c r="Z373" s="204" t="s">
        <v>601</v>
      </c>
      <c r="AA373" s="204" t="s">
        <v>600</v>
      </c>
      <c r="AB373" s="204" t="s">
        <v>329</v>
      </c>
      <c r="AC373" s="204" t="s">
        <v>297</v>
      </c>
      <c r="AD373" s="204" t="s">
        <v>599</v>
      </c>
      <c r="AE373" s="204" t="s">
        <v>598</v>
      </c>
      <c r="AG373" s="204" t="s">
        <v>791</v>
      </c>
      <c r="AH373" s="204" t="s">
        <v>151</v>
      </c>
      <c r="AX373" s="204">
        <v>6</v>
      </c>
      <c r="AY373" s="204">
        <v>0</v>
      </c>
      <c r="AZ373" s="204">
        <v>2.2800000000000001E-2</v>
      </c>
      <c r="BB373" s="204">
        <v>193.602</v>
      </c>
      <c r="BH373" s="204">
        <v>0</v>
      </c>
      <c r="BI373" s="204">
        <v>27</v>
      </c>
      <c r="BJ373" s="204">
        <v>42670</v>
      </c>
      <c r="BK373" s="204">
        <v>42670.476777199103</v>
      </c>
      <c r="BL373" s="204" t="s">
        <v>293</v>
      </c>
      <c r="BM373" s="204" t="s">
        <v>1516</v>
      </c>
      <c r="BN373" s="242">
        <f t="shared" si="79"/>
        <v>32.267000000000003</v>
      </c>
      <c r="BO373" s="269">
        <f t="shared" si="80"/>
        <v>4.5</v>
      </c>
      <c r="BP373" s="269">
        <f>INDEX('App Data Outliers'!$M:$M,MATCH($E373,'App Data Outliers'!$A:$A,0))</f>
        <v>31.912660854402784</v>
      </c>
      <c r="BQ373" s="269">
        <f>INDEX('App Data Outliers'!$N:$N,MATCH($E373,'App Data Outliers'!$A:$A,0))</f>
        <v>4.6294175975068628</v>
      </c>
      <c r="BR373" s="269">
        <f>INDEX('App Data Outliers'!$S:$S,MATCH($E373,'App Data Outliers'!$A:$A,0))</f>
        <v>3.9162224934612029</v>
      </c>
      <c r="BS373" s="269">
        <f>INDEX('App Data Outliers'!$T:$T,MATCH($E373,'App Data Outliers'!$A:$A,0))</f>
        <v>1.1499528005502413</v>
      </c>
    </row>
    <row r="374" spans="1:71" s="204" customFormat="1" hidden="1">
      <c r="A374" s="241">
        <v>370</v>
      </c>
      <c r="B374" s="241" t="str">
        <f t="shared" si="71"/>
        <v>Residential - BHPSD - Residential Lighting &amp; Appliances</v>
      </c>
      <c r="C374" s="241" t="b">
        <f t="shared" si="72"/>
        <v>1</v>
      </c>
      <c r="D374" s="241" t="str">
        <f t="shared" si="73"/>
        <v>Residential - BHPSD - Residential Lighting &amp; Appliances_Residential Lighting &amp; Appliances :- ES Star Fixture :- Customer Incentives_ENERGY STAR LED Fixture</v>
      </c>
      <c r="E374" s="241" t="str">
        <f t="shared" si="74"/>
        <v>Residential_Residential Lighting_Lighting_ENERGY STAR Fixture</v>
      </c>
      <c r="F374" s="241" t="str">
        <f>INDEX('VDSM MAPPING'!E:E,MATCH($D374,'VDSM MAPPING'!$A:$A,0))</f>
        <v>Residential</v>
      </c>
      <c r="G374" s="241" t="str">
        <f>INDEX('VDSM MAPPING'!F:F,MATCH($D374,'VDSM MAPPING'!$A:$A,0))</f>
        <v>Residential Lighting</v>
      </c>
      <c r="H374" s="241" t="str">
        <f>INDEX('VDSM MAPPING'!G:G,MATCH($D374,'VDSM MAPPING'!$A:$A,0))</f>
        <v>Lighting</v>
      </c>
      <c r="I374" s="241" t="str">
        <f>INDEX('VDSM MAPPING'!H:H,MATCH($D374,'VDSM MAPPING'!$A:$A,0))</f>
        <v>ENERGY STAR Fixture</v>
      </c>
      <c r="J374" s="240">
        <f t="shared" si="75"/>
        <v>-9.5932961062454206E-2</v>
      </c>
      <c r="K374" s="240">
        <f t="shared" si="76"/>
        <v>0.4214787522569125</v>
      </c>
      <c r="L374" s="240" t="b">
        <f t="shared" si="77"/>
        <v>0</v>
      </c>
      <c r="M374" s="240" t="b">
        <f t="shared" si="78"/>
        <v>0</v>
      </c>
      <c r="N374" s="204" t="s">
        <v>289</v>
      </c>
      <c r="O374" s="204" t="s">
        <v>1515</v>
      </c>
      <c r="P374" s="350">
        <v>1</v>
      </c>
      <c r="Q374" s="204" t="s">
        <v>1515</v>
      </c>
      <c r="R374" s="204" t="s">
        <v>1514</v>
      </c>
      <c r="S374" s="204" t="s">
        <v>1513</v>
      </c>
      <c r="T374" s="204" t="s">
        <v>1512</v>
      </c>
      <c r="V374" s="204" t="s">
        <v>1511</v>
      </c>
      <c r="W374" s="204" t="s">
        <v>329</v>
      </c>
      <c r="X374" s="204" t="s">
        <v>297</v>
      </c>
      <c r="Y374" s="204" t="s">
        <v>397</v>
      </c>
      <c r="Z374" s="204" t="s">
        <v>601</v>
      </c>
      <c r="AA374" s="204" t="s">
        <v>600</v>
      </c>
      <c r="AB374" s="204" t="s">
        <v>329</v>
      </c>
      <c r="AC374" s="204" t="s">
        <v>297</v>
      </c>
      <c r="AD374" s="204" t="s">
        <v>599</v>
      </c>
      <c r="AE374" s="204" t="s">
        <v>598</v>
      </c>
      <c r="AG374" s="204" t="s">
        <v>895</v>
      </c>
      <c r="AH374" s="204" t="s">
        <v>150</v>
      </c>
      <c r="AV374" s="204" t="s">
        <v>1510</v>
      </c>
      <c r="AX374" s="204">
        <v>34</v>
      </c>
      <c r="AY374" s="204">
        <v>0</v>
      </c>
      <c r="AZ374" s="204">
        <v>0.1258</v>
      </c>
      <c r="BB374" s="204">
        <v>1062.806</v>
      </c>
      <c r="BH374" s="204">
        <v>0</v>
      </c>
      <c r="BI374" s="204">
        <v>340</v>
      </c>
      <c r="BJ374" s="204">
        <v>42675</v>
      </c>
      <c r="BK374" s="204">
        <v>42674.476904745403</v>
      </c>
      <c r="BL374" s="204" t="s">
        <v>293</v>
      </c>
      <c r="BM374" s="204" t="s">
        <v>1509</v>
      </c>
      <c r="BN374" s="242">
        <f t="shared" si="79"/>
        <v>31.259</v>
      </c>
      <c r="BO374" s="269">
        <f t="shared" si="80"/>
        <v>10</v>
      </c>
      <c r="BP374" s="269">
        <f>INDEX('App Data Outliers'!$M:$M,MATCH($E374,'App Data Outliers'!$A:$A,0))</f>
        <v>35.519370843989762</v>
      </c>
      <c r="BQ374" s="269">
        <f>INDEX('App Data Outliers'!$N:$N,MATCH($E374,'App Data Outliers'!$A:$A,0))</f>
        <v>44.409875363027503</v>
      </c>
      <c r="BR374" s="269">
        <f>INDEX('App Data Outliers'!$S:$S,MATCH($E374,'App Data Outliers'!$A:$A,0))</f>
        <v>9.3048337595907924</v>
      </c>
      <c r="BS374" s="269">
        <f>INDEX('App Data Outliers'!$T:$T,MATCH($E374,'App Data Outliers'!$A:$A,0))</f>
        <v>1.6493506177636894</v>
      </c>
    </row>
    <row r="375" spans="1:71" s="204" customFormat="1" hidden="1">
      <c r="A375" s="241">
        <v>371</v>
      </c>
      <c r="B375" s="241" t="str">
        <f t="shared" si="71"/>
        <v>Residential - BHPSD - Residential Lighting &amp; Appliances</v>
      </c>
      <c r="C375" s="241" t="b">
        <f t="shared" si="72"/>
        <v>1</v>
      </c>
      <c r="D375" s="241" t="str">
        <f t="shared" si="73"/>
        <v>Residential - BHPSD - Residential Lighting &amp; Appliances_Residential Lighting &amp; Appliances :- LED :- Customer Incentives_LED</v>
      </c>
      <c r="E375" s="241" t="str">
        <f t="shared" si="74"/>
        <v>Residential_Residential Lighting_Lighting_LED</v>
      </c>
      <c r="F375" s="241" t="str">
        <f>INDEX('VDSM MAPPING'!E:E,MATCH($D375,'VDSM MAPPING'!$A:$A,0))</f>
        <v>Residential</v>
      </c>
      <c r="G375" s="241" t="str">
        <f>INDEX('VDSM MAPPING'!F:F,MATCH($D375,'VDSM MAPPING'!$A:$A,0))</f>
        <v>Residential Lighting</v>
      </c>
      <c r="H375" s="241" t="str">
        <f>INDEX('VDSM MAPPING'!G:G,MATCH($D375,'VDSM MAPPING'!$A:$A,0))</f>
        <v>Lighting</v>
      </c>
      <c r="I375" s="241" t="str">
        <f>INDEX('VDSM MAPPING'!H:H,MATCH($D375,'VDSM MAPPING'!$A:$A,0))</f>
        <v>LED</v>
      </c>
      <c r="J375" s="240">
        <f t="shared" si="75"/>
        <v>7.6540760934603463E-2</v>
      </c>
      <c r="K375" s="240">
        <f t="shared" si="76"/>
        <v>0.50765345000200468</v>
      </c>
      <c r="L375" s="240" t="b">
        <f t="shared" si="77"/>
        <v>0</v>
      </c>
      <c r="M375" s="240" t="b">
        <f t="shared" si="78"/>
        <v>0</v>
      </c>
      <c r="N375" s="204" t="s">
        <v>289</v>
      </c>
      <c r="O375" s="204" t="s">
        <v>1508</v>
      </c>
      <c r="P375" s="350">
        <v>1</v>
      </c>
      <c r="Q375" s="204" t="s">
        <v>1508</v>
      </c>
      <c r="R375" s="204" t="s">
        <v>1507</v>
      </c>
      <c r="S375" s="204" t="s">
        <v>1357</v>
      </c>
      <c r="T375" s="204" t="s">
        <v>1506</v>
      </c>
      <c r="V375" s="204" t="s">
        <v>1505</v>
      </c>
      <c r="W375" s="204" t="s">
        <v>531</v>
      </c>
      <c r="X375" s="204" t="s">
        <v>297</v>
      </c>
      <c r="Y375" s="204" t="s">
        <v>530</v>
      </c>
      <c r="Z375" s="204" t="s">
        <v>601</v>
      </c>
      <c r="AA375" s="204" t="s">
        <v>600</v>
      </c>
      <c r="AB375" s="204" t="s">
        <v>329</v>
      </c>
      <c r="AC375" s="204" t="s">
        <v>297</v>
      </c>
      <c r="AD375" s="204" t="s">
        <v>599</v>
      </c>
      <c r="AE375" s="204" t="s">
        <v>598</v>
      </c>
      <c r="AG375" s="204" t="s">
        <v>791</v>
      </c>
      <c r="AH375" s="204" t="s">
        <v>151</v>
      </c>
      <c r="AX375" s="204">
        <v>4</v>
      </c>
      <c r="AY375" s="204">
        <v>0</v>
      </c>
      <c r="AZ375" s="204">
        <v>1.52E-2</v>
      </c>
      <c r="BB375" s="204">
        <v>129.06800000000001</v>
      </c>
      <c r="BH375" s="204">
        <v>0</v>
      </c>
      <c r="BI375" s="204">
        <v>18</v>
      </c>
      <c r="BJ375" s="204">
        <v>42702</v>
      </c>
      <c r="BK375" s="204">
        <v>42702.541790162002</v>
      </c>
      <c r="BL375" s="204" t="s">
        <v>293</v>
      </c>
      <c r="BM375" s="204" t="s">
        <v>1504</v>
      </c>
      <c r="BN375" s="242">
        <f t="shared" si="79"/>
        <v>32.267000000000003</v>
      </c>
      <c r="BO375" s="269">
        <f t="shared" si="80"/>
        <v>4.5</v>
      </c>
      <c r="BP375" s="269">
        <f>INDEX('App Data Outliers'!$M:$M,MATCH($E375,'App Data Outliers'!$A:$A,0))</f>
        <v>31.912660854402784</v>
      </c>
      <c r="BQ375" s="269">
        <f>INDEX('App Data Outliers'!$N:$N,MATCH($E375,'App Data Outliers'!$A:$A,0))</f>
        <v>4.6294175975068628</v>
      </c>
      <c r="BR375" s="269">
        <f>INDEX('App Data Outliers'!$S:$S,MATCH($E375,'App Data Outliers'!$A:$A,0))</f>
        <v>3.9162224934612029</v>
      </c>
      <c r="BS375" s="269">
        <f>INDEX('App Data Outliers'!$T:$T,MATCH($E375,'App Data Outliers'!$A:$A,0))</f>
        <v>1.1499528005502413</v>
      </c>
    </row>
    <row r="376" spans="1:71" s="204" customFormat="1" hidden="1">
      <c r="A376" s="241">
        <v>372</v>
      </c>
      <c r="B376" s="241" t="str">
        <f t="shared" si="71"/>
        <v>Residential - BHPSD - Residential Lighting &amp; Appliances</v>
      </c>
      <c r="C376" s="241" t="b">
        <f t="shared" si="72"/>
        <v>1</v>
      </c>
      <c r="D376" s="241" t="str">
        <f t="shared" si="73"/>
        <v>Residential - BHPSD - Residential Lighting &amp; Appliances_Residential Lighting &amp; Appliances :- LED :- Customer Incentives_LED</v>
      </c>
      <c r="E376" s="241" t="str">
        <f t="shared" si="74"/>
        <v>Residential_Residential Lighting_Lighting_LED</v>
      </c>
      <c r="F376" s="241" t="str">
        <f>INDEX('VDSM MAPPING'!E:E,MATCH($D376,'VDSM MAPPING'!$A:$A,0))</f>
        <v>Residential</v>
      </c>
      <c r="G376" s="241" t="str">
        <f>INDEX('VDSM MAPPING'!F:F,MATCH($D376,'VDSM MAPPING'!$A:$A,0))</f>
        <v>Residential Lighting</v>
      </c>
      <c r="H376" s="241" t="str">
        <f>INDEX('VDSM MAPPING'!G:G,MATCH($D376,'VDSM MAPPING'!$A:$A,0))</f>
        <v>Lighting</v>
      </c>
      <c r="I376" s="241" t="str">
        <f>INDEX('VDSM MAPPING'!H:H,MATCH($D376,'VDSM MAPPING'!$A:$A,0))</f>
        <v>LED</v>
      </c>
      <c r="J376" s="240">
        <f t="shared" si="75"/>
        <v>7.6540760934603463E-2</v>
      </c>
      <c r="K376" s="240">
        <f t="shared" si="76"/>
        <v>0.50765345000200468</v>
      </c>
      <c r="L376" s="240" t="b">
        <f t="shared" si="77"/>
        <v>0</v>
      </c>
      <c r="M376" s="240" t="b">
        <f t="shared" si="78"/>
        <v>0</v>
      </c>
      <c r="N376" s="204" t="s">
        <v>289</v>
      </c>
      <c r="O376" s="204" t="s">
        <v>1503</v>
      </c>
      <c r="P376" s="350">
        <v>1</v>
      </c>
      <c r="Q376" s="204" t="s">
        <v>1503</v>
      </c>
      <c r="R376" s="204" t="s">
        <v>1502</v>
      </c>
      <c r="S376" s="204" t="s">
        <v>1501</v>
      </c>
      <c r="T376" s="204" t="s">
        <v>1500</v>
      </c>
      <c r="V376" s="204" t="s">
        <v>1499</v>
      </c>
      <c r="W376" s="204" t="s">
        <v>1498</v>
      </c>
      <c r="X376" s="204" t="s">
        <v>297</v>
      </c>
      <c r="Y376" s="204" t="s">
        <v>1497</v>
      </c>
      <c r="Z376" s="204" t="s">
        <v>601</v>
      </c>
      <c r="AA376" s="204" t="s">
        <v>600</v>
      </c>
      <c r="AB376" s="204" t="s">
        <v>329</v>
      </c>
      <c r="AC376" s="204" t="s">
        <v>297</v>
      </c>
      <c r="AD376" s="204" t="s">
        <v>599</v>
      </c>
      <c r="AE376" s="204" t="s">
        <v>598</v>
      </c>
      <c r="AG376" s="204" t="s">
        <v>791</v>
      </c>
      <c r="AH376" s="204" t="s">
        <v>151</v>
      </c>
      <c r="AX376" s="204">
        <v>10</v>
      </c>
      <c r="AY376" s="204">
        <v>0</v>
      </c>
      <c r="AZ376" s="204">
        <v>3.7999999999999999E-2</v>
      </c>
      <c r="BB376" s="204">
        <v>322.67</v>
      </c>
      <c r="BH376" s="204">
        <v>0</v>
      </c>
      <c r="BI376" s="204">
        <v>45</v>
      </c>
      <c r="BJ376" s="204">
        <v>42702</v>
      </c>
      <c r="BK376" s="204">
        <v>42702.543826539397</v>
      </c>
      <c r="BL376" s="204" t="s">
        <v>293</v>
      </c>
      <c r="BM376" s="204" t="s">
        <v>1496</v>
      </c>
      <c r="BN376" s="242">
        <f t="shared" si="79"/>
        <v>32.267000000000003</v>
      </c>
      <c r="BO376" s="269">
        <f t="shared" si="80"/>
        <v>4.5</v>
      </c>
      <c r="BP376" s="269">
        <f>INDEX('App Data Outliers'!$M:$M,MATCH($E376,'App Data Outliers'!$A:$A,0))</f>
        <v>31.912660854402784</v>
      </c>
      <c r="BQ376" s="269">
        <f>INDEX('App Data Outliers'!$N:$N,MATCH($E376,'App Data Outliers'!$A:$A,0))</f>
        <v>4.6294175975068628</v>
      </c>
      <c r="BR376" s="269">
        <f>INDEX('App Data Outliers'!$S:$S,MATCH($E376,'App Data Outliers'!$A:$A,0))</f>
        <v>3.9162224934612029</v>
      </c>
      <c r="BS376" s="269">
        <f>INDEX('App Data Outliers'!$T:$T,MATCH($E376,'App Data Outliers'!$A:$A,0))</f>
        <v>1.1499528005502413</v>
      </c>
    </row>
    <row r="377" spans="1:71" s="204" customFormat="1" hidden="1">
      <c r="A377" s="241">
        <v>373</v>
      </c>
      <c r="B377" s="241" t="str">
        <f t="shared" si="71"/>
        <v>Residential - BHPSD - Residential Lighting &amp; Appliances</v>
      </c>
      <c r="C377" s="241" t="b">
        <f t="shared" si="72"/>
        <v>1</v>
      </c>
      <c r="D377" s="241" t="str">
        <f t="shared" si="73"/>
        <v>Residential - BHPSD - Residential Lighting &amp; Appliances_Residential Lighting &amp; Appliances :- LED :- Customer Incentives_LED</v>
      </c>
      <c r="E377" s="241" t="str">
        <f t="shared" si="74"/>
        <v>Residential_Residential Lighting_Lighting_LED</v>
      </c>
      <c r="F377" s="241" t="str">
        <f>INDEX('VDSM MAPPING'!E:E,MATCH($D377,'VDSM MAPPING'!$A:$A,0))</f>
        <v>Residential</v>
      </c>
      <c r="G377" s="241" t="str">
        <f>INDEX('VDSM MAPPING'!F:F,MATCH($D377,'VDSM MAPPING'!$A:$A,0))</f>
        <v>Residential Lighting</v>
      </c>
      <c r="H377" s="241" t="str">
        <f>INDEX('VDSM MAPPING'!G:G,MATCH($D377,'VDSM MAPPING'!$A:$A,0))</f>
        <v>Lighting</v>
      </c>
      <c r="I377" s="241" t="str">
        <f>INDEX('VDSM MAPPING'!H:H,MATCH($D377,'VDSM MAPPING'!$A:$A,0))</f>
        <v>LED</v>
      </c>
      <c r="J377" s="240">
        <f t="shared" si="75"/>
        <v>7.6540760934603463E-2</v>
      </c>
      <c r="K377" s="240">
        <f t="shared" si="76"/>
        <v>0.50765345000200468</v>
      </c>
      <c r="L377" s="240" t="b">
        <f t="shared" si="77"/>
        <v>0</v>
      </c>
      <c r="M377" s="240" t="b">
        <f t="shared" si="78"/>
        <v>0</v>
      </c>
      <c r="N377" s="204" t="s">
        <v>289</v>
      </c>
      <c r="O377" s="204" t="s">
        <v>1495</v>
      </c>
      <c r="P377" s="350">
        <v>1</v>
      </c>
      <c r="Q377" s="204" t="s">
        <v>1495</v>
      </c>
      <c r="R377" s="204" t="s">
        <v>1494</v>
      </c>
      <c r="S377" s="204" t="s">
        <v>1493</v>
      </c>
      <c r="T377" s="204" t="s">
        <v>1442</v>
      </c>
      <c r="V377" s="204" t="s">
        <v>1492</v>
      </c>
      <c r="W377" s="204" t="s">
        <v>329</v>
      </c>
      <c r="X377" s="204" t="s">
        <v>297</v>
      </c>
      <c r="Y377" s="204" t="s">
        <v>328</v>
      </c>
      <c r="Z377" s="204" t="s">
        <v>601</v>
      </c>
      <c r="AA377" s="204" t="s">
        <v>600</v>
      </c>
      <c r="AB377" s="204" t="s">
        <v>329</v>
      </c>
      <c r="AC377" s="204" t="s">
        <v>297</v>
      </c>
      <c r="AD377" s="204" t="s">
        <v>599</v>
      </c>
      <c r="AE377" s="204" t="s">
        <v>598</v>
      </c>
      <c r="AG377" s="204" t="s">
        <v>791</v>
      </c>
      <c r="AH377" s="204" t="s">
        <v>151</v>
      </c>
      <c r="AX377" s="204">
        <v>4</v>
      </c>
      <c r="AY377" s="204">
        <v>0</v>
      </c>
      <c r="AZ377" s="204">
        <v>1.52E-2</v>
      </c>
      <c r="BB377" s="204">
        <v>129.06800000000001</v>
      </c>
      <c r="BH377" s="204">
        <v>0</v>
      </c>
      <c r="BI377" s="204">
        <v>18</v>
      </c>
      <c r="BJ377" s="204">
        <v>42702</v>
      </c>
      <c r="BK377" s="204">
        <v>42702.544894409701</v>
      </c>
      <c r="BL377" s="204" t="s">
        <v>293</v>
      </c>
      <c r="BM377" s="204" t="s">
        <v>1491</v>
      </c>
      <c r="BN377" s="242">
        <f t="shared" si="79"/>
        <v>32.267000000000003</v>
      </c>
      <c r="BO377" s="269">
        <f t="shared" si="80"/>
        <v>4.5</v>
      </c>
      <c r="BP377" s="269">
        <f>INDEX('App Data Outliers'!$M:$M,MATCH($E377,'App Data Outliers'!$A:$A,0))</f>
        <v>31.912660854402784</v>
      </c>
      <c r="BQ377" s="269">
        <f>INDEX('App Data Outliers'!$N:$N,MATCH($E377,'App Data Outliers'!$A:$A,0))</f>
        <v>4.6294175975068628</v>
      </c>
      <c r="BR377" s="269">
        <f>INDEX('App Data Outliers'!$S:$S,MATCH($E377,'App Data Outliers'!$A:$A,0))</f>
        <v>3.9162224934612029</v>
      </c>
      <c r="BS377" s="269">
        <f>INDEX('App Data Outliers'!$T:$T,MATCH($E377,'App Data Outliers'!$A:$A,0))</f>
        <v>1.1499528005502413</v>
      </c>
    </row>
    <row r="378" spans="1:71" s="204" customFormat="1" hidden="1">
      <c r="A378" s="241">
        <v>374</v>
      </c>
      <c r="B378" s="241" t="str">
        <f t="shared" si="71"/>
        <v>Residential - BHPSD - Residential Lighting &amp; Appliances</v>
      </c>
      <c r="C378" s="241" t="b">
        <f t="shared" si="72"/>
        <v>1</v>
      </c>
      <c r="D378" s="241" t="str">
        <f t="shared" si="73"/>
        <v>Residential - BHPSD - Residential Lighting &amp; Appliances_Residential Lighting &amp; Appliances :- LED :- Customer Incentives_LED</v>
      </c>
      <c r="E378" s="241" t="str">
        <f t="shared" si="74"/>
        <v>Residential_Residential Lighting_Lighting_LED</v>
      </c>
      <c r="F378" s="241" t="str">
        <f>INDEX('VDSM MAPPING'!E:E,MATCH($D378,'VDSM MAPPING'!$A:$A,0))</f>
        <v>Residential</v>
      </c>
      <c r="G378" s="241" t="str">
        <f>INDEX('VDSM MAPPING'!F:F,MATCH($D378,'VDSM MAPPING'!$A:$A,0))</f>
        <v>Residential Lighting</v>
      </c>
      <c r="H378" s="241" t="str">
        <f>INDEX('VDSM MAPPING'!G:G,MATCH($D378,'VDSM MAPPING'!$A:$A,0))</f>
        <v>Lighting</v>
      </c>
      <c r="I378" s="241" t="str">
        <f>INDEX('VDSM MAPPING'!H:H,MATCH($D378,'VDSM MAPPING'!$A:$A,0))</f>
        <v>LED</v>
      </c>
      <c r="J378" s="240">
        <f t="shared" si="75"/>
        <v>7.6540760934603463E-2</v>
      </c>
      <c r="K378" s="240">
        <f t="shared" si="76"/>
        <v>0.50765345000200468</v>
      </c>
      <c r="L378" s="240" t="b">
        <f t="shared" si="77"/>
        <v>0</v>
      </c>
      <c r="M378" s="240" t="b">
        <f t="shared" si="78"/>
        <v>0</v>
      </c>
      <c r="N378" s="204" t="s">
        <v>289</v>
      </c>
      <c r="O378" s="204" t="s">
        <v>1490</v>
      </c>
      <c r="P378" s="350">
        <v>1</v>
      </c>
      <c r="Q378" s="204" t="s">
        <v>1490</v>
      </c>
      <c r="R378" s="204" t="s">
        <v>1489</v>
      </c>
      <c r="S378" s="204" t="s">
        <v>1488</v>
      </c>
      <c r="T378" s="204" t="s">
        <v>1487</v>
      </c>
      <c r="V378" s="204" t="s">
        <v>1486</v>
      </c>
      <c r="W378" s="204" t="s">
        <v>329</v>
      </c>
      <c r="X378" s="204" t="s">
        <v>297</v>
      </c>
      <c r="Y378" s="204" t="s">
        <v>328</v>
      </c>
      <c r="Z378" s="204" t="s">
        <v>601</v>
      </c>
      <c r="AA378" s="204" t="s">
        <v>600</v>
      </c>
      <c r="AB378" s="204" t="s">
        <v>329</v>
      </c>
      <c r="AC378" s="204" t="s">
        <v>297</v>
      </c>
      <c r="AD378" s="204" t="s">
        <v>599</v>
      </c>
      <c r="AE378" s="204" t="s">
        <v>598</v>
      </c>
      <c r="AG378" s="204" t="s">
        <v>791</v>
      </c>
      <c r="AH378" s="204" t="s">
        <v>151</v>
      </c>
      <c r="AX378" s="204">
        <v>2</v>
      </c>
      <c r="AY378" s="204">
        <v>0</v>
      </c>
      <c r="AZ378" s="204">
        <v>7.6E-3</v>
      </c>
      <c r="BB378" s="204">
        <v>64.534000000000006</v>
      </c>
      <c r="BH378" s="204">
        <v>0</v>
      </c>
      <c r="BI378" s="204">
        <v>9</v>
      </c>
      <c r="BJ378" s="204">
        <v>42702</v>
      </c>
      <c r="BK378" s="204">
        <v>42702.546729976901</v>
      </c>
      <c r="BL378" s="204" t="s">
        <v>293</v>
      </c>
      <c r="BM378" s="204" t="s">
        <v>1485</v>
      </c>
      <c r="BN378" s="242">
        <f t="shared" si="79"/>
        <v>32.267000000000003</v>
      </c>
      <c r="BO378" s="269">
        <f t="shared" si="80"/>
        <v>4.5</v>
      </c>
      <c r="BP378" s="269">
        <f>INDEX('App Data Outliers'!$M:$M,MATCH($E378,'App Data Outliers'!$A:$A,0))</f>
        <v>31.912660854402784</v>
      </c>
      <c r="BQ378" s="269">
        <f>INDEX('App Data Outliers'!$N:$N,MATCH($E378,'App Data Outliers'!$A:$A,0))</f>
        <v>4.6294175975068628</v>
      </c>
      <c r="BR378" s="269">
        <f>INDEX('App Data Outliers'!$S:$S,MATCH($E378,'App Data Outliers'!$A:$A,0))</f>
        <v>3.9162224934612029</v>
      </c>
      <c r="BS378" s="269">
        <f>INDEX('App Data Outliers'!$T:$T,MATCH($E378,'App Data Outliers'!$A:$A,0))</f>
        <v>1.1499528005502413</v>
      </c>
    </row>
    <row r="379" spans="1:71" s="204" customFormat="1" hidden="1">
      <c r="A379" s="241">
        <v>375</v>
      </c>
      <c r="B379" s="241" t="str">
        <f t="shared" si="71"/>
        <v>Residential - BHPSD - Residential Lighting &amp; Appliances</v>
      </c>
      <c r="C379" s="241" t="b">
        <f t="shared" si="72"/>
        <v>1</v>
      </c>
      <c r="D379" s="241" t="str">
        <f t="shared" si="73"/>
        <v>Residential - BHPSD - Residential Lighting &amp; Appliances_Residential Lighting &amp; Appliances :- LED :- Customer Incentives_LED</v>
      </c>
      <c r="E379" s="241" t="str">
        <f t="shared" si="74"/>
        <v>Residential_Residential Lighting_Lighting_LED</v>
      </c>
      <c r="F379" s="241" t="str">
        <f>INDEX('VDSM MAPPING'!E:E,MATCH($D379,'VDSM MAPPING'!$A:$A,0))</f>
        <v>Residential</v>
      </c>
      <c r="G379" s="241" t="str">
        <f>INDEX('VDSM MAPPING'!F:F,MATCH($D379,'VDSM MAPPING'!$A:$A,0))</f>
        <v>Residential Lighting</v>
      </c>
      <c r="H379" s="241" t="str">
        <f>INDEX('VDSM MAPPING'!G:G,MATCH($D379,'VDSM MAPPING'!$A:$A,0))</f>
        <v>Lighting</v>
      </c>
      <c r="I379" s="241" t="str">
        <f>INDEX('VDSM MAPPING'!H:H,MATCH($D379,'VDSM MAPPING'!$A:$A,0))</f>
        <v>LED</v>
      </c>
      <c r="J379" s="240">
        <f t="shared" si="75"/>
        <v>7.6540760934603463E-2</v>
      </c>
      <c r="K379" s="240">
        <f t="shared" si="76"/>
        <v>0.50765345000200468</v>
      </c>
      <c r="L379" s="240" t="b">
        <f t="shared" si="77"/>
        <v>0</v>
      </c>
      <c r="M379" s="240" t="b">
        <f t="shared" si="78"/>
        <v>0</v>
      </c>
      <c r="N379" s="204" t="s">
        <v>289</v>
      </c>
      <c r="O379" s="204" t="s">
        <v>1484</v>
      </c>
      <c r="P379" s="350">
        <v>1</v>
      </c>
      <c r="Q379" s="204" t="s">
        <v>1484</v>
      </c>
      <c r="R379" s="204" t="s">
        <v>1483</v>
      </c>
      <c r="S379" s="204" t="s">
        <v>1482</v>
      </c>
      <c r="T379" s="204" t="s">
        <v>1481</v>
      </c>
      <c r="V379" s="204" t="s">
        <v>1480</v>
      </c>
      <c r="W379" s="204" t="s">
        <v>329</v>
      </c>
      <c r="X379" s="204" t="s">
        <v>297</v>
      </c>
      <c r="Y379" s="204" t="s">
        <v>328</v>
      </c>
      <c r="Z379" s="204" t="s">
        <v>601</v>
      </c>
      <c r="AA379" s="204" t="s">
        <v>600</v>
      </c>
      <c r="AB379" s="204" t="s">
        <v>329</v>
      </c>
      <c r="AC379" s="204" t="s">
        <v>297</v>
      </c>
      <c r="AD379" s="204" t="s">
        <v>599</v>
      </c>
      <c r="AE379" s="204" t="s">
        <v>598</v>
      </c>
      <c r="AG379" s="204" t="s">
        <v>791</v>
      </c>
      <c r="AH379" s="204" t="s">
        <v>151</v>
      </c>
      <c r="AX379" s="204">
        <v>6</v>
      </c>
      <c r="AY379" s="204">
        <v>0</v>
      </c>
      <c r="AZ379" s="204">
        <v>2.2800000000000001E-2</v>
      </c>
      <c r="BB379" s="204">
        <v>193.602</v>
      </c>
      <c r="BH379" s="204">
        <v>0</v>
      </c>
      <c r="BI379" s="204">
        <v>27</v>
      </c>
      <c r="BJ379" s="204">
        <v>42702</v>
      </c>
      <c r="BK379" s="204">
        <v>42702.648290011603</v>
      </c>
      <c r="BL379" s="204" t="s">
        <v>293</v>
      </c>
      <c r="BM379" s="204" t="s">
        <v>1479</v>
      </c>
      <c r="BN379" s="242">
        <f t="shared" si="79"/>
        <v>32.267000000000003</v>
      </c>
      <c r="BO379" s="269">
        <f t="shared" si="80"/>
        <v>4.5</v>
      </c>
      <c r="BP379" s="269">
        <f>INDEX('App Data Outliers'!$M:$M,MATCH($E379,'App Data Outliers'!$A:$A,0))</f>
        <v>31.912660854402784</v>
      </c>
      <c r="BQ379" s="269">
        <f>INDEX('App Data Outliers'!$N:$N,MATCH($E379,'App Data Outliers'!$A:$A,0))</f>
        <v>4.6294175975068628</v>
      </c>
      <c r="BR379" s="269">
        <f>INDEX('App Data Outliers'!$S:$S,MATCH($E379,'App Data Outliers'!$A:$A,0))</f>
        <v>3.9162224934612029</v>
      </c>
      <c r="BS379" s="269">
        <f>INDEX('App Data Outliers'!$T:$T,MATCH($E379,'App Data Outliers'!$A:$A,0))</f>
        <v>1.1499528005502413</v>
      </c>
    </row>
    <row r="380" spans="1:71" s="204" customFormat="1" hidden="1">
      <c r="A380" s="241">
        <v>376</v>
      </c>
      <c r="B380" s="241" t="str">
        <f t="shared" si="71"/>
        <v>Residential - BHPSD - Residential Lighting &amp; Appliances</v>
      </c>
      <c r="C380" s="241" t="b">
        <f t="shared" si="72"/>
        <v>1</v>
      </c>
      <c r="D380" s="241" t="str">
        <f t="shared" si="73"/>
        <v>Residential - BHPSD - Residential Lighting &amp; Appliances_Residential Lighting &amp; Appliances :- LED :- Customer Incentives_LED</v>
      </c>
      <c r="E380" s="241" t="str">
        <f t="shared" si="74"/>
        <v>Residential_Residential Lighting_Lighting_LED</v>
      </c>
      <c r="F380" s="241" t="str">
        <f>INDEX('VDSM MAPPING'!E:E,MATCH($D380,'VDSM MAPPING'!$A:$A,0))</f>
        <v>Residential</v>
      </c>
      <c r="G380" s="241" t="str">
        <f>INDEX('VDSM MAPPING'!F:F,MATCH($D380,'VDSM MAPPING'!$A:$A,0))</f>
        <v>Residential Lighting</v>
      </c>
      <c r="H380" s="241" t="str">
        <f>INDEX('VDSM MAPPING'!G:G,MATCH($D380,'VDSM MAPPING'!$A:$A,0))</f>
        <v>Lighting</v>
      </c>
      <c r="I380" s="241" t="str">
        <f>INDEX('VDSM MAPPING'!H:H,MATCH($D380,'VDSM MAPPING'!$A:$A,0))</f>
        <v>LED</v>
      </c>
      <c r="J380" s="240">
        <f t="shared" si="75"/>
        <v>7.6540760934603463E-2</v>
      </c>
      <c r="K380" s="240">
        <f t="shared" si="76"/>
        <v>0.50765345000200468</v>
      </c>
      <c r="L380" s="240" t="b">
        <f t="shared" si="77"/>
        <v>0</v>
      </c>
      <c r="M380" s="240" t="b">
        <f t="shared" si="78"/>
        <v>0</v>
      </c>
      <c r="N380" s="204" t="s">
        <v>289</v>
      </c>
      <c r="O380" s="204" t="s">
        <v>1478</v>
      </c>
      <c r="P380" s="350">
        <v>1</v>
      </c>
      <c r="Q380" s="204" t="s">
        <v>1478</v>
      </c>
      <c r="R380" s="204" t="s">
        <v>1477</v>
      </c>
      <c r="S380" s="204" t="s">
        <v>868</v>
      </c>
      <c r="T380" s="204" t="s">
        <v>1476</v>
      </c>
      <c r="V380" s="204" t="s">
        <v>1475</v>
      </c>
      <c r="W380" s="204" t="s">
        <v>337</v>
      </c>
      <c r="X380" s="204" t="s">
        <v>297</v>
      </c>
      <c r="Y380" s="204" t="s">
        <v>336</v>
      </c>
      <c r="Z380" s="204" t="s">
        <v>601</v>
      </c>
      <c r="AA380" s="204" t="s">
        <v>600</v>
      </c>
      <c r="AB380" s="204" t="s">
        <v>329</v>
      </c>
      <c r="AC380" s="204" t="s">
        <v>297</v>
      </c>
      <c r="AD380" s="204" t="s">
        <v>599</v>
      </c>
      <c r="AE380" s="204" t="s">
        <v>598</v>
      </c>
      <c r="AG380" s="204" t="s">
        <v>791</v>
      </c>
      <c r="AH380" s="204" t="s">
        <v>151</v>
      </c>
      <c r="AX380" s="204">
        <v>4</v>
      </c>
      <c r="AY380" s="204">
        <v>0</v>
      </c>
      <c r="AZ380" s="204">
        <v>1.52E-2</v>
      </c>
      <c r="BB380" s="204">
        <v>129.06800000000001</v>
      </c>
      <c r="BH380" s="204">
        <v>0</v>
      </c>
      <c r="BI380" s="204">
        <v>18</v>
      </c>
      <c r="BJ380" s="204">
        <v>42702</v>
      </c>
      <c r="BK380" s="204">
        <v>42702.6492155093</v>
      </c>
      <c r="BL380" s="204" t="s">
        <v>293</v>
      </c>
      <c r="BM380" s="204" t="s">
        <v>1474</v>
      </c>
      <c r="BN380" s="242">
        <f t="shared" si="79"/>
        <v>32.267000000000003</v>
      </c>
      <c r="BO380" s="269">
        <f t="shared" si="80"/>
        <v>4.5</v>
      </c>
      <c r="BP380" s="269">
        <f>INDEX('App Data Outliers'!$M:$M,MATCH($E380,'App Data Outliers'!$A:$A,0))</f>
        <v>31.912660854402784</v>
      </c>
      <c r="BQ380" s="269">
        <f>INDEX('App Data Outliers'!$N:$N,MATCH($E380,'App Data Outliers'!$A:$A,0))</f>
        <v>4.6294175975068628</v>
      </c>
      <c r="BR380" s="269">
        <f>INDEX('App Data Outliers'!$S:$S,MATCH($E380,'App Data Outliers'!$A:$A,0))</f>
        <v>3.9162224934612029</v>
      </c>
      <c r="BS380" s="269">
        <f>INDEX('App Data Outliers'!$T:$T,MATCH($E380,'App Data Outliers'!$A:$A,0))</f>
        <v>1.1499528005502413</v>
      </c>
    </row>
    <row r="381" spans="1:71" s="204" customFormat="1" hidden="1">
      <c r="A381" s="241">
        <v>377</v>
      </c>
      <c r="B381" s="241" t="str">
        <f t="shared" si="71"/>
        <v>Residential - BHPSD - Residential Lighting &amp; Appliances</v>
      </c>
      <c r="C381" s="241" t="b">
        <f t="shared" si="72"/>
        <v>1</v>
      </c>
      <c r="D381" s="241" t="str">
        <f t="shared" si="73"/>
        <v>Residential - BHPSD - Residential Lighting &amp; Appliances_Residential Lighting &amp; Appliances :- LED :- Customer Incentives_LED</v>
      </c>
      <c r="E381" s="241" t="str">
        <f t="shared" si="74"/>
        <v>Residential_Residential Lighting_Lighting_LED</v>
      </c>
      <c r="F381" s="241" t="str">
        <f>INDEX('VDSM MAPPING'!E:E,MATCH($D381,'VDSM MAPPING'!$A:$A,0))</f>
        <v>Residential</v>
      </c>
      <c r="G381" s="241" t="str">
        <f>INDEX('VDSM MAPPING'!F:F,MATCH($D381,'VDSM MAPPING'!$A:$A,0))</f>
        <v>Residential Lighting</v>
      </c>
      <c r="H381" s="241" t="str">
        <f>INDEX('VDSM MAPPING'!G:G,MATCH($D381,'VDSM MAPPING'!$A:$A,0))</f>
        <v>Lighting</v>
      </c>
      <c r="I381" s="241" t="str">
        <f>INDEX('VDSM MAPPING'!H:H,MATCH($D381,'VDSM MAPPING'!$A:$A,0))</f>
        <v>LED</v>
      </c>
      <c r="J381" s="240">
        <f t="shared" si="75"/>
        <v>7.6540760934603463E-2</v>
      </c>
      <c r="K381" s="240">
        <f t="shared" si="76"/>
        <v>0.50765345000200468</v>
      </c>
      <c r="L381" s="240" t="b">
        <f t="shared" si="77"/>
        <v>0</v>
      </c>
      <c r="M381" s="240" t="b">
        <f t="shared" si="78"/>
        <v>0</v>
      </c>
      <c r="N381" s="204" t="s">
        <v>289</v>
      </c>
      <c r="O381" s="204" t="s">
        <v>1473</v>
      </c>
      <c r="P381" s="350">
        <v>1</v>
      </c>
      <c r="Q381" s="204" t="s">
        <v>1473</v>
      </c>
      <c r="R381" s="204" t="s">
        <v>1472</v>
      </c>
      <c r="S381" s="204" t="s">
        <v>1471</v>
      </c>
      <c r="T381" s="204" t="s">
        <v>1470</v>
      </c>
      <c r="V381" s="204" t="s">
        <v>1469</v>
      </c>
      <c r="W381" s="204" t="s">
        <v>413</v>
      </c>
      <c r="X381" s="204" t="s">
        <v>297</v>
      </c>
      <c r="Y381" s="204" t="s">
        <v>412</v>
      </c>
      <c r="Z381" s="204" t="s">
        <v>601</v>
      </c>
      <c r="AA381" s="204" t="s">
        <v>600</v>
      </c>
      <c r="AB381" s="204" t="s">
        <v>329</v>
      </c>
      <c r="AC381" s="204" t="s">
        <v>297</v>
      </c>
      <c r="AD381" s="204" t="s">
        <v>599</v>
      </c>
      <c r="AE381" s="204" t="s">
        <v>598</v>
      </c>
      <c r="AG381" s="204" t="s">
        <v>791</v>
      </c>
      <c r="AH381" s="204" t="s">
        <v>151</v>
      </c>
      <c r="AX381" s="204">
        <v>2</v>
      </c>
      <c r="AY381" s="204">
        <v>0</v>
      </c>
      <c r="AZ381" s="204">
        <v>7.6E-3</v>
      </c>
      <c r="BB381" s="204">
        <v>64.534000000000006</v>
      </c>
      <c r="BH381" s="204">
        <v>0</v>
      </c>
      <c r="BI381" s="204">
        <v>9</v>
      </c>
      <c r="BJ381" s="204">
        <v>42702</v>
      </c>
      <c r="BK381" s="204">
        <v>42702.651114814798</v>
      </c>
      <c r="BL381" s="204" t="s">
        <v>293</v>
      </c>
      <c r="BM381" s="204" t="s">
        <v>1468</v>
      </c>
      <c r="BN381" s="242">
        <f t="shared" si="79"/>
        <v>32.267000000000003</v>
      </c>
      <c r="BO381" s="269">
        <f t="shared" si="80"/>
        <v>4.5</v>
      </c>
      <c r="BP381" s="269">
        <f>INDEX('App Data Outliers'!$M:$M,MATCH($E381,'App Data Outliers'!$A:$A,0))</f>
        <v>31.912660854402784</v>
      </c>
      <c r="BQ381" s="269">
        <f>INDEX('App Data Outliers'!$N:$N,MATCH($E381,'App Data Outliers'!$A:$A,0))</f>
        <v>4.6294175975068628</v>
      </c>
      <c r="BR381" s="269">
        <f>INDEX('App Data Outliers'!$S:$S,MATCH($E381,'App Data Outliers'!$A:$A,0))</f>
        <v>3.9162224934612029</v>
      </c>
      <c r="BS381" s="269">
        <f>INDEX('App Data Outliers'!$T:$T,MATCH($E381,'App Data Outliers'!$A:$A,0))</f>
        <v>1.1499528005502413</v>
      </c>
    </row>
    <row r="382" spans="1:71" s="204" customFormat="1" hidden="1">
      <c r="A382" s="241">
        <v>378</v>
      </c>
      <c r="B382" s="241" t="str">
        <f t="shared" si="71"/>
        <v>Residential - BHPSD - Residential Lighting &amp; Appliances</v>
      </c>
      <c r="C382" s="241" t="b">
        <f t="shared" si="72"/>
        <v>1</v>
      </c>
      <c r="D382" s="241" t="str">
        <f t="shared" si="73"/>
        <v>Residential - BHPSD - Residential Lighting &amp; Appliances_Residential Lighting &amp; Appliances :- LED :- Customer Incentives_LED</v>
      </c>
      <c r="E382" s="241" t="str">
        <f t="shared" si="74"/>
        <v>Residential_Residential Lighting_Lighting_LED</v>
      </c>
      <c r="F382" s="241" t="str">
        <f>INDEX('VDSM MAPPING'!E:E,MATCH($D382,'VDSM MAPPING'!$A:$A,0))</f>
        <v>Residential</v>
      </c>
      <c r="G382" s="241" t="str">
        <f>INDEX('VDSM MAPPING'!F:F,MATCH($D382,'VDSM MAPPING'!$A:$A,0))</f>
        <v>Residential Lighting</v>
      </c>
      <c r="H382" s="241" t="str">
        <f>INDEX('VDSM MAPPING'!G:G,MATCH($D382,'VDSM MAPPING'!$A:$A,0))</f>
        <v>Lighting</v>
      </c>
      <c r="I382" s="241" t="str">
        <f>INDEX('VDSM MAPPING'!H:H,MATCH($D382,'VDSM MAPPING'!$A:$A,0))</f>
        <v>LED</v>
      </c>
      <c r="J382" s="240">
        <f t="shared" si="75"/>
        <v>-1.8837490182564718</v>
      </c>
      <c r="K382" s="240">
        <f t="shared" si="76"/>
        <v>7.2852995791401517E-2</v>
      </c>
      <c r="L382" s="240" t="b">
        <f t="shared" si="77"/>
        <v>0</v>
      </c>
      <c r="M382" s="240" t="b">
        <f t="shared" si="78"/>
        <v>0</v>
      </c>
      <c r="N382" s="204" t="s">
        <v>289</v>
      </c>
      <c r="O382" s="204" t="s">
        <v>1465</v>
      </c>
      <c r="P382" s="350">
        <v>1</v>
      </c>
      <c r="Q382" s="204" t="s">
        <v>1465</v>
      </c>
      <c r="R382" s="204" t="s">
        <v>1464</v>
      </c>
      <c r="S382" s="204" t="s">
        <v>1463</v>
      </c>
      <c r="T382" s="204" t="s">
        <v>354</v>
      </c>
      <c r="V382" s="204" t="s">
        <v>1462</v>
      </c>
      <c r="W382" s="204" t="s">
        <v>308</v>
      </c>
      <c r="X382" s="204" t="s">
        <v>297</v>
      </c>
      <c r="Y382" s="204" t="s">
        <v>307</v>
      </c>
      <c r="Z382" s="204" t="s">
        <v>601</v>
      </c>
      <c r="AA382" s="204" t="s">
        <v>600</v>
      </c>
      <c r="AB382" s="204" t="s">
        <v>329</v>
      </c>
      <c r="AC382" s="204" t="s">
        <v>297</v>
      </c>
      <c r="AD382" s="204" t="s">
        <v>599</v>
      </c>
      <c r="AE382" s="204" t="s">
        <v>598</v>
      </c>
      <c r="AG382" s="204" t="s">
        <v>791</v>
      </c>
      <c r="AH382" s="204" t="s">
        <v>151</v>
      </c>
      <c r="AX382" s="204">
        <v>25</v>
      </c>
      <c r="AY382" s="204">
        <v>0</v>
      </c>
      <c r="AZ382" s="204">
        <v>6.7500000000000004E-2</v>
      </c>
      <c r="BB382" s="204">
        <v>579.79999999999995</v>
      </c>
      <c r="BH382" s="204">
        <v>0</v>
      </c>
      <c r="BI382" s="204">
        <v>100</v>
      </c>
      <c r="BJ382" s="204">
        <v>42702</v>
      </c>
      <c r="BK382" s="204">
        <v>42702.651940543998</v>
      </c>
      <c r="BL382" s="204" t="s">
        <v>293</v>
      </c>
      <c r="BM382" s="204" t="s">
        <v>1467</v>
      </c>
      <c r="BN382" s="242">
        <f t="shared" si="79"/>
        <v>23.191999999999997</v>
      </c>
      <c r="BO382" s="269">
        <f t="shared" si="80"/>
        <v>4</v>
      </c>
      <c r="BP382" s="269">
        <f>INDEX('App Data Outliers'!$M:$M,MATCH($E382,'App Data Outliers'!$A:$A,0))</f>
        <v>31.912660854402784</v>
      </c>
      <c r="BQ382" s="269">
        <f>INDEX('App Data Outliers'!$N:$N,MATCH($E382,'App Data Outliers'!$A:$A,0))</f>
        <v>4.6294175975068628</v>
      </c>
      <c r="BR382" s="269">
        <f>INDEX('App Data Outliers'!$S:$S,MATCH($E382,'App Data Outliers'!$A:$A,0))</f>
        <v>3.9162224934612029</v>
      </c>
      <c r="BS382" s="269">
        <f>INDEX('App Data Outliers'!$T:$T,MATCH($E382,'App Data Outliers'!$A:$A,0))</f>
        <v>1.1499528005502413</v>
      </c>
    </row>
    <row r="383" spans="1:71" s="204" customFormat="1" hidden="1">
      <c r="A383" s="241">
        <v>379</v>
      </c>
      <c r="B383" s="241" t="str">
        <f t="shared" si="71"/>
        <v>Residential - BHPSD - Residential Lighting &amp; Appliances</v>
      </c>
      <c r="C383" s="241" t="b">
        <f t="shared" si="72"/>
        <v>1</v>
      </c>
      <c r="D383" s="241" t="str">
        <f t="shared" si="73"/>
        <v>Residential - BHPSD - Residential Lighting &amp; Appliances_Residential Lighting &amp; Appliances :- LED :- Customer Incentives_LED</v>
      </c>
      <c r="E383" s="241" t="str">
        <f t="shared" si="74"/>
        <v>Residential_Residential Lighting_Lighting_LED</v>
      </c>
      <c r="F383" s="241" t="str">
        <f>INDEX('VDSM MAPPING'!E:E,MATCH($D383,'VDSM MAPPING'!$A:$A,0))</f>
        <v>Residential</v>
      </c>
      <c r="G383" s="241" t="str">
        <f>INDEX('VDSM MAPPING'!F:F,MATCH($D383,'VDSM MAPPING'!$A:$A,0))</f>
        <v>Residential Lighting</v>
      </c>
      <c r="H383" s="241" t="str">
        <f>INDEX('VDSM MAPPING'!G:G,MATCH($D383,'VDSM MAPPING'!$A:$A,0))</f>
        <v>Lighting</v>
      </c>
      <c r="I383" s="241" t="str">
        <f>INDEX('VDSM MAPPING'!H:H,MATCH($D383,'VDSM MAPPING'!$A:$A,0))</f>
        <v>LED</v>
      </c>
      <c r="J383" s="240">
        <f t="shared" si="75"/>
        <v>0.40336372907962731</v>
      </c>
      <c r="K383" s="240">
        <f t="shared" si="76"/>
        <v>1.4642144492653311</v>
      </c>
      <c r="L383" s="240" t="b">
        <f t="shared" si="77"/>
        <v>0</v>
      </c>
      <c r="M383" s="240" t="b">
        <f t="shared" si="78"/>
        <v>0</v>
      </c>
      <c r="N383" s="204" t="s">
        <v>289</v>
      </c>
      <c r="O383" s="204" t="s">
        <v>1465</v>
      </c>
      <c r="P383" s="350">
        <v>0</v>
      </c>
      <c r="Q383" s="204" t="s">
        <v>1465</v>
      </c>
      <c r="R383" s="204" t="s">
        <v>1464</v>
      </c>
      <c r="S383" s="204" t="s">
        <v>1463</v>
      </c>
      <c r="T383" s="204" t="s">
        <v>354</v>
      </c>
      <c r="V383" s="204" t="s">
        <v>1462</v>
      </c>
      <c r="W383" s="204" t="s">
        <v>308</v>
      </c>
      <c r="X383" s="204" t="s">
        <v>297</v>
      </c>
      <c r="Y383" s="204" t="s">
        <v>307</v>
      </c>
      <c r="Z383" s="204" t="s">
        <v>601</v>
      </c>
      <c r="AA383" s="204" t="s">
        <v>600</v>
      </c>
      <c r="AB383" s="204" t="s">
        <v>329</v>
      </c>
      <c r="AC383" s="204" t="s">
        <v>297</v>
      </c>
      <c r="AD383" s="204" t="s">
        <v>599</v>
      </c>
      <c r="AE383" s="204" t="s">
        <v>598</v>
      </c>
      <c r="AG383" s="204" t="s">
        <v>791</v>
      </c>
      <c r="AH383" s="204" t="s">
        <v>151</v>
      </c>
      <c r="AX383" s="204">
        <v>25</v>
      </c>
      <c r="AY383" s="204">
        <v>0</v>
      </c>
      <c r="AZ383" s="204">
        <v>0.1</v>
      </c>
      <c r="BB383" s="204">
        <v>844.5</v>
      </c>
      <c r="BH383" s="204">
        <v>0</v>
      </c>
      <c r="BI383" s="204">
        <v>140</v>
      </c>
      <c r="BJ383" s="204">
        <v>42702</v>
      </c>
      <c r="BK383" s="204">
        <v>42702.651940543998</v>
      </c>
      <c r="BL383" s="204" t="s">
        <v>293</v>
      </c>
      <c r="BM383" s="204" t="s">
        <v>1466</v>
      </c>
      <c r="BN383" s="242">
        <f t="shared" si="79"/>
        <v>33.78</v>
      </c>
      <c r="BO383" s="269">
        <f t="shared" si="80"/>
        <v>5.6</v>
      </c>
      <c r="BP383" s="269">
        <f>INDEX('App Data Outliers'!$M:$M,MATCH($E383,'App Data Outliers'!$A:$A,0))</f>
        <v>31.912660854402784</v>
      </c>
      <c r="BQ383" s="269">
        <f>INDEX('App Data Outliers'!$N:$N,MATCH($E383,'App Data Outliers'!$A:$A,0))</f>
        <v>4.6294175975068628</v>
      </c>
      <c r="BR383" s="269">
        <f>INDEX('App Data Outliers'!$S:$S,MATCH($E383,'App Data Outliers'!$A:$A,0))</f>
        <v>3.9162224934612029</v>
      </c>
      <c r="BS383" s="269">
        <f>INDEX('App Data Outliers'!$T:$T,MATCH($E383,'App Data Outliers'!$A:$A,0))</f>
        <v>1.1499528005502413</v>
      </c>
    </row>
    <row r="384" spans="1:71" s="204" customFormat="1" hidden="1">
      <c r="A384" s="241">
        <v>380</v>
      </c>
      <c r="B384" s="241" t="str">
        <f t="shared" si="71"/>
        <v>Residential - BHPSD - Residential Lighting &amp; Appliances</v>
      </c>
      <c r="C384" s="241" t="b">
        <f t="shared" si="72"/>
        <v>1</v>
      </c>
      <c r="D384" s="241" t="str">
        <f t="shared" si="73"/>
        <v>Residential - BHPSD - Residential Lighting &amp; Appliances_Residential Lighting &amp; Appliances :- LED :- Customer Incentives_LED</v>
      </c>
      <c r="E384" s="241" t="str">
        <f t="shared" si="74"/>
        <v>Residential_Residential Lighting_Lighting_LED</v>
      </c>
      <c r="F384" s="241" t="str">
        <f>INDEX('VDSM MAPPING'!E:E,MATCH($D384,'VDSM MAPPING'!$A:$A,0))</f>
        <v>Residential</v>
      </c>
      <c r="G384" s="241" t="str">
        <f>INDEX('VDSM MAPPING'!F:F,MATCH($D384,'VDSM MAPPING'!$A:$A,0))</f>
        <v>Residential Lighting</v>
      </c>
      <c r="H384" s="241" t="str">
        <f>INDEX('VDSM MAPPING'!G:G,MATCH($D384,'VDSM MAPPING'!$A:$A,0))</f>
        <v>Lighting</v>
      </c>
      <c r="I384" s="241" t="str">
        <f>INDEX('VDSM MAPPING'!H:H,MATCH($D384,'VDSM MAPPING'!$A:$A,0))</f>
        <v>LED</v>
      </c>
      <c r="J384" s="240">
        <f t="shared" si="75"/>
        <v>7.6540760934601937E-2</v>
      </c>
      <c r="K384" s="240">
        <f t="shared" si="76"/>
        <v>0.50765345000200468</v>
      </c>
      <c r="L384" s="240" t="b">
        <f t="shared" si="77"/>
        <v>0</v>
      </c>
      <c r="M384" s="240" t="b">
        <f t="shared" si="78"/>
        <v>0</v>
      </c>
      <c r="N384" s="204" t="s">
        <v>289</v>
      </c>
      <c r="O384" s="204" t="s">
        <v>1465</v>
      </c>
      <c r="P384" s="350">
        <v>0</v>
      </c>
      <c r="Q384" s="204" t="s">
        <v>1465</v>
      </c>
      <c r="R384" s="204" t="s">
        <v>1464</v>
      </c>
      <c r="S384" s="204" t="s">
        <v>1463</v>
      </c>
      <c r="T384" s="204" t="s">
        <v>354</v>
      </c>
      <c r="V384" s="204" t="s">
        <v>1462</v>
      </c>
      <c r="W384" s="204" t="s">
        <v>308</v>
      </c>
      <c r="X384" s="204" t="s">
        <v>297</v>
      </c>
      <c r="Y384" s="204" t="s">
        <v>307</v>
      </c>
      <c r="Z384" s="204" t="s">
        <v>601</v>
      </c>
      <c r="AA384" s="204" t="s">
        <v>600</v>
      </c>
      <c r="AB384" s="204" t="s">
        <v>329</v>
      </c>
      <c r="AC384" s="204" t="s">
        <v>297</v>
      </c>
      <c r="AD384" s="204" t="s">
        <v>599</v>
      </c>
      <c r="AE384" s="204" t="s">
        <v>598</v>
      </c>
      <c r="AG384" s="204" t="s">
        <v>791</v>
      </c>
      <c r="AH384" s="204" t="s">
        <v>151</v>
      </c>
      <c r="AX384" s="204">
        <v>25</v>
      </c>
      <c r="AY384" s="204">
        <v>0</v>
      </c>
      <c r="AZ384" s="204">
        <v>9.5000000000000001E-2</v>
      </c>
      <c r="BB384" s="204">
        <v>806.67499999999995</v>
      </c>
      <c r="BH384" s="204">
        <v>0</v>
      </c>
      <c r="BI384" s="204">
        <v>112.5</v>
      </c>
      <c r="BJ384" s="204">
        <v>42702</v>
      </c>
      <c r="BK384" s="204">
        <v>42702.651940543998</v>
      </c>
      <c r="BL384" s="204" t="s">
        <v>293</v>
      </c>
      <c r="BM384" s="204" t="s">
        <v>1461</v>
      </c>
      <c r="BN384" s="242">
        <f t="shared" si="79"/>
        <v>32.266999999999996</v>
      </c>
      <c r="BO384" s="269">
        <f t="shared" si="80"/>
        <v>4.5</v>
      </c>
      <c r="BP384" s="269">
        <f>INDEX('App Data Outliers'!$M:$M,MATCH($E384,'App Data Outliers'!$A:$A,0))</f>
        <v>31.912660854402784</v>
      </c>
      <c r="BQ384" s="269">
        <f>INDEX('App Data Outliers'!$N:$N,MATCH($E384,'App Data Outliers'!$A:$A,0))</f>
        <v>4.6294175975068628</v>
      </c>
      <c r="BR384" s="269">
        <f>INDEX('App Data Outliers'!$S:$S,MATCH($E384,'App Data Outliers'!$A:$A,0))</f>
        <v>3.9162224934612029</v>
      </c>
      <c r="BS384" s="269">
        <f>INDEX('App Data Outliers'!$T:$T,MATCH($E384,'App Data Outliers'!$A:$A,0))</f>
        <v>1.1499528005502413</v>
      </c>
    </row>
    <row r="385" spans="1:71" s="204" customFormat="1" hidden="1">
      <c r="A385" s="241">
        <v>381</v>
      </c>
      <c r="B385" s="241" t="str">
        <f t="shared" si="71"/>
        <v>Residential - BHPSD - Residential Lighting &amp; Appliances</v>
      </c>
      <c r="C385" s="241" t="b">
        <f t="shared" si="72"/>
        <v>1</v>
      </c>
      <c r="D385" s="241" t="str">
        <f t="shared" si="73"/>
        <v>Residential - BHPSD - Residential Lighting &amp; Appliances_Residential Lighting &amp; Appliances :- LED :- Customer Incentives_LED</v>
      </c>
      <c r="E385" s="241" t="str">
        <f t="shared" si="74"/>
        <v>Residential_Residential Lighting_Lighting_LED</v>
      </c>
      <c r="F385" s="241" t="str">
        <f>INDEX('VDSM MAPPING'!E:E,MATCH($D385,'VDSM MAPPING'!$A:$A,0))</f>
        <v>Residential</v>
      </c>
      <c r="G385" s="241" t="str">
        <f>INDEX('VDSM MAPPING'!F:F,MATCH($D385,'VDSM MAPPING'!$A:$A,0))</f>
        <v>Residential Lighting</v>
      </c>
      <c r="H385" s="241" t="str">
        <f>INDEX('VDSM MAPPING'!G:G,MATCH($D385,'VDSM MAPPING'!$A:$A,0))</f>
        <v>Lighting</v>
      </c>
      <c r="I385" s="241" t="str">
        <f>INDEX('VDSM MAPPING'!H:H,MATCH($D385,'VDSM MAPPING'!$A:$A,0))</f>
        <v>LED</v>
      </c>
      <c r="J385" s="240">
        <f t="shared" si="75"/>
        <v>7.6540760934603463E-2</v>
      </c>
      <c r="K385" s="240">
        <f t="shared" si="76"/>
        <v>0.50765345000200468</v>
      </c>
      <c r="L385" s="240" t="b">
        <f t="shared" si="77"/>
        <v>0</v>
      </c>
      <c r="M385" s="240" t="b">
        <f t="shared" si="78"/>
        <v>0</v>
      </c>
      <c r="N385" s="204" t="s">
        <v>289</v>
      </c>
      <c r="O385" s="204" t="s">
        <v>1460</v>
      </c>
      <c r="P385" s="350">
        <v>1</v>
      </c>
      <c r="Q385" s="204" t="s">
        <v>1460</v>
      </c>
      <c r="R385" s="204" t="s">
        <v>1418</v>
      </c>
      <c r="S385" s="204" t="s">
        <v>1417</v>
      </c>
      <c r="T385" s="204" t="s">
        <v>1416</v>
      </c>
      <c r="V385" s="204" t="s">
        <v>1415</v>
      </c>
      <c r="W385" s="204" t="s">
        <v>531</v>
      </c>
      <c r="X385" s="204" t="s">
        <v>297</v>
      </c>
      <c r="Y385" s="204" t="s">
        <v>530</v>
      </c>
      <c r="Z385" s="204" t="s">
        <v>601</v>
      </c>
      <c r="AA385" s="204" t="s">
        <v>600</v>
      </c>
      <c r="AB385" s="204" t="s">
        <v>329</v>
      </c>
      <c r="AC385" s="204" t="s">
        <v>297</v>
      </c>
      <c r="AD385" s="204" t="s">
        <v>599</v>
      </c>
      <c r="AE385" s="204" t="s">
        <v>598</v>
      </c>
      <c r="AG385" s="204" t="s">
        <v>791</v>
      </c>
      <c r="AH385" s="204" t="s">
        <v>151</v>
      </c>
      <c r="AX385" s="204">
        <v>4</v>
      </c>
      <c r="AY385" s="204">
        <v>0</v>
      </c>
      <c r="AZ385" s="204">
        <v>1.52E-2</v>
      </c>
      <c r="BB385" s="204">
        <v>129.06800000000001</v>
      </c>
      <c r="BH385" s="204">
        <v>0</v>
      </c>
      <c r="BI385" s="204">
        <v>18</v>
      </c>
      <c r="BJ385" s="204">
        <v>42702</v>
      </c>
      <c r="BK385" s="204">
        <v>42702.653372141198</v>
      </c>
      <c r="BL385" s="204" t="s">
        <v>293</v>
      </c>
      <c r="BM385" s="204" t="s">
        <v>1459</v>
      </c>
      <c r="BN385" s="242">
        <f t="shared" si="79"/>
        <v>32.267000000000003</v>
      </c>
      <c r="BO385" s="269">
        <f t="shared" si="80"/>
        <v>4.5</v>
      </c>
      <c r="BP385" s="269">
        <f>INDEX('App Data Outliers'!$M:$M,MATCH($E385,'App Data Outliers'!$A:$A,0))</f>
        <v>31.912660854402784</v>
      </c>
      <c r="BQ385" s="269">
        <f>INDEX('App Data Outliers'!$N:$N,MATCH($E385,'App Data Outliers'!$A:$A,0))</f>
        <v>4.6294175975068628</v>
      </c>
      <c r="BR385" s="269">
        <f>INDEX('App Data Outliers'!$S:$S,MATCH($E385,'App Data Outliers'!$A:$A,0))</f>
        <v>3.9162224934612029</v>
      </c>
      <c r="BS385" s="269">
        <f>INDEX('App Data Outliers'!$T:$T,MATCH($E385,'App Data Outliers'!$A:$A,0))</f>
        <v>1.1499528005502413</v>
      </c>
    </row>
    <row r="386" spans="1:71" s="204" customFormat="1" hidden="1">
      <c r="A386" s="241">
        <v>382</v>
      </c>
      <c r="B386" s="241" t="str">
        <f t="shared" si="71"/>
        <v>Residential - BHPSD - Residential Lighting &amp; Appliances</v>
      </c>
      <c r="C386" s="241" t="b">
        <f t="shared" si="72"/>
        <v>1</v>
      </c>
      <c r="D386" s="241" t="str">
        <f t="shared" si="73"/>
        <v>Residential - BHPSD - Residential Lighting &amp; Appliances_Residential Lighting &amp; Appliances :- LED :- Customer Incentives_LED</v>
      </c>
      <c r="E386" s="241" t="str">
        <f t="shared" si="74"/>
        <v>Residential_Residential Lighting_Lighting_LED</v>
      </c>
      <c r="F386" s="241" t="str">
        <f>INDEX('VDSM MAPPING'!E:E,MATCH($D386,'VDSM MAPPING'!$A:$A,0))</f>
        <v>Residential</v>
      </c>
      <c r="G386" s="241" t="str">
        <f>INDEX('VDSM MAPPING'!F:F,MATCH($D386,'VDSM MAPPING'!$A:$A,0))</f>
        <v>Residential Lighting</v>
      </c>
      <c r="H386" s="241" t="str">
        <f>INDEX('VDSM MAPPING'!G:G,MATCH($D386,'VDSM MAPPING'!$A:$A,0))</f>
        <v>Lighting</v>
      </c>
      <c r="I386" s="241" t="str">
        <f>INDEX('VDSM MAPPING'!H:H,MATCH($D386,'VDSM MAPPING'!$A:$A,0))</f>
        <v>LED</v>
      </c>
      <c r="J386" s="240">
        <f t="shared" si="75"/>
        <v>-1.8837490182564718</v>
      </c>
      <c r="K386" s="240">
        <f t="shared" si="76"/>
        <v>7.2852995791401517E-2</v>
      </c>
      <c r="L386" s="240" t="b">
        <f t="shared" si="77"/>
        <v>0</v>
      </c>
      <c r="M386" s="240" t="b">
        <f t="shared" si="78"/>
        <v>0</v>
      </c>
      <c r="N386" s="204" t="s">
        <v>289</v>
      </c>
      <c r="O386" s="204" t="s">
        <v>1457</v>
      </c>
      <c r="P386" s="350">
        <v>1</v>
      </c>
      <c r="Q386" s="204" t="s">
        <v>1457</v>
      </c>
      <c r="R386" s="204" t="s">
        <v>1456</v>
      </c>
      <c r="S386" s="204" t="s">
        <v>1455</v>
      </c>
      <c r="T386" s="204" t="s">
        <v>1396</v>
      </c>
      <c r="V386" s="204" t="s">
        <v>1454</v>
      </c>
      <c r="W386" s="204" t="s">
        <v>531</v>
      </c>
      <c r="X386" s="204" t="s">
        <v>297</v>
      </c>
      <c r="Y386" s="204" t="s">
        <v>530</v>
      </c>
      <c r="Z386" s="204" t="s">
        <v>601</v>
      </c>
      <c r="AA386" s="204" t="s">
        <v>600</v>
      </c>
      <c r="AB386" s="204" t="s">
        <v>329</v>
      </c>
      <c r="AC386" s="204" t="s">
        <v>297</v>
      </c>
      <c r="AD386" s="204" t="s">
        <v>599</v>
      </c>
      <c r="AE386" s="204" t="s">
        <v>598</v>
      </c>
      <c r="AG386" s="204" t="s">
        <v>791</v>
      </c>
      <c r="AH386" s="204" t="s">
        <v>151</v>
      </c>
      <c r="AX386" s="204">
        <v>6</v>
      </c>
      <c r="AY386" s="204">
        <v>0</v>
      </c>
      <c r="AZ386" s="204">
        <v>1.6199999999999999E-2</v>
      </c>
      <c r="BB386" s="204">
        <v>139.15199999999999</v>
      </c>
      <c r="BH386" s="204">
        <v>0</v>
      </c>
      <c r="BI386" s="204">
        <v>24</v>
      </c>
      <c r="BJ386" s="204">
        <v>42702</v>
      </c>
      <c r="BK386" s="204">
        <v>42702.655526620401</v>
      </c>
      <c r="BL386" s="204" t="s">
        <v>293</v>
      </c>
      <c r="BM386" s="204" t="s">
        <v>1453</v>
      </c>
      <c r="BN386" s="242">
        <f t="shared" si="79"/>
        <v>23.191999999999997</v>
      </c>
      <c r="BO386" s="269">
        <f t="shared" si="80"/>
        <v>4</v>
      </c>
      <c r="BP386" s="269">
        <f>INDEX('App Data Outliers'!$M:$M,MATCH($E386,'App Data Outliers'!$A:$A,0))</f>
        <v>31.912660854402784</v>
      </c>
      <c r="BQ386" s="269">
        <f>INDEX('App Data Outliers'!$N:$N,MATCH($E386,'App Data Outliers'!$A:$A,0))</f>
        <v>4.6294175975068628</v>
      </c>
      <c r="BR386" s="269">
        <f>INDEX('App Data Outliers'!$S:$S,MATCH($E386,'App Data Outliers'!$A:$A,0))</f>
        <v>3.9162224934612029</v>
      </c>
      <c r="BS386" s="269">
        <f>INDEX('App Data Outliers'!$T:$T,MATCH($E386,'App Data Outliers'!$A:$A,0))</f>
        <v>1.1499528005502413</v>
      </c>
    </row>
    <row r="387" spans="1:71" s="204" customFormat="1" hidden="1">
      <c r="A387" s="241">
        <v>383</v>
      </c>
      <c r="B387" s="241" t="str">
        <f t="shared" si="71"/>
        <v>Residential - BHPSD - Residential Lighting &amp; Appliances</v>
      </c>
      <c r="C387" s="241" t="b">
        <f t="shared" si="72"/>
        <v>1</v>
      </c>
      <c r="D387" s="241" t="str">
        <f t="shared" si="73"/>
        <v>Residential - BHPSD - Residential Lighting &amp; Appliances_Residential Lighting &amp; Appliances :- LED :- Customer Incentives_LED</v>
      </c>
      <c r="E387" s="241" t="str">
        <f t="shared" si="74"/>
        <v>Residential_Residential Lighting_Lighting_LED</v>
      </c>
      <c r="F387" s="241" t="str">
        <f>INDEX('VDSM MAPPING'!E:E,MATCH($D387,'VDSM MAPPING'!$A:$A,0))</f>
        <v>Residential</v>
      </c>
      <c r="G387" s="241" t="str">
        <f>INDEX('VDSM MAPPING'!F:F,MATCH($D387,'VDSM MAPPING'!$A:$A,0))</f>
        <v>Residential Lighting</v>
      </c>
      <c r="H387" s="241" t="str">
        <f>INDEX('VDSM MAPPING'!G:G,MATCH($D387,'VDSM MAPPING'!$A:$A,0))</f>
        <v>Lighting</v>
      </c>
      <c r="I387" s="241" t="str">
        <f>INDEX('VDSM MAPPING'!H:H,MATCH($D387,'VDSM MAPPING'!$A:$A,0))</f>
        <v>LED</v>
      </c>
      <c r="J387" s="240">
        <f t="shared" si="75"/>
        <v>7.6540760934603463E-2</v>
      </c>
      <c r="K387" s="240">
        <f t="shared" si="76"/>
        <v>0.50765345000200468</v>
      </c>
      <c r="L387" s="240" t="b">
        <f t="shared" si="77"/>
        <v>0</v>
      </c>
      <c r="M387" s="240" t="b">
        <f t="shared" si="78"/>
        <v>0</v>
      </c>
      <c r="N387" s="204" t="s">
        <v>289</v>
      </c>
      <c r="O387" s="204" t="s">
        <v>1457</v>
      </c>
      <c r="P387" s="350">
        <v>0</v>
      </c>
      <c r="Q387" s="204" t="s">
        <v>1457</v>
      </c>
      <c r="R387" s="204" t="s">
        <v>1456</v>
      </c>
      <c r="S387" s="204" t="s">
        <v>1455</v>
      </c>
      <c r="T387" s="204" t="s">
        <v>1396</v>
      </c>
      <c r="V387" s="204" t="s">
        <v>1454</v>
      </c>
      <c r="W387" s="204" t="s">
        <v>531</v>
      </c>
      <c r="X387" s="204" t="s">
        <v>297</v>
      </c>
      <c r="Y387" s="204" t="s">
        <v>530</v>
      </c>
      <c r="Z387" s="204" t="s">
        <v>601</v>
      </c>
      <c r="AA387" s="204" t="s">
        <v>600</v>
      </c>
      <c r="AB387" s="204" t="s">
        <v>329</v>
      </c>
      <c r="AC387" s="204" t="s">
        <v>297</v>
      </c>
      <c r="AD387" s="204" t="s">
        <v>599</v>
      </c>
      <c r="AE387" s="204" t="s">
        <v>598</v>
      </c>
      <c r="AG387" s="204" t="s">
        <v>791</v>
      </c>
      <c r="AH387" s="204" t="s">
        <v>151</v>
      </c>
      <c r="AX387" s="204">
        <v>2</v>
      </c>
      <c r="AY387" s="204">
        <v>0</v>
      </c>
      <c r="AZ387" s="204">
        <v>7.6E-3</v>
      </c>
      <c r="BB387" s="204">
        <v>64.534000000000006</v>
      </c>
      <c r="BH387" s="204">
        <v>0</v>
      </c>
      <c r="BI387" s="204">
        <v>9</v>
      </c>
      <c r="BJ387" s="204">
        <v>42702</v>
      </c>
      <c r="BK387" s="204">
        <v>42702.655526620401</v>
      </c>
      <c r="BL387" s="204" t="s">
        <v>293</v>
      </c>
      <c r="BM387" s="204" t="s">
        <v>1458</v>
      </c>
      <c r="BN387" s="242">
        <f t="shared" si="79"/>
        <v>32.267000000000003</v>
      </c>
      <c r="BO387" s="269">
        <f t="shared" si="80"/>
        <v>4.5</v>
      </c>
      <c r="BP387" s="269">
        <f>INDEX('App Data Outliers'!$M:$M,MATCH($E387,'App Data Outliers'!$A:$A,0))</f>
        <v>31.912660854402784</v>
      </c>
      <c r="BQ387" s="269">
        <f>INDEX('App Data Outliers'!$N:$N,MATCH($E387,'App Data Outliers'!$A:$A,0))</f>
        <v>4.6294175975068628</v>
      </c>
      <c r="BR387" s="269">
        <f>INDEX('App Data Outliers'!$S:$S,MATCH($E387,'App Data Outliers'!$A:$A,0))</f>
        <v>3.9162224934612029</v>
      </c>
      <c r="BS387" s="269">
        <f>INDEX('App Data Outliers'!$T:$T,MATCH($E387,'App Data Outliers'!$A:$A,0))</f>
        <v>1.1499528005502413</v>
      </c>
    </row>
    <row r="388" spans="1:71" s="204" customFormat="1" hidden="1">
      <c r="A388" s="241">
        <v>384</v>
      </c>
      <c r="B388" s="241" t="str">
        <f t="shared" si="71"/>
        <v>Residential - BHPSD - Residential Lighting &amp; Appliances</v>
      </c>
      <c r="C388" s="241" t="b">
        <f t="shared" si="72"/>
        <v>1</v>
      </c>
      <c r="D388" s="241" t="str">
        <f t="shared" si="73"/>
        <v>Residential - BHPSD - Residential Lighting &amp; Appliances_Residential Lighting &amp; Appliances :- LED :- Customer Incentives_LED</v>
      </c>
      <c r="E388" s="241" t="str">
        <f t="shared" si="74"/>
        <v>Residential_Residential Lighting_Lighting_LED</v>
      </c>
      <c r="F388" s="241" t="str">
        <f>INDEX('VDSM MAPPING'!E:E,MATCH($D388,'VDSM MAPPING'!$A:$A,0))</f>
        <v>Residential</v>
      </c>
      <c r="G388" s="241" t="str">
        <f>INDEX('VDSM MAPPING'!F:F,MATCH($D388,'VDSM MAPPING'!$A:$A,0))</f>
        <v>Residential Lighting</v>
      </c>
      <c r="H388" s="241" t="str">
        <f>INDEX('VDSM MAPPING'!G:G,MATCH($D388,'VDSM MAPPING'!$A:$A,0))</f>
        <v>Lighting</v>
      </c>
      <c r="I388" s="241" t="str">
        <f>INDEX('VDSM MAPPING'!H:H,MATCH($D388,'VDSM MAPPING'!$A:$A,0))</f>
        <v>LED</v>
      </c>
      <c r="J388" s="240">
        <f t="shared" si="75"/>
        <v>-1.8837490182564711</v>
      </c>
      <c r="K388" s="240">
        <f t="shared" si="76"/>
        <v>7.2852995791401517E-2</v>
      </c>
      <c r="L388" s="240" t="b">
        <f t="shared" si="77"/>
        <v>0</v>
      </c>
      <c r="M388" s="240" t="b">
        <f t="shared" si="78"/>
        <v>0</v>
      </c>
      <c r="N388" s="204" t="s">
        <v>289</v>
      </c>
      <c r="O388" s="204" t="s">
        <v>1451</v>
      </c>
      <c r="P388" s="350">
        <v>1</v>
      </c>
      <c r="Q388" s="204" t="s">
        <v>1451</v>
      </c>
      <c r="R388" s="204" t="s">
        <v>1450</v>
      </c>
      <c r="S388" s="204" t="s">
        <v>1449</v>
      </c>
      <c r="T388" s="204" t="s">
        <v>1448</v>
      </c>
      <c r="V388" s="204" t="s">
        <v>1447</v>
      </c>
      <c r="W388" s="204" t="s">
        <v>568</v>
      </c>
      <c r="X388" s="204" t="s">
        <v>297</v>
      </c>
      <c r="Y388" s="204" t="s">
        <v>567</v>
      </c>
      <c r="Z388" s="204" t="s">
        <v>601</v>
      </c>
      <c r="AA388" s="204" t="s">
        <v>600</v>
      </c>
      <c r="AB388" s="204" t="s">
        <v>329</v>
      </c>
      <c r="AC388" s="204" t="s">
        <v>297</v>
      </c>
      <c r="AD388" s="204" t="s">
        <v>599</v>
      </c>
      <c r="AE388" s="204" t="s">
        <v>598</v>
      </c>
      <c r="AG388" s="204" t="s">
        <v>791</v>
      </c>
      <c r="AH388" s="204" t="s">
        <v>151</v>
      </c>
      <c r="AX388" s="204">
        <v>2</v>
      </c>
      <c r="AY388" s="204">
        <v>0</v>
      </c>
      <c r="AZ388" s="204">
        <v>5.4000000000000003E-3</v>
      </c>
      <c r="BB388" s="204">
        <v>46.384</v>
      </c>
      <c r="BH388" s="204">
        <v>0</v>
      </c>
      <c r="BI388" s="204">
        <v>8</v>
      </c>
      <c r="BJ388" s="204">
        <v>42703</v>
      </c>
      <c r="BK388" s="204">
        <v>42703.531657754596</v>
      </c>
      <c r="BL388" s="204" t="s">
        <v>293</v>
      </c>
      <c r="BM388" s="204" t="s">
        <v>1452</v>
      </c>
      <c r="BN388" s="242">
        <f t="shared" si="79"/>
        <v>23.192</v>
      </c>
      <c r="BO388" s="269">
        <f t="shared" si="80"/>
        <v>4</v>
      </c>
      <c r="BP388" s="269">
        <f>INDEX('App Data Outliers'!$M:$M,MATCH($E388,'App Data Outliers'!$A:$A,0))</f>
        <v>31.912660854402784</v>
      </c>
      <c r="BQ388" s="269">
        <f>INDEX('App Data Outliers'!$N:$N,MATCH($E388,'App Data Outliers'!$A:$A,0))</f>
        <v>4.6294175975068628</v>
      </c>
      <c r="BR388" s="269">
        <f>INDEX('App Data Outliers'!$S:$S,MATCH($E388,'App Data Outliers'!$A:$A,0))</f>
        <v>3.9162224934612029</v>
      </c>
      <c r="BS388" s="269">
        <f>INDEX('App Data Outliers'!$T:$T,MATCH($E388,'App Data Outliers'!$A:$A,0))</f>
        <v>1.1499528005502413</v>
      </c>
    </row>
    <row r="389" spans="1:71" s="204" customFormat="1" hidden="1">
      <c r="A389" s="241">
        <v>385</v>
      </c>
      <c r="B389" s="241" t="str">
        <f t="shared" ref="B389:B452" si="81">IF(N389="",B388,N389)</f>
        <v>Residential - BHPSD - Residential Lighting &amp; Appliances</v>
      </c>
      <c r="C389" s="241" t="b">
        <f t="shared" ref="C389:C452" si="82">(N389="")</f>
        <v>1</v>
      </c>
      <c r="D389" s="241" t="str">
        <f t="shared" ref="D389:D452" si="83">B389&amp;"_"&amp;AG389&amp;"_"&amp;AH389</f>
        <v>Residential - BHPSD - Residential Lighting &amp; Appliances_Residential Lighting &amp; Appliances :- LED :- Customer Incentives_LED</v>
      </c>
      <c r="E389" s="241" t="str">
        <f t="shared" ref="E389:E452" si="84">IFERROR(F389&amp;"_"&amp;G389&amp;"_"&amp;H389&amp;"_"&amp;I389,0)</f>
        <v>Residential_Residential Lighting_Lighting_LED</v>
      </c>
      <c r="F389" s="241" t="str">
        <f>INDEX('VDSM MAPPING'!E:E,MATCH($D389,'VDSM MAPPING'!$A:$A,0))</f>
        <v>Residential</v>
      </c>
      <c r="G389" s="241" t="str">
        <f>INDEX('VDSM MAPPING'!F:F,MATCH($D389,'VDSM MAPPING'!$A:$A,0))</f>
        <v>Residential Lighting</v>
      </c>
      <c r="H389" s="241" t="str">
        <f>INDEX('VDSM MAPPING'!G:G,MATCH($D389,'VDSM MAPPING'!$A:$A,0))</f>
        <v>Lighting</v>
      </c>
      <c r="I389" s="241" t="str">
        <f>INDEX('VDSM MAPPING'!H:H,MATCH($D389,'VDSM MAPPING'!$A:$A,0))</f>
        <v>LED</v>
      </c>
      <c r="J389" s="240">
        <f t="shared" si="75"/>
        <v>7.6540760934603463E-2</v>
      </c>
      <c r="K389" s="240">
        <f t="shared" si="76"/>
        <v>0.50765345000200468</v>
      </c>
      <c r="L389" s="240" t="b">
        <f t="shared" si="77"/>
        <v>0</v>
      </c>
      <c r="M389" s="240" t="b">
        <f t="shared" si="78"/>
        <v>0</v>
      </c>
      <c r="N389" s="204" t="s">
        <v>289</v>
      </c>
      <c r="O389" s="204" t="s">
        <v>1451</v>
      </c>
      <c r="P389" s="350">
        <v>0</v>
      </c>
      <c r="Q389" s="204" t="s">
        <v>1451</v>
      </c>
      <c r="R389" s="204" t="s">
        <v>1450</v>
      </c>
      <c r="S389" s="204" t="s">
        <v>1449</v>
      </c>
      <c r="T389" s="204" t="s">
        <v>1448</v>
      </c>
      <c r="V389" s="204" t="s">
        <v>1447</v>
      </c>
      <c r="W389" s="204" t="s">
        <v>568</v>
      </c>
      <c r="X389" s="204" t="s">
        <v>297</v>
      </c>
      <c r="Y389" s="204" t="s">
        <v>567</v>
      </c>
      <c r="Z389" s="204" t="s">
        <v>601</v>
      </c>
      <c r="AA389" s="204" t="s">
        <v>600</v>
      </c>
      <c r="AB389" s="204" t="s">
        <v>329</v>
      </c>
      <c r="AC389" s="204" t="s">
        <v>297</v>
      </c>
      <c r="AD389" s="204" t="s">
        <v>599</v>
      </c>
      <c r="AE389" s="204" t="s">
        <v>598</v>
      </c>
      <c r="AG389" s="204" t="s">
        <v>791</v>
      </c>
      <c r="AH389" s="204" t="s">
        <v>151</v>
      </c>
      <c r="AX389" s="204">
        <v>2</v>
      </c>
      <c r="AY389" s="204">
        <v>0</v>
      </c>
      <c r="AZ389" s="204">
        <v>7.6E-3</v>
      </c>
      <c r="BB389" s="204">
        <v>64.534000000000006</v>
      </c>
      <c r="BH389" s="204">
        <v>0</v>
      </c>
      <c r="BI389" s="204">
        <v>9</v>
      </c>
      <c r="BJ389" s="204">
        <v>42703</v>
      </c>
      <c r="BK389" s="204">
        <v>42703.531657754596</v>
      </c>
      <c r="BL389" s="204" t="s">
        <v>293</v>
      </c>
      <c r="BM389" s="204" t="s">
        <v>1446</v>
      </c>
      <c r="BN389" s="242">
        <f t="shared" si="79"/>
        <v>32.267000000000003</v>
      </c>
      <c r="BO389" s="269">
        <f t="shared" si="80"/>
        <v>4.5</v>
      </c>
      <c r="BP389" s="269">
        <f>INDEX('App Data Outliers'!$M:$M,MATCH($E389,'App Data Outliers'!$A:$A,0))</f>
        <v>31.912660854402784</v>
      </c>
      <c r="BQ389" s="269">
        <f>INDEX('App Data Outliers'!$N:$N,MATCH($E389,'App Data Outliers'!$A:$A,0))</f>
        <v>4.6294175975068628</v>
      </c>
      <c r="BR389" s="269">
        <f>INDEX('App Data Outliers'!$S:$S,MATCH($E389,'App Data Outliers'!$A:$A,0))</f>
        <v>3.9162224934612029</v>
      </c>
      <c r="BS389" s="269">
        <f>INDEX('App Data Outliers'!$T:$T,MATCH($E389,'App Data Outliers'!$A:$A,0))</f>
        <v>1.1499528005502413</v>
      </c>
    </row>
    <row r="390" spans="1:71" s="204" customFormat="1" hidden="1">
      <c r="A390" s="241">
        <v>386</v>
      </c>
      <c r="B390" s="241" t="str">
        <f t="shared" si="81"/>
        <v>Residential - BHPSD - Residential Lighting &amp; Appliances</v>
      </c>
      <c r="C390" s="241" t="b">
        <f t="shared" si="82"/>
        <v>1</v>
      </c>
      <c r="D390" s="241" t="str">
        <f t="shared" si="83"/>
        <v>Residential - BHPSD - Residential Lighting &amp; Appliances_Residential Lighting &amp; Appliances :- LED :- Customer Incentives_LED</v>
      </c>
      <c r="E390" s="241" t="str">
        <f t="shared" si="84"/>
        <v>Residential_Residential Lighting_Lighting_LED</v>
      </c>
      <c r="F390" s="241" t="str">
        <f>INDEX('VDSM MAPPING'!E:E,MATCH($D390,'VDSM MAPPING'!$A:$A,0))</f>
        <v>Residential</v>
      </c>
      <c r="G390" s="241" t="str">
        <f>INDEX('VDSM MAPPING'!F:F,MATCH($D390,'VDSM MAPPING'!$A:$A,0))</f>
        <v>Residential Lighting</v>
      </c>
      <c r="H390" s="241" t="str">
        <f>INDEX('VDSM MAPPING'!G:G,MATCH($D390,'VDSM MAPPING'!$A:$A,0))</f>
        <v>Lighting</v>
      </c>
      <c r="I390" s="241" t="str">
        <f>INDEX('VDSM MAPPING'!H:H,MATCH($D390,'VDSM MAPPING'!$A:$A,0))</f>
        <v>LED</v>
      </c>
      <c r="J390" s="240">
        <f t="shared" ref="J390:J453" si="85">IFERROR(STANDARDIZE(BN390,BP390,BQ390),"")</f>
        <v>7.6540760934603463E-2</v>
      </c>
      <c r="K390" s="240">
        <f t="shared" ref="K390:K453" si="86">IFERROR(STANDARDIZE($BO390,$BR390,$BS390),"")</f>
        <v>0.50765345000200468</v>
      </c>
      <c r="L390" s="240" t="b">
        <f t="shared" ref="L390:L453" si="87">AND(ISNUMBER(J390),OR(J390&gt;=L$1,J390&lt;=-L$1))</f>
        <v>0</v>
      </c>
      <c r="M390" s="240" t="b">
        <f t="shared" ref="M390:M453" si="88">AND(ISNUMBER(K390),OR(K390&gt;=M$1,K390&lt;=-M$1))</f>
        <v>0</v>
      </c>
      <c r="N390" s="204" t="s">
        <v>289</v>
      </c>
      <c r="O390" s="204" t="s">
        <v>1445</v>
      </c>
      <c r="P390" s="350">
        <v>1</v>
      </c>
      <c r="Q390" s="204" t="s">
        <v>1445</v>
      </c>
      <c r="R390" s="204" t="s">
        <v>1444</v>
      </c>
      <c r="S390" s="204" t="s">
        <v>1443</v>
      </c>
      <c r="T390" s="204" t="s">
        <v>1442</v>
      </c>
      <c r="V390" s="204" t="s">
        <v>1441</v>
      </c>
      <c r="W390" s="204" t="s">
        <v>298</v>
      </c>
      <c r="X390" s="204" t="s">
        <v>297</v>
      </c>
      <c r="Y390" s="204" t="s">
        <v>296</v>
      </c>
      <c r="Z390" s="204" t="s">
        <v>601</v>
      </c>
      <c r="AA390" s="204" t="s">
        <v>600</v>
      </c>
      <c r="AB390" s="204" t="s">
        <v>329</v>
      </c>
      <c r="AC390" s="204" t="s">
        <v>297</v>
      </c>
      <c r="AD390" s="204" t="s">
        <v>599</v>
      </c>
      <c r="AE390" s="204" t="s">
        <v>598</v>
      </c>
      <c r="AG390" s="204" t="s">
        <v>791</v>
      </c>
      <c r="AH390" s="204" t="s">
        <v>151</v>
      </c>
      <c r="AX390" s="204">
        <v>10</v>
      </c>
      <c r="AY390" s="204">
        <v>0</v>
      </c>
      <c r="AZ390" s="204">
        <v>3.7999999999999999E-2</v>
      </c>
      <c r="BB390" s="204">
        <v>322.67</v>
      </c>
      <c r="BH390" s="204">
        <v>0</v>
      </c>
      <c r="BI390" s="204">
        <v>45</v>
      </c>
      <c r="BJ390" s="204">
        <v>42719</v>
      </c>
      <c r="BK390" s="204">
        <v>42719.626048530103</v>
      </c>
      <c r="BL390" s="204" t="s">
        <v>293</v>
      </c>
      <c r="BM390" s="204" t="s">
        <v>1440</v>
      </c>
      <c r="BN390" s="242">
        <f t="shared" ref="BN390:BN453" si="89">IFERROR(BB390/$AX390,"")</f>
        <v>32.267000000000003</v>
      </c>
      <c r="BO390" s="269">
        <f t="shared" ref="BO390:BO453" si="90">BI390/$AX390</f>
        <v>4.5</v>
      </c>
      <c r="BP390" s="269">
        <f>INDEX('App Data Outliers'!$M:$M,MATCH($E390,'App Data Outliers'!$A:$A,0))</f>
        <v>31.912660854402784</v>
      </c>
      <c r="BQ390" s="269">
        <f>INDEX('App Data Outliers'!$N:$N,MATCH($E390,'App Data Outliers'!$A:$A,0))</f>
        <v>4.6294175975068628</v>
      </c>
      <c r="BR390" s="269">
        <f>INDEX('App Data Outliers'!$S:$S,MATCH($E390,'App Data Outliers'!$A:$A,0))</f>
        <v>3.9162224934612029</v>
      </c>
      <c r="BS390" s="269">
        <f>INDEX('App Data Outliers'!$T:$T,MATCH($E390,'App Data Outliers'!$A:$A,0))</f>
        <v>1.1499528005502413</v>
      </c>
    </row>
    <row r="391" spans="1:71" s="204" customFormat="1" hidden="1">
      <c r="A391" s="241">
        <v>387</v>
      </c>
      <c r="B391" s="241" t="str">
        <f t="shared" si="81"/>
        <v>Residential - BHPSD - Residential Lighting &amp; Appliances</v>
      </c>
      <c r="C391" s="241" t="b">
        <f t="shared" si="82"/>
        <v>1</v>
      </c>
      <c r="D391" s="241" t="str">
        <f t="shared" si="83"/>
        <v>Residential - BHPSD - Residential Lighting &amp; Appliances_Residential Lighting &amp; Appliances :- LED :- Customer Incentives_LED</v>
      </c>
      <c r="E391" s="241" t="str">
        <f t="shared" si="84"/>
        <v>Residential_Residential Lighting_Lighting_LED</v>
      </c>
      <c r="F391" s="241" t="str">
        <f>INDEX('VDSM MAPPING'!E:E,MATCH($D391,'VDSM MAPPING'!$A:$A,0))</f>
        <v>Residential</v>
      </c>
      <c r="G391" s="241" t="str">
        <f>INDEX('VDSM MAPPING'!F:F,MATCH($D391,'VDSM MAPPING'!$A:$A,0))</f>
        <v>Residential Lighting</v>
      </c>
      <c r="H391" s="241" t="str">
        <f>INDEX('VDSM MAPPING'!G:G,MATCH($D391,'VDSM MAPPING'!$A:$A,0))</f>
        <v>Lighting</v>
      </c>
      <c r="I391" s="241" t="str">
        <f>INDEX('VDSM MAPPING'!H:H,MATCH($D391,'VDSM MAPPING'!$A:$A,0))</f>
        <v>LED</v>
      </c>
      <c r="J391" s="240">
        <f t="shared" si="85"/>
        <v>0.40336372907962731</v>
      </c>
      <c r="K391" s="240">
        <f t="shared" si="86"/>
        <v>1.464214449265332</v>
      </c>
      <c r="L391" s="240" t="b">
        <f t="shared" si="87"/>
        <v>0</v>
      </c>
      <c r="M391" s="240" t="b">
        <f t="shared" si="88"/>
        <v>0</v>
      </c>
      <c r="N391" s="204" t="s">
        <v>289</v>
      </c>
      <c r="O391" s="204" t="s">
        <v>1437</v>
      </c>
      <c r="P391" s="350">
        <v>1</v>
      </c>
      <c r="Q391" s="204" t="s">
        <v>1437</v>
      </c>
      <c r="R391" s="204" t="s">
        <v>1436</v>
      </c>
      <c r="S391" s="204" t="s">
        <v>1435</v>
      </c>
      <c r="T391" s="204" t="s">
        <v>1434</v>
      </c>
      <c r="V391" s="204" t="s">
        <v>1433</v>
      </c>
      <c r="W391" s="204" t="s">
        <v>329</v>
      </c>
      <c r="X391" s="204" t="s">
        <v>297</v>
      </c>
      <c r="Y391" s="204" t="s">
        <v>397</v>
      </c>
      <c r="Z391" s="204" t="s">
        <v>601</v>
      </c>
      <c r="AA391" s="204" t="s">
        <v>600</v>
      </c>
      <c r="AB391" s="204" t="s">
        <v>329</v>
      </c>
      <c r="AC391" s="204" t="s">
        <v>297</v>
      </c>
      <c r="AD391" s="204" t="s">
        <v>599</v>
      </c>
      <c r="AE391" s="204" t="s">
        <v>598</v>
      </c>
      <c r="AG391" s="204" t="s">
        <v>791</v>
      </c>
      <c r="AH391" s="204" t="s">
        <v>151</v>
      </c>
      <c r="AX391" s="204">
        <v>11</v>
      </c>
      <c r="AY391" s="204">
        <v>0</v>
      </c>
      <c r="AZ391" s="204">
        <v>4.3999999999999997E-2</v>
      </c>
      <c r="BB391" s="204">
        <v>371.58</v>
      </c>
      <c r="BH391" s="204">
        <v>0</v>
      </c>
      <c r="BI391" s="204">
        <v>61.6</v>
      </c>
      <c r="BJ391" s="204">
        <v>42719</v>
      </c>
      <c r="BK391" s="204">
        <v>42719.6268824074</v>
      </c>
      <c r="BL391" s="204" t="s">
        <v>293</v>
      </c>
      <c r="BM391" s="204" t="s">
        <v>1432</v>
      </c>
      <c r="BN391" s="242">
        <f t="shared" si="89"/>
        <v>33.78</v>
      </c>
      <c r="BO391" s="269">
        <f t="shared" si="90"/>
        <v>5.6000000000000005</v>
      </c>
      <c r="BP391" s="269">
        <f>INDEX('App Data Outliers'!$M:$M,MATCH($E391,'App Data Outliers'!$A:$A,0))</f>
        <v>31.912660854402784</v>
      </c>
      <c r="BQ391" s="269">
        <f>INDEX('App Data Outliers'!$N:$N,MATCH($E391,'App Data Outliers'!$A:$A,0))</f>
        <v>4.6294175975068628</v>
      </c>
      <c r="BR391" s="269">
        <f>INDEX('App Data Outliers'!$S:$S,MATCH($E391,'App Data Outliers'!$A:$A,0))</f>
        <v>3.9162224934612029</v>
      </c>
      <c r="BS391" s="269">
        <f>INDEX('App Data Outliers'!$T:$T,MATCH($E391,'App Data Outliers'!$A:$A,0))</f>
        <v>1.1499528005502413</v>
      </c>
    </row>
    <row r="392" spans="1:71" s="204" customFormat="1" hidden="1">
      <c r="A392" s="241">
        <v>388</v>
      </c>
      <c r="B392" s="241" t="str">
        <f t="shared" si="81"/>
        <v>Residential - BHPSD - Residential Lighting &amp; Appliances</v>
      </c>
      <c r="C392" s="241" t="b">
        <f t="shared" si="82"/>
        <v>1</v>
      </c>
      <c r="D392" s="241" t="str">
        <f t="shared" si="83"/>
        <v>Residential - BHPSD - Residential Lighting &amp; Appliances_Residential Lighting &amp; Appliances :- LED :- Customer Incentives_LED</v>
      </c>
      <c r="E392" s="241" t="str">
        <f t="shared" si="84"/>
        <v>Residential_Residential Lighting_Lighting_LED</v>
      </c>
      <c r="F392" s="241" t="str">
        <f>INDEX('VDSM MAPPING'!E:E,MATCH($D392,'VDSM MAPPING'!$A:$A,0))</f>
        <v>Residential</v>
      </c>
      <c r="G392" s="241" t="str">
        <f>INDEX('VDSM MAPPING'!F:F,MATCH($D392,'VDSM MAPPING'!$A:$A,0))</f>
        <v>Residential Lighting</v>
      </c>
      <c r="H392" s="241" t="str">
        <f>INDEX('VDSM MAPPING'!G:G,MATCH($D392,'VDSM MAPPING'!$A:$A,0))</f>
        <v>Lighting</v>
      </c>
      <c r="I392" s="241" t="str">
        <f>INDEX('VDSM MAPPING'!H:H,MATCH($D392,'VDSM MAPPING'!$A:$A,0))</f>
        <v>LED</v>
      </c>
      <c r="J392" s="240">
        <f t="shared" si="85"/>
        <v>7.6540760934603463E-2</v>
      </c>
      <c r="K392" s="240">
        <f t="shared" si="86"/>
        <v>0.50765345000200468</v>
      </c>
      <c r="L392" s="240" t="b">
        <f t="shared" si="87"/>
        <v>0</v>
      </c>
      <c r="M392" s="240" t="b">
        <f t="shared" si="88"/>
        <v>0</v>
      </c>
      <c r="N392" s="204" t="s">
        <v>289</v>
      </c>
      <c r="O392" s="204" t="s">
        <v>1437</v>
      </c>
      <c r="P392" s="350">
        <v>0</v>
      </c>
      <c r="Q392" s="204" t="s">
        <v>1437</v>
      </c>
      <c r="R392" s="204" t="s">
        <v>1436</v>
      </c>
      <c r="S392" s="204" t="s">
        <v>1435</v>
      </c>
      <c r="T392" s="204" t="s">
        <v>1434</v>
      </c>
      <c r="V392" s="204" t="s">
        <v>1433</v>
      </c>
      <c r="W392" s="204" t="s">
        <v>329</v>
      </c>
      <c r="X392" s="204" t="s">
        <v>297</v>
      </c>
      <c r="Y392" s="204" t="s">
        <v>397</v>
      </c>
      <c r="Z392" s="204" t="s">
        <v>601</v>
      </c>
      <c r="AA392" s="204" t="s">
        <v>600</v>
      </c>
      <c r="AB392" s="204" t="s">
        <v>329</v>
      </c>
      <c r="AC392" s="204" t="s">
        <v>297</v>
      </c>
      <c r="AD392" s="204" t="s">
        <v>599</v>
      </c>
      <c r="AE392" s="204" t="s">
        <v>598</v>
      </c>
      <c r="AG392" s="204" t="s">
        <v>791</v>
      </c>
      <c r="AH392" s="204" t="s">
        <v>151</v>
      </c>
      <c r="AX392" s="204">
        <v>14</v>
      </c>
      <c r="AY392" s="204">
        <v>0</v>
      </c>
      <c r="AZ392" s="204">
        <v>5.3199999999999997E-2</v>
      </c>
      <c r="BB392" s="204">
        <v>451.738</v>
      </c>
      <c r="BH392" s="204">
        <v>0</v>
      </c>
      <c r="BI392" s="204">
        <v>63</v>
      </c>
      <c r="BJ392" s="204">
        <v>42719</v>
      </c>
      <c r="BK392" s="204">
        <v>42719.6268824074</v>
      </c>
      <c r="BL392" s="204" t="s">
        <v>293</v>
      </c>
      <c r="BM392" s="204" t="s">
        <v>1438</v>
      </c>
      <c r="BN392" s="242">
        <f t="shared" si="89"/>
        <v>32.267000000000003</v>
      </c>
      <c r="BO392" s="269">
        <f t="shared" si="90"/>
        <v>4.5</v>
      </c>
      <c r="BP392" s="269">
        <f>INDEX('App Data Outliers'!$M:$M,MATCH($E392,'App Data Outliers'!$A:$A,0))</f>
        <v>31.912660854402784</v>
      </c>
      <c r="BQ392" s="269">
        <f>INDEX('App Data Outliers'!$N:$N,MATCH($E392,'App Data Outliers'!$A:$A,0))</f>
        <v>4.6294175975068628</v>
      </c>
      <c r="BR392" s="269">
        <f>INDEX('App Data Outliers'!$S:$S,MATCH($E392,'App Data Outliers'!$A:$A,0))</f>
        <v>3.9162224934612029</v>
      </c>
      <c r="BS392" s="269">
        <f>INDEX('App Data Outliers'!$T:$T,MATCH($E392,'App Data Outliers'!$A:$A,0))</f>
        <v>1.1499528005502413</v>
      </c>
    </row>
    <row r="393" spans="1:71" s="204" customFormat="1" hidden="1">
      <c r="A393" s="241">
        <v>389</v>
      </c>
      <c r="B393" s="241" t="str">
        <f t="shared" si="81"/>
        <v>Residential - BHPSD - Residential Lighting &amp; Appliances</v>
      </c>
      <c r="C393" s="241" t="b">
        <f t="shared" si="82"/>
        <v>1</v>
      </c>
      <c r="D393" s="241" t="str">
        <f t="shared" si="83"/>
        <v>Residential - BHPSD - Residential Lighting &amp; Appliances_Residential Lighting &amp; Appliances :- LED :- Customer Incentives_LED</v>
      </c>
      <c r="E393" s="241" t="str">
        <f t="shared" si="84"/>
        <v>Residential_Residential Lighting_Lighting_LED</v>
      </c>
      <c r="F393" s="241" t="str">
        <f>INDEX('VDSM MAPPING'!E:E,MATCH($D393,'VDSM MAPPING'!$A:$A,0))</f>
        <v>Residential</v>
      </c>
      <c r="G393" s="241" t="str">
        <f>INDEX('VDSM MAPPING'!F:F,MATCH($D393,'VDSM MAPPING'!$A:$A,0))</f>
        <v>Residential Lighting</v>
      </c>
      <c r="H393" s="241" t="str">
        <f>INDEX('VDSM MAPPING'!G:G,MATCH($D393,'VDSM MAPPING'!$A:$A,0))</f>
        <v>Lighting</v>
      </c>
      <c r="I393" s="241" t="str">
        <f>INDEX('VDSM MAPPING'!H:H,MATCH($D393,'VDSM MAPPING'!$A:$A,0))</f>
        <v>LED</v>
      </c>
      <c r="J393" s="240">
        <f t="shared" si="85"/>
        <v>-1.8837490182564711</v>
      </c>
      <c r="K393" s="240">
        <f t="shared" si="86"/>
        <v>7.2852995791401517E-2</v>
      </c>
      <c r="L393" s="240" t="b">
        <f t="shared" si="87"/>
        <v>0</v>
      </c>
      <c r="M393" s="240" t="b">
        <f t="shared" si="88"/>
        <v>0</v>
      </c>
      <c r="N393" s="204" t="s">
        <v>289</v>
      </c>
      <c r="O393" s="204" t="s">
        <v>1437</v>
      </c>
      <c r="P393" s="350">
        <v>0</v>
      </c>
      <c r="Q393" s="204" t="s">
        <v>1437</v>
      </c>
      <c r="R393" s="204" t="s">
        <v>1436</v>
      </c>
      <c r="S393" s="204" t="s">
        <v>1435</v>
      </c>
      <c r="T393" s="204" t="s">
        <v>1434</v>
      </c>
      <c r="V393" s="204" t="s">
        <v>1433</v>
      </c>
      <c r="W393" s="204" t="s">
        <v>329</v>
      </c>
      <c r="X393" s="204" t="s">
        <v>297</v>
      </c>
      <c r="Y393" s="204" t="s">
        <v>397</v>
      </c>
      <c r="Z393" s="204" t="s">
        <v>601</v>
      </c>
      <c r="AA393" s="204" t="s">
        <v>600</v>
      </c>
      <c r="AB393" s="204" t="s">
        <v>329</v>
      </c>
      <c r="AC393" s="204" t="s">
        <v>297</v>
      </c>
      <c r="AD393" s="204" t="s">
        <v>599</v>
      </c>
      <c r="AE393" s="204" t="s">
        <v>598</v>
      </c>
      <c r="AG393" s="204" t="s">
        <v>791</v>
      </c>
      <c r="AH393" s="204" t="s">
        <v>151</v>
      </c>
      <c r="AX393" s="204">
        <v>14</v>
      </c>
      <c r="AY393" s="204">
        <v>0</v>
      </c>
      <c r="AZ393" s="204">
        <v>3.78E-2</v>
      </c>
      <c r="BB393" s="204">
        <v>324.68799999999999</v>
      </c>
      <c r="BH393" s="204">
        <v>0</v>
      </c>
      <c r="BI393" s="204">
        <v>56</v>
      </c>
      <c r="BJ393" s="204">
        <v>42719</v>
      </c>
      <c r="BK393" s="204">
        <v>42719.6268824074</v>
      </c>
      <c r="BL393" s="204" t="s">
        <v>293</v>
      </c>
      <c r="BM393" s="204" t="s">
        <v>1439</v>
      </c>
      <c r="BN393" s="242">
        <f t="shared" si="89"/>
        <v>23.192</v>
      </c>
      <c r="BO393" s="269">
        <f t="shared" si="90"/>
        <v>4</v>
      </c>
      <c r="BP393" s="269">
        <f>INDEX('App Data Outliers'!$M:$M,MATCH($E393,'App Data Outliers'!$A:$A,0))</f>
        <v>31.912660854402784</v>
      </c>
      <c r="BQ393" s="269">
        <f>INDEX('App Data Outliers'!$N:$N,MATCH($E393,'App Data Outliers'!$A:$A,0))</f>
        <v>4.6294175975068628</v>
      </c>
      <c r="BR393" s="269">
        <f>INDEX('App Data Outliers'!$S:$S,MATCH($E393,'App Data Outliers'!$A:$A,0))</f>
        <v>3.9162224934612029</v>
      </c>
      <c r="BS393" s="269">
        <f>INDEX('App Data Outliers'!$T:$T,MATCH($E393,'App Data Outliers'!$A:$A,0))</f>
        <v>1.1499528005502413</v>
      </c>
    </row>
    <row r="394" spans="1:71" s="204" customFormat="1" hidden="1">
      <c r="A394" s="241">
        <v>390</v>
      </c>
      <c r="B394" s="241" t="str">
        <f t="shared" si="81"/>
        <v>Residential - BHPSD - Residential Lighting &amp; Appliances</v>
      </c>
      <c r="C394" s="241" t="b">
        <f t="shared" si="82"/>
        <v>1</v>
      </c>
      <c r="D394" s="241" t="str">
        <f t="shared" si="83"/>
        <v>Residential - BHPSD - Residential Lighting &amp; Appliances_Residential Lighting &amp; Appliances :- LED :- Customer Incentives_LED</v>
      </c>
      <c r="E394" s="241" t="str">
        <f t="shared" si="84"/>
        <v>Residential_Residential Lighting_Lighting_LED</v>
      </c>
      <c r="F394" s="241" t="str">
        <f>INDEX('VDSM MAPPING'!E:E,MATCH($D394,'VDSM MAPPING'!$A:$A,0))</f>
        <v>Residential</v>
      </c>
      <c r="G394" s="241" t="str">
        <f>INDEX('VDSM MAPPING'!F:F,MATCH($D394,'VDSM MAPPING'!$A:$A,0))</f>
        <v>Residential Lighting</v>
      </c>
      <c r="H394" s="241" t="str">
        <f>INDEX('VDSM MAPPING'!G:G,MATCH($D394,'VDSM MAPPING'!$A:$A,0))</f>
        <v>Lighting</v>
      </c>
      <c r="I394" s="241" t="str">
        <f>INDEX('VDSM MAPPING'!H:H,MATCH($D394,'VDSM MAPPING'!$A:$A,0))</f>
        <v>LED</v>
      </c>
      <c r="J394" s="240">
        <f t="shared" si="85"/>
        <v>0.40336372907962731</v>
      </c>
      <c r="K394" s="240">
        <f t="shared" si="86"/>
        <v>1.4642144492653311</v>
      </c>
      <c r="L394" s="240" t="b">
        <f t="shared" si="87"/>
        <v>0</v>
      </c>
      <c r="M394" s="240" t="b">
        <f t="shared" si="88"/>
        <v>0</v>
      </c>
      <c r="N394" s="204" t="s">
        <v>289</v>
      </c>
      <c r="O394" s="204" t="s">
        <v>1431</v>
      </c>
      <c r="P394" s="350">
        <v>1</v>
      </c>
      <c r="Q394" s="204" t="s">
        <v>1431</v>
      </c>
      <c r="R394" s="204" t="s">
        <v>1430</v>
      </c>
      <c r="S394" s="204" t="s">
        <v>1429</v>
      </c>
      <c r="T394" s="204" t="s">
        <v>1428</v>
      </c>
      <c r="V394" s="204" t="s">
        <v>1427</v>
      </c>
      <c r="W394" s="204" t="s">
        <v>329</v>
      </c>
      <c r="X394" s="204" t="s">
        <v>297</v>
      </c>
      <c r="Y394" s="204" t="s">
        <v>328</v>
      </c>
      <c r="Z394" s="204" t="s">
        <v>601</v>
      </c>
      <c r="AA394" s="204" t="s">
        <v>600</v>
      </c>
      <c r="AB394" s="204" t="s">
        <v>329</v>
      </c>
      <c r="AC394" s="204" t="s">
        <v>297</v>
      </c>
      <c r="AD394" s="204" t="s">
        <v>599</v>
      </c>
      <c r="AE394" s="204" t="s">
        <v>598</v>
      </c>
      <c r="AG394" s="204" t="s">
        <v>791</v>
      </c>
      <c r="AH394" s="204" t="s">
        <v>151</v>
      </c>
      <c r="AX394" s="204">
        <v>4</v>
      </c>
      <c r="AY394" s="204">
        <v>0</v>
      </c>
      <c r="AZ394" s="204">
        <v>1.6E-2</v>
      </c>
      <c r="BB394" s="204">
        <v>135.12</v>
      </c>
      <c r="BH394" s="204">
        <v>0</v>
      </c>
      <c r="BI394" s="204">
        <v>22.4</v>
      </c>
      <c r="BJ394" s="204">
        <v>42719</v>
      </c>
      <c r="BK394" s="204">
        <v>42719.627865937502</v>
      </c>
      <c r="BL394" s="204" t="s">
        <v>293</v>
      </c>
      <c r="BM394" s="204" t="s">
        <v>1426</v>
      </c>
      <c r="BN394" s="242">
        <f t="shared" si="89"/>
        <v>33.78</v>
      </c>
      <c r="BO394" s="269">
        <f t="shared" si="90"/>
        <v>5.6</v>
      </c>
      <c r="BP394" s="269">
        <f>INDEX('App Data Outliers'!$M:$M,MATCH($E394,'App Data Outliers'!$A:$A,0))</f>
        <v>31.912660854402784</v>
      </c>
      <c r="BQ394" s="269">
        <f>INDEX('App Data Outliers'!$N:$N,MATCH($E394,'App Data Outliers'!$A:$A,0))</f>
        <v>4.6294175975068628</v>
      </c>
      <c r="BR394" s="269">
        <f>INDEX('App Data Outliers'!$S:$S,MATCH($E394,'App Data Outliers'!$A:$A,0))</f>
        <v>3.9162224934612029</v>
      </c>
      <c r="BS394" s="269">
        <f>INDEX('App Data Outliers'!$T:$T,MATCH($E394,'App Data Outliers'!$A:$A,0))</f>
        <v>1.1499528005502413</v>
      </c>
    </row>
    <row r="395" spans="1:71" s="204" customFormat="1" hidden="1">
      <c r="A395" s="241">
        <v>391</v>
      </c>
      <c r="B395" s="241" t="str">
        <f t="shared" si="81"/>
        <v>Residential - BHPSD - Residential Lighting &amp; Appliances</v>
      </c>
      <c r="C395" s="241" t="b">
        <f t="shared" si="82"/>
        <v>1</v>
      </c>
      <c r="D395" s="241" t="str">
        <f t="shared" si="83"/>
        <v>Residential - BHPSD - Residential Lighting &amp; Appliances_Residential Lighting &amp; Appliances :- LED :- Customer Incentives_LED</v>
      </c>
      <c r="E395" s="241" t="str">
        <f t="shared" si="84"/>
        <v>Residential_Residential Lighting_Lighting_LED</v>
      </c>
      <c r="F395" s="241" t="str">
        <f>INDEX('VDSM MAPPING'!E:E,MATCH($D395,'VDSM MAPPING'!$A:$A,0))</f>
        <v>Residential</v>
      </c>
      <c r="G395" s="241" t="str">
        <f>INDEX('VDSM MAPPING'!F:F,MATCH($D395,'VDSM MAPPING'!$A:$A,0))</f>
        <v>Residential Lighting</v>
      </c>
      <c r="H395" s="241" t="str">
        <f>INDEX('VDSM MAPPING'!G:G,MATCH($D395,'VDSM MAPPING'!$A:$A,0))</f>
        <v>Lighting</v>
      </c>
      <c r="I395" s="241" t="str">
        <f>INDEX('VDSM MAPPING'!H:H,MATCH($D395,'VDSM MAPPING'!$A:$A,0))</f>
        <v>LED</v>
      </c>
      <c r="J395" s="240">
        <f t="shared" si="85"/>
        <v>7.6540760934603463E-2</v>
      </c>
      <c r="K395" s="240">
        <f t="shared" si="86"/>
        <v>0.50765345000200468</v>
      </c>
      <c r="L395" s="240" t="b">
        <f t="shared" si="87"/>
        <v>0</v>
      </c>
      <c r="M395" s="240" t="b">
        <f t="shared" si="88"/>
        <v>0</v>
      </c>
      <c r="N395" s="204" t="s">
        <v>289</v>
      </c>
      <c r="O395" s="204" t="s">
        <v>1425</v>
      </c>
      <c r="P395" s="350">
        <v>1</v>
      </c>
      <c r="Q395" s="204" t="s">
        <v>1425</v>
      </c>
      <c r="R395" s="204" t="s">
        <v>1424</v>
      </c>
      <c r="S395" s="204" t="s">
        <v>1423</v>
      </c>
      <c r="T395" s="204" t="s">
        <v>1422</v>
      </c>
      <c r="V395" s="204" t="s">
        <v>1421</v>
      </c>
      <c r="W395" s="204" t="s">
        <v>329</v>
      </c>
      <c r="X395" s="204" t="s">
        <v>297</v>
      </c>
      <c r="Y395" s="204" t="s">
        <v>397</v>
      </c>
      <c r="Z395" s="204" t="s">
        <v>601</v>
      </c>
      <c r="AA395" s="204" t="s">
        <v>600</v>
      </c>
      <c r="AB395" s="204" t="s">
        <v>329</v>
      </c>
      <c r="AC395" s="204" t="s">
        <v>297</v>
      </c>
      <c r="AD395" s="204" t="s">
        <v>599</v>
      </c>
      <c r="AE395" s="204" t="s">
        <v>598</v>
      </c>
      <c r="AG395" s="204" t="s">
        <v>791</v>
      </c>
      <c r="AH395" s="204" t="s">
        <v>151</v>
      </c>
      <c r="AX395" s="204">
        <v>2</v>
      </c>
      <c r="AY395" s="204">
        <v>0</v>
      </c>
      <c r="AZ395" s="204">
        <v>7.6E-3</v>
      </c>
      <c r="BB395" s="204">
        <v>64.534000000000006</v>
      </c>
      <c r="BH395" s="204">
        <v>0</v>
      </c>
      <c r="BI395" s="204">
        <v>9</v>
      </c>
      <c r="BJ395" s="204">
        <v>42719</v>
      </c>
      <c r="BK395" s="204">
        <v>42719.629433564798</v>
      </c>
      <c r="BL395" s="204" t="s">
        <v>293</v>
      </c>
      <c r="BM395" s="204" t="s">
        <v>1420</v>
      </c>
      <c r="BN395" s="242">
        <f t="shared" si="89"/>
        <v>32.267000000000003</v>
      </c>
      <c r="BO395" s="269">
        <f t="shared" si="90"/>
        <v>4.5</v>
      </c>
      <c r="BP395" s="269">
        <f>INDEX('App Data Outliers'!$M:$M,MATCH($E395,'App Data Outliers'!$A:$A,0))</f>
        <v>31.912660854402784</v>
      </c>
      <c r="BQ395" s="269">
        <f>INDEX('App Data Outliers'!$N:$N,MATCH($E395,'App Data Outliers'!$A:$A,0))</f>
        <v>4.6294175975068628</v>
      </c>
      <c r="BR395" s="269">
        <f>INDEX('App Data Outliers'!$S:$S,MATCH($E395,'App Data Outliers'!$A:$A,0))</f>
        <v>3.9162224934612029</v>
      </c>
      <c r="BS395" s="269">
        <f>INDEX('App Data Outliers'!$T:$T,MATCH($E395,'App Data Outliers'!$A:$A,0))</f>
        <v>1.1499528005502413</v>
      </c>
    </row>
    <row r="396" spans="1:71" s="204" customFormat="1" hidden="1">
      <c r="A396" s="241">
        <v>392</v>
      </c>
      <c r="B396" s="241" t="str">
        <f t="shared" si="81"/>
        <v>Residential - BHPSD - Residential Lighting &amp; Appliances</v>
      </c>
      <c r="C396" s="241" t="b">
        <f t="shared" si="82"/>
        <v>1</v>
      </c>
      <c r="D396" s="241" t="str">
        <f t="shared" si="83"/>
        <v>Residential - BHPSD - Residential Lighting &amp; Appliances_Residential Lighting &amp; Appliances :- LED :- Customer Incentives_LED</v>
      </c>
      <c r="E396" s="241" t="str">
        <f t="shared" si="84"/>
        <v>Residential_Residential Lighting_Lighting_LED</v>
      </c>
      <c r="F396" s="241" t="str">
        <f>INDEX('VDSM MAPPING'!E:E,MATCH($D396,'VDSM MAPPING'!$A:$A,0))</f>
        <v>Residential</v>
      </c>
      <c r="G396" s="241" t="str">
        <f>INDEX('VDSM MAPPING'!F:F,MATCH($D396,'VDSM MAPPING'!$A:$A,0))</f>
        <v>Residential Lighting</v>
      </c>
      <c r="H396" s="241" t="str">
        <f>INDEX('VDSM MAPPING'!G:G,MATCH($D396,'VDSM MAPPING'!$A:$A,0))</f>
        <v>Lighting</v>
      </c>
      <c r="I396" s="241" t="str">
        <f>INDEX('VDSM MAPPING'!H:H,MATCH($D396,'VDSM MAPPING'!$A:$A,0))</f>
        <v>LED</v>
      </c>
      <c r="J396" s="240">
        <f t="shared" si="85"/>
        <v>7.6540760934603463E-2</v>
      </c>
      <c r="K396" s="240">
        <f t="shared" si="86"/>
        <v>0.50765345000200468</v>
      </c>
      <c r="L396" s="240" t="b">
        <f t="shared" si="87"/>
        <v>0</v>
      </c>
      <c r="M396" s="240" t="b">
        <f t="shared" si="88"/>
        <v>0</v>
      </c>
      <c r="N396" s="204" t="s">
        <v>289</v>
      </c>
      <c r="O396" s="204" t="s">
        <v>1419</v>
      </c>
      <c r="P396" s="350">
        <v>1</v>
      </c>
      <c r="Q396" s="204" t="s">
        <v>1419</v>
      </c>
      <c r="R396" s="204" t="s">
        <v>1418</v>
      </c>
      <c r="S396" s="204" t="s">
        <v>1417</v>
      </c>
      <c r="T396" s="204" t="s">
        <v>1416</v>
      </c>
      <c r="V396" s="204" t="s">
        <v>1415</v>
      </c>
      <c r="W396" s="204" t="s">
        <v>531</v>
      </c>
      <c r="X396" s="204" t="s">
        <v>297</v>
      </c>
      <c r="Y396" s="204" t="s">
        <v>530</v>
      </c>
      <c r="Z396" s="204" t="s">
        <v>601</v>
      </c>
      <c r="AA396" s="204" t="s">
        <v>600</v>
      </c>
      <c r="AB396" s="204" t="s">
        <v>329</v>
      </c>
      <c r="AC396" s="204" t="s">
        <v>297</v>
      </c>
      <c r="AD396" s="204" t="s">
        <v>599</v>
      </c>
      <c r="AE396" s="204" t="s">
        <v>598</v>
      </c>
      <c r="AG396" s="204" t="s">
        <v>791</v>
      </c>
      <c r="AH396" s="204" t="s">
        <v>151</v>
      </c>
      <c r="AX396" s="204">
        <v>2</v>
      </c>
      <c r="AY396" s="204">
        <v>0</v>
      </c>
      <c r="AZ396" s="204">
        <v>7.6E-3</v>
      </c>
      <c r="BB396" s="204">
        <v>64.534000000000006</v>
      </c>
      <c r="BH396" s="204">
        <v>0</v>
      </c>
      <c r="BI396" s="204">
        <v>9</v>
      </c>
      <c r="BJ396" s="204">
        <v>42719</v>
      </c>
      <c r="BK396" s="204">
        <v>42719.630420370398</v>
      </c>
      <c r="BL396" s="204" t="s">
        <v>293</v>
      </c>
      <c r="BM396" s="204" t="s">
        <v>1414</v>
      </c>
      <c r="BN396" s="242">
        <f t="shared" si="89"/>
        <v>32.267000000000003</v>
      </c>
      <c r="BO396" s="269">
        <f t="shared" si="90"/>
        <v>4.5</v>
      </c>
      <c r="BP396" s="269">
        <f>INDEX('App Data Outliers'!$M:$M,MATCH($E396,'App Data Outliers'!$A:$A,0))</f>
        <v>31.912660854402784</v>
      </c>
      <c r="BQ396" s="269">
        <f>INDEX('App Data Outliers'!$N:$N,MATCH($E396,'App Data Outliers'!$A:$A,0))</f>
        <v>4.6294175975068628</v>
      </c>
      <c r="BR396" s="269">
        <f>INDEX('App Data Outliers'!$S:$S,MATCH($E396,'App Data Outliers'!$A:$A,0))</f>
        <v>3.9162224934612029</v>
      </c>
      <c r="BS396" s="269">
        <f>INDEX('App Data Outliers'!$T:$T,MATCH($E396,'App Data Outliers'!$A:$A,0))</f>
        <v>1.1499528005502413</v>
      </c>
    </row>
    <row r="397" spans="1:71" s="204" customFormat="1" hidden="1">
      <c r="A397" s="241">
        <v>393</v>
      </c>
      <c r="B397" s="241" t="str">
        <f t="shared" si="81"/>
        <v>Residential - BHPSD - Residential Lighting &amp; Appliances</v>
      </c>
      <c r="C397" s="241" t="b">
        <f t="shared" si="82"/>
        <v>1</v>
      </c>
      <c r="D397" s="241" t="str">
        <f t="shared" si="83"/>
        <v>Residential - BHPSD - Residential Lighting &amp; Appliances_Residential Lighting &amp; Appliances :- LED :- Customer Incentives_LED</v>
      </c>
      <c r="E397" s="241" t="str">
        <f t="shared" si="84"/>
        <v>Residential_Residential Lighting_Lighting_LED</v>
      </c>
      <c r="F397" s="241" t="str">
        <f>INDEX('VDSM MAPPING'!E:E,MATCH($D397,'VDSM MAPPING'!$A:$A,0))</f>
        <v>Residential</v>
      </c>
      <c r="G397" s="241" t="str">
        <f>INDEX('VDSM MAPPING'!F:F,MATCH($D397,'VDSM MAPPING'!$A:$A,0))</f>
        <v>Residential Lighting</v>
      </c>
      <c r="H397" s="241" t="str">
        <f>INDEX('VDSM MAPPING'!G:G,MATCH($D397,'VDSM MAPPING'!$A:$A,0))</f>
        <v>Lighting</v>
      </c>
      <c r="I397" s="241" t="str">
        <f>INDEX('VDSM MAPPING'!H:H,MATCH($D397,'VDSM MAPPING'!$A:$A,0))</f>
        <v>LED</v>
      </c>
      <c r="J397" s="240">
        <f t="shared" si="85"/>
        <v>7.6540760934603463E-2</v>
      </c>
      <c r="K397" s="240">
        <f t="shared" si="86"/>
        <v>0.50765345000200468</v>
      </c>
      <c r="L397" s="240" t="b">
        <f t="shared" si="87"/>
        <v>0</v>
      </c>
      <c r="M397" s="240" t="b">
        <f t="shared" si="88"/>
        <v>0</v>
      </c>
      <c r="N397" s="204" t="s">
        <v>289</v>
      </c>
      <c r="O397" s="204" t="s">
        <v>1413</v>
      </c>
      <c r="P397" s="350">
        <v>1</v>
      </c>
      <c r="Q397" s="204" t="s">
        <v>1413</v>
      </c>
      <c r="R397" s="204" t="s">
        <v>1412</v>
      </c>
      <c r="S397" s="204" t="s">
        <v>1411</v>
      </c>
      <c r="T397" s="204" t="s">
        <v>1410</v>
      </c>
      <c r="V397" s="204" t="s">
        <v>1409</v>
      </c>
      <c r="W397" s="204" t="s">
        <v>531</v>
      </c>
      <c r="X397" s="204" t="s">
        <v>297</v>
      </c>
      <c r="Y397" s="204" t="s">
        <v>530</v>
      </c>
      <c r="Z397" s="204" t="s">
        <v>601</v>
      </c>
      <c r="AA397" s="204" t="s">
        <v>600</v>
      </c>
      <c r="AB397" s="204" t="s">
        <v>329</v>
      </c>
      <c r="AC397" s="204" t="s">
        <v>297</v>
      </c>
      <c r="AD397" s="204" t="s">
        <v>599</v>
      </c>
      <c r="AE397" s="204" t="s">
        <v>598</v>
      </c>
      <c r="AG397" s="204" t="s">
        <v>791</v>
      </c>
      <c r="AH397" s="204" t="s">
        <v>151</v>
      </c>
      <c r="AX397" s="204">
        <v>4</v>
      </c>
      <c r="AY397" s="204">
        <v>0</v>
      </c>
      <c r="AZ397" s="204">
        <v>1.52E-2</v>
      </c>
      <c r="BB397" s="204">
        <v>129.06800000000001</v>
      </c>
      <c r="BH397" s="204">
        <v>0</v>
      </c>
      <c r="BI397" s="204">
        <v>18</v>
      </c>
      <c r="BJ397" s="204">
        <v>42726</v>
      </c>
      <c r="BK397" s="204">
        <v>42726.7844392361</v>
      </c>
      <c r="BL397" s="204" t="s">
        <v>293</v>
      </c>
      <c r="BM397" s="204" t="s">
        <v>1408</v>
      </c>
      <c r="BN397" s="242">
        <f t="shared" si="89"/>
        <v>32.267000000000003</v>
      </c>
      <c r="BO397" s="269">
        <f t="shared" si="90"/>
        <v>4.5</v>
      </c>
      <c r="BP397" s="269">
        <f>INDEX('App Data Outliers'!$M:$M,MATCH($E397,'App Data Outliers'!$A:$A,0))</f>
        <v>31.912660854402784</v>
      </c>
      <c r="BQ397" s="269">
        <f>INDEX('App Data Outliers'!$N:$N,MATCH($E397,'App Data Outliers'!$A:$A,0))</f>
        <v>4.6294175975068628</v>
      </c>
      <c r="BR397" s="269">
        <f>INDEX('App Data Outliers'!$S:$S,MATCH($E397,'App Data Outliers'!$A:$A,0))</f>
        <v>3.9162224934612029</v>
      </c>
      <c r="BS397" s="269">
        <f>INDEX('App Data Outliers'!$T:$T,MATCH($E397,'App Data Outliers'!$A:$A,0))</f>
        <v>1.1499528005502413</v>
      </c>
    </row>
    <row r="398" spans="1:71" s="204" customFormat="1" hidden="1">
      <c r="A398" s="241">
        <v>394</v>
      </c>
      <c r="B398" s="241" t="str">
        <f t="shared" si="81"/>
        <v>Residential - BHPSD - Residential Lighting &amp; Appliances</v>
      </c>
      <c r="C398" s="241" t="b">
        <f t="shared" si="82"/>
        <v>1</v>
      </c>
      <c r="D398" s="241" t="str">
        <f t="shared" si="83"/>
        <v>Residential - BHPSD - Residential Lighting &amp; Appliances_Residential Lighting &amp; Appliances :- ES Star Fixture :- Customer Incentives_ENERGY STAR LED Fixture</v>
      </c>
      <c r="E398" s="241" t="str">
        <f t="shared" si="84"/>
        <v>Residential_Residential Lighting_Lighting_ENERGY STAR Fixture</v>
      </c>
      <c r="F398" s="241" t="str">
        <f>INDEX('VDSM MAPPING'!E:E,MATCH($D398,'VDSM MAPPING'!$A:$A,0))</f>
        <v>Residential</v>
      </c>
      <c r="G398" s="241" t="str">
        <f>INDEX('VDSM MAPPING'!F:F,MATCH($D398,'VDSM MAPPING'!$A:$A,0))</f>
        <v>Residential Lighting</v>
      </c>
      <c r="H398" s="241" t="str">
        <f>INDEX('VDSM MAPPING'!G:G,MATCH($D398,'VDSM MAPPING'!$A:$A,0))</f>
        <v>Lighting</v>
      </c>
      <c r="I398" s="241" t="str">
        <f>INDEX('VDSM MAPPING'!H:H,MATCH($D398,'VDSM MAPPING'!$A:$A,0))</f>
        <v>ENERGY STAR Fixture</v>
      </c>
      <c r="J398" s="240">
        <f t="shared" si="85"/>
        <v>-5.0515134880505186E-2</v>
      </c>
      <c r="K398" s="240">
        <f t="shared" si="86"/>
        <v>0.4214787522569125</v>
      </c>
      <c r="L398" s="240" t="b">
        <f t="shared" si="87"/>
        <v>0</v>
      </c>
      <c r="M398" s="240" t="b">
        <f t="shared" si="88"/>
        <v>0</v>
      </c>
      <c r="N398" s="204" t="s">
        <v>289</v>
      </c>
      <c r="O398" s="204" t="s">
        <v>1407</v>
      </c>
      <c r="P398" s="350">
        <v>1</v>
      </c>
      <c r="Q398" s="204" t="s">
        <v>1407</v>
      </c>
      <c r="R398" s="204" t="s">
        <v>1406</v>
      </c>
      <c r="S398" s="204" t="s">
        <v>1405</v>
      </c>
      <c r="T398" s="204" t="s">
        <v>1404</v>
      </c>
      <c r="V398" s="204" t="s">
        <v>1403</v>
      </c>
      <c r="W398" s="204" t="s">
        <v>337</v>
      </c>
      <c r="X398" s="204" t="s">
        <v>297</v>
      </c>
      <c r="Y398" s="204" t="s">
        <v>336</v>
      </c>
      <c r="Z398" s="204" t="s">
        <v>601</v>
      </c>
      <c r="AA398" s="204" t="s">
        <v>600</v>
      </c>
      <c r="AB398" s="204" t="s">
        <v>329</v>
      </c>
      <c r="AC398" s="204" t="s">
        <v>297</v>
      </c>
      <c r="AD398" s="204" t="s">
        <v>599</v>
      </c>
      <c r="AE398" s="204" t="s">
        <v>598</v>
      </c>
      <c r="AG398" s="204" t="s">
        <v>895</v>
      </c>
      <c r="AH398" s="204" t="s">
        <v>150</v>
      </c>
      <c r="AV398" s="204" t="s">
        <v>1337</v>
      </c>
      <c r="AX398" s="204">
        <v>70</v>
      </c>
      <c r="AY398" s="204">
        <v>0</v>
      </c>
      <c r="AZ398" s="204">
        <v>0.27300000000000002</v>
      </c>
      <c r="BB398" s="204">
        <v>2329.3200000000002</v>
      </c>
      <c r="BH398" s="204">
        <v>0</v>
      </c>
      <c r="BI398" s="204">
        <v>700</v>
      </c>
      <c r="BJ398" s="204">
        <v>42774</v>
      </c>
      <c r="BK398" s="204">
        <v>42774.626848495398</v>
      </c>
      <c r="BL398" s="204" t="s">
        <v>293</v>
      </c>
      <c r="BM398" s="204" t="s">
        <v>1402</v>
      </c>
      <c r="BN398" s="242">
        <f t="shared" si="89"/>
        <v>33.276000000000003</v>
      </c>
      <c r="BO398" s="269">
        <f t="shared" si="90"/>
        <v>10</v>
      </c>
      <c r="BP398" s="269">
        <f>INDEX('App Data Outliers'!$M:$M,MATCH($E398,'App Data Outliers'!$A:$A,0))</f>
        <v>35.519370843989762</v>
      </c>
      <c r="BQ398" s="269">
        <f>INDEX('App Data Outliers'!$N:$N,MATCH($E398,'App Data Outliers'!$A:$A,0))</f>
        <v>44.409875363027503</v>
      </c>
      <c r="BR398" s="269">
        <f>INDEX('App Data Outliers'!$S:$S,MATCH($E398,'App Data Outliers'!$A:$A,0))</f>
        <v>9.3048337595907924</v>
      </c>
      <c r="BS398" s="269">
        <f>INDEX('App Data Outliers'!$T:$T,MATCH($E398,'App Data Outliers'!$A:$A,0))</f>
        <v>1.6493506177636894</v>
      </c>
    </row>
    <row r="399" spans="1:71" s="204" customFormat="1" hidden="1">
      <c r="A399" s="241">
        <v>395</v>
      </c>
      <c r="B399" s="241" t="str">
        <f t="shared" si="81"/>
        <v>Residential - BHPSD - Residential Lighting &amp; Appliances</v>
      </c>
      <c r="C399" s="241" t="b">
        <f t="shared" si="82"/>
        <v>1</v>
      </c>
      <c r="D399" s="241" t="str">
        <f t="shared" si="83"/>
        <v>Residential - BHPSD - Residential Lighting &amp; Appliances_Residential Lighting &amp; Appliances :- ES Star Fixture :- Customer Incentives_ENERGY STAR LED Fixture</v>
      </c>
      <c r="E399" s="241" t="str">
        <f t="shared" si="84"/>
        <v>Residential_Residential Lighting_Lighting_ENERGY STAR Fixture</v>
      </c>
      <c r="F399" s="241" t="str">
        <f>INDEX('VDSM MAPPING'!E:E,MATCH($D399,'VDSM MAPPING'!$A:$A,0))</f>
        <v>Residential</v>
      </c>
      <c r="G399" s="241" t="str">
        <f>INDEX('VDSM MAPPING'!F:F,MATCH($D399,'VDSM MAPPING'!$A:$A,0))</f>
        <v>Residential Lighting</v>
      </c>
      <c r="H399" s="241" t="str">
        <f>INDEX('VDSM MAPPING'!G:G,MATCH($D399,'VDSM MAPPING'!$A:$A,0))</f>
        <v>Lighting</v>
      </c>
      <c r="I399" s="241" t="str">
        <f>INDEX('VDSM MAPPING'!H:H,MATCH($D399,'VDSM MAPPING'!$A:$A,0))</f>
        <v>ENERGY STAR Fixture</v>
      </c>
      <c r="J399" s="240">
        <f t="shared" si="85"/>
        <v>0.33548009388051053</v>
      </c>
      <c r="K399" s="240">
        <f t="shared" si="86"/>
        <v>0.4214787522569125</v>
      </c>
      <c r="L399" s="240" t="b">
        <f t="shared" si="87"/>
        <v>0</v>
      </c>
      <c r="M399" s="240" t="b">
        <f t="shared" si="88"/>
        <v>0</v>
      </c>
      <c r="N399" s="204" t="s">
        <v>289</v>
      </c>
      <c r="O399" s="204" t="s">
        <v>1399</v>
      </c>
      <c r="P399" s="350">
        <v>1</v>
      </c>
      <c r="Q399" s="204" t="s">
        <v>1399</v>
      </c>
      <c r="R399" s="204" t="s">
        <v>1398</v>
      </c>
      <c r="S399" s="204" t="s">
        <v>1397</v>
      </c>
      <c r="T399" s="204" t="s">
        <v>1396</v>
      </c>
      <c r="V399" s="204" t="s">
        <v>1395</v>
      </c>
      <c r="W399" s="204" t="s">
        <v>329</v>
      </c>
      <c r="X399" s="204" t="s">
        <v>297</v>
      </c>
      <c r="Y399" s="204" t="s">
        <v>328</v>
      </c>
      <c r="Z399" s="204" t="s">
        <v>601</v>
      </c>
      <c r="AA399" s="204" t="s">
        <v>600</v>
      </c>
      <c r="AB399" s="204" t="s">
        <v>329</v>
      </c>
      <c r="AC399" s="204" t="s">
        <v>297</v>
      </c>
      <c r="AD399" s="204" t="s">
        <v>599</v>
      </c>
      <c r="AE399" s="204" t="s">
        <v>598</v>
      </c>
      <c r="AG399" s="204" t="s">
        <v>895</v>
      </c>
      <c r="AH399" s="204" t="s">
        <v>150</v>
      </c>
      <c r="AV399" s="204" t="s">
        <v>1401</v>
      </c>
      <c r="AX399" s="204">
        <v>2</v>
      </c>
      <c r="AY399" s="204">
        <v>0</v>
      </c>
      <c r="AZ399" s="204">
        <v>1.18E-2</v>
      </c>
      <c r="BB399" s="204">
        <v>100.836</v>
      </c>
      <c r="BH399" s="204">
        <v>0</v>
      </c>
      <c r="BI399" s="204">
        <v>20</v>
      </c>
      <c r="BJ399" s="204">
        <v>42774</v>
      </c>
      <c r="BK399" s="204">
        <v>42774.631579479203</v>
      </c>
      <c r="BL399" s="204" t="s">
        <v>293</v>
      </c>
      <c r="BM399" s="204" t="s">
        <v>1400</v>
      </c>
      <c r="BN399" s="242">
        <f t="shared" si="89"/>
        <v>50.417999999999999</v>
      </c>
      <c r="BO399" s="269">
        <f t="shared" si="90"/>
        <v>10</v>
      </c>
      <c r="BP399" s="269">
        <f>INDEX('App Data Outliers'!$M:$M,MATCH($E399,'App Data Outliers'!$A:$A,0))</f>
        <v>35.519370843989762</v>
      </c>
      <c r="BQ399" s="269">
        <f>INDEX('App Data Outliers'!$N:$N,MATCH($E399,'App Data Outliers'!$A:$A,0))</f>
        <v>44.409875363027503</v>
      </c>
      <c r="BR399" s="269">
        <f>INDEX('App Data Outliers'!$S:$S,MATCH($E399,'App Data Outliers'!$A:$A,0))</f>
        <v>9.3048337595907924</v>
      </c>
      <c r="BS399" s="269">
        <f>INDEX('App Data Outliers'!$T:$T,MATCH($E399,'App Data Outliers'!$A:$A,0))</f>
        <v>1.6493506177636894</v>
      </c>
    </row>
    <row r="400" spans="1:71" s="204" customFormat="1" hidden="1">
      <c r="A400" s="241">
        <v>396</v>
      </c>
      <c r="B400" s="241" t="str">
        <f t="shared" si="81"/>
        <v>Residential - BHPSD - Residential Lighting &amp; Appliances</v>
      </c>
      <c r="C400" s="241" t="b">
        <f t="shared" si="82"/>
        <v>1</v>
      </c>
      <c r="D400" s="241" t="str">
        <f t="shared" si="83"/>
        <v>Residential - BHPSD - Residential Lighting &amp; Appliances_Residential Lighting &amp; Appliances :- ES Star Fixture :- Customer Incentives_ENERGY STAR LED Fixture</v>
      </c>
      <c r="E400" s="241" t="str">
        <f t="shared" si="84"/>
        <v>Residential_Residential Lighting_Lighting_ENERGY STAR Fixture</v>
      </c>
      <c r="F400" s="241" t="str">
        <f>INDEX('VDSM MAPPING'!E:E,MATCH($D400,'VDSM MAPPING'!$A:$A,0))</f>
        <v>Residential</v>
      </c>
      <c r="G400" s="241" t="str">
        <f>INDEX('VDSM MAPPING'!F:F,MATCH($D400,'VDSM MAPPING'!$A:$A,0))</f>
        <v>Residential Lighting</v>
      </c>
      <c r="H400" s="241" t="str">
        <f>INDEX('VDSM MAPPING'!G:G,MATCH($D400,'VDSM MAPPING'!$A:$A,0))</f>
        <v>Lighting</v>
      </c>
      <c r="I400" s="241" t="str">
        <f>INDEX('VDSM MAPPING'!H:H,MATCH($D400,'VDSM MAPPING'!$A:$A,0))</f>
        <v>ENERGY STAR Fixture</v>
      </c>
      <c r="J400" s="240">
        <f t="shared" si="85"/>
        <v>0.11748803871568768</v>
      </c>
      <c r="K400" s="240">
        <f t="shared" si="86"/>
        <v>0.4214787522569125</v>
      </c>
      <c r="L400" s="240" t="b">
        <f t="shared" si="87"/>
        <v>0</v>
      </c>
      <c r="M400" s="240" t="b">
        <f t="shared" si="88"/>
        <v>0</v>
      </c>
      <c r="N400" s="204" t="s">
        <v>289</v>
      </c>
      <c r="O400" s="204" t="s">
        <v>1399</v>
      </c>
      <c r="P400" s="350">
        <v>0</v>
      </c>
      <c r="Q400" s="204" t="s">
        <v>1399</v>
      </c>
      <c r="R400" s="204" t="s">
        <v>1398</v>
      </c>
      <c r="S400" s="204" t="s">
        <v>1397</v>
      </c>
      <c r="T400" s="204" t="s">
        <v>1396</v>
      </c>
      <c r="V400" s="204" t="s">
        <v>1395</v>
      </c>
      <c r="W400" s="204" t="s">
        <v>329</v>
      </c>
      <c r="X400" s="204" t="s">
        <v>297</v>
      </c>
      <c r="Y400" s="204" t="s">
        <v>328</v>
      </c>
      <c r="Z400" s="204" t="s">
        <v>601</v>
      </c>
      <c r="AA400" s="204" t="s">
        <v>600</v>
      </c>
      <c r="AB400" s="204" t="s">
        <v>329</v>
      </c>
      <c r="AC400" s="204" t="s">
        <v>297</v>
      </c>
      <c r="AD400" s="204" t="s">
        <v>599</v>
      </c>
      <c r="AE400" s="204" t="s">
        <v>598</v>
      </c>
      <c r="AG400" s="204" t="s">
        <v>895</v>
      </c>
      <c r="AH400" s="204" t="s">
        <v>150</v>
      </c>
      <c r="AV400" s="204" t="s">
        <v>1394</v>
      </c>
      <c r="AX400" s="204">
        <v>8</v>
      </c>
      <c r="AY400" s="204">
        <v>0</v>
      </c>
      <c r="AZ400" s="204">
        <v>3.8399999999999997E-2</v>
      </c>
      <c r="BB400" s="204">
        <v>325.89600000000002</v>
      </c>
      <c r="BH400" s="204">
        <v>0</v>
      </c>
      <c r="BI400" s="204">
        <v>80</v>
      </c>
      <c r="BJ400" s="204">
        <v>42774</v>
      </c>
      <c r="BK400" s="204">
        <v>42774.631579479203</v>
      </c>
      <c r="BL400" s="204" t="s">
        <v>293</v>
      </c>
      <c r="BM400" s="204" t="s">
        <v>1393</v>
      </c>
      <c r="BN400" s="242">
        <f t="shared" si="89"/>
        <v>40.737000000000002</v>
      </c>
      <c r="BO400" s="269">
        <f t="shared" si="90"/>
        <v>10</v>
      </c>
      <c r="BP400" s="269">
        <f>INDEX('App Data Outliers'!$M:$M,MATCH($E400,'App Data Outliers'!$A:$A,0))</f>
        <v>35.519370843989762</v>
      </c>
      <c r="BQ400" s="269">
        <f>INDEX('App Data Outliers'!$N:$N,MATCH($E400,'App Data Outliers'!$A:$A,0))</f>
        <v>44.409875363027503</v>
      </c>
      <c r="BR400" s="269">
        <f>INDEX('App Data Outliers'!$S:$S,MATCH($E400,'App Data Outliers'!$A:$A,0))</f>
        <v>9.3048337595907924</v>
      </c>
      <c r="BS400" s="269">
        <f>INDEX('App Data Outliers'!$T:$T,MATCH($E400,'App Data Outliers'!$A:$A,0))</f>
        <v>1.6493506177636894</v>
      </c>
    </row>
    <row r="401" spans="1:71" s="204" customFormat="1" hidden="1">
      <c r="A401" s="241">
        <v>397</v>
      </c>
      <c r="B401" s="241" t="str">
        <f t="shared" si="81"/>
        <v>Residential - BHPSD - Residential Lighting &amp; Appliances</v>
      </c>
      <c r="C401" s="241" t="b">
        <f t="shared" si="82"/>
        <v>1</v>
      </c>
      <c r="D401" s="241" t="str">
        <f t="shared" si="83"/>
        <v>Residential - BHPSD - Residential Lighting &amp; Appliances_Residential Lighting &amp; Appliances :- LED :- Customer Incentives_LED</v>
      </c>
      <c r="E401" s="241" t="str">
        <f t="shared" si="84"/>
        <v>Residential_Residential Lighting_Lighting_LED</v>
      </c>
      <c r="F401" s="241" t="str">
        <f>INDEX('VDSM MAPPING'!E:E,MATCH($D401,'VDSM MAPPING'!$A:$A,0))</f>
        <v>Residential</v>
      </c>
      <c r="G401" s="241" t="str">
        <f>INDEX('VDSM MAPPING'!F:F,MATCH($D401,'VDSM MAPPING'!$A:$A,0))</f>
        <v>Residential Lighting</v>
      </c>
      <c r="H401" s="241" t="str">
        <f>INDEX('VDSM MAPPING'!G:G,MATCH($D401,'VDSM MAPPING'!$A:$A,0))</f>
        <v>Lighting</v>
      </c>
      <c r="I401" s="241" t="str">
        <f>INDEX('VDSM MAPPING'!H:H,MATCH($D401,'VDSM MAPPING'!$A:$A,0))</f>
        <v>LED</v>
      </c>
      <c r="J401" s="240">
        <f t="shared" si="85"/>
        <v>7.6540760934603463E-2</v>
      </c>
      <c r="K401" s="240">
        <f t="shared" si="86"/>
        <v>0.50765345000200468</v>
      </c>
      <c r="L401" s="240" t="b">
        <f t="shared" si="87"/>
        <v>0</v>
      </c>
      <c r="M401" s="240" t="b">
        <f t="shared" si="88"/>
        <v>0</v>
      </c>
      <c r="N401" s="204" t="s">
        <v>289</v>
      </c>
      <c r="O401" s="204" t="s">
        <v>1392</v>
      </c>
      <c r="P401" s="350">
        <v>1</v>
      </c>
      <c r="Q401" s="204" t="s">
        <v>1392</v>
      </c>
      <c r="R401" s="204" t="s">
        <v>1391</v>
      </c>
      <c r="S401" s="204" t="s">
        <v>1390</v>
      </c>
      <c r="T401" s="204" t="s">
        <v>1389</v>
      </c>
      <c r="V401" s="204" t="s">
        <v>1388</v>
      </c>
      <c r="W401" s="204" t="s">
        <v>531</v>
      </c>
      <c r="X401" s="204" t="s">
        <v>297</v>
      </c>
      <c r="Y401" s="204" t="s">
        <v>530</v>
      </c>
      <c r="Z401" s="204" t="s">
        <v>601</v>
      </c>
      <c r="AA401" s="204" t="s">
        <v>600</v>
      </c>
      <c r="AB401" s="204" t="s">
        <v>329</v>
      </c>
      <c r="AC401" s="204" t="s">
        <v>297</v>
      </c>
      <c r="AD401" s="204" t="s">
        <v>599</v>
      </c>
      <c r="AE401" s="204" t="s">
        <v>598</v>
      </c>
      <c r="AG401" s="204" t="s">
        <v>791</v>
      </c>
      <c r="AH401" s="204" t="s">
        <v>151</v>
      </c>
      <c r="AX401" s="204">
        <v>2</v>
      </c>
      <c r="AY401" s="204">
        <v>0</v>
      </c>
      <c r="AZ401" s="204">
        <v>7.6E-3</v>
      </c>
      <c r="BB401" s="204">
        <v>64.534000000000006</v>
      </c>
      <c r="BH401" s="204">
        <v>0</v>
      </c>
      <c r="BI401" s="204">
        <v>9</v>
      </c>
      <c r="BJ401" s="204">
        <v>42719</v>
      </c>
      <c r="BK401" s="204">
        <v>42775.696197488403</v>
      </c>
      <c r="BL401" s="204" t="s">
        <v>293</v>
      </c>
      <c r="BM401" s="204" t="s">
        <v>1387</v>
      </c>
      <c r="BN401" s="242">
        <f t="shared" si="89"/>
        <v>32.267000000000003</v>
      </c>
      <c r="BO401" s="269">
        <f t="shared" si="90"/>
        <v>4.5</v>
      </c>
      <c r="BP401" s="269">
        <f>INDEX('App Data Outliers'!$M:$M,MATCH($E401,'App Data Outliers'!$A:$A,0))</f>
        <v>31.912660854402784</v>
      </c>
      <c r="BQ401" s="269">
        <f>INDEX('App Data Outliers'!$N:$N,MATCH($E401,'App Data Outliers'!$A:$A,0))</f>
        <v>4.6294175975068628</v>
      </c>
      <c r="BR401" s="269">
        <f>INDEX('App Data Outliers'!$S:$S,MATCH($E401,'App Data Outliers'!$A:$A,0))</f>
        <v>3.9162224934612029</v>
      </c>
      <c r="BS401" s="269">
        <f>INDEX('App Data Outliers'!$T:$T,MATCH($E401,'App Data Outliers'!$A:$A,0))</f>
        <v>1.1499528005502413</v>
      </c>
    </row>
    <row r="402" spans="1:71" s="204" customFormat="1" hidden="1">
      <c r="A402" s="241">
        <v>398</v>
      </c>
      <c r="B402" s="241" t="str">
        <f t="shared" si="81"/>
        <v>Residential - BHPSD - Residential Lighting &amp; Appliances</v>
      </c>
      <c r="C402" s="241" t="b">
        <f t="shared" si="82"/>
        <v>1</v>
      </c>
      <c r="D402" s="241" t="str">
        <f t="shared" si="83"/>
        <v>Residential - BHPSD - Residential Lighting &amp; Appliances_Residential Lighting &amp; Appliances :- LED :- Customer Incentives_LED</v>
      </c>
      <c r="E402" s="241" t="str">
        <f t="shared" si="84"/>
        <v>Residential_Residential Lighting_Lighting_LED</v>
      </c>
      <c r="F402" s="241" t="str">
        <f>INDEX('VDSM MAPPING'!E:E,MATCH($D402,'VDSM MAPPING'!$A:$A,0))</f>
        <v>Residential</v>
      </c>
      <c r="G402" s="241" t="str">
        <f>INDEX('VDSM MAPPING'!F:F,MATCH($D402,'VDSM MAPPING'!$A:$A,0))</f>
        <v>Residential Lighting</v>
      </c>
      <c r="H402" s="241" t="str">
        <f>INDEX('VDSM MAPPING'!G:G,MATCH($D402,'VDSM MAPPING'!$A:$A,0))</f>
        <v>Lighting</v>
      </c>
      <c r="I402" s="241" t="str">
        <f>INDEX('VDSM MAPPING'!H:H,MATCH($D402,'VDSM MAPPING'!$A:$A,0))</f>
        <v>LED</v>
      </c>
      <c r="J402" s="240">
        <f t="shared" si="85"/>
        <v>7.6540760934603463E-2</v>
      </c>
      <c r="K402" s="240">
        <f t="shared" si="86"/>
        <v>0.50765345000200468</v>
      </c>
      <c r="L402" s="240" t="b">
        <f t="shared" si="87"/>
        <v>0</v>
      </c>
      <c r="M402" s="240" t="b">
        <f t="shared" si="88"/>
        <v>0</v>
      </c>
      <c r="N402" s="204" t="s">
        <v>289</v>
      </c>
      <c r="O402" s="204" t="s">
        <v>1385</v>
      </c>
      <c r="P402" s="350">
        <v>1</v>
      </c>
      <c r="Q402" s="204" t="s">
        <v>1385</v>
      </c>
      <c r="R402" s="204" t="s">
        <v>1384</v>
      </c>
      <c r="S402" s="204" t="s">
        <v>1383</v>
      </c>
      <c r="T402" s="204" t="s">
        <v>1382</v>
      </c>
      <c r="V402" s="204" t="s">
        <v>1381</v>
      </c>
      <c r="W402" s="204" t="s">
        <v>329</v>
      </c>
      <c r="X402" s="204" t="s">
        <v>297</v>
      </c>
      <c r="Y402" s="204" t="s">
        <v>328</v>
      </c>
      <c r="Z402" s="204" t="s">
        <v>601</v>
      </c>
      <c r="AA402" s="204" t="s">
        <v>600</v>
      </c>
      <c r="AB402" s="204" t="s">
        <v>329</v>
      </c>
      <c r="AC402" s="204" t="s">
        <v>297</v>
      </c>
      <c r="AD402" s="204" t="s">
        <v>599</v>
      </c>
      <c r="AE402" s="204" t="s">
        <v>598</v>
      </c>
      <c r="AG402" s="204" t="s">
        <v>791</v>
      </c>
      <c r="AH402" s="204" t="s">
        <v>151</v>
      </c>
      <c r="AX402" s="204">
        <v>12</v>
      </c>
      <c r="AY402" s="204">
        <v>0</v>
      </c>
      <c r="AZ402" s="204">
        <v>4.5600000000000002E-2</v>
      </c>
      <c r="BB402" s="204">
        <v>387.20400000000001</v>
      </c>
      <c r="BH402" s="204">
        <v>0</v>
      </c>
      <c r="BI402" s="204">
        <v>54</v>
      </c>
      <c r="BJ402" s="204">
        <v>42733</v>
      </c>
      <c r="BK402" s="204">
        <v>42775.705532210603</v>
      </c>
      <c r="BL402" s="204" t="s">
        <v>293</v>
      </c>
      <c r="BM402" s="204" t="s">
        <v>1380</v>
      </c>
      <c r="BN402" s="242">
        <f t="shared" si="89"/>
        <v>32.267000000000003</v>
      </c>
      <c r="BO402" s="269">
        <f t="shared" si="90"/>
        <v>4.5</v>
      </c>
      <c r="BP402" s="269">
        <f>INDEX('App Data Outliers'!$M:$M,MATCH($E402,'App Data Outliers'!$A:$A,0))</f>
        <v>31.912660854402784</v>
      </c>
      <c r="BQ402" s="269">
        <f>INDEX('App Data Outliers'!$N:$N,MATCH($E402,'App Data Outliers'!$A:$A,0))</f>
        <v>4.6294175975068628</v>
      </c>
      <c r="BR402" s="269">
        <f>INDEX('App Data Outliers'!$S:$S,MATCH($E402,'App Data Outliers'!$A:$A,0))</f>
        <v>3.9162224934612029</v>
      </c>
      <c r="BS402" s="269">
        <f>INDEX('App Data Outliers'!$T:$T,MATCH($E402,'App Data Outliers'!$A:$A,0))</f>
        <v>1.1499528005502413</v>
      </c>
    </row>
    <row r="403" spans="1:71" s="204" customFormat="1" hidden="1">
      <c r="A403" s="241">
        <v>399</v>
      </c>
      <c r="B403" s="241" t="str">
        <f t="shared" si="81"/>
        <v>Residential - BHPSD - Residential Lighting &amp; Appliances</v>
      </c>
      <c r="C403" s="241" t="b">
        <f t="shared" si="82"/>
        <v>1</v>
      </c>
      <c r="D403" s="241" t="str">
        <f t="shared" si="83"/>
        <v>Residential - BHPSD - Residential Lighting &amp; Appliances_Residential Lighting &amp; Appliances :- LED :- Customer Incentives_LED</v>
      </c>
      <c r="E403" s="241" t="str">
        <f t="shared" si="84"/>
        <v>Residential_Residential Lighting_Lighting_LED</v>
      </c>
      <c r="F403" s="241" t="str">
        <f>INDEX('VDSM MAPPING'!E:E,MATCH($D403,'VDSM MAPPING'!$A:$A,0))</f>
        <v>Residential</v>
      </c>
      <c r="G403" s="241" t="str">
        <f>INDEX('VDSM MAPPING'!F:F,MATCH($D403,'VDSM MAPPING'!$A:$A,0))</f>
        <v>Residential Lighting</v>
      </c>
      <c r="H403" s="241" t="str">
        <f>INDEX('VDSM MAPPING'!G:G,MATCH($D403,'VDSM MAPPING'!$A:$A,0))</f>
        <v>Lighting</v>
      </c>
      <c r="I403" s="241" t="str">
        <f>INDEX('VDSM MAPPING'!H:H,MATCH($D403,'VDSM MAPPING'!$A:$A,0))</f>
        <v>LED</v>
      </c>
      <c r="J403" s="240">
        <f t="shared" si="85"/>
        <v>0.40336372907962731</v>
      </c>
      <c r="K403" s="240">
        <f t="shared" si="86"/>
        <v>1.4642144492653311</v>
      </c>
      <c r="L403" s="240" t="b">
        <f t="shared" si="87"/>
        <v>0</v>
      </c>
      <c r="M403" s="240" t="b">
        <f t="shared" si="88"/>
        <v>0</v>
      </c>
      <c r="N403" s="204" t="s">
        <v>289</v>
      </c>
      <c r="O403" s="204" t="s">
        <v>1385</v>
      </c>
      <c r="P403" s="350">
        <v>0</v>
      </c>
      <c r="Q403" s="204" t="s">
        <v>1385</v>
      </c>
      <c r="R403" s="204" t="s">
        <v>1384</v>
      </c>
      <c r="S403" s="204" t="s">
        <v>1383</v>
      </c>
      <c r="T403" s="204" t="s">
        <v>1382</v>
      </c>
      <c r="V403" s="204" t="s">
        <v>1381</v>
      </c>
      <c r="W403" s="204" t="s">
        <v>329</v>
      </c>
      <c r="X403" s="204" t="s">
        <v>297</v>
      </c>
      <c r="Y403" s="204" t="s">
        <v>328</v>
      </c>
      <c r="Z403" s="204" t="s">
        <v>601</v>
      </c>
      <c r="AA403" s="204" t="s">
        <v>600</v>
      </c>
      <c r="AB403" s="204" t="s">
        <v>329</v>
      </c>
      <c r="AC403" s="204" t="s">
        <v>297</v>
      </c>
      <c r="AD403" s="204" t="s">
        <v>599</v>
      </c>
      <c r="AE403" s="204" t="s">
        <v>598</v>
      </c>
      <c r="AG403" s="204" t="s">
        <v>791</v>
      </c>
      <c r="AH403" s="204" t="s">
        <v>151</v>
      </c>
      <c r="AX403" s="204">
        <v>10</v>
      </c>
      <c r="AY403" s="204">
        <v>0</v>
      </c>
      <c r="AZ403" s="204">
        <v>0.04</v>
      </c>
      <c r="BB403" s="204">
        <v>337.8</v>
      </c>
      <c r="BH403" s="204">
        <v>0</v>
      </c>
      <c r="BI403" s="204">
        <v>56</v>
      </c>
      <c r="BJ403" s="204">
        <v>42733</v>
      </c>
      <c r="BK403" s="204">
        <v>42775.705532210603</v>
      </c>
      <c r="BL403" s="204" t="s">
        <v>293</v>
      </c>
      <c r="BM403" s="204" t="s">
        <v>1386</v>
      </c>
      <c r="BN403" s="242">
        <f t="shared" si="89"/>
        <v>33.78</v>
      </c>
      <c r="BO403" s="269">
        <f t="shared" si="90"/>
        <v>5.6</v>
      </c>
      <c r="BP403" s="269">
        <f>INDEX('App Data Outliers'!$M:$M,MATCH($E403,'App Data Outliers'!$A:$A,0))</f>
        <v>31.912660854402784</v>
      </c>
      <c r="BQ403" s="269">
        <f>INDEX('App Data Outliers'!$N:$N,MATCH($E403,'App Data Outliers'!$A:$A,0))</f>
        <v>4.6294175975068628</v>
      </c>
      <c r="BR403" s="269">
        <f>INDEX('App Data Outliers'!$S:$S,MATCH($E403,'App Data Outliers'!$A:$A,0))</f>
        <v>3.9162224934612029</v>
      </c>
      <c r="BS403" s="269">
        <f>INDEX('App Data Outliers'!$T:$T,MATCH($E403,'App Data Outliers'!$A:$A,0))</f>
        <v>1.1499528005502413</v>
      </c>
    </row>
    <row r="404" spans="1:71" s="204" customFormat="1" hidden="1">
      <c r="A404" s="241">
        <v>400</v>
      </c>
      <c r="B404" s="241" t="str">
        <f t="shared" si="81"/>
        <v>Residential - BHPSD - Residential Lighting &amp; Appliances</v>
      </c>
      <c r="C404" s="241" t="b">
        <f t="shared" si="82"/>
        <v>1</v>
      </c>
      <c r="D404" s="241" t="str">
        <f t="shared" si="83"/>
        <v>Residential - BHPSD - Residential Lighting &amp; Appliances_Residential Lighting &amp; Appliances :- LED :- Customer Incentives_LED</v>
      </c>
      <c r="E404" s="241" t="str">
        <f t="shared" si="84"/>
        <v>Residential_Residential Lighting_Lighting_LED</v>
      </c>
      <c r="F404" s="241" t="str">
        <f>INDEX('VDSM MAPPING'!E:E,MATCH($D404,'VDSM MAPPING'!$A:$A,0))</f>
        <v>Residential</v>
      </c>
      <c r="G404" s="241" t="str">
        <f>INDEX('VDSM MAPPING'!F:F,MATCH($D404,'VDSM MAPPING'!$A:$A,0))</f>
        <v>Residential Lighting</v>
      </c>
      <c r="H404" s="241" t="str">
        <f>INDEX('VDSM MAPPING'!G:G,MATCH($D404,'VDSM MAPPING'!$A:$A,0))</f>
        <v>Lighting</v>
      </c>
      <c r="I404" s="241" t="str">
        <f>INDEX('VDSM MAPPING'!H:H,MATCH($D404,'VDSM MAPPING'!$A:$A,0))</f>
        <v>LED</v>
      </c>
      <c r="J404" s="240">
        <f t="shared" si="85"/>
        <v>7.6540760934601937E-2</v>
      </c>
      <c r="K404" s="240">
        <f t="shared" si="86"/>
        <v>0.50765345000200468</v>
      </c>
      <c r="L404" s="240" t="b">
        <f t="shared" si="87"/>
        <v>0</v>
      </c>
      <c r="M404" s="240" t="b">
        <f t="shared" si="88"/>
        <v>0</v>
      </c>
      <c r="N404" s="204" t="s">
        <v>289</v>
      </c>
      <c r="O404" s="204" t="s">
        <v>1379</v>
      </c>
      <c r="P404" s="350">
        <v>1</v>
      </c>
      <c r="Q404" s="204" t="s">
        <v>1379</v>
      </c>
      <c r="R404" s="204" t="s">
        <v>1378</v>
      </c>
      <c r="S404" s="204" t="s">
        <v>1377</v>
      </c>
      <c r="T404" s="204" t="s">
        <v>1376</v>
      </c>
      <c r="V404" s="204" t="s">
        <v>1375</v>
      </c>
      <c r="W404" s="204" t="s">
        <v>337</v>
      </c>
      <c r="X404" s="204" t="s">
        <v>297</v>
      </c>
      <c r="Y404" s="204" t="s">
        <v>336</v>
      </c>
      <c r="Z404" s="204" t="s">
        <v>601</v>
      </c>
      <c r="AA404" s="204" t="s">
        <v>600</v>
      </c>
      <c r="AB404" s="204" t="s">
        <v>329</v>
      </c>
      <c r="AC404" s="204" t="s">
        <v>297</v>
      </c>
      <c r="AD404" s="204" t="s">
        <v>599</v>
      </c>
      <c r="AE404" s="204" t="s">
        <v>598</v>
      </c>
      <c r="AG404" s="204" t="s">
        <v>791</v>
      </c>
      <c r="AH404" s="204" t="s">
        <v>151</v>
      </c>
      <c r="AX404" s="204">
        <v>25</v>
      </c>
      <c r="AY404" s="204">
        <v>0</v>
      </c>
      <c r="AZ404" s="204">
        <v>9.5000000000000001E-2</v>
      </c>
      <c r="BB404" s="204">
        <v>806.67499999999995</v>
      </c>
      <c r="BH404" s="204">
        <v>0</v>
      </c>
      <c r="BI404" s="204">
        <v>112.5</v>
      </c>
      <c r="BJ404" s="204">
        <v>42754</v>
      </c>
      <c r="BK404" s="204">
        <v>42775.7118960648</v>
      </c>
      <c r="BL404" s="204" t="s">
        <v>293</v>
      </c>
      <c r="BM404" s="204" t="s">
        <v>1374</v>
      </c>
      <c r="BN404" s="242">
        <f t="shared" si="89"/>
        <v>32.266999999999996</v>
      </c>
      <c r="BO404" s="269">
        <f t="shared" si="90"/>
        <v>4.5</v>
      </c>
      <c r="BP404" s="269">
        <f>INDEX('App Data Outliers'!$M:$M,MATCH($E404,'App Data Outliers'!$A:$A,0))</f>
        <v>31.912660854402784</v>
      </c>
      <c r="BQ404" s="269">
        <f>INDEX('App Data Outliers'!$N:$N,MATCH($E404,'App Data Outliers'!$A:$A,0))</f>
        <v>4.6294175975068628</v>
      </c>
      <c r="BR404" s="269">
        <f>INDEX('App Data Outliers'!$S:$S,MATCH($E404,'App Data Outliers'!$A:$A,0))</f>
        <v>3.9162224934612029</v>
      </c>
      <c r="BS404" s="269">
        <f>INDEX('App Data Outliers'!$T:$T,MATCH($E404,'App Data Outliers'!$A:$A,0))</f>
        <v>1.1499528005502413</v>
      </c>
    </row>
    <row r="405" spans="1:71" s="204" customFormat="1" hidden="1">
      <c r="A405" s="241">
        <v>401</v>
      </c>
      <c r="B405" s="241" t="str">
        <f t="shared" si="81"/>
        <v>Residential - BHPSD - Residential Lighting &amp; Appliances</v>
      </c>
      <c r="C405" s="241" t="b">
        <f t="shared" si="82"/>
        <v>1</v>
      </c>
      <c r="D405" s="241" t="str">
        <f t="shared" si="83"/>
        <v>Residential - BHPSD - Residential Lighting &amp; Appliances_Residential Lighting &amp; Appliances :- LED :- Customer Incentives_LED</v>
      </c>
      <c r="E405" s="241" t="str">
        <f t="shared" si="84"/>
        <v>Residential_Residential Lighting_Lighting_LED</v>
      </c>
      <c r="F405" s="241" t="str">
        <f>INDEX('VDSM MAPPING'!E:E,MATCH($D405,'VDSM MAPPING'!$A:$A,0))</f>
        <v>Residential</v>
      </c>
      <c r="G405" s="241" t="str">
        <f>INDEX('VDSM MAPPING'!F:F,MATCH($D405,'VDSM MAPPING'!$A:$A,0))</f>
        <v>Residential Lighting</v>
      </c>
      <c r="H405" s="241" t="str">
        <f>INDEX('VDSM MAPPING'!G:G,MATCH($D405,'VDSM MAPPING'!$A:$A,0))</f>
        <v>Lighting</v>
      </c>
      <c r="I405" s="241" t="str">
        <f>INDEX('VDSM MAPPING'!H:H,MATCH($D405,'VDSM MAPPING'!$A:$A,0))</f>
        <v>LED</v>
      </c>
      <c r="J405" s="240">
        <f t="shared" si="85"/>
        <v>0.40336372907962731</v>
      </c>
      <c r="K405" s="240">
        <f t="shared" si="86"/>
        <v>1.4642144492653311</v>
      </c>
      <c r="L405" s="240" t="b">
        <f t="shared" si="87"/>
        <v>0</v>
      </c>
      <c r="M405" s="240" t="b">
        <f t="shared" si="88"/>
        <v>0</v>
      </c>
      <c r="N405" s="204" t="s">
        <v>289</v>
      </c>
      <c r="O405" s="204" t="s">
        <v>1373</v>
      </c>
      <c r="P405" s="350">
        <v>1</v>
      </c>
      <c r="Q405" s="204" t="s">
        <v>1373</v>
      </c>
      <c r="R405" s="204" t="s">
        <v>1364</v>
      </c>
      <c r="S405" s="204" t="s">
        <v>1363</v>
      </c>
      <c r="T405" s="204" t="s">
        <v>1362</v>
      </c>
      <c r="V405" s="204" t="s">
        <v>1361</v>
      </c>
      <c r="W405" s="204" t="s">
        <v>329</v>
      </c>
      <c r="X405" s="204" t="s">
        <v>297</v>
      </c>
      <c r="Y405" s="204" t="s">
        <v>328</v>
      </c>
      <c r="Z405" s="204" t="s">
        <v>601</v>
      </c>
      <c r="AA405" s="204" t="s">
        <v>600</v>
      </c>
      <c r="AB405" s="204" t="s">
        <v>329</v>
      </c>
      <c r="AC405" s="204" t="s">
        <v>297</v>
      </c>
      <c r="AD405" s="204" t="s">
        <v>599</v>
      </c>
      <c r="AE405" s="204" t="s">
        <v>598</v>
      </c>
      <c r="AG405" s="204" t="s">
        <v>791</v>
      </c>
      <c r="AH405" s="204" t="s">
        <v>151</v>
      </c>
      <c r="AX405" s="204">
        <v>2</v>
      </c>
      <c r="AY405" s="204">
        <v>0</v>
      </c>
      <c r="AZ405" s="204">
        <v>8.0000000000000002E-3</v>
      </c>
      <c r="BB405" s="204">
        <v>67.56</v>
      </c>
      <c r="BH405" s="204">
        <v>0</v>
      </c>
      <c r="BI405" s="204">
        <v>11.2</v>
      </c>
      <c r="BJ405" s="204">
        <v>42747</v>
      </c>
      <c r="BK405" s="204">
        <v>42775.712720682903</v>
      </c>
      <c r="BL405" s="204" t="s">
        <v>293</v>
      </c>
      <c r="BM405" s="204" t="s">
        <v>1372</v>
      </c>
      <c r="BN405" s="242">
        <f t="shared" si="89"/>
        <v>33.78</v>
      </c>
      <c r="BO405" s="269">
        <f t="shared" si="90"/>
        <v>5.6</v>
      </c>
      <c r="BP405" s="269">
        <f>INDEX('App Data Outliers'!$M:$M,MATCH($E405,'App Data Outliers'!$A:$A,0))</f>
        <v>31.912660854402784</v>
      </c>
      <c r="BQ405" s="269">
        <f>INDEX('App Data Outliers'!$N:$N,MATCH($E405,'App Data Outliers'!$A:$A,0))</f>
        <v>4.6294175975068628</v>
      </c>
      <c r="BR405" s="269">
        <f>INDEX('App Data Outliers'!$S:$S,MATCH($E405,'App Data Outliers'!$A:$A,0))</f>
        <v>3.9162224934612029</v>
      </c>
      <c r="BS405" s="269">
        <f>INDEX('App Data Outliers'!$T:$T,MATCH($E405,'App Data Outliers'!$A:$A,0))</f>
        <v>1.1499528005502413</v>
      </c>
    </row>
    <row r="406" spans="1:71" s="204" customFormat="1" hidden="1">
      <c r="A406" s="241">
        <v>402</v>
      </c>
      <c r="B406" s="241" t="str">
        <f t="shared" si="81"/>
        <v>Residential - BHPSD - Residential Lighting &amp; Appliances</v>
      </c>
      <c r="C406" s="241" t="b">
        <f t="shared" si="82"/>
        <v>1</v>
      </c>
      <c r="D406" s="241" t="str">
        <f t="shared" si="83"/>
        <v>Residential - BHPSD - Residential Lighting &amp; Appliances_Residential Lighting &amp; Appliances :- LED :- Customer Incentives_LED</v>
      </c>
      <c r="E406" s="241" t="str">
        <f t="shared" si="84"/>
        <v>Residential_Residential Lighting_Lighting_LED</v>
      </c>
      <c r="F406" s="241" t="str">
        <f>INDEX('VDSM MAPPING'!E:E,MATCH($D406,'VDSM MAPPING'!$A:$A,0))</f>
        <v>Residential</v>
      </c>
      <c r="G406" s="241" t="str">
        <f>INDEX('VDSM MAPPING'!F:F,MATCH($D406,'VDSM MAPPING'!$A:$A,0))</f>
        <v>Residential Lighting</v>
      </c>
      <c r="H406" s="241" t="str">
        <f>INDEX('VDSM MAPPING'!G:G,MATCH($D406,'VDSM MAPPING'!$A:$A,0))</f>
        <v>Lighting</v>
      </c>
      <c r="I406" s="241" t="str">
        <f>INDEX('VDSM MAPPING'!H:H,MATCH($D406,'VDSM MAPPING'!$A:$A,0))</f>
        <v>LED</v>
      </c>
      <c r="J406" s="240">
        <f t="shared" si="85"/>
        <v>7.6540760934603463E-2</v>
      </c>
      <c r="K406" s="240">
        <f t="shared" si="86"/>
        <v>0.50765345000200468</v>
      </c>
      <c r="L406" s="240" t="b">
        <f t="shared" si="87"/>
        <v>0</v>
      </c>
      <c r="M406" s="240" t="b">
        <f t="shared" si="88"/>
        <v>0</v>
      </c>
      <c r="N406" s="204" t="s">
        <v>289</v>
      </c>
      <c r="O406" s="204" t="s">
        <v>1371</v>
      </c>
      <c r="P406" s="350">
        <v>1</v>
      </c>
      <c r="Q406" s="204" t="s">
        <v>1371</v>
      </c>
      <c r="R406" s="204" t="s">
        <v>1370</v>
      </c>
      <c r="S406" s="204" t="s">
        <v>1369</v>
      </c>
      <c r="T406" s="204" t="s">
        <v>1368</v>
      </c>
      <c r="V406" s="204" t="s">
        <v>1367</v>
      </c>
      <c r="W406" s="204" t="s">
        <v>382</v>
      </c>
      <c r="X406" s="204" t="s">
        <v>297</v>
      </c>
      <c r="Y406" s="204" t="s">
        <v>381</v>
      </c>
      <c r="Z406" s="204" t="s">
        <v>601</v>
      </c>
      <c r="AA406" s="204" t="s">
        <v>600</v>
      </c>
      <c r="AB406" s="204" t="s">
        <v>329</v>
      </c>
      <c r="AC406" s="204" t="s">
        <v>297</v>
      </c>
      <c r="AD406" s="204" t="s">
        <v>599</v>
      </c>
      <c r="AE406" s="204" t="s">
        <v>598</v>
      </c>
      <c r="AG406" s="204" t="s">
        <v>791</v>
      </c>
      <c r="AH406" s="204" t="s">
        <v>151</v>
      </c>
      <c r="AX406" s="204">
        <v>1</v>
      </c>
      <c r="AY406" s="204">
        <v>0</v>
      </c>
      <c r="AZ406" s="204">
        <v>3.8E-3</v>
      </c>
      <c r="BB406" s="204">
        <v>32.267000000000003</v>
      </c>
      <c r="BH406" s="204">
        <v>0</v>
      </c>
      <c r="BI406" s="204">
        <v>4.5</v>
      </c>
      <c r="BJ406" s="204">
        <v>42754</v>
      </c>
      <c r="BK406" s="204">
        <v>42775.713909375001</v>
      </c>
      <c r="BL406" s="204" t="s">
        <v>293</v>
      </c>
      <c r="BM406" s="204" t="s">
        <v>1366</v>
      </c>
      <c r="BN406" s="242">
        <f t="shared" si="89"/>
        <v>32.267000000000003</v>
      </c>
      <c r="BO406" s="269">
        <f t="shared" si="90"/>
        <v>4.5</v>
      </c>
      <c r="BP406" s="269">
        <f>INDEX('App Data Outliers'!$M:$M,MATCH($E406,'App Data Outliers'!$A:$A,0))</f>
        <v>31.912660854402784</v>
      </c>
      <c r="BQ406" s="269">
        <f>INDEX('App Data Outliers'!$N:$N,MATCH($E406,'App Data Outliers'!$A:$A,0))</f>
        <v>4.6294175975068628</v>
      </c>
      <c r="BR406" s="269">
        <f>INDEX('App Data Outliers'!$S:$S,MATCH($E406,'App Data Outliers'!$A:$A,0))</f>
        <v>3.9162224934612029</v>
      </c>
      <c r="BS406" s="269">
        <f>INDEX('App Data Outliers'!$T:$T,MATCH($E406,'App Data Outliers'!$A:$A,0))</f>
        <v>1.1499528005502413</v>
      </c>
    </row>
    <row r="407" spans="1:71" s="204" customFormat="1" hidden="1">
      <c r="A407" s="241">
        <v>403</v>
      </c>
      <c r="B407" s="241" t="str">
        <f t="shared" si="81"/>
        <v>Residential - BHPSD - Residential Lighting &amp; Appliances</v>
      </c>
      <c r="C407" s="241" t="b">
        <f t="shared" si="82"/>
        <v>1</v>
      </c>
      <c r="D407" s="241" t="str">
        <f t="shared" si="83"/>
        <v>Residential - BHPSD - Residential Lighting &amp; Appliances_Residential Lighting &amp; Appliances :- LED :- Customer Incentives_LED</v>
      </c>
      <c r="E407" s="241" t="str">
        <f t="shared" si="84"/>
        <v>Residential_Residential Lighting_Lighting_LED</v>
      </c>
      <c r="F407" s="241" t="str">
        <f>INDEX('VDSM MAPPING'!E:E,MATCH($D407,'VDSM MAPPING'!$A:$A,0))</f>
        <v>Residential</v>
      </c>
      <c r="G407" s="241" t="str">
        <f>INDEX('VDSM MAPPING'!F:F,MATCH($D407,'VDSM MAPPING'!$A:$A,0))</f>
        <v>Residential Lighting</v>
      </c>
      <c r="H407" s="241" t="str">
        <f>INDEX('VDSM MAPPING'!G:G,MATCH($D407,'VDSM MAPPING'!$A:$A,0))</f>
        <v>Lighting</v>
      </c>
      <c r="I407" s="241" t="str">
        <f>INDEX('VDSM MAPPING'!H:H,MATCH($D407,'VDSM MAPPING'!$A:$A,0))</f>
        <v>LED</v>
      </c>
      <c r="J407" s="240">
        <f t="shared" si="85"/>
        <v>7.6540760934603463E-2</v>
      </c>
      <c r="K407" s="240">
        <f t="shared" si="86"/>
        <v>0.50765345000200468</v>
      </c>
      <c r="L407" s="240" t="b">
        <f t="shared" si="87"/>
        <v>0</v>
      </c>
      <c r="M407" s="240" t="b">
        <f t="shared" si="88"/>
        <v>0</v>
      </c>
      <c r="N407" s="204" t="s">
        <v>289</v>
      </c>
      <c r="O407" s="204" t="s">
        <v>1365</v>
      </c>
      <c r="P407" s="350">
        <v>1</v>
      </c>
      <c r="Q407" s="204" t="s">
        <v>1365</v>
      </c>
      <c r="R407" s="204" t="s">
        <v>1364</v>
      </c>
      <c r="S407" s="204" t="s">
        <v>1363</v>
      </c>
      <c r="T407" s="204" t="s">
        <v>1362</v>
      </c>
      <c r="V407" s="204" t="s">
        <v>1361</v>
      </c>
      <c r="W407" s="204" t="s">
        <v>329</v>
      </c>
      <c r="X407" s="204" t="s">
        <v>297</v>
      </c>
      <c r="Y407" s="204" t="s">
        <v>328</v>
      </c>
      <c r="Z407" s="204" t="s">
        <v>601</v>
      </c>
      <c r="AA407" s="204" t="s">
        <v>600</v>
      </c>
      <c r="AB407" s="204" t="s">
        <v>329</v>
      </c>
      <c r="AC407" s="204" t="s">
        <v>297</v>
      </c>
      <c r="AD407" s="204" t="s">
        <v>599</v>
      </c>
      <c r="AE407" s="204" t="s">
        <v>598</v>
      </c>
      <c r="AG407" s="204" t="s">
        <v>791</v>
      </c>
      <c r="AH407" s="204" t="s">
        <v>151</v>
      </c>
      <c r="AX407" s="204">
        <v>1</v>
      </c>
      <c r="AY407" s="204">
        <v>0</v>
      </c>
      <c r="AZ407" s="204">
        <v>3.8E-3</v>
      </c>
      <c r="BB407" s="204">
        <v>32.267000000000003</v>
      </c>
      <c r="BH407" s="204">
        <v>0</v>
      </c>
      <c r="BI407" s="204">
        <v>4.5</v>
      </c>
      <c r="BJ407" s="204">
        <v>42747</v>
      </c>
      <c r="BK407" s="204">
        <v>42775.741581134302</v>
      </c>
      <c r="BL407" s="204" t="s">
        <v>293</v>
      </c>
      <c r="BM407" s="204" t="s">
        <v>1360</v>
      </c>
      <c r="BN407" s="242">
        <f t="shared" si="89"/>
        <v>32.267000000000003</v>
      </c>
      <c r="BO407" s="269">
        <f t="shared" si="90"/>
        <v>4.5</v>
      </c>
      <c r="BP407" s="269">
        <f>INDEX('App Data Outliers'!$M:$M,MATCH($E407,'App Data Outliers'!$A:$A,0))</f>
        <v>31.912660854402784</v>
      </c>
      <c r="BQ407" s="269">
        <f>INDEX('App Data Outliers'!$N:$N,MATCH($E407,'App Data Outliers'!$A:$A,0))</f>
        <v>4.6294175975068628</v>
      </c>
      <c r="BR407" s="269">
        <f>INDEX('App Data Outliers'!$S:$S,MATCH($E407,'App Data Outliers'!$A:$A,0))</f>
        <v>3.9162224934612029</v>
      </c>
      <c r="BS407" s="269">
        <f>INDEX('App Data Outliers'!$T:$T,MATCH($E407,'App Data Outliers'!$A:$A,0))</f>
        <v>1.1499528005502413</v>
      </c>
    </row>
    <row r="408" spans="1:71" s="204" customFormat="1" hidden="1">
      <c r="A408" s="241">
        <v>404</v>
      </c>
      <c r="B408" s="241" t="str">
        <f t="shared" si="81"/>
        <v>Residential - BHPSD - Residential Lighting &amp; Appliances</v>
      </c>
      <c r="C408" s="241" t="b">
        <f t="shared" si="82"/>
        <v>1</v>
      </c>
      <c r="D408" s="241" t="str">
        <f t="shared" si="83"/>
        <v>Residential - BHPSD - Residential Lighting &amp; Appliances_Residential Lighting &amp; Appliances :- LED :- Customer Incentives_LED</v>
      </c>
      <c r="E408" s="241" t="str">
        <f t="shared" si="84"/>
        <v>Residential_Residential Lighting_Lighting_LED</v>
      </c>
      <c r="F408" s="241" t="str">
        <f>INDEX('VDSM MAPPING'!E:E,MATCH($D408,'VDSM MAPPING'!$A:$A,0))</f>
        <v>Residential</v>
      </c>
      <c r="G408" s="241" t="str">
        <f>INDEX('VDSM MAPPING'!F:F,MATCH($D408,'VDSM MAPPING'!$A:$A,0))</f>
        <v>Residential Lighting</v>
      </c>
      <c r="H408" s="241" t="str">
        <f>INDEX('VDSM MAPPING'!G:G,MATCH($D408,'VDSM MAPPING'!$A:$A,0))</f>
        <v>Lighting</v>
      </c>
      <c r="I408" s="241" t="str">
        <f>INDEX('VDSM MAPPING'!H:H,MATCH($D408,'VDSM MAPPING'!$A:$A,0))</f>
        <v>LED</v>
      </c>
      <c r="J408" s="240">
        <f t="shared" si="85"/>
        <v>7.6540760934603463E-2</v>
      </c>
      <c r="K408" s="240">
        <f t="shared" si="86"/>
        <v>0.50765345000200468</v>
      </c>
      <c r="L408" s="240" t="b">
        <f t="shared" si="87"/>
        <v>0</v>
      </c>
      <c r="M408" s="240" t="b">
        <f t="shared" si="88"/>
        <v>0</v>
      </c>
      <c r="N408" s="204" t="s">
        <v>289</v>
      </c>
      <c r="O408" s="204" t="s">
        <v>1359</v>
      </c>
      <c r="P408" s="350">
        <v>1</v>
      </c>
      <c r="Q408" s="204" t="s">
        <v>1359</v>
      </c>
      <c r="R408" s="204" t="s">
        <v>1358</v>
      </c>
      <c r="S408" s="204" t="s">
        <v>1357</v>
      </c>
      <c r="T408" s="204" t="s">
        <v>1356</v>
      </c>
      <c r="V408" s="204" t="s">
        <v>1355</v>
      </c>
      <c r="W408" s="204" t="s">
        <v>382</v>
      </c>
      <c r="X408" s="204" t="s">
        <v>297</v>
      </c>
      <c r="Y408" s="204" t="s">
        <v>381</v>
      </c>
      <c r="Z408" s="204" t="s">
        <v>601</v>
      </c>
      <c r="AA408" s="204" t="s">
        <v>600</v>
      </c>
      <c r="AB408" s="204" t="s">
        <v>329</v>
      </c>
      <c r="AC408" s="204" t="s">
        <v>297</v>
      </c>
      <c r="AD408" s="204" t="s">
        <v>599</v>
      </c>
      <c r="AE408" s="204" t="s">
        <v>598</v>
      </c>
      <c r="AG408" s="204" t="s">
        <v>791</v>
      </c>
      <c r="AH408" s="204" t="s">
        <v>151</v>
      </c>
      <c r="AX408" s="204">
        <v>10</v>
      </c>
      <c r="AY408" s="204">
        <v>0</v>
      </c>
      <c r="AZ408" s="204">
        <v>3.7999999999999999E-2</v>
      </c>
      <c r="BB408" s="204">
        <v>322.67</v>
      </c>
      <c r="BH408" s="204">
        <v>0</v>
      </c>
      <c r="BI408" s="204">
        <v>45</v>
      </c>
      <c r="BJ408" s="204">
        <v>42789</v>
      </c>
      <c r="BK408" s="204">
        <v>42789.5412665162</v>
      </c>
      <c r="BL408" s="204" t="s">
        <v>293</v>
      </c>
      <c r="BM408" s="204" t="s">
        <v>1354</v>
      </c>
      <c r="BN408" s="242">
        <f t="shared" si="89"/>
        <v>32.267000000000003</v>
      </c>
      <c r="BO408" s="269">
        <f t="shared" si="90"/>
        <v>4.5</v>
      </c>
      <c r="BP408" s="269">
        <f>INDEX('App Data Outliers'!$M:$M,MATCH($E408,'App Data Outliers'!$A:$A,0))</f>
        <v>31.912660854402784</v>
      </c>
      <c r="BQ408" s="269">
        <f>INDEX('App Data Outliers'!$N:$N,MATCH($E408,'App Data Outliers'!$A:$A,0))</f>
        <v>4.6294175975068628</v>
      </c>
      <c r="BR408" s="269">
        <f>INDEX('App Data Outliers'!$S:$S,MATCH($E408,'App Data Outliers'!$A:$A,0))</f>
        <v>3.9162224934612029</v>
      </c>
      <c r="BS408" s="269">
        <f>INDEX('App Data Outliers'!$T:$T,MATCH($E408,'App Data Outliers'!$A:$A,0))</f>
        <v>1.1499528005502413</v>
      </c>
    </row>
    <row r="409" spans="1:71" s="204" customFormat="1" hidden="1">
      <c r="A409" s="241">
        <v>405</v>
      </c>
      <c r="B409" s="241" t="str">
        <f t="shared" si="81"/>
        <v>Residential - BHPSD - Residential Lighting &amp; Appliances</v>
      </c>
      <c r="C409" s="241" t="b">
        <f t="shared" si="82"/>
        <v>1</v>
      </c>
      <c r="D409" s="241" t="str">
        <f t="shared" si="83"/>
        <v>Residential - BHPSD - Residential Lighting &amp; Appliances_Residential Lighting &amp; Appliances :- LED :- Customer Incentives_LED</v>
      </c>
      <c r="E409" s="241" t="str">
        <f t="shared" si="84"/>
        <v>Residential_Residential Lighting_Lighting_LED</v>
      </c>
      <c r="F409" s="241" t="str">
        <f>INDEX('VDSM MAPPING'!E:E,MATCH($D409,'VDSM MAPPING'!$A:$A,0))</f>
        <v>Residential</v>
      </c>
      <c r="G409" s="241" t="str">
        <f>INDEX('VDSM MAPPING'!F:F,MATCH($D409,'VDSM MAPPING'!$A:$A,0))</f>
        <v>Residential Lighting</v>
      </c>
      <c r="H409" s="241" t="str">
        <f>INDEX('VDSM MAPPING'!G:G,MATCH($D409,'VDSM MAPPING'!$A:$A,0))</f>
        <v>Lighting</v>
      </c>
      <c r="I409" s="241" t="str">
        <f>INDEX('VDSM MAPPING'!H:H,MATCH($D409,'VDSM MAPPING'!$A:$A,0))</f>
        <v>LED</v>
      </c>
      <c r="J409" s="240">
        <f t="shared" si="85"/>
        <v>7.6540760934603463E-2</v>
      </c>
      <c r="K409" s="240">
        <f t="shared" si="86"/>
        <v>0.50765345000200468</v>
      </c>
      <c r="L409" s="240" t="b">
        <f t="shared" si="87"/>
        <v>0</v>
      </c>
      <c r="M409" s="240" t="b">
        <f t="shared" si="88"/>
        <v>0</v>
      </c>
      <c r="N409" s="204" t="s">
        <v>289</v>
      </c>
      <c r="O409" s="204" t="s">
        <v>1353</v>
      </c>
      <c r="P409" s="350">
        <v>1</v>
      </c>
      <c r="Q409" s="204" t="s">
        <v>1353</v>
      </c>
      <c r="R409" s="204" t="s">
        <v>1351</v>
      </c>
      <c r="S409" s="204" t="s">
        <v>1350</v>
      </c>
      <c r="T409" s="204" t="s">
        <v>806</v>
      </c>
      <c r="V409" s="204" t="s">
        <v>1349</v>
      </c>
      <c r="W409" s="204" t="s">
        <v>329</v>
      </c>
      <c r="X409" s="204" t="s">
        <v>297</v>
      </c>
      <c r="Y409" s="204" t="s">
        <v>328</v>
      </c>
      <c r="Z409" s="204" t="s">
        <v>601</v>
      </c>
      <c r="AA409" s="204" t="s">
        <v>600</v>
      </c>
      <c r="AB409" s="204" t="s">
        <v>329</v>
      </c>
      <c r="AC409" s="204" t="s">
        <v>297</v>
      </c>
      <c r="AD409" s="204" t="s">
        <v>599</v>
      </c>
      <c r="AE409" s="204" t="s">
        <v>598</v>
      </c>
      <c r="AG409" s="204" t="s">
        <v>791</v>
      </c>
      <c r="AH409" s="204" t="s">
        <v>151</v>
      </c>
      <c r="AX409" s="204">
        <v>5</v>
      </c>
      <c r="AY409" s="204">
        <v>0</v>
      </c>
      <c r="AZ409" s="204">
        <v>1.9E-2</v>
      </c>
      <c r="BB409" s="204">
        <v>161.33500000000001</v>
      </c>
      <c r="BH409" s="204">
        <v>0</v>
      </c>
      <c r="BI409" s="204">
        <v>22.5</v>
      </c>
      <c r="BJ409" s="204">
        <v>42789</v>
      </c>
      <c r="BK409" s="204">
        <v>42789.5425783912</v>
      </c>
      <c r="BL409" s="204" t="s">
        <v>293</v>
      </c>
      <c r="BM409" s="204" t="s">
        <v>1352</v>
      </c>
      <c r="BN409" s="242">
        <f t="shared" si="89"/>
        <v>32.267000000000003</v>
      </c>
      <c r="BO409" s="269">
        <f t="shared" si="90"/>
        <v>4.5</v>
      </c>
      <c r="BP409" s="269">
        <f>INDEX('App Data Outliers'!$M:$M,MATCH($E409,'App Data Outliers'!$A:$A,0))</f>
        <v>31.912660854402784</v>
      </c>
      <c r="BQ409" s="269">
        <f>INDEX('App Data Outliers'!$N:$N,MATCH($E409,'App Data Outliers'!$A:$A,0))</f>
        <v>4.6294175975068628</v>
      </c>
      <c r="BR409" s="269">
        <f>INDEX('App Data Outliers'!$S:$S,MATCH($E409,'App Data Outliers'!$A:$A,0))</f>
        <v>3.9162224934612029</v>
      </c>
      <c r="BS409" s="269">
        <f>INDEX('App Data Outliers'!$T:$T,MATCH($E409,'App Data Outliers'!$A:$A,0))</f>
        <v>1.1499528005502413</v>
      </c>
    </row>
    <row r="410" spans="1:71" s="204" customFormat="1" hidden="1">
      <c r="A410" s="241">
        <v>406</v>
      </c>
      <c r="B410" s="241" t="str">
        <f t="shared" si="81"/>
        <v>Residential - BHPSD - Residential Lighting &amp; Appliances</v>
      </c>
      <c r="C410" s="241" t="b">
        <f t="shared" si="82"/>
        <v>1</v>
      </c>
      <c r="D410" s="241" t="str">
        <f t="shared" si="83"/>
        <v>Residential - BHPSD - Residential Lighting &amp; Appliances_Residential Lighting &amp; Appliances :- LED :- Customer Incentives_LED</v>
      </c>
      <c r="E410" s="241" t="str">
        <f t="shared" si="84"/>
        <v>Residential_Residential Lighting_Lighting_LED</v>
      </c>
      <c r="F410" s="241" t="str">
        <f>INDEX('VDSM MAPPING'!E:E,MATCH($D410,'VDSM MAPPING'!$A:$A,0))</f>
        <v>Residential</v>
      </c>
      <c r="G410" s="241" t="str">
        <f>INDEX('VDSM MAPPING'!F:F,MATCH($D410,'VDSM MAPPING'!$A:$A,0))</f>
        <v>Residential Lighting</v>
      </c>
      <c r="H410" s="241" t="str">
        <f>INDEX('VDSM MAPPING'!G:G,MATCH($D410,'VDSM MAPPING'!$A:$A,0))</f>
        <v>Lighting</v>
      </c>
      <c r="I410" s="241" t="str">
        <f>INDEX('VDSM MAPPING'!H:H,MATCH($D410,'VDSM MAPPING'!$A:$A,0))</f>
        <v>LED</v>
      </c>
      <c r="J410" s="240">
        <f t="shared" si="85"/>
        <v>0.40336372907962731</v>
      </c>
      <c r="K410" s="240">
        <f t="shared" si="86"/>
        <v>1.4642144492653311</v>
      </c>
      <c r="L410" s="240" t="b">
        <f t="shared" si="87"/>
        <v>0</v>
      </c>
      <c r="M410" s="240" t="b">
        <f t="shared" si="88"/>
        <v>0</v>
      </c>
      <c r="N410" s="204" t="s">
        <v>289</v>
      </c>
      <c r="O410" s="204" t="s">
        <v>1348</v>
      </c>
      <c r="P410" s="350">
        <v>1</v>
      </c>
      <c r="Q410" s="204" t="s">
        <v>1348</v>
      </c>
      <c r="R410" s="204" t="s">
        <v>1347</v>
      </c>
      <c r="S410" s="204" t="s">
        <v>1346</v>
      </c>
      <c r="T410" s="204" t="s">
        <v>1345</v>
      </c>
      <c r="V410" s="204" t="s">
        <v>1344</v>
      </c>
      <c r="W410" s="204" t="s">
        <v>329</v>
      </c>
      <c r="X410" s="204" t="s">
        <v>297</v>
      </c>
      <c r="Y410" s="204" t="s">
        <v>328</v>
      </c>
      <c r="Z410" s="204" t="s">
        <v>601</v>
      </c>
      <c r="AA410" s="204" t="s">
        <v>600</v>
      </c>
      <c r="AB410" s="204" t="s">
        <v>329</v>
      </c>
      <c r="AC410" s="204" t="s">
        <v>297</v>
      </c>
      <c r="AD410" s="204" t="s">
        <v>599</v>
      </c>
      <c r="AE410" s="204" t="s">
        <v>598</v>
      </c>
      <c r="AG410" s="204" t="s">
        <v>791</v>
      </c>
      <c r="AH410" s="204" t="s">
        <v>151</v>
      </c>
      <c r="AX410" s="204">
        <v>1</v>
      </c>
      <c r="AY410" s="204">
        <v>0</v>
      </c>
      <c r="AZ410" s="204">
        <v>4.0000000000000001E-3</v>
      </c>
      <c r="BB410" s="204">
        <v>33.78</v>
      </c>
      <c r="BH410" s="204">
        <v>0</v>
      </c>
      <c r="BI410" s="204">
        <v>5.6</v>
      </c>
      <c r="BJ410" s="204">
        <v>42794</v>
      </c>
      <c r="BK410" s="204">
        <v>42794.536915972203</v>
      </c>
      <c r="BL410" s="204" t="s">
        <v>293</v>
      </c>
      <c r="BM410" s="204" t="s">
        <v>1343</v>
      </c>
      <c r="BN410" s="242">
        <f t="shared" si="89"/>
        <v>33.78</v>
      </c>
      <c r="BO410" s="269">
        <f t="shared" si="90"/>
        <v>5.6</v>
      </c>
      <c r="BP410" s="269">
        <f>INDEX('App Data Outliers'!$M:$M,MATCH($E410,'App Data Outliers'!$A:$A,0))</f>
        <v>31.912660854402784</v>
      </c>
      <c r="BQ410" s="269">
        <f>INDEX('App Data Outliers'!$N:$N,MATCH($E410,'App Data Outliers'!$A:$A,0))</f>
        <v>4.6294175975068628</v>
      </c>
      <c r="BR410" s="269">
        <f>INDEX('App Data Outliers'!$S:$S,MATCH($E410,'App Data Outliers'!$A:$A,0))</f>
        <v>3.9162224934612029</v>
      </c>
      <c r="BS410" s="269">
        <f>INDEX('App Data Outliers'!$T:$T,MATCH($E410,'App Data Outliers'!$A:$A,0))</f>
        <v>1.1499528005502413</v>
      </c>
    </row>
    <row r="411" spans="1:71" s="204" customFormat="1" hidden="1">
      <c r="A411" s="241">
        <v>407</v>
      </c>
      <c r="B411" s="241" t="str">
        <f t="shared" si="81"/>
        <v>Residential - BHPSD - Residential Lighting &amp; Appliances</v>
      </c>
      <c r="C411" s="241" t="b">
        <f t="shared" si="82"/>
        <v>1</v>
      </c>
      <c r="D411" s="241" t="str">
        <f t="shared" si="83"/>
        <v>Residential - BHPSD - Residential Lighting &amp; Appliances_Residential Lighting &amp; Appliances :- ES Star Fixture :- Customer Incentives_ENERGY STAR LED Fixture</v>
      </c>
      <c r="E411" s="241" t="str">
        <f t="shared" si="84"/>
        <v>Residential_Residential Lighting_Lighting_ENERGY STAR Fixture</v>
      </c>
      <c r="F411" s="241" t="str">
        <f>INDEX('VDSM MAPPING'!E:E,MATCH($D411,'VDSM MAPPING'!$A:$A,0))</f>
        <v>Residential</v>
      </c>
      <c r="G411" s="241" t="str">
        <f>INDEX('VDSM MAPPING'!F:F,MATCH($D411,'VDSM MAPPING'!$A:$A,0))</f>
        <v>Residential Lighting</v>
      </c>
      <c r="H411" s="241" t="str">
        <f>INDEX('VDSM MAPPING'!G:G,MATCH($D411,'VDSM MAPPING'!$A:$A,0))</f>
        <v>Lighting</v>
      </c>
      <c r="I411" s="241" t="str">
        <f>INDEX('VDSM MAPPING'!H:H,MATCH($D411,'VDSM MAPPING'!$A:$A,0))</f>
        <v>ENERGY STAR Fixture</v>
      </c>
      <c r="J411" s="240">
        <f t="shared" si="85"/>
        <v>-5.0515134880505186E-2</v>
      </c>
      <c r="K411" s="240">
        <f t="shared" si="86"/>
        <v>0.4214787522569125</v>
      </c>
      <c r="L411" s="240" t="b">
        <f t="shared" si="87"/>
        <v>0</v>
      </c>
      <c r="M411" s="240" t="b">
        <f t="shared" si="88"/>
        <v>0</v>
      </c>
      <c r="N411" s="204" t="s">
        <v>289</v>
      </c>
      <c r="O411" s="204" t="s">
        <v>1342</v>
      </c>
      <c r="P411" s="350">
        <v>1</v>
      </c>
      <c r="Q411" s="204" t="s">
        <v>1342</v>
      </c>
      <c r="R411" s="204" t="s">
        <v>1341</v>
      </c>
      <c r="S411" s="204" t="s">
        <v>1340</v>
      </c>
      <c r="T411" s="204" t="s">
        <v>1339</v>
      </c>
      <c r="V411" s="204" t="s">
        <v>1338</v>
      </c>
      <c r="W411" s="204" t="s">
        <v>413</v>
      </c>
      <c r="X411" s="204" t="s">
        <v>297</v>
      </c>
      <c r="Y411" s="204" t="s">
        <v>412</v>
      </c>
      <c r="Z411" s="204" t="s">
        <v>601</v>
      </c>
      <c r="AA411" s="204" t="s">
        <v>600</v>
      </c>
      <c r="AB411" s="204" t="s">
        <v>329</v>
      </c>
      <c r="AC411" s="204" t="s">
        <v>297</v>
      </c>
      <c r="AD411" s="204" t="s">
        <v>599</v>
      </c>
      <c r="AE411" s="204" t="s">
        <v>598</v>
      </c>
      <c r="AG411" s="204" t="s">
        <v>895</v>
      </c>
      <c r="AH411" s="204" t="s">
        <v>150</v>
      </c>
      <c r="AV411" s="204" t="s">
        <v>1337</v>
      </c>
      <c r="AX411" s="204">
        <v>32</v>
      </c>
      <c r="AY411" s="204">
        <v>0</v>
      </c>
      <c r="AZ411" s="204">
        <v>0.12479999999999999</v>
      </c>
      <c r="BB411" s="204">
        <v>1064.8320000000001</v>
      </c>
      <c r="BH411" s="204">
        <v>0</v>
      </c>
      <c r="BI411" s="204">
        <v>320</v>
      </c>
      <c r="BJ411" s="204">
        <v>42802</v>
      </c>
      <c r="BK411" s="204">
        <v>42802.591133831003</v>
      </c>
      <c r="BL411" s="204" t="s">
        <v>293</v>
      </c>
      <c r="BM411" s="204" t="s">
        <v>1336</v>
      </c>
      <c r="BN411" s="242">
        <f t="shared" si="89"/>
        <v>33.276000000000003</v>
      </c>
      <c r="BO411" s="269">
        <f t="shared" si="90"/>
        <v>10</v>
      </c>
      <c r="BP411" s="269">
        <f>INDEX('App Data Outliers'!$M:$M,MATCH($E411,'App Data Outliers'!$A:$A,0))</f>
        <v>35.519370843989762</v>
      </c>
      <c r="BQ411" s="269">
        <f>INDEX('App Data Outliers'!$N:$N,MATCH($E411,'App Data Outliers'!$A:$A,0))</f>
        <v>44.409875363027503</v>
      </c>
      <c r="BR411" s="269">
        <f>INDEX('App Data Outliers'!$S:$S,MATCH($E411,'App Data Outliers'!$A:$A,0))</f>
        <v>9.3048337595907924</v>
      </c>
      <c r="BS411" s="269">
        <f>INDEX('App Data Outliers'!$T:$T,MATCH($E411,'App Data Outliers'!$A:$A,0))</f>
        <v>1.6493506177636894</v>
      </c>
    </row>
    <row r="412" spans="1:71" s="204" customFormat="1" hidden="1">
      <c r="A412" s="241">
        <v>408</v>
      </c>
      <c r="B412" s="241" t="str">
        <f t="shared" si="81"/>
        <v>Residential - BHPSD - Residential Lighting &amp; Appliances</v>
      </c>
      <c r="C412" s="241" t="b">
        <f t="shared" si="82"/>
        <v>1</v>
      </c>
      <c r="D412" s="241" t="str">
        <f t="shared" si="83"/>
        <v>Residential - BHPSD - Residential Lighting &amp; Appliances_Residential Lighting &amp; Appliances :- ES Star Fixture :- Customer Incentives_ENERGY STAR LED Fixture</v>
      </c>
      <c r="E412" s="241" t="str">
        <f t="shared" si="84"/>
        <v>Residential_Residential Lighting_Lighting_ENERGY STAR Fixture</v>
      </c>
      <c r="F412" s="241" t="str">
        <f>INDEX('VDSM MAPPING'!E:E,MATCH($D412,'VDSM MAPPING'!$A:$A,0))</f>
        <v>Residential</v>
      </c>
      <c r="G412" s="241" t="str">
        <f>INDEX('VDSM MAPPING'!F:F,MATCH($D412,'VDSM MAPPING'!$A:$A,0))</f>
        <v>Residential Lighting</v>
      </c>
      <c r="H412" s="241" t="str">
        <f>INDEX('VDSM MAPPING'!G:G,MATCH($D412,'VDSM MAPPING'!$A:$A,0))</f>
        <v>Lighting</v>
      </c>
      <c r="I412" s="241" t="str">
        <f>INDEX('VDSM MAPPING'!H:H,MATCH($D412,'VDSM MAPPING'!$A:$A,0))</f>
        <v>ENERGY STAR Fixture</v>
      </c>
      <c r="J412" s="240">
        <f t="shared" si="85"/>
        <v>-2.1017191252169592E-2</v>
      </c>
      <c r="K412" s="240">
        <f t="shared" si="86"/>
        <v>0.4214787522569125</v>
      </c>
      <c r="L412" s="240" t="b">
        <f t="shared" si="87"/>
        <v>0</v>
      </c>
      <c r="M412" s="240" t="b">
        <f t="shared" si="88"/>
        <v>0</v>
      </c>
      <c r="N412" s="204" t="s">
        <v>289</v>
      </c>
      <c r="O412" s="204" t="s">
        <v>1333</v>
      </c>
      <c r="P412" s="350">
        <v>1</v>
      </c>
      <c r="Q412" s="204" t="s">
        <v>1333</v>
      </c>
      <c r="R412" s="204" t="s">
        <v>1332</v>
      </c>
      <c r="S412" s="204" t="s">
        <v>1331</v>
      </c>
      <c r="T412" s="204" t="s">
        <v>1330</v>
      </c>
      <c r="V412" s="204" t="s">
        <v>1329</v>
      </c>
      <c r="W412" s="204" t="s">
        <v>329</v>
      </c>
      <c r="X412" s="204" t="s">
        <v>297</v>
      </c>
      <c r="Y412" s="204" t="s">
        <v>328</v>
      </c>
      <c r="Z412" s="204" t="s">
        <v>601</v>
      </c>
      <c r="AA412" s="204" t="s">
        <v>600</v>
      </c>
      <c r="AB412" s="204" t="s">
        <v>329</v>
      </c>
      <c r="AC412" s="204" t="s">
        <v>297</v>
      </c>
      <c r="AD412" s="204" t="s">
        <v>599</v>
      </c>
      <c r="AE412" s="204" t="s">
        <v>598</v>
      </c>
      <c r="AG412" s="204" t="s">
        <v>895</v>
      </c>
      <c r="AH412" s="204" t="s">
        <v>150</v>
      </c>
      <c r="AV412" s="204" t="s">
        <v>1335</v>
      </c>
      <c r="AX412" s="204">
        <v>25</v>
      </c>
      <c r="AY412" s="204">
        <v>0</v>
      </c>
      <c r="AZ412" s="204">
        <v>0.10249999999999999</v>
      </c>
      <c r="BB412" s="204">
        <v>864.65</v>
      </c>
      <c r="BH412" s="204">
        <v>0</v>
      </c>
      <c r="BI412" s="204">
        <v>250</v>
      </c>
      <c r="BJ412" s="204">
        <v>42811</v>
      </c>
      <c r="BK412" s="204">
        <v>42811.7676993403</v>
      </c>
      <c r="BL412" s="204" t="s">
        <v>293</v>
      </c>
      <c r="BM412" s="204" t="s">
        <v>1334</v>
      </c>
      <c r="BN412" s="242">
        <f t="shared" si="89"/>
        <v>34.585999999999999</v>
      </c>
      <c r="BO412" s="269">
        <f t="shared" si="90"/>
        <v>10</v>
      </c>
      <c r="BP412" s="269">
        <f>INDEX('App Data Outliers'!$M:$M,MATCH($E412,'App Data Outliers'!$A:$A,0))</f>
        <v>35.519370843989762</v>
      </c>
      <c r="BQ412" s="269">
        <f>INDEX('App Data Outliers'!$N:$N,MATCH($E412,'App Data Outliers'!$A:$A,0))</f>
        <v>44.409875363027503</v>
      </c>
      <c r="BR412" s="269">
        <f>INDEX('App Data Outliers'!$S:$S,MATCH($E412,'App Data Outliers'!$A:$A,0))</f>
        <v>9.3048337595907924</v>
      </c>
      <c r="BS412" s="269">
        <f>INDEX('App Data Outliers'!$T:$T,MATCH($E412,'App Data Outliers'!$A:$A,0))</f>
        <v>1.6493506177636894</v>
      </c>
    </row>
    <row r="413" spans="1:71" s="204" customFormat="1" hidden="1">
      <c r="A413" s="241">
        <v>409</v>
      </c>
      <c r="B413" s="241" t="str">
        <f t="shared" si="81"/>
        <v>Residential - BHPSD - Residential Lighting &amp; Appliances</v>
      </c>
      <c r="C413" s="241" t="b">
        <f t="shared" si="82"/>
        <v>1</v>
      </c>
      <c r="D413" s="241" t="str">
        <f t="shared" si="83"/>
        <v>Residential - BHPSD - Residential Lighting &amp; Appliances_Residential Lighting &amp; Appliances :- ES Star Fixture :- Customer Incentives_ENERGY STAR LED Fixture</v>
      </c>
      <c r="E413" s="241" t="str">
        <f t="shared" si="84"/>
        <v>Residential_Residential Lighting_Lighting_ENERGY STAR Fixture</v>
      </c>
      <c r="F413" s="241" t="str">
        <f>INDEX('VDSM MAPPING'!E:E,MATCH($D413,'VDSM MAPPING'!$A:$A,0))</f>
        <v>Residential</v>
      </c>
      <c r="G413" s="241" t="str">
        <f>INDEX('VDSM MAPPING'!F:F,MATCH($D413,'VDSM MAPPING'!$A:$A,0))</f>
        <v>Residential Lighting</v>
      </c>
      <c r="H413" s="241" t="str">
        <f>INDEX('VDSM MAPPING'!G:G,MATCH($D413,'VDSM MAPPING'!$A:$A,0))</f>
        <v>Lighting</v>
      </c>
      <c r="I413" s="241" t="str">
        <f>INDEX('VDSM MAPPING'!H:H,MATCH($D413,'VDSM MAPPING'!$A:$A,0))</f>
        <v>ENERGY STAR Fixture</v>
      </c>
      <c r="J413" s="240">
        <f t="shared" si="85"/>
        <v>-2.7817480546640867E-2</v>
      </c>
      <c r="K413" s="240">
        <f t="shared" si="86"/>
        <v>0.4214787522569125</v>
      </c>
      <c r="L413" s="240" t="b">
        <f t="shared" si="87"/>
        <v>0</v>
      </c>
      <c r="M413" s="240" t="b">
        <f t="shared" si="88"/>
        <v>0</v>
      </c>
      <c r="N413" s="204" t="s">
        <v>289</v>
      </c>
      <c r="O413" s="204" t="s">
        <v>1333</v>
      </c>
      <c r="P413" s="350">
        <v>0</v>
      </c>
      <c r="Q413" s="204" t="s">
        <v>1333</v>
      </c>
      <c r="R413" s="204" t="s">
        <v>1332</v>
      </c>
      <c r="S413" s="204" t="s">
        <v>1331</v>
      </c>
      <c r="T413" s="204" t="s">
        <v>1330</v>
      </c>
      <c r="V413" s="204" t="s">
        <v>1329</v>
      </c>
      <c r="W413" s="204" t="s">
        <v>329</v>
      </c>
      <c r="X413" s="204" t="s">
        <v>297</v>
      </c>
      <c r="Y413" s="204" t="s">
        <v>328</v>
      </c>
      <c r="Z413" s="204" t="s">
        <v>601</v>
      </c>
      <c r="AA413" s="204" t="s">
        <v>600</v>
      </c>
      <c r="AB413" s="204" t="s">
        <v>329</v>
      </c>
      <c r="AC413" s="204" t="s">
        <v>297</v>
      </c>
      <c r="AD413" s="204" t="s">
        <v>599</v>
      </c>
      <c r="AE413" s="204" t="s">
        <v>598</v>
      </c>
      <c r="AG413" s="204" t="s">
        <v>895</v>
      </c>
      <c r="AH413" s="204" t="s">
        <v>150</v>
      </c>
      <c r="AV413" s="204" t="s">
        <v>1328</v>
      </c>
      <c r="AX413" s="204">
        <v>2</v>
      </c>
      <c r="AY413" s="204">
        <v>0</v>
      </c>
      <c r="AZ413" s="204">
        <v>8.0000000000000002E-3</v>
      </c>
      <c r="BB413" s="204">
        <v>68.567999999999998</v>
      </c>
      <c r="BH413" s="204">
        <v>0</v>
      </c>
      <c r="BI413" s="204">
        <v>20</v>
      </c>
      <c r="BJ413" s="204">
        <v>42811</v>
      </c>
      <c r="BK413" s="204">
        <v>42811.7676993403</v>
      </c>
      <c r="BL413" s="204" t="s">
        <v>293</v>
      </c>
      <c r="BM413" s="204" t="s">
        <v>1327</v>
      </c>
      <c r="BN413" s="242">
        <f t="shared" si="89"/>
        <v>34.283999999999999</v>
      </c>
      <c r="BO413" s="269">
        <f t="shared" si="90"/>
        <v>10</v>
      </c>
      <c r="BP413" s="269">
        <f>INDEX('App Data Outliers'!$M:$M,MATCH($E413,'App Data Outliers'!$A:$A,0))</f>
        <v>35.519370843989762</v>
      </c>
      <c r="BQ413" s="269">
        <f>INDEX('App Data Outliers'!$N:$N,MATCH($E413,'App Data Outliers'!$A:$A,0))</f>
        <v>44.409875363027503</v>
      </c>
      <c r="BR413" s="269">
        <f>INDEX('App Data Outliers'!$S:$S,MATCH($E413,'App Data Outliers'!$A:$A,0))</f>
        <v>9.3048337595907924</v>
      </c>
      <c r="BS413" s="269">
        <f>INDEX('App Data Outliers'!$T:$T,MATCH($E413,'App Data Outliers'!$A:$A,0))</f>
        <v>1.6493506177636894</v>
      </c>
    </row>
    <row r="414" spans="1:71" s="204" customFormat="1" hidden="1">
      <c r="A414" s="241">
        <v>410</v>
      </c>
      <c r="B414" s="241" t="str">
        <f t="shared" si="81"/>
        <v>Residential - BHPSD - Residential Lighting &amp; Appliances</v>
      </c>
      <c r="C414" s="241" t="b">
        <f t="shared" si="82"/>
        <v>1</v>
      </c>
      <c r="D414" s="241" t="str">
        <f t="shared" si="83"/>
        <v>Residential - BHPSD - Residential Lighting &amp; Appliances_Residential Lighting &amp; Appliances :- LED :- Customer Incentives_LED</v>
      </c>
      <c r="E414" s="241" t="str">
        <f t="shared" si="84"/>
        <v>Residential_Residential Lighting_Lighting_LED</v>
      </c>
      <c r="F414" s="241" t="str">
        <f>INDEX('VDSM MAPPING'!E:E,MATCH($D414,'VDSM MAPPING'!$A:$A,0))</f>
        <v>Residential</v>
      </c>
      <c r="G414" s="241" t="str">
        <f>INDEX('VDSM MAPPING'!F:F,MATCH($D414,'VDSM MAPPING'!$A:$A,0))</f>
        <v>Residential Lighting</v>
      </c>
      <c r="H414" s="241" t="str">
        <f>INDEX('VDSM MAPPING'!G:G,MATCH($D414,'VDSM MAPPING'!$A:$A,0))</f>
        <v>Lighting</v>
      </c>
      <c r="I414" s="241" t="str">
        <f>INDEX('VDSM MAPPING'!H:H,MATCH($D414,'VDSM MAPPING'!$A:$A,0))</f>
        <v>LED</v>
      </c>
      <c r="J414" s="240">
        <f t="shared" si="85"/>
        <v>7.6540760934603463E-2</v>
      </c>
      <c r="K414" s="240">
        <f t="shared" si="86"/>
        <v>0.50765345000200468</v>
      </c>
      <c r="L414" s="240" t="b">
        <f t="shared" si="87"/>
        <v>0</v>
      </c>
      <c r="M414" s="240" t="b">
        <f t="shared" si="88"/>
        <v>0</v>
      </c>
      <c r="N414" s="204" t="s">
        <v>289</v>
      </c>
      <c r="O414" s="204" t="s">
        <v>1326</v>
      </c>
      <c r="P414" s="350">
        <v>1</v>
      </c>
      <c r="Q414" s="204" t="s">
        <v>1326</v>
      </c>
      <c r="R414" s="204" t="s">
        <v>1303</v>
      </c>
      <c r="S414" s="204" t="s">
        <v>1302</v>
      </c>
      <c r="T414" s="204" t="s">
        <v>1301</v>
      </c>
      <c r="V414" s="204" t="s">
        <v>1300</v>
      </c>
      <c r="W414" s="204" t="s">
        <v>329</v>
      </c>
      <c r="X414" s="204" t="s">
        <v>297</v>
      </c>
      <c r="Y414" s="204" t="s">
        <v>397</v>
      </c>
      <c r="Z414" s="204" t="s">
        <v>601</v>
      </c>
      <c r="AA414" s="204" t="s">
        <v>600</v>
      </c>
      <c r="AB414" s="204" t="s">
        <v>329</v>
      </c>
      <c r="AC414" s="204" t="s">
        <v>297</v>
      </c>
      <c r="AD414" s="204" t="s">
        <v>599</v>
      </c>
      <c r="AE414" s="204" t="s">
        <v>598</v>
      </c>
      <c r="AG414" s="204" t="s">
        <v>791</v>
      </c>
      <c r="AH414" s="204" t="s">
        <v>151</v>
      </c>
      <c r="AX414" s="204">
        <v>5</v>
      </c>
      <c r="AY414" s="204">
        <v>0</v>
      </c>
      <c r="AZ414" s="204">
        <v>1.9E-2</v>
      </c>
      <c r="BB414" s="204">
        <v>161.33500000000001</v>
      </c>
      <c r="BH414" s="204">
        <v>0</v>
      </c>
      <c r="BI414" s="204">
        <v>22.5</v>
      </c>
      <c r="BJ414" s="204">
        <v>42824</v>
      </c>
      <c r="BK414" s="204">
        <v>42824.713282835597</v>
      </c>
      <c r="BL414" s="204" t="s">
        <v>293</v>
      </c>
      <c r="BM414" s="204" t="s">
        <v>1325</v>
      </c>
      <c r="BN414" s="242">
        <f t="shared" si="89"/>
        <v>32.267000000000003</v>
      </c>
      <c r="BO414" s="269">
        <f t="shared" si="90"/>
        <v>4.5</v>
      </c>
      <c r="BP414" s="269">
        <f>INDEX('App Data Outliers'!$M:$M,MATCH($E414,'App Data Outliers'!$A:$A,0))</f>
        <v>31.912660854402784</v>
      </c>
      <c r="BQ414" s="269">
        <f>INDEX('App Data Outliers'!$N:$N,MATCH($E414,'App Data Outliers'!$A:$A,0))</f>
        <v>4.6294175975068628</v>
      </c>
      <c r="BR414" s="269">
        <f>INDEX('App Data Outliers'!$S:$S,MATCH($E414,'App Data Outliers'!$A:$A,0))</f>
        <v>3.9162224934612029</v>
      </c>
      <c r="BS414" s="269">
        <f>INDEX('App Data Outliers'!$T:$T,MATCH($E414,'App Data Outliers'!$A:$A,0))</f>
        <v>1.1499528005502413</v>
      </c>
    </row>
    <row r="415" spans="1:71" s="204" customFormat="1" hidden="1">
      <c r="A415" s="241">
        <v>411</v>
      </c>
      <c r="B415" s="241" t="str">
        <f t="shared" si="81"/>
        <v>Residential - BHPSD - Residential Lighting &amp; Appliances</v>
      </c>
      <c r="C415" s="241" t="b">
        <f t="shared" si="82"/>
        <v>1</v>
      </c>
      <c r="D415" s="241" t="str">
        <f t="shared" si="83"/>
        <v>Residential - BHPSD - Residential Lighting &amp; Appliances_Residential Lighting &amp; Appliances :- LED :- Customer Incentives_LED</v>
      </c>
      <c r="E415" s="241" t="str">
        <f t="shared" si="84"/>
        <v>Residential_Residential Lighting_Lighting_LED</v>
      </c>
      <c r="F415" s="241" t="str">
        <f>INDEX('VDSM MAPPING'!E:E,MATCH($D415,'VDSM MAPPING'!$A:$A,0))</f>
        <v>Residential</v>
      </c>
      <c r="G415" s="241" t="str">
        <f>INDEX('VDSM MAPPING'!F:F,MATCH($D415,'VDSM MAPPING'!$A:$A,0))</f>
        <v>Residential Lighting</v>
      </c>
      <c r="H415" s="241" t="str">
        <f>INDEX('VDSM MAPPING'!G:G,MATCH($D415,'VDSM MAPPING'!$A:$A,0))</f>
        <v>Lighting</v>
      </c>
      <c r="I415" s="241" t="str">
        <f>INDEX('VDSM MAPPING'!H:H,MATCH($D415,'VDSM MAPPING'!$A:$A,0))</f>
        <v>LED</v>
      </c>
      <c r="J415" s="240">
        <f t="shared" si="85"/>
        <v>0.40336372907962731</v>
      </c>
      <c r="K415" s="240">
        <f t="shared" si="86"/>
        <v>1.4642144492653311</v>
      </c>
      <c r="L415" s="240" t="b">
        <f t="shared" si="87"/>
        <v>0</v>
      </c>
      <c r="M415" s="240" t="b">
        <f t="shared" si="88"/>
        <v>0</v>
      </c>
      <c r="N415" s="204" t="s">
        <v>289</v>
      </c>
      <c r="O415" s="204" t="s">
        <v>1324</v>
      </c>
      <c r="P415" s="350">
        <v>1</v>
      </c>
      <c r="Q415" s="204" t="s">
        <v>1324</v>
      </c>
      <c r="R415" s="204" t="s">
        <v>1323</v>
      </c>
      <c r="S415" s="204" t="s">
        <v>1322</v>
      </c>
      <c r="T415" s="204" t="s">
        <v>1321</v>
      </c>
      <c r="V415" s="204" t="s">
        <v>1320</v>
      </c>
      <c r="W415" s="204" t="s">
        <v>329</v>
      </c>
      <c r="X415" s="204" t="s">
        <v>297</v>
      </c>
      <c r="Y415" s="204" t="s">
        <v>328</v>
      </c>
      <c r="Z415" s="204" t="s">
        <v>601</v>
      </c>
      <c r="AA415" s="204" t="s">
        <v>600</v>
      </c>
      <c r="AB415" s="204" t="s">
        <v>329</v>
      </c>
      <c r="AC415" s="204" t="s">
        <v>297</v>
      </c>
      <c r="AD415" s="204" t="s">
        <v>599</v>
      </c>
      <c r="AE415" s="204" t="s">
        <v>598</v>
      </c>
      <c r="AG415" s="204" t="s">
        <v>791</v>
      </c>
      <c r="AH415" s="204" t="s">
        <v>151</v>
      </c>
      <c r="AX415" s="204">
        <v>2</v>
      </c>
      <c r="AY415" s="204">
        <v>0</v>
      </c>
      <c r="AZ415" s="204">
        <v>8.0000000000000002E-3</v>
      </c>
      <c r="BB415" s="204">
        <v>67.56</v>
      </c>
      <c r="BH415" s="204">
        <v>0</v>
      </c>
      <c r="BI415" s="204">
        <v>11.2</v>
      </c>
      <c r="BJ415" s="204">
        <v>42824</v>
      </c>
      <c r="BK415" s="204">
        <v>42824.714325659697</v>
      </c>
      <c r="BL415" s="204" t="s">
        <v>293</v>
      </c>
      <c r="BM415" s="204" t="s">
        <v>1319</v>
      </c>
      <c r="BN415" s="242">
        <f t="shared" si="89"/>
        <v>33.78</v>
      </c>
      <c r="BO415" s="269">
        <f t="shared" si="90"/>
        <v>5.6</v>
      </c>
      <c r="BP415" s="269">
        <f>INDEX('App Data Outliers'!$M:$M,MATCH($E415,'App Data Outliers'!$A:$A,0))</f>
        <v>31.912660854402784</v>
      </c>
      <c r="BQ415" s="269">
        <f>INDEX('App Data Outliers'!$N:$N,MATCH($E415,'App Data Outliers'!$A:$A,0))</f>
        <v>4.6294175975068628</v>
      </c>
      <c r="BR415" s="269">
        <f>INDEX('App Data Outliers'!$S:$S,MATCH($E415,'App Data Outliers'!$A:$A,0))</f>
        <v>3.9162224934612029</v>
      </c>
      <c r="BS415" s="269">
        <f>INDEX('App Data Outliers'!$T:$T,MATCH($E415,'App Data Outliers'!$A:$A,0))</f>
        <v>1.1499528005502413</v>
      </c>
    </row>
    <row r="416" spans="1:71" s="204" customFormat="1" hidden="1">
      <c r="A416" s="241">
        <v>412</v>
      </c>
      <c r="B416" s="241" t="str">
        <f t="shared" si="81"/>
        <v>Residential - BHPSD - Residential Lighting &amp; Appliances</v>
      </c>
      <c r="C416" s="241" t="b">
        <f t="shared" si="82"/>
        <v>1</v>
      </c>
      <c r="D416" s="241" t="str">
        <f t="shared" si="83"/>
        <v>Residential - BHPSD - Residential Lighting &amp; Appliances_Residential Lighting &amp; Appliances :- LED :- Customer Incentives_LED</v>
      </c>
      <c r="E416" s="241" t="str">
        <f t="shared" si="84"/>
        <v>Residential_Residential Lighting_Lighting_LED</v>
      </c>
      <c r="F416" s="241" t="str">
        <f>INDEX('VDSM MAPPING'!E:E,MATCH($D416,'VDSM MAPPING'!$A:$A,0))</f>
        <v>Residential</v>
      </c>
      <c r="G416" s="241" t="str">
        <f>INDEX('VDSM MAPPING'!F:F,MATCH($D416,'VDSM MAPPING'!$A:$A,0))</f>
        <v>Residential Lighting</v>
      </c>
      <c r="H416" s="241" t="str">
        <f>INDEX('VDSM MAPPING'!G:G,MATCH($D416,'VDSM MAPPING'!$A:$A,0))</f>
        <v>Lighting</v>
      </c>
      <c r="I416" s="241" t="str">
        <f>INDEX('VDSM MAPPING'!H:H,MATCH($D416,'VDSM MAPPING'!$A:$A,0))</f>
        <v>LED</v>
      </c>
      <c r="J416" s="240">
        <f t="shared" si="85"/>
        <v>7.6540760934603463E-2</v>
      </c>
      <c r="K416" s="240">
        <f t="shared" si="86"/>
        <v>0.50765345000200468</v>
      </c>
      <c r="L416" s="240" t="b">
        <f t="shared" si="87"/>
        <v>0</v>
      </c>
      <c r="M416" s="240" t="b">
        <f t="shared" si="88"/>
        <v>0</v>
      </c>
      <c r="N416" s="204" t="s">
        <v>289</v>
      </c>
      <c r="O416" s="204" t="s">
        <v>1317</v>
      </c>
      <c r="P416" s="350">
        <v>1</v>
      </c>
      <c r="Q416" s="204" t="s">
        <v>1317</v>
      </c>
      <c r="R416" s="204" t="s">
        <v>1316</v>
      </c>
      <c r="S416" s="204" t="s">
        <v>1315</v>
      </c>
      <c r="T416" s="204" t="s">
        <v>1314</v>
      </c>
      <c r="V416" s="204" t="s">
        <v>1313</v>
      </c>
      <c r="W416" s="204" t="s">
        <v>345</v>
      </c>
      <c r="X416" s="204" t="s">
        <v>297</v>
      </c>
      <c r="Y416" s="204" t="s">
        <v>344</v>
      </c>
      <c r="Z416" s="204" t="s">
        <v>601</v>
      </c>
      <c r="AA416" s="204" t="s">
        <v>600</v>
      </c>
      <c r="AB416" s="204" t="s">
        <v>329</v>
      </c>
      <c r="AC416" s="204" t="s">
        <v>297</v>
      </c>
      <c r="AD416" s="204" t="s">
        <v>599</v>
      </c>
      <c r="AE416" s="204" t="s">
        <v>598</v>
      </c>
      <c r="AG416" s="204" t="s">
        <v>791</v>
      </c>
      <c r="AH416" s="204" t="s">
        <v>151</v>
      </c>
      <c r="AX416" s="204">
        <v>2</v>
      </c>
      <c r="AY416" s="204">
        <v>0</v>
      </c>
      <c r="AZ416" s="204">
        <v>7.6E-3</v>
      </c>
      <c r="BB416" s="204">
        <v>64.534000000000006</v>
      </c>
      <c r="BH416" s="204">
        <v>0</v>
      </c>
      <c r="BI416" s="204">
        <v>9</v>
      </c>
      <c r="BJ416" s="204">
        <v>42824</v>
      </c>
      <c r="BK416" s="204">
        <v>42824.715253738403</v>
      </c>
      <c r="BL416" s="204" t="s">
        <v>293</v>
      </c>
      <c r="BM416" s="204" t="s">
        <v>1312</v>
      </c>
      <c r="BN416" s="242">
        <f t="shared" si="89"/>
        <v>32.267000000000003</v>
      </c>
      <c r="BO416" s="269">
        <f t="shared" si="90"/>
        <v>4.5</v>
      </c>
      <c r="BP416" s="269">
        <f>INDEX('App Data Outliers'!$M:$M,MATCH($E416,'App Data Outliers'!$A:$A,0))</f>
        <v>31.912660854402784</v>
      </c>
      <c r="BQ416" s="269">
        <f>INDEX('App Data Outliers'!$N:$N,MATCH($E416,'App Data Outliers'!$A:$A,0))</f>
        <v>4.6294175975068628</v>
      </c>
      <c r="BR416" s="269">
        <f>INDEX('App Data Outliers'!$S:$S,MATCH($E416,'App Data Outliers'!$A:$A,0))</f>
        <v>3.9162224934612029</v>
      </c>
      <c r="BS416" s="269">
        <f>INDEX('App Data Outliers'!$T:$T,MATCH($E416,'App Data Outliers'!$A:$A,0))</f>
        <v>1.1499528005502413</v>
      </c>
    </row>
    <row r="417" spans="1:71" s="204" customFormat="1" hidden="1">
      <c r="A417" s="241">
        <v>413</v>
      </c>
      <c r="B417" s="241" t="str">
        <f t="shared" si="81"/>
        <v>Residential - BHPSD - Residential Lighting &amp; Appliances</v>
      </c>
      <c r="C417" s="241" t="b">
        <f t="shared" si="82"/>
        <v>1</v>
      </c>
      <c r="D417" s="241" t="str">
        <f t="shared" si="83"/>
        <v>Residential - BHPSD - Residential Lighting &amp; Appliances_Residential Lighting &amp; Appliances :- LED :- Customer Incentives_LED</v>
      </c>
      <c r="E417" s="241" t="str">
        <f t="shared" si="84"/>
        <v>Residential_Residential Lighting_Lighting_LED</v>
      </c>
      <c r="F417" s="241" t="str">
        <f>INDEX('VDSM MAPPING'!E:E,MATCH($D417,'VDSM MAPPING'!$A:$A,0))</f>
        <v>Residential</v>
      </c>
      <c r="G417" s="241" t="str">
        <f>INDEX('VDSM MAPPING'!F:F,MATCH($D417,'VDSM MAPPING'!$A:$A,0))</f>
        <v>Residential Lighting</v>
      </c>
      <c r="H417" s="241" t="str">
        <f>INDEX('VDSM MAPPING'!G:G,MATCH($D417,'VDSM MAPPING'!$A:$A,0))</f>
        <v>Lighting</v>
      </c>
      <c r="I417" s="241" t="str">
        <f>INDEX('VDSM MAPPING'!H:H,MATCH($D417,'VDSM MAPPING'!$A:$A,0))</f>
        <v>LED</v>
      </c>
      <c r="J417" s="240">
        <f t="shared" si="85"/>
        <v>-1.8837490182564711</v>
      </c>
      <c r="K417" s="240">
        <f t="shared" si="86"/>
        <v>7.2852995791401517E-2</v>
      </c>
      <c r="L417" s="240" t="b">
        <f t="shared" si="87"/>
        <v>0</v>
      </c>
      <c r="M417" s="240" t="b">
        <f t="shared" si="88"/>
        <v>0</v>
      </c>
      <c r="N417" s="204" t="s">
        <v>289</v>
      </c>
      <c r="O417" s="204" t="s">
        <v>1317</v>
      </c>
      <c r="P417" s="350">
        <v>0</v>
      </c>
      <c r="Q417" s="204" t="s">
        <v>1317</v>
      </c>
      <c r="R417" s="204" t="s">
        <v>1316</v>
      </c>
      <c r="S417" s="204" t="s">
        <v>1315</v>
      </c>
      <c r="T417" s="204" t="s">
        <v>1314</v>
      </c>
      <c r="V417" s="204" t="s">
        <v>1313</v>
      </c>
      <c r="W417" s="204" t="s">
        <v>345</v>
      </c>
      <c r="X417" s="204" t="s">
        <v>297</v>
      </c>
      <c r="Y417" s="204" t="s">
        <v>344</v>
      </c>
      <c r="Z417" s="204" t="s">
        <v>601</v>
      </c>
      <c r="AA417" s="204" t="s">
        <v>600</v>
      </c>
      <c r="AB417" s="204" t="s">
        <v>329</v>
      </c>
      <c r="AC417" s="204" t="s">
        <v>297</v>
      </c>
      <c r="AD417" s="204" t="s">
        <v>599</v>
      </c>
      <c r="AE417" s="204" t="s">
        <v>598</v>
      </c>
      <c r="AG417" s="204" t="s">
        <v>791</v>
      </c>
      <c r="AH417" s="204" t="s">
        <v>151</v>
      </c>
      <c r="AX417" s="204">
        <v>2</v>
      </c>
      <c r="AY417" s="204">
        <v>0</v>
      </c>
      <c r="AZ417" s="204">
        <v>5.4000000000000003E-3</v>
      </c>
      <c r="BB417" s="204">
        <v>46.384</v>
      </c>
      <c r="BH417" s="204">
        <v>0</v>
      </c>
      <c r="BI417" s="204">
        <v>8</v>
      </c>
      <c r="BJ417" s="204">
        <v>42824</v>
      </c>
      <c r="BK417" s="204">
        <v>42824.715253738403</v>
      </c>
      <c r="BL417" s="204" t="s">
        <v>293</v>
      </c>
      <c r="BM417" s="204" t="s">
        <v>1318</v>
      </c>
      <c r="BN417" s="242">
        <f t="shared" si="89"/>
        <v>23.192</v>
      </c>
      <c r="BO417" s="269">
        <f t="shared" si="90"/>
        <v>4</v>
      </c>
      <c r="BP417" s="269">
        <f>INDEX('App Data Outliers'!$M:$M,MATCH($E417,'App Data Outliers'!$A:$A,0))</f>
        <v>31.912660854402784</v>
      </c>
      <c r="BQ417" s="269">
        <f>INDEX('App Data Outliers'!$N:$N,MATCH($E417,'App Data Outliers'!$A:$A,0))</f>
        <v>4.6294175975068628</v>
      </c>
      <c r="BR417" s="269">
        <f>INDEX('App Data Outliers'!$S:$S,MATCH($E417,'App Data Outliers'!$A:$A,0))</f>
        <v>3.9162224934612029</v>
      </c>
      <c r="BS417" s="269">
        <f>INDEX('App Data Outliers'!$T:$T,MATCH($E417,'App Data Outliers'!$A:$A,0))</f>
        <v>1.1499528005502413</v>
      </c>
    </row>
    <row r="418" spans="1:71" s="204" customFormat="1" hidden="1">
      <c r="A418" s="241">
        <v>414</v>
      </c>
      <c r="B418" s="241" t="str">
        <f t="shared" si="81"/>
        <v>Residential - BHPSD - Residential Lighting &amp; Appliances</v>
      </c>
      <c r="C418" s="241" t="b">
        <f t="shared" si="82"/>
        <v>1</v>
      </c>
      <c r="D418" s="241" t="str">
        <f t="shared" si="83"/>
        <v>Residential - BHPSD - Residential Lighting &amp; Appliances_Residential Lighting &amp; Appliances :- LED :- Customer Incentives_LED</v>
      </c>
      <c r="E418" s="241" t="str">
        <f t="shared" si="84"/>
        <v>Residential_Residential Lighting_Lighting_LED</v>
      </c>
      <c r="F418" s="241" t="str">
        <f>INDEX('VDSM MAPPING'!E:E,MATCH($D418,'VDSM MAPPING'!$A:$A,0))</f>
        <v>Residential</v>
      </c>
      <c r="G418" s="241" t="str">
        <f>INDEX('VDSM MAPPING'!F:F,MATCH($D418,'VDSM MAPPING'!$A:$A,0))</f>
        <v>Residential Lighting</v>
      </c>
      <c r="H418" s="241" t="str">
        <f>INDEX('VDSM MAPPING'!G:G,MATCH($D418,'VDSM MAPPING'!$A:$A,0))</f>
        <v>Lighting</v>
      </c>
      <c r="I418" s="241" t="str">
        <f>INDEX('VDSM MAPPING'!H:H,MATCH($D418,'VDSM MAPPING'!$A:$A,0))</f>
        <v>LED</v>
      </c>
      <c r="J418" s="240">
        <f t="shared" si="85"/>
        <v>0.40336372907962731</v>
      </c>
      <c r="K418" s="240">
        <f t="shared" si="86"/>
        <v>1.4642144492653311</v>
      </c>
      <c r="L418" s="240" t="b">
        <f t="shared" si="87"/>
        <v>0</v>
      </c>
      <c r="M418" s="240" t="b">
        <f t="shared" si="88"/>
        <v>0</v>
      </c>
      <c r="N418" s="204" t="s">
        <v>289</v>
      </c>
      <c r="O418" s="204" t="s">
        <v>1310</v>
      </c>
      <c r="P418" s="350">
        <v>1</v>
      </c>
      <c r="Q418" s="204" t="s">
        <v>1310</v>
      </c>
      <c r="R418" s="204" t="s">
        <v>1309</v>
      </c>
      <c r="S418" s="204" t="s">
        <v>1308</v>
      </c>
      <c r="T418" s="204" t="s">
        <v>1307</v>
      </c>
      <c r="V418" s="204" t="s">
        <v>1306</v>
      </c>
      <c r="W418" s="204" t="s">
        <v>329</v>
      </c>
      <c r="X418" s="204" t="s">
        <v>297</v>
      </c>
      <c r="Y418" s="204" t="s">
        <v>328</v>
      </c>
      <c r="Z418" s="204" t="s">
        <v>601</v>
      </c>
      <c r="AA418" s="204" t="s">
        <v>600</v>
      </c>
      <c r="AB418" s="204" t="s">
        <v>329</v>
      </c>
      <c r="AC418" s="204" t="s">
        <v>297</v>
      </c>
      <c r="AD418" s="204" t="s">
        <v>599</v>
      </c>
      <c r="AE418" s="204" t="s">
        <v>598</v>
      </c>
      <c r="AG418" s="204" t="s">
        <v>791</v>
      </c>
      <c r="AH418" s="204" t="s">
        <v>151</v>
      </c>
      <c r="AX418" s="204">
        <v>4</v>
      </c>
      <c r="AY418" s="204">
        <v>0</v>
      </c>
      <c r="AZ418" s="204">
        <v>1.6E-2</v>
      </c>
      <c r="BB418" s="204">
        <v>135.12</v>
      </c>
      <c r="BH418" s="204">
        <v>0</v>
      </c>
      <c r="BI418" s="204">
        <v>22.4</v>
      </c>
      <c r="BJ418" s="204">
        <v>42824</v>
      </c>
      <c r="BK418" s="204">
        <v>42824.716399884303</v>
      </c>
      <c r="BL418" s="204" t="s">
        <v>293</v>
      </c>
      <c r="BM418" s="204" t="s">
        <v>1311</v>
      </c>
      <c r="BN418" s="242">
        <f t="shared" si="89"/>
        <v>33.78</v>
      </c>
      <c r="BO418" s="269">
        <f t="shared" si="90"/>
        <v>5.6</v>
      </c>
      <c r="BP418" s="269">
        <f>INDEX('App Data Outliers'!$M:$M,MATCH($E418,'App Data Outliers'!$A:$A,0))</f>
        <v>31.912660854402784</v>
      </c>
      <c r="BQ418" s="269">
        <f>INDEX('App Data Outliers'!$N:$N,MATCH($E418,'App Data Outliers'!$A:$A,0))</f>
        <v>4.6294175975068628</v>
      </c>
      <c r="BR418" s="269">
        <f>INDEX('App Data Outliers'!$S:$S,MATCH($E418,'App Data Outliers'!$A:$A,0))</f>
        <v>3.9162224934612029</v>
      </c>
      <c r="BS418" s="269">
        <f>INDEX('App Data Outliers'!$T:$T,MATCH($E418,'App Data Outliers'!$A:$A,0))</f>
        <v>1.1499528005502413</v>
      </c>
    </row>
    <row r="419" spans="1:71" s="204" customFormat="1" hidden="1">
      <c r="A419" s="241">
        <v>415</v>
      </c>
      <c r="B419" s="241" t="str">
        <f t="shared" si="81"/>
        <v>Residential - BHPSD - Residential Lighting &amp; Appliances</v>
      </c>
      <c r="C419" s="241" t="b">
        <f t="shared" si="82"/>
        <v>1</v>
      </c>
      <c r="D419" s="241" t="str">
        <f t="shared" si="83"/>
        <v>Residential - BHPSD - Residential Lighting &amp; Appliances_Residential Lighting &amp; Appliances :- LED :- Customer Incentives_LED</v>
      </c>
      <c r="E419" s="241" t="str">
        <f t="shared" si="84"/>
        <v>Residential_Residential Lighting_Lighting_LED</v>
      </c>
      <c r="F419" s="241" t="str">
        <f>INDEX('VDSM MAPPING'!E:E,MATCH($D419,'VDSM MAPPING'!$A:$A,0))</f>
        <v>Residential</v>
      </c>
      <c r="G419" s="241" t="str">
        <f>INDEX('VDSM MAPPING'!F:F,MATCH($D419,'VDSM MAPPING'!$A:$A,0))</f>
        <v>Residential Lighting</v>
      </c>
      <c r="H419" s="241" t="str">
        <f>INDEX('VDSM MAPPING'!G:G,MATCH($D419,'VDSM MAPPING'!$A:$A,0))</f>
        <v>Lighting</v>
      </c>
      <c r="I419" s="241" t="str">
        <f>INDEX('VDSM MAPPING'!H:H,MATCH($D419,'VDSM MAPPING'!$A:$A,0))</f>
        <v>LED</v>
      </c>
      <c r="J419" s="240">
        <f t="shared" si="85"/>
        <v>7.6540760934603463E-2</v>
      </c>
      <c r="K419" s="240">
        <f t="shared" si="86"/>
        <v>0.50765345000200468</v>
      </c>
      <c r="L419" s="240" t="b">
        <f t="shared" si="87"/>
        <v>0</v>
      </c>
      <c r="M419" s="240" t="b">
        <f t="shared" si="88"/>
        <v>0</v>
      </c>
      <c r="N419" s="204" t="s">
        <v>289</v>
      </c>
      <c r="O419" s="204" t="s">
        <v>1310</v>
      </c>
      <c r="P419" s="350">
        <v>0</v>
      </c>
      <c r="Q419" s="204" t="s">
        <v>1310</v>
      </c>
      <c r="R419" s="204" t="s">
        <v>1309</v>
      </c>
      <c r="S419" s="204" t="s">
        <v>1308</v>
      </c>
      <c r="T419" s="204" t="s">
        <v>1307</v>
      </c>
      <c r="V419" s="204" t="s">
        <v>1306</v>
      </c>
      <c r="W419" s="204" t="s">
        <v>329</v>
      </c>
      <c r="X419" s="204" t="s">
        <v>297</v>
      </c>
      <c r="Y419" s="204" t="s">
        <v>328</v>
      </c>
      <c r="Z419" s="204" t="s">
        <v>601</v>
      </c>
      <c r="AA419" s="204" t="s">
        <v>600</v>
      </c>
      <c r="AB419" s="204" t="s">
        <v>329</v>
      </c>
      <c r="AC419" s="204" t="s">
        <v>297</v>
      </c>
      <c r="AD419" s="204" t="s">
        <v>599</v>
      </c>
      <c r="AE419" s="204" t="s">
        <v>598</v>
      </c>
      <c r="AG419" s="204" t="s">
        <v>791</v>
      </c>
      <c r="AH419" s="204" t="s">
        <v>151</v>
      </c>
      <c r="AX419" s="204">
        <v>4</v>
      </c>
      <c r="AY419" s="204">
        <v>0</v>
      </c>
      <c r="AZ419" s="204">
        <v>1.52E-2</v>
      </c>
      <c r="BB419" s="204">
        <v>129.06800000000001</v>
      </c>
      <c r="BH419" s="204">
        <v>0</v>
      </c>
      <c r="BI419" s="204">
        <v>18</v>
      </c>
      <c r="BJ419" s="204">
        <v>42824</v>
      </c>
      <c r="BK419" s="204">
        <v>42824.716399884303</v>
      </c>
      <c r="BL419" s="204" t="s">
        <v>293</v>
      </c>
      <c r="BM419" s="204" t="s">
        <v>1305</v>
      </c>
      <c r="BN419" s="242">
        <f t="shared" si="89"/>
        <v>32.267000000000003</v>
      </c>
      <c r="BO419" s="269">
        <f t="shared" si="90"/>
        <v>4.5</v>
      </c>
      <c r="BP419" s="269">
        <f>INDEX('App Data Outliers'!$M:$M,MATCH($E419,'App Data Outliers'!$A:$A,0))</f>
        <v>31.912660854402784</v>
      </c>
      <c r="BQ419" s="269">
        <f>INDEX('App Data Outliers'!$N:$N,MATCH($E419,'App Data Outliers'!$A:$A,0))</f>
        <v>4.6294175975068628</v>
      </c>
      <c r="BR419" s="269">
        <f>INDEX('App Data Outliers'!$S:$S,MATCH($E419,'App Data Outliers'!$A:$A,0))</f>
        <v>3.9162224934612029</v>
      </c>
      <c r="BS419" s="269">
        <f>INDEX('App Data Outliers'!$T:$T,MATCH($E419,'App Data Outliers'!$A:$A,0))</f>
        <v>1.1499528005502413</v>
      </c>
    </row>
    <row r="420" spans="1:71" s="204" customFormat="1" hidden="1">
      <c r="A420" s="241">
        <v>416</v>
      </c>
      <c r="B420" s="241" t="str">
        <f t="shared" si="81"/>
        <v>Residential - BHPSD - Residential Lighting &amp; Appliances</v>
      </c>
      <c r="C420" s="241" t="b">
        <f t="shared" si="82"/>
        <v>1</v>
      </c>
      <c r="D420" s="241" t="str">
        <f t="shared" si="83"/>
        <v>Residential - BHPSD - Residential Lighting &amp; Appliances_Residential Lighting &amp; Appliances :- LED :- Customer Incentives_LED</v>
      </c>
      <c r="E420" s="241" t="str">
        <f t="shared" si="84"/>
        <v>Residential_Residential Lighting_Lighting_LED</v>
      </c>
      <c r="F420" s="241" t="str">
        <f>INDEX('VDSM MAPPING'!E:E,MATCH($D420,'VDSM MAPPING'!$A:$A,0))</f>
        <v>Residential</v>
      </c>
      <c r="G420" s="241" t="str">
        <f>INDEX('VDSM MAPPING'!F:F,MATCH($D420,'VDSM MAPPING'!$A:$A,0))</f>
        <v>Residential Lighting</v>
      </c>
      <c r="H420" s="241" t="str">
        <f>INDEX('VDSM MAPPING'!G:G,MATCH($D420,'VDSM MAPPING'!$A:$A,0))</f>
        <v>Lighting</v>
      </c>
      <c r="I420" s="241" t="str">
        <f>INDEX('VDSM MAPPING'!H:H,MATCH($D420,'VDSM MAPPING'!$A:$A,0))</f>
        <v>LED</v>
      </c>
      <c r="J420" s="240">
        <f t="shared" si="85"/>
        <v>-1.8837490182564711</v>
      </c>
      <c r="K420" s="240">
        <f t="shared" si="86"/>
        <v>7.2852995791401517E-2</v>
      </c>
      <c r="L420" s="240" t="b">
        <f t="shared" si="87"/>
        <v>0</v>
      </c>
      <c r="M420" s="240" t="b">
        <f t="shared" si="88"/>
        <v>0</v>
      </c>
      <c r="N420" s="204" t="s">
        <v>289</v>
      </c>
      <c r="O420" s="204" t="s">
        <v>1304</v>
      </c>
      <c r="P420" s="350">
        <v>1</v>
      </c>
      <c r="Q420" s="204" t="s">
        <v>1304</v>
      </c>
      <c r="R420" s="204" t="s">
        <v>1303</v>
      </c>
      <c r="S420" s="204" t="s">
        <v>1302</v>
      </c>
      <c r="T420" s="204" t="s">
        <v>1301</v>
      </c>
      <c r="V420" s="204" t="s">
        <v>1300</v>
      </c>
      <c r="W420" s="204" t="s">
        <v>329</v>
      </c>
      <c r="X420" s="204" t="s">
        <v>297</v>
      </c>
      <c r="Y420" s="204" t="s">
        <v>397</v>
      </c>
      <c r="Z420" s="204" t="s">
        <v>601</v>
      </c>
      <c r="AA420" s="204" t="s">
        <v>600</v>
      </c>
      <c r="AB420" s="204" t="s">
        <v>329</v>
      </c>
      <c r="AC420" s="204" t="s">
        <v>297</v>
      </c>
      <c r="AD420" s="204" t="s">
        <v>599</v>
      </c>
      <c r="AE420" s="204" t="s">
        <v>598</v>
      </c>
      <c r="AG420" s="204" t="s">
        <v>791</v>
      </c>
      <c r="AH420" s="204" t="s">
        <v>151</v>
      </c>
      <c r="AX420" s="204">
        <v>5</v>
      </c>
      <c r="AY420" s="204">
        <v>0</v>
      </c>
      <c r="AZ420" s="204">
        <v>1.35E-2</v>
      </c>
      <c r="BB420" s="204">
        <v>115.96</v>
      </c>
      <c r="BH420" s="204">
        <v>0</v>
      </c>
      <c r="BI420" s="204">
        <v>20</v>
      </c>
      <c r="BJ420" s="204">
        <v>42846</v>
      </c>
      <c r="BK420" s="204">
        <v>42846.699536539403</v>
      </c>
      <c r="BL420" s="204" t="s">
        <v>293</v>
      </c>
      <c r="BM420" s="204" t="s">
        <v>1299</v>
      </c>
      <c r="BN420" s="242">
        <f t="shared" si="89"/>
        <v>23.192</v>
      </c>
      <c r="BO420" s="269">
        <f t="shared" si="90"/>
        <v>4</v>
      </c>
      <c r="BP420" s="269">
        <f>INDEX('App Data Outliers'!$M:$M,MATCH($E420,'App Data Outliers'!$A:$A,0))</f>
        <v>31.912660854402784</v>
      </c>
      <c r="BQ420" s="269">
        <f>INDEX('App Data Outliers'!$N:$N,MATCH($E420,'App Data Outliers'!$A:$A,0))</f>
        <v>4.6294175975068628</v>
      </c>
      <c r="BR420" s="269">
        <f>INDEX('App Data Outliers'!$S:$S,MATCH($E420,'App Data Outliers'!$A:$A,0))</f>
        <v>3.9162224934612029</v>
      </c>
      <c r="BS420" s="269">
        <f>INDEX('App Data Outliers'!$T:$T,MATCH($E420,'App Data Outliers'!$A:$A,0))</f>
        <v>1.1499528005502413</v>
      </c>
    </row>
    <row r="421" spans="1:71" s="204" customFormat="1" hidden="1">
      <c r="A421" s="241">
        <v>417</v>
      </c>
      <c r="B421" s="241" t="str">
        <f t="shared" si="81"/>
        <v>Residential - BHPSD - Residential Lighting &amp; Appliances</v>
      </c>
      <c r="C421" s="241" t="b">
        <f t="shared" si="82"/>
        <v>1</v>
      </c>
      <c r="D421" s="241" t="str">
        <f t="shared" si="83"/>
        <v>Residential - BHPSD - Residential Lighting &amp; Appliances_Residential Lighting &amp; Appliances :- LED :- Customer Incentives_LED</v>
      </c>
      <c r="E421" s="241" t="str">
        <f t="shared" si="84"/>
        <v>Residential_Residential Lighting_Lighting_LED</v>
      </c>
      <c r="F421" s="241" t="str">
        <f>INDEX('VDSM MAPPING'!E:E,MATCH($D421,'VDSM MAPPING'!$A:$A,0))</f>
        <v>Residential</v>
      </c>
      <c r="G421" s="241" t="str">
        <f>INDEX('VDSM MAPPING'!F:F,MATCH($D421,'VDSM MAPPING'!$A:$A,0))</f>
        <v>Residential Lighting</v>
      </c>
      <c r="H421" s="241" t="str">
        <f>INDEX('VDSM MAPPING'!G:G,MATCH($D421,'VDSM MAPPING'!$A:$A,0))</f>
        <v>Lighting</v>
      </c>
      <c r="I421" s="241" t="str">
        <f>INDEX('VDSM MAPPING'!H:H,MATCH($D421,'VDSM MAPPING'!$A:$A,0))</f>
        <v>LED</v>
      </c>
      <c r="J421" s="240">
        <f t="shared" si="85"/>
        <v>0.40336372907962731</v>
      </c>
      <c r="K421" s="240">
        <f t="shared" si="86"/>
        <v>1.4642144492653311</v>
      </c>
      <c r="L421" s="240" t="b">
        <f t="shared" si="87"/>
        <v>0</v>
      </c>
      <c r="M421" s="240" t="b">
        <f t="shared" si="88"/>
        <v>0</v>
      </c>
      <c r="N421" s="204" t="s">
        <v>289</v>
      </c>
      <c r="O421" s="204" t="s">
        <v>1297</v>
      </c>
      <c r="P421" s="350">
        <v>1</v>
      </c>
      <c r="Q421" s="204" t="s">
        <v>1297</v>
      </c>
      <c r="R421" s="204" t="s">
        <v>1296</v>
      </c>
      <c r="S421" s="204" t="s">
        <v>1295</v>
      </c>
      <c r="T421" s="204" t="s">
        <v>1294</v>
      </c>
      <c r="V421" s="204" t="s">
        <v>1293</v>
      </c>
      <c r="W421" s="204" t="s">
        <v>345</v>
      </c>
      <c r="X421" s="204" t="s">
        <v>297</v>
      </c>
      <c r="Y421" s="204" t="s">
        <v>344</v>
      </c>
      <c r="Z421" s="204" t="s">
        <v>601</v>
      </c>
      <c r="AA421" s="204" t="s">
        <v>600</v>
      </c>
      <c r="AB421" s="204" t="s">
        <v>329</v>
      </c>
      <c r="AC421" s="204" t="s">
        <v>297</v>
      </c>
      <c r="AD421" s="204" t="s">
        <v>599</v>
      </c>
      <c r="AE421" s="204" t="s">
        <v>598</v>
      </c>
      <c r="AG421" s="204" t="s">
        <v>791</v>
      </c>
      <c r="AH421" s="204" t="s">
        <v>151</v>
      </c>
      <c r="AX421" s="204">
        <v>1</v>
      </c>
      <c r="AY421" s="204">
        <v>0</v>
      </c>
      <c r="AZ421" s="204">
        <v>4.0000000000000001E-3</v>
      </c>
      <c r="BB421" s="204">
        <v>33.78</v>
      </c>
      <c r="BH421" s="204">
        <v>0</v>
      </c>
      <c r="BI421" s="204">
        <v>5.6</v>
      </c>
      <c r="BJ421" s="204">
        <v>42846</v>
      </c>
      <c r="BK421" s="204">
        <v>42846.700620335701</v>
      </c>
      <c r="BL421" s="204" t="s">
        <v>293</v>
      </c>
      <c r="BM421" s="204" t="s">
        <v>1298</v>
      </c>
      <c r="BN421" s="242">
        <f t="shared" si="89"/>
        <v>33.78</v>
      </c>
      <c r="BO421" s="269">
        <f t="shared" si="90"/>
        <v>5.6</v>
      </c>
      <c r="BP421" s="269">
        <f>INDEX('App Data Outliers'!$M:$M,MATCH($E421,'App Data Outliers'!$A:$A,0))</f>
        <v>31.912660854402784</v>
      </c>
      <c r="BQ421" s="269">
        <f>INDEX('App Data Outliers'!$N:$N,MATCH($E421,'App Data Outliers'!$A:$A,0))</f>
        <v>4.6294175975068628</v>
      </c>
      <c r="BR421" s="269">
        <f>INDEX('App Data Outliers'!$S:$S,MATCH($E421,'App Data Outliers'!$A:$A,0))</f>
        <v>3.9162224934612029</v>
      </c>
      <c r="BS421" s="269">
        <f>INDEX('App Data Outliers'!$T:$T,MATCH($E421,'App Data Outliers'!$A:$A,0))</f>
        <v>1.1499528005502413</v>
      </c>
    </row>
    <row r="422" spans="1:71" s="204" customFormat="1" hidden="1">
      <c r="A422" s="241">
        <v>418</v>
      </c>
      <c r="B422" s="241" t="str">
        <f t="shared" si="81"/>
        <v>Residential - BHPSD - Residential Lighting &amp; Appliances</v>
      </c>
      <c r="C422" s="241" t="b">
        <f t="shared" si="82"/>
        <v>1</v>
      </c>
      <c r="D422" s="241" t="str">
        <f t="shared" si="83"/>
        <v>Residential - BHPSD - Residential Lighting &amp; Appliances_Residential Lighting &amp; Appliances :- LED :- Customer Incentives_LED</v>
      </c>
      <c r="E422" s="241" t="str">
        <f t="shared" si="84"/>
        <v>Residential_Residential Lighting_Lighting_LED</v>
      </c>
      <c r="F422" s="241" t="str">
        <f>INDEX('VDSM MAPPING'!E:E,MATCH($D422,'VDSM MAPPING'!$A:$A,0))</f>
        <v>Residential</v>
      </c>
      <c r="G422" s="241" t="str">
        <f>INDEX('VDSM MAPPING'!F:F,MATCH($D422,'VDSM MAPPING'!$A:$A,0))</f>
        <v>Residential Lighting</v>
      </c>
      <c r="H422" s="241" t="str">
        <f>INDEX('VDSM MAPPING'!G:G,MATCH($D422,'VDSM MAPPING'!$A:$A,0))</f>
        <v>Lighting</v>
      </c>
      <c r="I422" s="241" t="str">
        <f>INDEX('VDSM MAPPING'!H:H,MATCH($D422,'VDSM MAPPING'!$A:$A,0))</f>
        <v>LED</v>
      </c>
      <c r="J422" s="240">
        <f t="shared" si="85"/>
        <v>7.6540760934603463E-2</v>
      </c>
      <c r="K422" s="240">
        <f t="shared" si="86"/>
        <v>0.50765345000200468</v>
      </c>
      <c r="L422" s="240" t="b">
        <f t="shared" si="87"/>
        <v>0</v>
      </c>
      <c r="M422" s="240" t="b">
        <f t="shared" si="88"/>
        <v>0</v>
      </c>
      <c r="N422" s="204" t="s">
        <v>289</v>
      </c>
      <c r="O422" s="204" t="s">
        <v>1297</v>
      </c>
      <c r="P422" s="350">
        <v>0</v>
      </c>
      <c r="Q422" s="204" t="s">
        <v>1297</v>
      </c>
      <c r="R422" s="204" t="s">
        <v>1296</v>
      </c>
      <c r="S422" s="204" t="s">
        <v>1295</v>
      </c>
      <c r="T422" s="204" t="s">
        <v>1294</v>
      </c>
      <c r="V422" s="204" t="s">
        <v>1293</v>
      </c>
      <c r="W422" s="204" t="s">
        <v>345</v>
      </c>
      <c r="X422" s="204" t="s">
        <v>297</v>
      </c>
      <c r="Y422" s="204" t="s">
        <v>344</v>
      </c>
      <c r="Z422" s="204" t="s">
        <v>601</v>
      </c>
      <c r="AA422" s="204" t="s">
        <v>600</v>
      </c>
      <c r="AB422" s="204" t="s">
        <v>329</v>
      </c>
      <c r="AC422" s="204" t="s">
        <v>297</v>
      </c>
      <c r="AD422" s="204" t="s">
        <v>599</v>
      </c>
      <c r="AE422" s="204" t="s">
        <v>598</v>
      </c>
      <c r="AG422" s="204" t="s">
        <v>791</v>
      </c>
      <c r="AH422" s="204" t="s">
        <v>151</v>
      </c>
      <c r="AX422" s="204">
        <v>7</v>
      </c>
      <c r="AY422" s="204">
        <v>0</v>
      </c>
      <c r="AZ422" s="204">
        <v>2.6599999999999999E-2</v>
      </c>
      <c r="BB422" s="204">
        <v>225.869</v>
      </c>
      <c r="BH422" s="204">
        <v>0</v>
      </c>
      <c r="BI422" s="204">
        <v>31.5</v>
      </c>
      <c r="BJ422" s="204">
        <v>42846</v>
      </c>
      <c r="BK422" s="204">
        <v>42846.700620335701</v>
      </c>
      <c r="BL422" s="204" t="s">
        <v>293</v>
      </c>
      <c r="BM422" s="204" t="s">
        <v>1292</v>
      </c>
      <c r="BN422" s="242">
        <f t="shared" si="89"/>
        <v>32.267000000000003</v>
      </c>
      <c r="BO422" s="269">
        <f t="shared" si="90"/>
        <v>4.5</v>
      </c>
      <c r="BP422" s="269">
        <f>INDEX('App Data Outliers'!$M:$M,MATCH($E422,'App Data Outliers'!$A:$A,0))</f>
        <v>31.912660854402784</v>
      </c>
      <c r="BQ422" s="269">
        <f>INDEX('App Data Outliers'!$N:$N,MATCH($E422,'App Data Outliers'!$A:$A,0))</f>
        <v>4.6294175975068628</v>
      </c>
      <c r="BR422" s="269">
        <f>INDEX('App Data Outliers'!$S:$S,MATCH($E422,'App Data Outliers'!$A:$A,0))</f>
        <v>3.9162224934612029</v>
      </c>
      <c r="BS422" s="269">
        <f>INDEX('App Data Outliers'!$T:$T,MATCH($E422,'App Data Outliers'!$A:$A,0))</f>
        <v>1.1499528005502413</v>
      </c>
    </row>
    <row r="423" spans="1:71" s="204" customFormat="1" hidden="1">
      <c r="A423" s="241">
        <v>419</v>
      </c>
      <c r="B423" s="241" t="str">
        <f t="shared" si="81"/>
        <v>Residential - BHPSD - Residential Lighting &amp; Appliances</v>
      </c>
      <c r="C423" s="241" t="b">
        <f t="shared" si="82"/>
        <v>1</v>
      </c>
      <c r="D423" s="241" t="str">
        <f t="shared" si="83"/>
        <v>Residential - BHPSD - Residential Lighting &amp; Appliances_Residential Lighting &amp; Appliances :- LED :- Customer Incentives_LED</v>
      </c>
      <c r="E423" s="241" t="str">
        <f t="shared" si="84"/>
        <v>Residential_Residential Lighting_Lighting_LED</v>
      </c>
      <c r="F423" s="241" t="str">
        <f>INDEX('VDSM MAPPING'!E:E,MATCH($D423,'VDSM MAPPING'!$A:$A,0))</f>
        <v>Residential</v>
      </c>
      <c r="G423" s="241" t="str">
        <f>INDEX('VDSM MAPPING'!F:F,MATCH($D423,'VDSM MAPPING'!$A:$A,0))</f>
        <v>Residential Lighting</v>
      </c>
      <c r="H423" s="241" t="str">
        <f>INDEX('VDSM MAPPING'!G:G,MATCH($D423,'VDSM MAPPING'!$A:$A,0))</f>
        <v>Lighting</v>
      </c>
      <c r="I423" s="241" t="str">
        <f>INDEX('VDSM MAPPING'!H:H,MATCH($D423,'VDSM MAPPING'!$A:$A,0))</f>
        <v>LED</v>
      </c>
      <c r="J423" s="240">
        <f t="shared" si="85"/>
        <v>7.6540760934603463E-2</v>
      </c>
      <c r="K423" s="240">
        <f t="shared" si="86"/>
        <v>0.50765345000200468</v>
      </c>
      <c r="L423" s="240" t="b">
        <f t="shared" si="87"/>
        <v>0</v>
      </c>
      <c r="M423" s="240" t="b">
        <f t="shared" si="88"/>
        <v>0</v>
      </c>
      <c r="N423" s="204" t="s">
        <v>289</v>
      </c>
      <c r="O423" s="204" t="s">
        <v>1291</v>
      </c>
      <c r="P423" s="350">
        <v>1</v>
      </c>
      <c r="Q423" s="204" t="s">
        <v>1291</v>
      </c>
      <c r="R423" s="204" t="s">
        <v>1290</v>
      </c>
      <c r="S423" s="204" t="s">
        <v>1289</v>
      </c>
      <c r="T423" s="204" t="s">
        <v>1288</v>
      </c>
      <c r="V423" s="204" t="s">
        <v>1287</v>
      </c>
      <c r="W423" s="204" t="s">
        <v>1252</v>
      </c>
      <c r="X423" s="204" t="s">
        <v>297</v>
      </c>
      <c r="Y423" s="204" t="s">
        <v>1251</v>
      </c>
      <c r="Z423" s="204" t="s">
        <v>601</v>
      </c>
      <c r="AA423" s="204" t="s">
        <v>600</v>
      </c>
      <c r="AB423" s="204" t="s">
        <v>329</v>
      </c>
      <c r="AC423" s="204" t="s">
        <v>297</v>
      </c>
      <c r="AD423" s="204" t="s">
        <v>599</v>
      </c>
      <c r="AE423" s="204" t="s">
        <v>598</v>
      </c>
      <c r="AG423" s="204" t="s">
        <v>791</v>
      </c>
      <c r="AH423" s="204" t="s">
        <v>151</v>
      </c>
      <c r="AX423" s="204">
        <v>3</v>
      </c>
      <c r="AY423" s="204">
        <v>0</v>
      </c>
      <c r="AZ423" s="204">
        <v>1.14E-2</v>
      </c>
      <c r="BB423" s="204">
        <v>96.801000000000002</v>
      </c>
      <c r="BH423" s="204">
        <v>0</v>
      </c>
      <c r="BI423" s="204">
        <v>13.5</v>
      </c>
      <c r="BJ423" s="204">
        <v>42846</v>
      </c>
      <c r="BK423" s="204">
        <v>42846.7021451736</v>
      </c>
      <c r="BL423" s="204" t="s">
        <v>293</v>
      </c>
      <c r="BM423" s="204" t="s">
        <v>1286</v>
      </c>
      <c r="BN423" s="242">
        <f t="shared" si="89"/>
        <v>32.267000000000003</v>
      </c>
      <c r="BO423" s="269">
        <f t="shared" si="90"/>
        <v>4.5</v>
      </c>
      <c r="BP423" s="269">
        <f>INDEX('App Data Outliers'!$M:$M,MATCH($E423,'App Data Outliers'!$A:$A,0))</f>
        <v>31.912660854402784</v>
      </c>
      <c r="BQ423" s="269">
        <f>INDEX('App Data Outliers'!$N:$N,MATCH($E423,'App Data Outliers'!$A:$A,0))</f>
        <v>4.6294175975068628</v>
      </c>
      <c r="BR423" s="269">
        <f>INDEX('App Data Outliers'!$S:$S,MATCH($E423,'App Data Outliers'!$A:$A,0))</f>
        <v>3.9162224934612029</v>
      </c>
      <c r="BS423" s="269">
        <f>INDEX('App Data Outliers'!$T:$T,MATCH($E423,'App Data Outliers'!$A:$A,0))</f>
        <v>1.1499528005502413</v>
      </c>
    </row>
    <row r="424" spans="1:71" s="204" customFormat="1" hidden="1">
      <c r="A424" s="241">
        <v>420</v>
      </c>
      <c r="B424" s="241" t="str">
        <f t="shared" si="81"/>
        <v>Residential - BHPSD - Residential Lighting &amp; Appliances</v>
      </c>
      <c r="C424" s="241" t="b">
        <f t="shared" si="82"/>
        <v>1</v>
      </c>
      <c r="D424" s="241" t="str">
        <f t="shared" si="83"/>
        <v>Residential - BHPSD - Residential Lighting &amp; Appliances_Residential Lighting &amp; Appliances :- LED :- Customer Incentives_LED</v>
      </c>
      <c r="E424" s="241" t="str">
        <f t="shared" si="84"/>
        <v>Residential_Residential Lighting_Lighting_LED</v>
      </c>
      <c r="F424" s="241" t="str">
        <f>INDEX('VDSM MAPPING'!E:E,MATCH($D424,'VDSM MAPPING'!$A:$A,0))</f>
        <v>Residential</v>
      </c>
      <c r="G424" s="241" t="str">
        <f>INDEX('VDSM MAPPING'!F:F,MATCH($D424,'VDSM MAPPING'!$A:$A,0))</f>
        <v>Residential Lighting</v>
      </c>
      <c r="H424" s="241" t="str">
        <f>INDEX('VDSM MAPPING'!G:G,MATCH($D424,'VDSM MAPPING'!$A:$A,0))</f>
        <v>Lighting</v>
      </c>
      <c r="I424" s="241" t="str">
        <f>INDEX('VDSM MAPPING'!H:H,MATCH($D424,'VDSM MAPPING'!$A:$A,0))</f>
        <v>LED</v>
      </c>
      <c r="J424" s="240">
        <f t="shared" si="85"/>
        <v>-1.8837490182564711</v>
      </c>
      <c r="K424" s="240">
        <f t="shared" si="86"/>
        <v>7.2852995791401517E-2</v>
      </c>
      <c r="L424" s="240" t="b">
        <f t="shared" si="87"/>
        <v>0</v>
      </c>
      <c r="M424" s="240" t="b">
        <f t="shared" si="88"/>
        <v>0</v>
      </c>
      <c r="N424" s="204" t="s">
        <v>289</v>
      </c>
      <c r="O424" s="204" t="s">
        <v>1283</v>
      </c>
      <c r="P424" s="350">
        <v>1</v>
      </c>
      <c r="Q424" s="204" t="s">
        <v>1283</v>
      </c>
      <c r="R424" s="204" t="s">
        <v>1282</v>
      </c>
      <c r="S424" s="204" t="s">
        <v>1281</v>
      </c>
      <c r="T424" s="204" t="s">
        <v>1280</v>
      </c>
      <c r="V424" s="204" t="s">
        <v>1279</v>
      </c>
      <c r="W424" s="204" t="s">
        <v>329</v>
      </c>
      <c r="X424" s="204" t="s">
        <v>297</v>
      </c>
      <c r="Y424" s="204" t="s">
        <v>328</v>
      </c>
      <c r="Z424" s="204" t="s">
        <v>601</v>
      </c>
      <c r="AA424" s="204" t="s">
        <v>600</v>
      </c>
      <c r="AB424" s="204" t="s">
        <v>329</v>
      </c>
      <c r="AC424" s="204" t="s">
        <v>297</v>
      </c>
      <c r="AD424" s="204" t="s">
        <v>599</v>
      </c>
      <c r="AE424" s="204" t="s">
        <v>598</v>
      </c>
      <c r="AG424" s="204" t="s">
        <v>791</v>
      </c>
      <c r="AH424" s="204" t="s">
        <v>151</v>
      </c>
      <c r="AX424" s="204">
        <v>2</v>
      </c>
      <c r="AY424" s="204">
        <v>0</v>
      </c>
      <c r="AZ424" s="204">
        <v>5.4000000000000003E-3</v>
      </c>
      <c r="BB424" s="204">
        <v>46.384</v>
      </c>
      <c r="BH424" s="204">
        <v>0</v>
      </c>
      <c r="BI424" s="204">
        <v>8</v>
      </c>
      <c r="BJ424" s="204">
        <v>42846</v>
      </c>
      <c r="BK424" s="204">
        <v>42846.703093286997</v>
      </c>
      <c r="BL424" s="204" t="s">
        <v>293</v>
      </c>
      <c r="BM424" s="204" t="s">
        <v>1278</v>
      </c>
      <c r="BN424" s="242">
        <f t="shared" si="89"/>
        <v>23.192</v>
      </c>
      <c r="BO424" s="269">
        <f t="shared" si="90"/>
        <v>4</v>
      </c>
      <c r="BP424" s="269">
        <f>INDEX('App Data Outliers'!$M:$M,MATCH($E424,'App Data Outliers'!$A:$A,0))</f>
        <v>31.912660854402784</v>
      </c>
      <c r="BQ424" s="269">
        <f>INDEX('App Data Outliers'!$N:$N,MATCH($E424,'App Data Outliers'!$A:$A,0))</f>
        <v>4.6294175975068628</v>
      </c>
      <c r="BR424" s="269">
        <f>INDEX('App Data Outliers'!$S:$S,MATCH($E424,'App Data Outliers'!$A:$A,0))</f>
        <v>3.9162224934612029</v>
      </c>
      <c r="BS424" s="269">
        <f>INDEX('App Data Outliers'!$T:$T,MATCH($E424,'App Data Outliers'!$A:$A,0))</f>
        <v>1.1499528005502413</v>
      </c>
    </row>
    <row r="425" spans="1:71" s="204" customFormat="1" hidden="1">
      <c r="A425" s="241">
        <v>421</v>
      </c>
      <c r="B425" s="241" t="str">
        <f t="shared" si="81"/>
        <v>Residential - BHPSD - Residential Lighting &amp; Appliances</v>
      </c>
      <c r="C425" s="241" t="b">
        <f t="shared" si="82"/>
        <v>1</v>
      </c>
      <c r="D425" s="241" t="str">
        <f t="shared" si="83"/>
        <v>Residential - BHPSD - Residential Lighting &amp; Appliances_Residential Lighting &amp; Appliances :- LED :- Customer Incentives_LED</v>
      </c>
      <c r="E425" s="241" t="str">
        <f t="shared" si="84"/>
        <v>Residential_Residential Lighting_Lighting_LED</v>
      </c>
      <c r="F425" s="241" t="str">
        <f>INDEX('VDSM MAPPING'!E:E,MATCH($D425,'VDSM MAPPING'!$A:$A,0))</f>
        <v>Residential</v>
      </c>
      <c r="G425" s="241" t="str">
        <f>INDEX('VDSM MAPPING'!F:F,MATCH($D425,'VDSM MAPPING'!$A:$A,0))</f>
        <v>Residential Lighting</v>
      </c>
      <c r="H425" s="241" t="str">
        <f>INDEX('VDSM MAPPING'!G:G,MATCH($D425,'VDSM MAPPING'!$A:$A,0))</f>
        <v>Lighting</v>
      </c>
      <c r="I425" s="241" t="str">
        <f>INDEX('VDSM MAPPING'!H:H,MATCH($D425,'VDSM MAPPING'!$A:$A,0))</f>
        <v>LED</v>
      </c>
      <c r="J425" s="240">
        <f t="shared" si="85"/>
        <v>0.40336372907962731</v>
      </c>
      <c r="K425" s="240">
        <f t="shared" si="86"/>
        <v>1.4642144492653311</v>
      </c>
      <c r="L425" s="240" t="b">
        <f t="shared" si="87"/>
        <v>0</v>
      </c>
      <c r="M425" s="240" t="b">
        <f t="shared" si="88"/>
        <v>0</v>
      </c>
      <c r="N425" s="204" t="s">
        <v>289</v>
      </c>
      <c r="O425" s="204" t="s">
        <v>1283</v>
      </c>
      <c r="P425" s="350">
        <v>0</v>
      </c>
      <c r="Q425" s="204" t="s">
        <v>1283</v>
      </c>
      <c r="R425" s="204" t="s">
        <v>1282</v>
      </c>
      <c r="S425" s="204" t="s">
        <v>1281</v>
      </c>
      <c r="T425" s="204" t="s">
        <v>1280</v>
      </c>
      <c r="V425" s="204" t="s">
        <v>1279</v>
      </c>
      <c r="W425" s="204" t="s">
        <v>329</v>
      </c>
      <c r="X425" s="204" t="s">
        <v>297</v>
      </c>
      <c r="Y425" s="204" t="s">
        <v>328</v>
      </c>
      <c r="Z425" s="204" t="s">
        <v>601</v>
      </c>
      <c r="AA425" s="204" t="s">
        <v>600</v>
      </c>
      <c r="AB425" s="204" t="s">
        <v>329</v>
      </c>
      <c r="AC425" s="204" t="s">
        <v>297</v>
      </c>
      <c r="AD425" s="204" t="s">
        <v>599</v>
      </c>
      <c r="AE425" s="204" t="s">
        <v>598</v>
      </c>
      <c r="AG425" s="204" t="s">
        <v>791</v>
      </c>
      <c r="AH425" s="204" t="s">
        <v>151</v>
      </c>
      <c r="AX425" s="204">
        <v>4</v>
      </c>
      <c r="AY425" s="204">
        <v>0</v>
      </c>
      <c r="AZ425" s="204">
        <v>1.6E-2</v>
      </c>
      <c r="BB425" s="204">
        <v>135.12</v>
      </c>
      <c r="BH425" s="204">
        <v>0</v>
      </c>
      <c r="BI425" s="204">
        <v>22.4</v>
      </c>
      <c r="BJ425" s="204">
        <v>42846</v>
      </c>
      <c r="BK425" s="204">
        <v>42846.703093286997</v>
      </c>
      <c r="BL425" s="204" t="s">
        <v>293</v>
      </c>
      <c r="BM425" s="204" t="s">
        <v>1284</v>
      </c>
      <c r="BN425" s="242">
        <f t="shared" si="89"/>
        <v>33.78</v>
      </c>
      <c r="BO425" s="269">
        <f t="shared" si="90"/>
        <v>5.6</v>
      </c>
      <c r="BP425" s="269">
        <f>INDEX('App Data Outliers'!$M:$M,MATCH($E425,'App Data Outliers'!$A:$A,0))</f>
        <v>31.912660854402784</v>
      </c>
      <c r="BQ425" s="269">
        <f>INDEX('App Data Outliers'!$N:$N,MATCH($E425,'App Data Outliers'!$A:$A,0))</f>
        <v>4.6294175975068628</v>
      </c>
      <c r="BR425" s="269">
        <f>INDEX('App Data Outliers'!$S:$S,MATCH($E425,'App Data Outliers'!$A:$A,0))</f>
        <v>3.9162224934612029</v>
      </c>
      <c r="BS425" s="269">
        <f>INDEX('App Data Outliers'!$T:$T,MATCH($E425,'App Data Outliers'!$A:$A,0))</f>
        <v>1.1499528005502413</v>
      </c>
    </row>
    <row r="426" spans="1:71" s="204" customFormat="1" hidden="1">
      <c r="A426" s="241">
        <v>422</v>
      </c>
      <c r="B426" s="241" t="str">
        <f t="shared" si="81"/>
        <v>Residential - BHPSD - Residential Lighting &amp; Appliances</v>
      </c>
      <c r="C426" s="241" t="b">
        <f t="shared" si="82"/>
        <v>1</v>
      </c>
      <c r="D426" s="241" t="str">
        <f t="shared" si="83"/>
        <v>Residential - BHPSD - Residential Lighting &amp; Appliances_Residential Lighting &amp; Appliances :- LED :- Customer Incentives_LED</v>
      </c>
      <c r="E426" s="241" t="str">
        <f t="shared" si="84"/>
        <v>Residential_Residential Lighting_Lighting_LED</v>
      </c>
      <c r="F426" s="241" t="str">
        <f>INDEX('VDSM MAPPING'!E:E,MATCH($D426,'VDSM MAPPING'!$A:$A,0))</f>
        <v>Residential</v>
      </c>
      <c r="G426" s="241" t="str">
        <f>INDEX('VDSM MAPPING'!F:F,MATCH($D426,'VDSM MAPPING'!$A:$A,0))</f>
        <v>Residential Lighting</v>
      </c>
      <c r="H426" s="241" t="str">
        <f>INDEX('VDSM MAPPING'!G:G,MATCH($D426,'VDSM MAPPING'!$A:$A,0))</f>
        <v>Lighting</v>
      </c>
      <c r="I426" s="241" t="str">
        <f>INDEX('VDSM MAPPING'!H:H,MATCH($D426,'VDSM MAPPING'!$A:$A,0))</f>
        <v>LED</v>
      </c>
      <c r="J426" s="240">
        <f t="shared" si="85"/>
        <v>7.6540760934603463E-2</v>
      </c>
      <c r="K426" s="240">
        <f t="shared" si="86"/>
        <v>0.50765345000200468</v>
      </c>
      <c r="L426" s="240" t="b">
        <f t="shared" si="87"/>
        <v>0</v>
      </c>
      <c r="M426" s="240" t="b">
        <f t="shared" si="88"/>
        <v>0</v>
      </c>
      <c r="N426" s="204" t="s">
        <v>289</v>
      </c>
      <c r="O426" s="204" t="s">
        <v>1283</v>
      </c>
      <c r="P426" s="350">
        <v>0</v>
      </c>
      <c r="Q426" s="204" t="s">
        <v>1283</v>
      </c>
      <c r="R426" s="204" t="s">
        <v>1282</v>
      </c>
      <c r="S426" s="204" t="s">
        <v>1281</v>
      </c>
      <c r="T426" s="204" t="s">
        <v>1280</v>
      </c>
      <c r="V426" s="204" t="s">
        <v>1279</v>
      </c>
      <c r="W426" s="204" t="s">
        <v>329</v>
      </c>
      <c r="X426" s="204" t="s">
        <v>297</v>
      </c>
      <c r="Y426" s="204" t="s">
        <v>328</v>
      </c>
      <c r="Z426" s="204" t="s">
        <v>601</v>
      </c>
      <c r="AA426" s="204" t="s">
        <v>600</v>
      </c>
      <c r="AB426" s="204" t="s">
        <v>329</v>
      </c>
      <c r="AC426" s="204" t="s">
        <v>297</v>
      </c>
      <c r="AD426" s="204" t="s">
        <v>599</v>
      </c>
      <c r="AE426" s="204" t="s">
        <v>598</v>
      </c>
      <c r="AG426" s="204" t="s">
        <v>791</v>
      </c>
      <c r="AH426" s="204" t="s">
        <v>151</v>
      </c>
      <c r="AX426" s="204">
        <v>2</v>
      </c>
      <c r="AY426" s="204">
        <v>0</v>
      </c>
      <c r="AZ426" s="204">
        <v>7.6E-3</v>
      </c>
      <c r="BB426" s="204">
        <v>64.534000000000006</v>
      </c>
      <c r="BH426" s="204">
        <v>0</v>
      </c>
      <c r="BI426" s="204">
        <v>9</v>
      </c>
      <c r="BJ426" s="204">
        <v>42846</v>
      </c>
      <c r="BK426" s="204">
        <v>42846.703093286997</v>
      </c>
      <c r="BL426" s="204" t="s">
        <v>293</v>
      </c>
      <c r="BM426" s="204" t="s">
        <v>1285</v>
      </c>
      <c r="BN426" s="242">
        <f t="shared" si="89"/>
        <v>32.267000000000003</v>
      </c>
      <c r="BO426" s="269">
        <f t="shared" si="90"/>
        <v>4.5</v>
      </c>
      <c r="BP426" s="269">
        <f>INDEX('App Data Outliers'!$M:$M,MATCH($E426,'App Data Outliers'!$A:$A,0))</f>
        <v>31.912660854402784</v>
      </c>
      <c r="BQ426" s="269">
        <f>INDEX('App Data Outliers'!$N:$N,MATCH($E426,'App Data Outliers'!$A:$A,0))</f>
        <v>4.6294175975068628</v>
      </c>
      <c r="BR426" s="269">
        <f>INDEX('App Data Outliers'!$S:$S,MATCH($E426,'App Data Outliers'!$A:$A,0))</f>
        <v>3.9162224934612029</v>
      </c>
      <c r="BS426" s="269">
        <f>INDEX('App Data Outliers'!$T:$T,MATCH($E426,'App Data Outliers'!$A:$A,0))</f>
        <v>1.1499528005502413</v>
      </c>
    </row>
    <row r="427" spans="1:71" s="204" customFormat="1" hidden="1">
      <c r="A427" s="241">
        <v>423</v>
      </c>
      <c r="B427" s="241" t="str">
        <f t="shared" si="81"/>
        <v>Residential - BHPSD - Residential Lighting &amp; Appliances</v>
      </c>
      <c r="C427" s="241" t="b">
        <f t="shared" si="82"/>
        <v>1</v>
      </c>
      <c r="D427" s="241" t="str">
        <f t="shared" si="83"/>
        <v>Residential - BHPSD - Residential Lighting &amp; Appliances_Residential Lighting &amp; Appliances :- LED :- Customer Incentives_LED</v>
      </c>
      <c r="E427" s="241" t="str">
        <f t="shared" si="84"/>
        <v>Residential_Residential Lighting_Lighting_LED</v>
      </c>
      <c r="F427" s="241" t="str">
        <f>INDEX('VDSM MAPPING'!E:E,MATCH($D427,'VDSM MAPPING'!$A:$A,0))</f>
        <v>Residential</v>
      </c>
      <c r="G427" s="241" t="str">
        <f>INDEX('VDSM MAPPING'!F:F,MATCH($D427,'VDSM MAPPING'!$A:$A,0))</f>
        <v>Residential Lighting</v>
      </c>
      <c r="H427" s="241" t="str">
        <f>INDEX('VDSM MAPPING'!G:G,MATCH($D427,'VDSM MAPPING'!$A:$A,0))</f>
        <v>Lighting</v>
      </c>
      <c r="I427" s="241" t="str">
        <f>INDEX('VDSM MAPPING'!H:H,MATCH($D427,'VDSM MAPPING'!$A:$A,0))</f>
        <v>LED</v>
      </c>
      <c r="J427" s="240">
        <f t="shared" si="85"/>
        <v>7.6540760934603463E-2</v>
      </c>
      <c r="K427" s="240">
        <f t="shared" si="86"/>
        <v>0.50765345000200468</v>
      </c>
      <c r="L427" s="240" t="b">
        <f t="shared" si="87"/>
        <v>0</v>
      </c>
      <c r="M427" s="240" t="b">
        <f t="shared" si="88"/>
        <v>0</v>
      </c>
      <c r="N427" s="204" t="s">
        <v>289</v>
      </c>
      <c r="O427" s="204" t="s">
        <v>1277</v>
      </c>
      <c r="P427" s="350">
        <v>1</v>
      </c>
      <c r="Q427" s="204" t="s">
        <v>1277</v>
      </c>
      <c r="R427" s="204" t="s">
        <v>1010</v>
      </c>
      <c r="S427" s="204" t="s">
        <v>1009</v>
      </c>
      <c r="T427" s="204" t="s">
        <v>1008</v>
      </c>
      <c r="V427" s="204" t="s">
        <v>1007</v>
      </c>
      <c r="W427" s="204" t="s">
        <v>345</v>
      </c>
      <c r="X427" s="204" t="s">
        <v>297</v>
      </c>
      <c r="Y427" s="204" t="s">
        <v>344</v>
      </c>
      <c r="Z427" s="204" t="s">
        <v>601</v>
      </c>
      <c r="AA427" s="204" t="s">
        <v>600</v>
      </c>
      <c r="AB427" s="204" t="s">
        <v>329</v>
      </c>
      <c r="AC427" s="204" t="s">
        <v>297</v>
      </c>
      <c r="AD427" s="204" t="s">
        <v>599</v>
      </c>
      <c r="AE427" s="204" t="s">
        <v>598</v>
      </c>
      <c r="AG427" s="204" t="s">
        <v>791</v>
      </c>
      <c r="AH427" s="204" t="s">
        <v>151</v>
      </c>
      <c r="AX427" s="204">
        <v>1</v>
      </c>
      <c r="AY427" s="204">
        <v>0</v>
      </c>
      <c r="AZ427" s="204">
        <v>3.8E-3</v>
      </c>
      <c r="BB427" s="204">
        <v>32.267000000000003</v>
      </c>
      <c r="BH427" s="204">
        <v>0</v>
      </c>
      <c r="BI427" s="204">
        <v>4.5</v>
      </c>
      <c r="BJ427" s="204">
        <v>42879</v>
      </c>
      <c r="BK427" s="204">
        <v>42879.446023148201</v>
      </c>
      <c r="BL427" s="204" t="s">
        <v>293</v>
      </c>
      <c r="BM427" s="204" t="s">
        <v>1276</v>
      </c>
      <c r="BN427" s="242">
        <f t="shared" si="89"/>
        <v>32.267000000000003</v>
      </c>
      <c r="BO427" s="269">
        <f t="shared" si="90"/>
        <v>4.5</v>
      </c>
      <c r="BP427" s="269">
        <f>INDEX('App Data Outliers'!$M:$M,MATCH($E427,'App Data Outliers'!$A:$A,0))</f>
        <v>31.912660854402784</v>
      </c>
      <c r="BQ427" s="269">
        <f>INDEX('App Data Outliers'!$N:$N,MATCH($E427,'App Data Outliers'!$A:$A,0))</f>
        <v>4.6294175975068628</v>
      </c>
      <c r="BR427" s="269">
        <f>INDEX('App Data Outliers'!$S:$S,MATCH($E427,'App Data Outliers'!$A:$A,0))</f>
        <v>3.9162224934612029</v>
      </c>
      <c r="BS427" s="269">
        <f>INDEX('App Data Outliers'!$T:$T,MATCH($E427,'App Data Outliers'!$A:$A,0))</f>
        <v>1.1499528005502413</v>
      </c>
    </row>
    <row r="428" spans="1:71" s="204" customFormat="1" hidden="1">
      <c r="A428" s="241">
        <v>424</v>
      </c>
      <c r="B428" s="241" t="str">
        <f t="shared" si="81"/>
        <v>Residential - BHPSD - Residential Lighting &amp; Appliances</v>
      </c>
      <c r="C428" s="241" t="b">
        <f t="shared" si="82"/>
        <v>1</v>
      </c>
      <c r="D428" s="241" t="str">
        <f t="shared" si="83"/>
        <v>Residential - BHPSD - Residential Lighting &amp; Appliances_Residential Lighting &amp; Appliances :- LED :- Customer Incentives_LED</v>
      </c>
      <c r="E428" s="241" t="str">
        <f t="shared" si="84"/>
        <v>Residential_Residential Lighting_Lighting_LED</v>
      </c>
      <c r="F428" s="241" t="str">
        <f>INDEX('VDSM MAPPING'!E:E,MATCH($D428,'VDSM MAPPING'!$A:$A,0))</f>
        <v>Residential</v>
      </c>
      <c r="G428" s="241" t="str">
        <f>INDEX('VDSM MAPPING'!F:F,MATCH($D428,'VDSM MAPPING'!$A:$A,0))</f>
        <v>Residential Lighting</v>
      </c>
      <c r="H428" s="241" t="str">
        <f>INDEX('VDSM MAPPING'!G:G,MATCH($D428,'VDSM MAPPING'!$A:$A,0))</f>
        <v>Lighting</v>
      </c>
      <c r="I428" s="241" t="str">
        <f>INDEX('VDSM MAPPING'!H:H,MATCH($D428,'VDSM MAPPING'!$A:$A,0))</f>
        <v>LED</v>
      </c>
      <c r="J428" s="240">
        <f t="shared" si="85"/>
        <v>7.6540760934603463E-2</v>
      </c>
      <c r="K428" s="240">
        <f t="shared" si="86"/>
        <v>0.50765345000200468</v>
      </c>
      <c r="L428" s="240" t="b">
        <f t="shared" si="87"/>
        <v>0</v>
      </c>
      <c r="M428" s="240" t="b">
        <f t="shared" si="88"/>
        <v>0</v>
      </c>
      <c r="N428" s="204" t="s">
        <v>289</v>
      </c>
      <c r="O428" s="204" t="s">
        <v>1275</v>
      </c>
      <c r="P428" s="350">
        <v>1</v>
      </c>
      <c r="Q428" s="204" t="s">
        <v>1275</v>
      </c>
      <c r="R428" s="204" t="s">
        <v>1220</v>
      </c>
      <c r="S428" s="204" t="s">
        <v>1219</v>
      </c>
      <c r="T428" s="204" t="s">
        <v>1218</v>
      </c>
      <c r="V428" s="204" t="s">
        <v>1217</v>
      </c>
      <c r="W428" s="204" t="s">
        <v>329</v>
      </c>
      <c r="X428" s="204" t="s">
        <v>297</v>
      </c>
      <c r="Y428" s="204" t="s">
        <v>328</v>
      </c>
      <c r="Z428" s="204" t="s">
        <v>601</v>
      </c>
      <c r="AA428" s="204" t="s">
        <v>600</v>
      </c>
      <c r="AB428" s="204" t="s">
        <v>329</v>
      </c>
      <c r="AC428" s="204" t="s">
        <v>297</v>
      </c>
      <c r="AD428" s="204" t="s">
        <v>599</v>
      </c>
      <c r="AE428" s="204" t="s">
        <v>598</v>
      </c>
      <c r="AG428" s="204" t="s">
        <v>791</v>
      </c>
      <c r="AH428" s="204" t="s">
        <v>151</v>
      </c>
      <c r="AX428" s="204">
        <v>10</v>
      </c>
      <c r="AY428" s="204">
        <v>0</v>
      </c>
      <c r="AZ428" s="204">
        <v>3.7999999999999999E-2</v>
      </c>
      <c r="BB428" s="204">
        <v>322.67</v>
      </c>
      <c r="BH428" s="204">
        <v>0</v>
      </c>
      <c r="BI428" s="204">
        <v>45</v>
      </c>
      <c r="BJ428" s="204">
        <v>42879</v>
      </c>
      <c r="BK428" s="204">
        <v>42879.7603087963</v>
      </c>
      <c r="BL428" s="204" t="s">
        <v>293</v>
      </c>
      <c r="BM428" s="204" t="s">
        <v>1274</v>
      </c>
      <c r="BN428" s="242">
        <f t="shared" si="89"/>
        <v>32.267000000000003</v>
      </c>
      <c r="BO428" s="269">
        <f t="shared" si="90"/>
        <v>4.5</v>
      </c>
      <c r="BP428" s="269">
        <f>INDEX('App Data Outliers'!$M:$M,MATCH($E428,'App Data Outliers'!$A:$A,0))</f>
        <v>31.912660854402784</v>
      </c>
      <c r="BQ428" s="269">
        <f>INDEX('App Data Outliers'!$N:$N,MATCH($E428,'App Data Outliers'!$A:$A,0))</f>
        <v>4.6294175975068628</v>
      </c>
      <c r="BR428" s="269">
        <f>INDEX('App Data Outliers'!$S:$S,MATCH($E428,'App Data Outliers'!$A:$A,0))</f>
        <v>3.9162224934612029</v>
      </c>
      <c r="BS428" s="269">
        <f>INDEX('App Data Outliers'!$T:$T,MATCH($E428,'App Data Outliers'!$A:$A,0))</f>
        <v>1.1499528005502413</v>
      </c>
    </row>
    <row r="429" spans="1:71" s="204" customFormat="1" hidden="1">
      <c r="A429" s="241">
        <v>425</v>
      </c>
      <c r="B429" s="241" t="str">
        <f t="shared" si="81"/>
        <v>Residential - BHPSD - Residential Lighting &amp; Appliances</v>
      </c>
      <c r="C429" s="241" t="b">
        <f t="shared" si="82"/>
        <v>1</v>
      </c>
      <c r="D429" s="241" t="str">
        <f t="shared" si="83"/>
        <v>Residential - BHPSD - Residential Lighting &amp; Appliances_Residential Lighting &amp; Appliances :- LED :- Customer Incentives_LED</v>
      </c>
      <c r="E429" s="241" t="str">
        <f t="shared" si="84"/>
        <v>Residential_Residential Lighting_Lighting_LED</v>
      </c>
      <c r="F429" s="241" t="str">
        <f>INDEX('VDSM MAPPING'!E:E,MATCH($D429,'VDSM MAPPING'!$A:$A,0))</f>
        <v>Residential</v>
      </c>
      <c r="G429" s="241" t="str">
        <f>INDEX('VDSM MAPPING'!F:F,MATCH($D429,'VDSM MAPPING'!$A:$A,0))</f>
        <v>Residential Lighting</v>
      </c>
      <c r="H429" s="241" t="str">
        <f>INDEX('VDSM MAPPING'!G:G,MATCH($D429,'VDSM MAPPING'!$A:$A,0))</f>
        <v>Lighting</v>
      </c>
      <c r="I429" s="241" t="str">
        <f>INDEX('VDSM MAPPING'!H:H,MATCH($D429,'VDSM MAPPING'!$A:$A,0))</f>
        <v>LED</v>
      </c>
      <c r="J429" s="240">
        <f t="shared" si="85"/>
        <v>7.6540760934603463E-2</v>
      </c>
      <c r="K429" s="240">
        <f t="shared" si="86"/>
        <v>0.50765345000200468</v>
      </c>
      <c r="L429" s="240" t="b">
        <f t="shared" si="87"/>
        <v>0</v>
      </c>
      <c r="M429" s="240" t="b">
        <f t="shared" si="88"/>
        <v>0</v>
      </c>
      <c r="N429" s="204" t="s">
        <v>289</v>
      </c>
      <c r="O429" s="204" t="s">
        <v>1273</v>
      </c>
      <c r="P429" s="350">
        <v>1</v>
      </c>
      <c r="Q429" s="204" t="s">
        <v>1273</v>
      </c>
      <c r="R429" s="204" t="s">
        <v>1010</v>
      </c>
      <c r="S429" s="204" t="s">
        <v>1009</v>
      </c>
      <c r="T429" s="204" t="s">
        <v>1008</v>
      </c>
      <c r="V429" s="204" t="s">
        <v>1007</v>
      </c>
      <c r="W429" s="204" t="s">
        <v>345</v>
      </c>
      <c r="X429" s="204" t="s">
        <v>297</v>
      </c>
      <c r="Y429" s="204" t="s">
        <v>344</v>
      </c>
      <c r="Z429" s="204" t="s">
        <v>601</v>
      </c>
      <c r="AA429" s="204" t="s">
        <v>600</v>
      </c>
      <c r="AB429" s="204" t="s">
        <v>329</v>
      </c>
      <c r="AC429" s="204" t="s">
        <v>297</v>
      </c>
      <c r="AD429" s="204" t="s">
        <v>599</v>
      </c>
      <c r="AE429" s="204" t="s">
        <v>598</v>
      </c>
      <c r="AG429" s="204" t="s">
        <v>791</v>
      </c>
      <c r="AH429" s="204" t="s">
        <v>151</v>
      </c>
      <c r="AX429" s="204">
        <v>1</v>
      </c>
      <c r="AY429" s="204">
        <v>0</v>
      </c>
      <c r="AZ429" s="204">
        <v>3.8E-3</v>
      </c>
      <c r="BB429" s="204">
        <v>32.267000000000003</v>
      </c>
      <c r="BH429" s="204">
        <v>0</v>
      </c>
      <c r="BI429" s="204">
        <v>4.5</v>
      </c>
      <c r="BJ429" s="204">
        <v>42880</v>
      </c>
      <c r="BK429" s="204">
        <v>42880.720618090301</v>
      </c>
      <c r="BL429" s="204" t="s">
        <v>293</v>
      </c>
      <c r="BM429" s="204" t="s">
        <v>1272</v>
      </c>
      <c r="BN429" s="242">
        <f t="shared" si="89"/>
        <v>32.267000000000003</v>
      </c>
      <c r="BO429" s="269">
        <f t="shared" si="90"/>
        <v>4.5</v>
      </c>
      <c r="BP429" s="269">
        <f>INDEX('App Data Outliers'!$M:$M,MATCH($E429,'App Data Outliers'!$A:$A,0))</f>
        <v>31.912660854402784</v>
      </c>
      <c r="BQ429" s="269">
        <f>INDEX('App Data Outliers'!$N:$N,MATCH($E429,'App Data Outliers'!$A:$A,0))</f>
        <v>4.6294175975068628</v>
      </c>
      <c r="BR429" s="269">
        <f>INDEX('App Data Outliers'!$S:$S,MATCH($E429,'App Data Outliers'!$A:$A,0))</f>
        <v>3.9162224934612029</v>
      </c>
      <c r="BS429" s="269">
        <f>INDEX('App Data Outliers'!$T:$T,MATCH($E429,'App Data Outliers'!$A:$A,0))</f>
        <v>1.1499528005502413</v>
      </c>
    </row>
    <row r="430" spans="1:71" s="204" customFormat="1" hidden="1">
      <c r="A430" s="241">
        <v>426</v>
      </c>
      <c r="B430" s="241" t="str">
        <f t="shared" si="81"/>
        <v>Residential - BHPSD - Residential Lighting &amp; Appliances</v>
      </c>
      <c r="C430" s="241" t="b">
        <f t="shared" si="82"/>
        <v>1</v>
      </c>
      <c r="D430" s="241" t="str">
        <f t="shared" si="83"/>
        <v>Residential - BHPSD - Residential Lighting &amp; Appliances_Residential Lighting &amp; Appliances :- LED :- Customer Incentives_LED</v>
      </c>
      <c r="E430" s="241" t="str">
        <f t="shared" si="84"/>
        <v>Residential_Residential Lighting_Lighting_LED</v>
      </c>
      <c r="F430" s="241" t="str">
        <f>INDEX('VDSM MAPPING'!E:E,MATCH($D430,'VDSM MAPPING'!$A:$A,0))</f>
        <v>Residential</v>
      </c>
      <c r="G430" s="241" t="str">
        <f>INDEX('VDSM MAPPING'!F:F,MATCH($D430,'VDSM MAPPING'!$A:$A,0))</f>
        <v>Residential Lighting</v>
      </c>
      <c r="H430" s="241" t="str">
        <f>INDEX('VDSM MAPPING'!G:G,MATCH($D430,'VDSM MAPPING'!$A:$A,0))</f>
        <v>Lighting</v>
      </c>
      <c r="I430" s="241" t="str">
        <f>INDEX('VDSM MAPPING'!H:H,MATCH($D430,'VDSM MAPPING'!$A:$A,0))</f>
        <v>LED</v>
      </c>
      <c r="J430" s="240">
        <f t="shared" si="85"/>
        <v>7.6540760934603463E-2</v>
      </c>
      <c r="K430" s="240">
        <f t="shared" si="86"/>
        <v>1.4642144492653311</v>
      </c>
      <c r="L430" s="240" t="b">
        <f t="shared" si="87"/>
        <v>0</v>
      </c>
      <c r="M430" s="240" t="b">
        <f t="shared" si="88"/>
        <v>0</v>
      </c>
      <c r="N430" s="204" t="s">
        <v>289</v>
      </c>
      <c r="O430" s="204" t="s">
        <v>1269</v>
      </c>
      <c r="P430" s="350">
        <v>1</v>
      </c>
      <c r="Q430" s="204" t="s">
        <v>1269</v>
      </c>
      <c r="R430" s="204" t="s">
        <v>1268</v>
      </c>
      <c r="S430" s="204" t="s">
        <v>1267</v>
      </c>
      <c r="T430" s="204" t="s">
        <v>1266</v>
      </c>
      <c r="V430" s="204" t="s">
        <v>1265</v>
      </c>
      <c r="W430" s="204" t="s">
        <v>329</v>
      </c>
      <c r="X430" s="204" t="s">
        <v>297</v>
      </c>
      <c r="Y430" s="204" t="s">
        <v>397</v>
      </c>
      <c r="Z430" s="204" t="s">
        <v>601</v>
      </c>
      <c r="AA430" s="204" t="s">
        <v>600</v>
      </c>
      <c r="AB430" s="204" t="s">
        <v>329</v>
      </c>
      <c r="AC430" s="204" t="s">
        <v>297</v>
      </c>
      <c r="AD430" s="204" t="s">
        <v>599</v>
      </c>
      <c r="AE430" s="204" t="s">
        <v>598</v>
      </c>
      <c r="AG430" s="204" t="s">
        <v>791</v>
      </c>
      <c r="AH430" s="204" t="s">
        <v>151</v>
      </c>
      <c r="AX430" s="204">
        <v>2</v>
      </c>
      <c r="AY430" s="204">
        <v>0</v>
      </c>
      <c r="AZ430" s="204">
        <v>7.6E-3</v>
      </c>
      <c r="BB430" s="204">
        <v>64.534000000000006</v>
      </c>
      <c r="BH430" s="204">
        <v>0</v>
      </c>
      <c r="BI430" s="204">
        <v>11.2</v>
      </c>
      <c r="BJ430" s="204">
        <v>42886</v>
      </c>
      <c r="BK430" s="204">
        <v>42886.430599537001</v>
      </c>
      <c r="BL430" s="204" t="s">
        <v>293</v>
      </c>
      <c r="BM430" s="204" t="s">
        <v>1271</v>
      </c>
      <c r="BN430" s="242">
        <f t="shared" si="89"/>
        <v>32.267000000000003</v>
      </c>
      <c r="BO430" s="269">
        <f t="shared" si="90"/>
        <v>5.6</v>
      </c>
      <c r="BP430" s="269">
        <f>INDEX('App Data Outliers'!$M:$M,MATCH($E430,'App Data Outliers'!$A:$A,0))</f>
        <v>31.912660854402784</v>
      </c>
      <c r="BQ430" s="269">
        <f>INDEX('App Data Outliers'!$N:$N,MATCH($E430,'App Data Outliers'!$A:$A,0))</f>
        <v>4.6294175975068628</v>
      </c>
      <c r="BR430" s="269">
        <f>INDEX('App Data Outliers'!$S:$S,MATCH($E430,'App Data Outliers'!$A:$A,0))</f>
        <v>3.9162224934612029</v>
      </c>
      <c r="BS430" s="269">
        <f>INDEX('App Data Outliers'!$T:$T,MATCH($E430,'App Data Outliers'!$A:$A,0))</f>
        <v>1.1499528005502413</v>
      </c>
    </row>
    <row r="431" spans="1:71" s="204" customFormat="1" hidden="1">
      <c r="A431" s="241">
        <v>427</v>
      </c>
      <c r="B431" s="241" t="str">
        <f t="shared" si="81"/>
        <v>Residential - BHPSD - Residential Lighting &amp; Appliances</v>
      </c>
      <c r="C431" s="241" t="b">
        <f t="shared" si="82"/>
        <v>1</v>
      </c>
      <c r="D431" s="241" t="str">
        <f t="shared" si="83"/>
        <v>Residential - BHPSD - Residential Lighting &amp; Appliances_Residential Lighting &amp; Appliances :- LED :- Customer Incentives_LED</v>
      </c>
      <c r="E431" s="241" t="str">
        <f t="shared" si="84"/>
        <v>Residential_Residential Lighting_Lighting_LED</v>
      </c>
      <c r="F431" s="241" t="str">
        <f>INDEX('VDSM MAPPING'!E:E,MATCH($D431,'VDSM MAPPING'!$A:$A,0))</f>
        <v>Residential</v>
      </c>
      <c r="G431" s="241" t="str">
        <f>INDEX('VDSM MAPPING'!F:F,MATCH($D431,'VDSM MAPPING'!$A:$A,0))</f>
        <v>Residential Lighting</v>
      </c>
      <c r="H431" s="241" t="str">
        <f>INDEX('VDSM MAPPING'!G:G,MATCH($D431,'VDSM MAPPING'!$A:$A,0))</f>
        <v>Lighting</v>
      </c>
      <c r="I431" s="241" t="str">
        <f>INDEX('VDSM MAPPING'!H:H,MATCH($D431,'VDSM MAPPING'!$A:$A,0))</f>
        <v>LED</v>
      </c>
      <c r="J431" s="240">
        <f t="shared" si="85"/>
        <v>-1.8837490182564711</v>
      </c>
      <c r="K431" s="240">
        <f t="shared" si="86"/>
        <v>7.2852995791401517E-2</v>
      </c>
      <c r="L431" s="240" t="b">
        <f t="shared" si="87"/>
        <v>0</v>
      </c>
      <c r="M431" s="240" t="b">
        <f t="shared" si="88"/>
        <v>0</v>
      </c>
      <c r="N431" s="204" t="s">
        <v>289</v>
      </c>
      <c r="O431" s="204" t="s">
        <v>1269</v>
      </c>
      <c r="P431" s="350">
        <v>0</v>
      </c>
      <c r="Q431" s="204" t="s">
        <v>1269</v>
      </c>
      <c r="R431" s="204" t="s">
        <v>1268</v>
      </c>
      <c r="S431" s="204" t="s">
        <v>1267</v>
      </c>
      <c r="T431" s="204" t="s">
        <v>1266</v>
      </c>
      <c r="V431" s="204" t="s">
        <v>1265</v>
      </c>
      <c r="W431" s="204" t="s">
        <v>329</v>
      </c>
      <c r="X431" s="204" t="s">
        <v>297</v>
      </c>
      <c r="Y431" s="204" t="s">
        <v>397</v>
      </c>
      <c r="Z431" s="204" t="s">
        <v>601</v>
      </c>
      <c r="AA431" s="204" t="s">
        <v>600</v>
      </c>
      <c r="AB431" s="204" t="s">
        <v>329</v>
      </c>
      <c r="AC431" s="204" t="s">
        <v>297</v>
      </c>
      <c r="AD431" s="204" t="s">
        <v>599</v>
      </c>
      <c r="AE431" s="204" t="s">
        <v>598</v>
      </c>
      <c r="AG431" s="204" t="s">
        <v>791</v>
      </c>
      <c r="AH431" s="204" t="s">
        <v>151</v>
      </c>
      <c r="AX431" s="204">
        <v>2</v>
      </c>
      <c r="AY431" s="204">
        <v>0</v>
      </c>
      <c r="AZ431" s="204">
        <v>5.4000000000000003E-3</v>
      </c>
      <c r="BB431" s="204">
        <v>46.384</v>
      </c>
      <c r="BH431" s="204">
        <v>0</v>
      </c>
      <c r="BI431" s="204">
        <v>8</v>
      </c>
      <c r="BJ431" s="204">
        <v>42886</v>
      </c>
      <c r="BK431" s="204">
        <v>42886.430599537001</v>
      </c>
      <c r="BL431" s="204" t="s">
        <v>293</v>
      </c>
      <c r="BM431" s="204" t="s">
        <v>1264</v>
      </c>
      <c r="BN431" s="242">
        <f t="shared" si="89"/>
        <v>23.192</v>
      </c>
      <c r="BO431" s="269">
        <f t="shared" si="90"/>
        <v>4</v>
      </c>
      <c r="BP431" s="269">
        <f>INDEX('App Data Outliers'!$M:$M,MATCH($E431,'App Data Outliers'!$A:$A,0))</f>
        <v>31.912660854402784</v>
      </c>
      <c r="BQ431" s="269">
        <f>INDEX('App Data Outliers'!$N:$N,MATCH($E431,'App Data Outliers'!$A:$A,0))</f>
        <v>4.6294175975068628</v>
      </c>
      <c r="BR431" s="269">
        <f>INDEX('App Data Outliers'!$S:$S,MATCH($E431,'App Data Outliers'!$A:$A,0))</f>
        <v>3.9162224934612029</v>
      </c>
      <c r="BS431" s="269">
        <f>INDEX('App Data Outliers'!$T:$T,MATCH($E431,'App Data Outliers'!$A:$A,0))</f>
        <v>1.1499528005502413</v>
      </c>
    </row>
    <row r="432" spans="1:71" s="204" customFormat="1" hidden="1">
      <c r="A432" s="241">
        <v>428</v>
      </c>
      <c r="B432" s="241" t="str">
        <f t="shared" si="81"/>
        <v>Residential - BHPSD - Residential Lighting &amp; Appliances</v>
      </c>
      <c r="C432" s="241" t="b">
        <f t="shared" si="82"/>
        <v>1</v>
      </c>
      <c r="D432" s="241" t="str">
        <f t="shared" si="83"/>
        <v>Residential - BHPSD - Residential Lighting &amp; Appliances_Residential Lighting &amp; Appliances :- LED :- Customer Incentives_LED</v>
      </c>
      <c r="E432" s="241" t="str">
        <f t="shared" si="84"/>
        <v>Residential_Residential Lighting_Lighting_LED</v>
      </c>
      <c r="F432" s="241" t="str">
        <f>INDEX('VDSM MAPPING'!E:E,MATCH($D432,'VDSM MAPPING'!$A:$A,0))</f>
        <v>Residential</v>
      </c>
      <c r="G432" s="241" t="str">
        <f>INDEX('VDSM MAPPING'!F:F,MATCH($D432,'VDSM MAPPING'!$A:$A,0))</f>
        <v>Residential Lighting</v>
      </c>
      <c r="H432" s="241" t="str">
        <f>INDEX('VDSM MAPPING'!G:G,MATCH($D432,'VDSM MAPPING'!$A:$A,0))</f>
        <v>Lighting</v>
      </c>
      <c r="I432" s="241" t="str">
        <f>INDEX('VDSM MAPPING'!H:H,MATCH($D432,'VDSM MAPPING'!$A:$A,0))</f>
        <v>LED</v>
      </c>
      <c r="J432" s="240">
        <f t="shared" si="85"/>
        <v>7.6540760934603463E-2</v>
      </c>
      <c r="K432" s="240">
        <f t="shared" si="86"/>
        <v>0.50765345000200468</v>
      </c>
      <c r="L432" s="240" t="b">
        <f t="shared" si="87"/>
        <v>0</v>
      </c>
      <c r="M432" s="240" t="b">
        <f t="shared" si="88"/>
        <v>0</v>
      </c>
      <c r="N432" s="204" t="s">
        <v>289</v>
      </c>
      <c r="O432" s="204" t="s">
        <v>1269</v>
      </c>
      <c r="P432" s="350">
        <v>0</v>
      </c>
      <c r="Q432" s="204" t="s">
        <v>1269</v>
      </c>
      <c r="R432" s="204" t="s">
        <v>1268</v>
      </c>
      <c r="S432" s="204" t="s">
        <v>1267</v>
      </c>
      <c r="T432" s="204" t="s">
        <v>1266</v>
      </c>
      <c r="V432" s="204" t="s">
        <v>1265</v>
      </c>
      <c r="W432" s="204" t="s">
        <v>329</v>
      </c>
      <c r="X432" s="204" t="s">
        <v>297</v>
      </c>
      <c r="Y432" s="204" t="s">
        <v>397</v>
      </c>
      <c r="Z432" s="204" t="s">
        <v>601</v>
      </c>
      <c r="AA432" s="204" t="s">
        <v>600</v>
      </c>
      <c r="AB432" s="204" t="s">
        <v>329</v>
      </c>
      <c r="AC432" s="204" t="s">
        <v>297</v>
      </c>
      <c r="AD432" s="204" t="s">
        <v>599</v>
      </c>
      <c r="AE432" s="204" t="s">
        <v>598</v>
      </c>
      <c r="AG432" s="204" t="s">
        <v>791</v>
      </c>
      <c r="AH432" s="204" t="s">
        <v>151</v>
      </c>
      <c r="AX432" s="204">
        <v>6</v>
      </c>
      <c r="AY432" s="204">
        <v>0</v>
      </c>
      <c r="AZ432" s="204">
        <v>2.2800000000000001E-2</v>
      </c>
      <c r="BB432" s="204">
        <v>193.602</v>
      </c>
      <c r="BH432" s="204">
        <v>0</v>
      </c>
      <c r="BI432" s="204">
        <v>27</v>
      </c>
      <c r="BJ432" s="204">
        <v>42886</v>
      </c>
      <c r="BK432" s="204">
        <v>42886.430599537001</v>
      </c>
      <c r="BL432" s="204" t="s">
        <v>293</v>
      </c>
      <c r="BM432" s="204" t="s">
        <v>1270</v>
      </c>
      <c r="BN432" s="242">
        <f t="shared" si="89"/>
        <v>32.267000000000003</v>
      </c>
      <c r="BO432" s="269">
        <f t="shared" si="90"/>
        <v>4.5</v>
      </c>
      <c r="BP432" s="269">
        <f>INDEX('App Data Outliers'!$M:$M,MATCH($E432,'App Data Outliers'!$A:$A,0))</f>
        <v>31.912660854402784</v>
      </c>
      <c r="BQ432" s="269">
        <f>INDEX('App Data Outliers'!$N:$N,MATCH($E432,'App Data Outliers'!$A:$A,0))</f>
        <v>4.6294175975068628</v>
      </c>
      <c r="BR432" s="269">
        <f>INDEX('App Data Outliers'!$S:$S,MATCH($E432,'App Data Outliers'!$A:$A,0))</f>
        <v>3.9162224934612029</v>
      </c>
      <c r="BS432" s="269">
        <f>INDEX('App Data Outliers'!$T:$T,MATCH($E432,'App Data Outliers'!$A:$A,0))</f>
        <v>1.1499528005502413</v>
      </c>
    </row>
    <row r="433" spans="1:71" s="204" customFormat="1" hidden="1">
      <c r="A433" s="241">
        <v>429</v>
      </c>
      <c r="B433" s="241" t="str">
        <f t="shared" si="81"/>
        <v>Residential - BHPSD - Residential Lighting &amp; Appliances</v>
      </c>
      <c r="C433" s="241" t="b">
        <f t="shared" si="82"/>
        <v>1</v>
      </c>
      <c r="D433" s="241" t="str">
        <f t="shared" si="83"/>
        <v>Residential - BHPSD - Residential Lighting &amp; Appliances_Residential Lighting &amp; Appliances :- LED :- Customer Incentives_LED</v>
      </c>
      <c r="E433" s="241" t="str">
        <f t="shared" si="84"/>
        <v>Residential_Residential Lighting_Lighting_LED</v>
      </c>
      <c r="F433" s="241" t="str">
        <f>INDEX('VDSM MAPPING'!E:E,MATCH($D433,'VDSM MAPPING'!$A:$A,0))</f>
        <v>Residential</v>
      </c>
      <c r="G433" s="241" t="str">
        <f>INDEX('VDSM MAPPING'!F:F,MATCH($D433,'VDSM MAPPING'!$A:$A,0))</f>
        <v>Residential Lighting</v>
      </c>
      <c r="H433" s="241" t="str">
        <f>INDEX('VDSM MAPPING'!G:G,MATCH($D433,'VDSM MAPPING'!$A:$A,0))</f>
        <v>Lighting</v>
      </c>
      <c r="I433" s="241" t="str">
        <f>INDEX('VDSM MAPPING'!H:H,MATCH($D433,'VDSM MAPPING'!$A:$A,0))</f>
        <v>LED</v>
      </c>
      <c r="J433" s="240">
        <f t="shared" si="85"/>
        <v>0.40336372907962731</v>
      </c>
      <c r="K433" s="240">
        <f t="shared" si="86"/>
        <v>1.4642144492653311</v>
      </c>
      <c r="L433" s="240" t="b">
        <f t="shared" si="87"/>
        <v>0</v>
      </c>
      <c r="M433" s="240" t="b">
        <f t="shared" si="88"/>
        <v>0</v>
      </c>
      <c r="N433" s="204" t="s">
        <v>289</v>
      </c>
      <c r="O433" s="204" t="s">
        <v>1263</v>
      </c>
      <c r="P433" s="350">
        <v>1</v>
      </c>
      <c r="Q433" s="204" t="s">
        <v>1263</v>
      </c>
      <c r="R433" s="204" t="s">
        <v>1262</v>
      </c>
      <c r="S433" s="204" t="s">
        <v>1261</v>
      </c>
      <c r="T433" s="204" t="s">
        <v>1260</v>
      </c>
      <c r="V433" s="204" t="s">
        <v>1259</v>
      </c>
      <c r="W433" s="204" t="s">
        <v>382</v>
      </c>
      <c r="X433" s="204" t="s">
        <v>297</v>
      </c>
      <c r="Y433" s="204" t="s">
        <v>381</v>
      </c>
      <c r="Z433" s="204" t="s">
        <v>601</v>
      </c>
      <c r="AA433" s="204" t="s">
        <v>600</v>
      </c>
      <c r="AB433" s="204" t="s">
        <v>329</v>
      </c>
      <c r="AC433" s="204" t="s">
        <v>297</v>
      </c>
      <c r="AD433" s="204" t="s">
        <v>599</v>
      </c>
      <c r="AE433" s="204" t="s">
        <v>598</v>
      </c>
      <c r="AG433" s="204" t="s">
        <v>791</v>
      </c>
      <c r="AH433" s="204" t="s">
        <v>151</v>
      </c>
      <c r="AX433" s="204">
        <v>1</v>
      </c>
      <c r="AY433" s="204">
        <v>0</v>
      </c>
      <c r="AZ433" s="204">
        <v>4.0000000000000001E-3</v>
      </c>
      <c r="BB433" s="204">
        <v>33.78</v>
      </c>
      <c r="BH433" s="204">
        <v>0</v>
      </c>
      <c r="BI433" s="204">
        <v>5.6</v>
      </c>
      <c r="BJ433" s="204">
        <v>42886</v>
      </c>
      <c r="BK433" s="204">
        <v>42886.432321527798</v>
      </c>
      <c r="BL433" s="204" t="s">
        <v>293</v>
      </c>
      <c r="BM433" s="204" t="s">
        <v>1258</v>
      </c>
      <c r="BN433" s="242">
        <f t="shared" si="89"/>
        <v>33.78</v>
      </c>
      <c r="BO433" s="269">
        <f t="shared" si="90"/>
        <v>5.6</v>
      </c>
      <c r="BP433" s="269">
        <f>INDEX('App Data Outliers'!$M:$M,MATCH($E433,'App Data Outliers'!$A:$A,0))</f>
        <v>31.912660854402784</v>
      </c>
      <c r="BQ433" s="269">
        <f>INDEX('App Data Outliers'!$N:$N,MATCH($E433,'App Data Outliers'!$A:$A,0))</f>
        <v>4.6294175975068628</v>
      </c>
      <c r="BR433" s="269">
        <f>INDEX('App Data Outliers'!$S:$S,MATCH($E433,'App Data Outliers'!$A:$A,0))</f>
        <v>3.9162224934612029</v>
      </c>
      <c r="BS433" s="269">
        <f>INDEX('App Data Outliers'!$T:$T,MATCH($E433,'App Data Outliers'!$A:$A,0))</f>
        <v>1.1499528005502413</v>
      </c>
    </row>
    <row r="434" spans="1:71" s="204" customFormat="1" hidden="1">
      <c r="A434" s="241">
        <v>430</v>
      </c>
      <c r="B434" s="241" t="str">
        <f t="shared" si="81"/>
        <v>Residential - BHPSD - Residential Lighting &amp; Appliances</v>
      </c>
      <c r="C434" s="241" t="b">
        <f t="shared" si="82"/>
        <v>1</v>
      </c>
      <c r="D434" s="241" t="str">
        <f t="shared" si="83"/>
        <v>Residential - BHPSD - Residential Lighting &amp; Appliances_Residential Lighting &amp; Appliances :- LED :- Customer Incentives_LED</v>
      </c>
      <c r="E434" s="241" t="str">
        <f t="shared" si="84"/>
        <v>Residential_Residential Lighting_Lighting_LED</v>
      </c>
      <c r="F434" s="241" t="str">
        <f>INDEX('VDSM MAPPING'!E:E,MATCH($D434,'VDSM MAPPING'!$A:$A,0))</f>
        <v>Residential</v>
      </c>
      <c r="G434" s="241" t="str">
        <f>INDEX('VDSM MAPPING'!F:F,MATCH($D434,'VDSM MAPPING'!$A:$A,0))</f>
        <v>Residential Lighting</v>
      </c>
      <c r="H434" s="241" t="str">
        <f>INDEX('VDSM MAPPING'!G:G,MATCH($D434,'VDSM MAPPING'!$A:$A,0))</f>
        <v>Lighting</v>
      </c>
      <c r="I434" s="241" t="str">
        <f>INDEX('VDSM MAPPING'!H:H,MATCH($D434,'VDSM MAPPING'!$A:$A,0))</f>
        <v>LED</v>
      </c>
      <c r="J434" s="240">
        <f t="shared" si="85"/>
        <v>-1.8837490182564711</v>
      </c>
      <c r="K434" s="240">
        <f t="shared" si="86"/>
        <v>7.2852995791401517E-2</v>
      </c>
      <c r="L434" s="240" t="b">
        <f t="shared" si="87"/>
        <v>0</v>
      </c>
      <c r="M434" s="240" t="b">
        <f t="shared" si="88"/>
        <v>0</v>
      </c>
      <c r="N434" s="204" t="s">
        <v>289</v>
      </c>
      <c r="O434" s="204" t="s">
        <v>1257</v>
      </c>
      <c r="P434" s="350">
        <v>1</v>
      </c>
      <c r="Q434" s="204" t="s">
        <v>1257</v>
      </c>
      <c r="R434" s="204" t="s">
        <v>1256</v>
      </c>
      <c r="S434" s="204" t="s">
        <v>1255</v>
      </c>
      <c r="T434" s="204" t="s">
        <v>1254</v>
      </c>
      <c r="V434" s="204" t="s">
        <v>1253</v>
      </c>
      <c r="W434" s="204" t="s">
        <v>1252</v>
      </c>
      <c r="X434" s="204" t="s">
        <v>297</v>
      </c>
      <c r="Y434" s="204" t="s">
        <v>1251</v>
      </c>
      <c r="Z434" s="204" t="s">
        <v>601</v>
      </c>
      <c r="AA434" s="204" t="s">
        <v>600</v>
      </c>
      <c r="AB434" s="204" t="s">
        <v>329</v>
      </c>
      <c r="AC434" s="204" t="s">
        <v>297</v>
      </c>
      <c r="AD434" s="204" t="s">
        <v>599</v>
      </c>
      <c r="AE434" s="204" t="s">
        <v>598</v>
      </c>
      <c r="AG434" s="204" t="s">
        <v>791</v>
      </c>
      <c r="AH434" s="204" t="s">
        <v>151</v>
      </c>
      <c r="AX434" s="204">
        <v>2</v>
      </c>
      <c r="AY434" s="204">
        <v>0</v>
      </c>
      <c r="AZ434" s="204">
        <v>5.4000000000000003E-3</v>
      </c>
      <c r="BB434" s="204">
        <v>46.384</v>
      </c>
      <c r="BH434" s="204">
        <v>0</v>
      </c>
      <c r="BI434" s="204">
        <v>8</v>
      </c>
      <c r="BJ434" s="204">
        <v>42886</v>
      </c>
      <c r="BK434" s="204">
        <v>42886.6966791667</v>
      </c>
      <c r="BL434" s="204" t="s">
        <v>293</v>
      </c>
      <c r="BM434" s="204" t="s">
        <v>1250</v>
      </c>
      <c r="BN434" s="242">
        <f t="shared" si="89"/>
        <v>23.192</v>
      </c>
      <c r="BO434" s="269">
        <f t="shared" si="90"/>
        <v>4</v>
      </c>
      <c r="BP434" s="269">
        <f>INDEX('App Data Outliers'!$M:$M,MATCH($E434,'App Data Outliers'!$A:$A,0))</f>
        <v>31.912660854402784</v>
      </c>
      <c r="BQ434" s="269">
        <f>INDEX('App Data Outliers'!$N:$N,MATCH($E434,'App Data Outliers'!$A:$A,0))</f>
        <v>4.6294175975068628</v>
      </c>
      <c r="BR434" s="269">
        <f>INDEX('App Data Outliers'!$S:$S,MATCH($E434,'App Data Outliers'!$A:$A,0))</f>
        <v>3.9162224934612029</v>
      </c>
      <c r="BS434" s="269">
        <f>INDEX('App Data Outliers'!$T:$T,MATCH($E434,'App Data Outliers'!$A:$A,0))</f>
        <v>1.1499528005502413</v>
      </c>
    </row>
    <row r="435" spans="1:71" s="204" customFormat="1" hidden="1">
      <c r="A435" s="241">
        <v>431</v>
      </c>
      <c r="B435" s="241" t="str">
        <f t="shared" si="81"/>
        <v>Residential - BHPSD - Residential Lighting &amp; Appliances</v>
      </c>
      <c r="C435" s="241" t="b">
        <f t="shared" si="82"/>
        <v>1</v>
      </c>
      <c r="D435" s="241" t="str">
        <f t="shared" si="83"/>
        <v>Residential - BHPSD - Residential Lighting &amp; Appliances_Residential Lighting &amp; Appliances :- LED :- Customer Incentives_LED</v>
      </c>
      <c r="E435" s="241" t="str">
        <f t="shared" si="84"/>
        <v>Residential_Residential Lighting_Lighting_LED</v>
      </c>
      <c r="F435" s="241" t="str">
        <f>INDEX('VDSM MAPPING'!E:E,MATCH($D435,'VDSM MAPPING'!$A:$A,0))</f>
        <v>Residential</v>
      </c>
      <c r="G435" s="241" t="str">
        <f>INDEX('VDSM MAPPING'!F:F,MATCH($D435,'VDSM MAPPING'!$A:$A,0))</f>
        <v>Residential Lighting</v>
      </c>
      <c r="H435" s="241" t="str">
        <f>INDEX('VDSM MAPPING'!G:G,MATCH($D435,'VDSM MAPPING'!$A:$A,0))</f>
        <v>Lighting</v>
      </c>
      <c r="I435" s="241" t="str">
        <f>INDEX('VDSM MAPPING'!H:H,MATCH($D435,'VDSM MAPPING'!$A:$A,0))</f>
        <v>LED</v>
      </c>
      <c r="J435" s="240">
        <f t="shared" si="85"/>
        <v>7.6540760934603463E-2</v>
      </c>
      <c r="K435" s="240">
        <f t="shared" si="86"/>
        <v>0.50765345000200468</v>
      </c>
      <c r="L435" s="240" t="b">
        <f t="shared" si="87"/>
        <v>0</v>
      </c>
      <c r="M435" s="240" t="b">
        <f t="shared" si="88"/>
        <v>0</v>
      </c>
      <c r="N435" s="204" t="s">
        <v>289</v>
      </c>
      <c r="O435" s="204" t="s">
        <v>1249</v>
      </c>
      <c r="P435" s="350">
        <v>1</v>
      </c>
      <c r="Q435" s="204" t="s">
        <v>1249</v>
      </c>
      <c r="R435" s="204" t="s">
        <v>1010</v>
      </c>
      <c r="S435" s="204" t="s">
        <v>1009</v>
      </c>
      <c r="T435" s="204" t="s">
        <v>1008</v>
      </c>
      <c r="V435" s="204" t="s">
        <v>1007</v>
      </c>
      <c r="W435" s="204" t="s">
        <v>345</v>
      </c>
      <c r="X435" s="204" t="s">
        <v>297</v>
      </c>
      <c r="Y435" s="204" t="s">
        <v>344</v>
      </c>
      <c r="Z435" s="204" t="s">
        <v>601</v>
      </c>
      <c r="AA435" s="204" t="s">
        <v>600</v>
      </c>
      <c r="AB435" s="204" t="s">
        <v>329</v>
      </c>
      <c r="AC435" s="204" t="s">
        <v>297</v>
      </c>
      <c r="AD435" s="204" t="s">
        <v>599</v>
      </c>
      <c r="AE435" s="204" t="s">
        <v>598</v>
      </c>
      <c r="AG435" s="204" t="s">
        <v>791</v>
      </c>
      <c r="AH435" s="204" t="s">
        <v>151</v>
      </c>
      <c r="AX435" s="204">
        <v>1</v>
      </c>
      <c r="AY435" s="204">
        <v>0</v>
      </c>
      <c r="AZ435" s="204">
        <v>3.8E-3</v>
      </c>
      <c r="BB435" s="204">
        <v>32.267000000000003</v>
      </c>
      <c r="BH435" s="204">
        <v>0</v>
      </c>
      <c r="BI435" s="204">
        <v>4.5</v>
      </c>
      <c r="BJ435" s="204">
        <v>42898</v>
      </c>
      <c r="BK435" s="204">
        <v>42898.653564039298</v>
      </c>
      <c r="BL435" s="204" t="s">
        <v>293</v>
      </c>
      <c r="BM435" s="204" t="s">
        <v>1248</v>
      </c>
      <c r="BN435" s="242">
        <f t="shared" si="89"/>
        <v>32.267000000000003</v>
      </c>
      <c r="BO435" s="269">
        <f t="shared" si="90"/>
        <v>4.5</v>
      </c>
      <c r="BP435" s="269">
        <f>INDEX('App Data Outliers'!$M:$M,MATCH($E435,'App Data Outliers'!$A:$A,0))</f>
        <v>31.912660854402784</v>
      </c>
      <c r="BQ435" s="269">
        <f>INDEX('App Data Outliers'!$N:$N,MATCH($E435,'App Data Outliers'!$A:$A,0))</f>
        <v>4.6294175975068628</v>
      </c>
      <c r="BR435" s="269">
        <f>INDEX('App Data Outliers'!$S:$S,MATCH($E435,'App Data Outliers'!$A:$A,0))</f>
        <v>3.9162224934612029</v>
      </c>
      <c r="BS435" s="269">
        <f>INDEX('App Data Outliers'!$T:$T,MATCH($E435,'App Data Outliers'!$A:$A,0))</f>
        <v>1.1499528005502413</v>
      </c>
    </row>
    <row r="436" spans="1:71" s="204" customFormat="1" hidden="1">
      <c r="A436" s="241">
        <v>432</v>
      </c>
      <c r="B436" s="241" t="str">
        <f t="shared" si="81"/>
        <v>Residential - BHPSD - Residential Lighting &amp; Appliances</v>
      </c>
      <c r="C436" s="241" t="b">
        <f t="shared" si="82"/>
        <v>1</v>
      </c>
      <c r="D436" s="241" t="str">
        <f t="shared" si="83"/>
        <v>Residential - BHPSD - Residential Lighting &amp; Appliances_Residential Lighting &amp; Appliances :- LED :- Customer Incentives_LED</v>
      </c>
      <c r="E436" s="241" t="str">
        <f t="shared" si="84"/>
        <v>Residential_Residential Lighting_Lighting_LED</v>
      </c>
      <c r="F436" s="241" t="str">
        <f>INDEX('VDSM MAPPING'!E:E,MATCH($D436,'VDSM MAPPING'!$A:$A,0))</f>
        <v>Residential</v>
      </c>
      <c r="G436" s="241" t="str">
        <f>INDEX('VDSM MAPPING'!F:F,MATCH($D436,'VDSM MAPPING'!$A:$A,0))</f>
        <v>Residential Lighting</v>
      </c>
      <c r="H436" s="241" t="str">
        <f>INDEX('VDSM MAPPING'!G:G,MATCH($D436,'VDSM MAPPING'!$A:$A,0))</f>
        <v>Lighting</v>
      </c>
      <c r="I436" s="241" t="str">
        <f>INDEX('VDSM MAPPING'!H:H,MATCH($D436,'VDSM MAPPING'!$A:$A,0))</f>
        <v>LED</v>
      </c>
      <c r="J436" s="240">
        <f t="shared" si="85"/>
        <v>0.40336372907962731</v>
      </c>
      <c r="K436" s="240">
        <f t="shared" si="86"/>
        <v>1.4642144492653311</v>
      </c>
      <c r="L436" s="240" t="b">
        <f t="shared" si="87"/>
        <v>0</v>
      </c>
      <c r="M436" s="240" t="b">
        <f t="shared" si="88"/>
        <v>0</v>
      </c>
      <c r="N436" s="204" t="s">
        <v>289</v>
      </c>
      <c r="O436" s="204" t="s">
        <v>1247</v>
      </c>
      <c r="P436" s="350">
        <v>1</v>
      </c>
      <c r="Q436" s="204" t="s">
        <v>1247</v>
      </c>
      <c r="R436" s="204" t="s">
        <v>1246</v>
      </c>
      <c r="S436" s="204" t="s">
        <v>1245</v>
      </c>
      <c r="T436" s="204" t="s">
        <v>1244</v>
      </c>
      <c r="V436" s="204" t="s">
        <v>1243</v>
      </c>
      <c r="W436" s="204" t="s">
        <v>329</v>
      </c>
      <c r="X436" s="204" t="s">
        <v>297</v>
      </c>
      <c r="Y436" s="204" t="s">
        <v>328</v>
      </c>
      <c r="Z436" s="204" t="s">
        <v>601</v>
      </c>
      <c r="AA436" s="204" t="s">
        <v>600</v>
      </c>
      <c r="AB436" s="204" t="s">
        <v>329</v>
      </c>
      <c r="AC436" s="204" t="s">
        <v>297</v>
      </c>
      <c r="AD436" s="204" t="s">
        <v>599</v>
      </c>
      <c r="AE436" s="204" t="s">
        <v>598</v>
      </c>
      <c r="AG436" s="204" t="s">
        <v>791</v>
      </c>
      <c r="AH436" s="204" t="s">
        <v>151</v>
      </c>
      <c r="AX436" s="204">
        <v>2</v>
      </c>
      <c r="AY436" s="204">
        <v>0</v>
      </c>
      <c r="AZ436" s="204">
        <v>8.0000000000000002E-3</v>
      </c>
      <c r="BB436" s="204">
        <v>67.56</v>
      </c>
      <c r="BH436" s="204">
        <v>0</v>
      </c>
      <c r="BI436" s="204">
        <v>11.2</v>
      </c>
      <c r="BJ436" s="204">
        <v>42898</v>
      </c>
      <c r="BK436" s="204">
        <v>42898.6552542477</v>
      </c>
      <c r="BL436" s="204" t="s">
        <v>293</v>
      </c>
      <c r="BM436" s="204" t="s">
        <v>1242</v>
      </c>
      <c r="BN436" s="242">
        <f t="shared" si="89"/>
        <v>33.78</v>
      </c>
      <c r="BO436" s="269">
        <f t="shared" si="90"/>
        <v>5.6</v>
      </c>
      <c r="BP436" s="269">
        <f>INDEX('App Data Outliers'!$M:$M,MATCH($E436,'App Data Outliers'!$A:$A,0))</f>
        <v>31.912660854402784</v>
      </c>
      <c r="BQ436" s="269">
        <f>INDEX('App Data Outliers'!$N:$N,MATCH($E436,'App Data Outliers'!$A:$A,0))</f>
        <v>4.6294175975068628</v>
      </c>
      <c r="BR436" s="269">
        <f>INDEX('App Data Outliers'!$S:$S,MATCH($E436,'App Data Outliers'!$A:$A,0))</f>
        <v>3.9162224934612029</v>
      </c>
      <c r="BS436" s="269">
        <f>INDEX('App Data Outliers'!$T:$T,MATCH($E436,'App Data Outliers'!$A:$A,0))</f>
        <v>1.1499528005502413</v>
      </c>
    </row>
    <row r="437" spans="1:71" s="204" customFormat="1" hidden="1">
      <c r="A437" s="241">
        <v>433</v>
      </c>
      <c r="B437" s="241" t="str">
        <f t="shared" si="81"/>
        <v>Residential - BHPSD - Residential Lighting &amp; Appliances</v>
      </c>
      <c r="C437" s="241" t="b">
        <f t="shared" si="82"/>
        <v>1</v>
      </c>
      <c r="D437" s="241" t="str">
        <f t="shared" si="83"/>
        <v>Residential - BHPSD - Residential Lighting &amp; Appliances_Residential Lighting &amp; Appliances :- ES Star Fixture :- Customer Incentives_ENERGY STAR LED Fixture</v>
      </c>
      <c r="E437" s="241" t="str">
        <f t="shared" si="84"/>
        <v>Residential_Residential Lighting_Lighting_ENERGY STAR Fixture</v>
      </c>
      <c r="F437" s="241" t="str">
        <f>INDEX('VDSM MAPPING'!E:E,MATCH($D437,'VDSM MAPPING'!$A:$A,0))</f>
        <v>Residential</v>
      </c>
      <c r="G437" s="241" t="str">
        <f>INDEX('VDSM MAPPING'!F:F,MATCH($D437,'VDSM MAPPING'!$A:$A,0))</f>
        <v>Residential Lighting</v>
      </c>
      <c r="H437" s="241" t="str">
        <f>INDEX('VDSM MAPPING'!G:G,MATCH($D437,'VDSM MAPPING'!$A:$A,0))</f>
        <v>Lighting</v>
      </c>
      <c r="I437" s="241" t="str">
        <f>INDEX('VDSM MAPPING'!H:H,MATCH($D437,'VDSM MAPPING'!$A:$A,0))</f>
        <v>ENERGY STAR Fixture</v>
      </c>
      <c r="J437" s="240">
        <f t="shared" si="85"/>
        <v>9.706465331805364E-2</v>
      </c>
      <c r="K437" s="240">
        <f t="shared" si="86"/>
        <v>0.4214787522569125</v>
      </c>
      <c r="L437" s="240" t="b">
        <f t="shared" si="87"/>
        <v>0</v>
      </c>
      <c r="M437" s="240" t="b">
        <f t="shared" si="88"/>
        <v>0</v>
      </c>
      <c r="N437" s="204" t="s">
        <v>289</v>
      </c>
      <c r="O437" s="204" t="s">
        <v>1241</v>
      </c>
      <c r="P437" s="350">
        <v>1</v>
      </c>
      <c r="Q437" s="204" t="s">
        <v>1241</v>
      </c>
      <c r="R437" s="204" t="s">
        <v>1240</v>
      </c>
      <c r="S437" s="204" t="s">
        <v>1239</v>
      </c>
      <c r="T437" s="204" t="s">
        <v>1238</v>
      </c>
      <c r="V437" s="204" t="s">
        <v>1237</v>
      </c>
      <c r="W437" s="204" t="s">
        <v>329</v>
      </c>
      <c r="X437" s="204" t="s">
        <v>297</v>
      </c>
      <c r="Y437" s="204" t="s">
        <v>397</v>
      </c>
      <c r="Z437" s="204" t="s">
        <v>601</v>
      </c>
      <c r="AA437" s="204" t="s">
        <v>600</v>
      </c>
      <c r="AB437" s="204" t="s">
        <v>329</v>
      </c>
      <c r="AC437" s="204" t="s">
        <v>297</v>
      </c>
      <c r="AD437" s="204" t="s">
        <v>599</v>
      </c>
      <c r="AE437" s="204" t="s">
        <v>598</v>
      </c>
      <c r="AG437" s="204" t="s">
        <v>895</v>
      </c>
      <c r="AH437" s="204" t="s">
        <v>150</v>
      </c>
      <c r="AV437" s="204" t="s">
        <v>1236</v>
      </c>
      <c r="AX437" s="204">
        <v>56</v>
      </c>
      <c r="AY437" s="204">
        <v>0</v>
      </c>
      <c r="AZ437" s="204">
        <v>0.26319999999999999</v>
      </c>
      <c r="BB437" s="204">
        <v>2230.48</v>
      </c>
      <c r="BH437" s="204">
        <v>0</v>
      </c>
      <c r="BI437" s="204">
        <v>560</v>
      </c>
      <c r="BJ437" s="204">
        <v>42898</v>
      </c>
      <c r="BK437" s="204">
        <v>42898.673445057902</v>
      </c>
      <c r="BL437" s="204" t="s">
        <v>293</v>
      </c>
      <c r="BM437" s="204" t="s">
        <v>1235</v>
      </c>
      <c r="BN437" s="242">
        <f t="shared" si="89"/>
        <v>39.83</v>
      </c>
      <c r="BO437" s="269">
        <f t="shared" si="90"/>
        <v>10</v>
      </c>
      <c r="BP437" s="269">
        <f>INDEX('App Data Outliers'!$M:$M,MATCH($E437,'App Data Outliers'!$A:$A,0))</f>
        <v>35.519370843989762</v>
      </c>
      <c r="BQ437" s="269">
        <f>INDEX('App Data Outliers'!$N:$N,MATCH($E437,'App Data Outliers'!$A:$A,0))</f>
        <v>44.409875363027503</v>
      </c>
      <c r="BR437" s="269">
        <f>INDEX('App Data Outliers'!$S:$S,MATCH($E437,'App Data Outliers'!$A:$A,0))</f>
        <v>9.3048337595907924</v>
      </c>
      <c r="BS437" s="269">
        <f>INDEX('App Data Outliers'!$T:$T,MATCH($E437,'App Data Outliers'!$A:$A,0))</f>
        <v>1.6493506177636894</v>
      </c>
    </row>
    <row r="438" spans="1:71" s="204" customFormat="1" hidden="1">
      <c r="A438" s="241">
        <v>434</v>
      </c>
      <c r="B438" s="241" t="str">
        <f t="shared" si="81"/>
        <v>Residential - BHPSD - Residential Lighting &amp; Appliances</v>
      </c>
      <c r="C438" s="241" t="b">
        <f t="shared" si="82"/>
        <v>1</v>
      </c>
      <c r="D438" s="241" t="str">
        <f t="shared" si="83"/>
        <v>Residential - BHPSD - Residential Lighting &amp; Appliances_Residential Lighting &amp; Appliances :- LED :- Customer Incentives_LED</v>
      </c>
      <c r="E438" s="241" t="str">
        <f t="shared" si="84"/>
        <v>Residential_Residential Lighting_Lighting_LED</v>
      </c>
      <c r="F438" s="241" t="str">
        <f>INDEX('VDSM MAPPING'!E:E,MATCH($D438,'VDSM MAPPING'!$A:$A,0))</f>
        <v>Residential</v>
      </c>
      <c r="G438" s="241" t="str">
        <f>INDEX('VDSM MAPPING'!F:F,MATCH($D438,'VDSM MAPPING'!$A:$A,0))</f>
        <v>Residential Lighting</v>
      </c>
      <c r="H438" s="241" t="str">
        <f>INDEX('VDSM MAPPING'!G:G,MATCH($D438,'VDSM MAPPING'!$A:$A,0))</f>
        <v>Lighting</v>
      </c>
      <c r="I438" s="241" t="str">
        <f>INDEX('VDSM MAPPING'!H:H,MATCH($D438,'VDSM MAPPING'!$A:$A,0))</f>
        <v>LED</v>
      </c>
      <c r="J438" s="240">
        <f t="shared" si="85"/>
        <v>7.6540760934603463E-2</v>
      </c>
      <c r="K438" s="240">
        <f t="shared" si="86"/>
        <v>0.50765345000200468</v>
      </c>
      <c r="L438" s="240" t="b">
        <f t="shared" si="87"/>
        <v>0</v>
      </c>
      <c r="M438" s="240" t="b">
        <f t="shared" si="88"/>
        <v>0</v>
      </c>
      <c r="N438" s="204" t="s">
        <v>289</v>
      </c>
      <c r="O438" s="204" t="s">
        <v>1233</v>
      </c>
      <c r="P438" s="350">
        <v>1</v>
      </c>
      <c r="Q438" s="204" t="s">
        <v>1233</v>
      </c>
      <c r="R438" s="204" t="s">
        <v>1232</v>
      </c>
      <c r="S438" s="204" t="s">
        <v>1231</v>
      </c>
      <c r="T438" s="204" t="s">
        <v>1230</v>
      </c>
      <c r="V438" s="204" t="s">
        <v>1229</v>
      </c>
      <c r="W438" s="204" t="s">
        <v>329</v>
      </c>
      <c r="X438" s="204" t="s">
        <v>297</v>
      </c>
      <c r="Y438" s="204" t="s">
        <v>328</v>
      </c>
      <c r="Z438" s="204" t="s">
        <v>601</v>
      </c>
      <c r="AA438" s="204" t="s">
        <v>600</v>
      </c>
      <c r="AB438" s="204" t="s">
        <v>329</v>
      </c>
      <c r="AC438" s="204" t="s">
        <v>297</v>
      </c>
      <c r="AD438" s="204" t="s">
        <v>599</v>
      </c>
      <c r="AE438" s="204" t="s">
        <v>598</v>
      </c>
      <c r="AG438" s="204" t="s">
        <v>791</v>
      </c>
      <c r="AH438" s="204" t="s">
        <v>151</v>
      </c>
      <c r="AX438" s="204">
        <v>3</v>
      </c>
      <c r="AY438" s="204">
        <v>0</v>
      </c>
      <c r="AZ438" s="204">
        <v>1.14E-2</v>
      </c>
      <c r="BB438" s="204">
        <v>96.801000000000002</v>
      </c>
      <c r="BH438" s="204">
        <v>0</v>
      </c>
      <c r="BI438" s="204">
        <v>13.5</v>
      </c>
      <c r="BJ438" s="204">
        <v>42909</v>
      </c>
      <c r="BK438" s="204">
        <v>42909.648393206</v>
      </c>
      <c r="BL438" s="204" t="s">
        <v>293</v>
      </c>
      <c r="BM438" s="204" t="s">
        <v>1234</v>
      </c>
      <c r="BN438" s="242">
        <f t="shared" si="89"/>
        <v>32.267000000000003</v>
      </c>
      <c r="BO438" s="269">
        <f t="shared" si="90"/>
        <v>4.5</v>
      </c>
      <c r="BP438" s="269">
        <f>INDEX('App Data Outliers'!$M:$M,MATCH($E438,'App Data Outliers'!$A:$A,0))</f>
        <v>31.912660854402784</v>
      </c>
      <c r="BQ438" s="269">
        <f>INDEX('App Data Outliers'!$N:$N,MATCH($E438,'App Data Outliers'!$A:$A,0))</f>
        <v>4.6294175975068628</v>
      </c>
      <c r="BR438" s="269">
        <f>INDEX('App Data Outliers'!$S:$S,MATCH($E438,'App Data Outliers'!$A:$A,0))</f>
        <v>3.9162224934612029</v>
      </c>
      <c r="BS438" s="269">
        <f>INDEX('App Data Outliers'!$T:$T,MATCH($E438,'App Data Outliers'!$A:$A,0))</f>
        <v>1.1499528005502413</v>
      </c>
    </row>
    <row r="439" spans="1:71" s="204" customFormat="1" hidden="1">
      <c r="A439" s="241">
        <v>435</v>
      </c>
      <c r="B439" s="241" t="str">
        <f t="shared" si="81"/>
        <v>Residential - BHPSD - Residential Lighting &amp; Appliances</v>
      </c>
      <c r="C439" s="241" t="b">
        <f t="shared" si="82"/>
        <v>1</v>
      </c>
      <c r="D439" s="241" t="str">
        <f t="shared" si="83"/>
        <v>Residential - BHPSD - Residential Lighting &amp; Appliances_Residential Lighting &amp; Appliances :- LED :- Customer Incentives_LED</v>
      </c>
      <c r="E439" s="241" t="str">
        <f t="shared" si="84"/>
        <v>Residential_Residential Lighting_Lighting_LED</v>
      </c>
      <c r="F439" s="241" t="str">
        <f>INDEX('VDSM MAPPING'!E:E,MATCH($D439,'VDSM MAPPING'!$A:$A,0))</f>
        <v>Residential</v>
      </c>
      <c r="G439" s="241" t="str">
        <f>INDEX('VDSM MAPPING'!F:F,MATCH($D439,'VDSM MAPPING'!$A:$A,0))</f>
        <v>Residential Lighting</v>
      </c>
      <c r="H439" s="241" t="str">
        <f>INDEX('VDSM MAPPING'!G:G,MATCH($D439,'VDSM MAPPING'!$A:$A,0))</f>
        <v>Lighting</v>
      </c>
      <c r="I439" s="241" t="str">
        <f>INDEX('VDSM MAPPING'!H:H,MATCH($D439,'VDSM MAPPING'!$A:$A,0))</f>
        <v>LED</v>
      </c>
      <c r="J439" s="240">
        <f t="shared" si="85"/>
        <v>-1.8837490182564711</v>
      </c>
      <c r="K439" s="240">
        <f t="shared" si="86"/>
        <v>7.2852995791401517E-2</v>
      </c>
      <c r="L439" s="240" t="b">
        <f t="shared" si="87"/>
        <v>0</v>
      </c>
      <c r="M439" s="240" t="b">
        <f t="shared" si="88"/>
        <v>0</v>
      </c>
      <c r="N439" s="204" t="s">
        <v>289</v>
      </c>
      <c r="O439" s="204" t="s">
        <v>1233</v>
      </c>
      <c r="P439" s="350">
        <v>0</v>
      </c>
      <c r="Q439" s="204" t="s">
        <v>1233</v>
      </c>
      <c r="R439" s="204" t="s">
        <v>1232</v>
      </c>
      <c r="S439" s="204" t="s">
        <v>1231</v>
      </c>
      <c r="T439" s="204" t="s">
        <v>1230</v>
      </c>
      <c r="V439" s="204" t="s">
        <v>1229</v>
      </c>
      <c r="W439" s="204" t="s">
        <v>329</v>
      </c>
      <c r="X439" s="204" t="s">
        <v>297</v>
      </c>
      <c r="Y439" s="204" t="s">
        <v>328</v>
      </c>
      <c r="Z439" s="204" t="s">
        <v>601</v>
      </c>
      <c r="AA439" s="204" t="s">
        <v>600</v>
      </c>
      <c r="AB439" s="204" t="s">
        <v>329</v>
      </c>
      <c r="AC439" s="204" t="s">
        <v>297</v>
      </c>
      <c r="AD439" s="204" t="s">
        <v>599</v>
      </c>
      <c r="AE439" s="204" t="s">
        <v>598</v>
      </c>
      <c r="AG439" s="204" t="s">
        <v>791</v>
      </c>
      <c r="AH439" s="204" t="s">
        <v>151</v>
      </c>
      <c r="AX439" s="204">
        <v>7</v>
      </c>
      <c r="AY439" s="204">
        <v>0</v>
      </c>
      <c r="AZ439" s="204">
        <v>1.89E-2</v>
      </c>
      <c r="BB439" s="204">
        <v>162.34399999999999</v>
      </c>
      <c r="BH439" s="204">
        <v>0</v>
      </c>
      <c r="BI439" s="204">
        <v>28</v>
      </c>
      <c r="BJ439" s="204">
        <v>42909</v>
      </c>
      <c r="BK439" s="204">
        <v>42909.648393206</v>
      </c>
      <c r="BL439" s="204" t="s">
        <v>293</v>
      </c>
      <c r="BM439" s="204" t="s">
        <v>1228</v>
      </c>
      <c r="BN439" s="242">
        <f t="shared" si="89"/>
        <v>23.192</v>
      </c>
      <c r="BO439" s="269">
        <f t="shared" si="90"/>
        <v>4</v>
      </c>
      <c r="BP439" s="269">
        <f>INDEX('App Data Outliers'!$M:$M,MATCH($E439,'App Data Outliers'!$A:$A,0))</f>
        <v>31.912660854402784</v>
      </c>
      <c r="BQ439" s="269">
        <f>INDEX('App Data Outliers'!$N:$N,MATCH($E439,'App Data Outliers'!$A:$A,0))</f>
        <v>4.6294175975068628</v>
      </c>
      <c r="BR439" s="269">
        <f>INDEX('App Data Outliers'!$S:$S,MATCH($E439,'App Data Outliers'!$A:$A,0))</f>
        <v>3.9162224934612029</v>
      </c>
      <c r="BS439" s="269">
        <f>INDEX('App Data Outliers'!$T:$T,MATCH($E439,'App Data Outliers'!$A:$A,0))</f>
        <v>1.1499528005502413</v>
      </c>
    </row>
    <row r="440" spans="1:71" s="204" customFormat="1" hidden="1">
      <c r="A440" s="241">
        <v>436</v>
      </c>
      <c r="B440" s="241" t="str">
        <f t="shared" si="81"/>
        <v>Residential - BHPSD - Residential Lighting &amp; Appliances</v>
      </c>
      <c r="C440" s="241" t="b">
        <f t="shared" si="82"/>
        <v>1</v>
      </c>
      <c r="D440" s="241" t="str">
        <f t="shared" si="83"/>
        <v>Residential - BHPSD - Residential Lighting &amp; Appliances_Residential Lighting &amp; Appliances :- LED :- Customer Incentives_LED</v>
      </c>
      <c r="E440" s="241" t="str">
        <f t="shared" si="84"/>
        <v>Residential_Residential Lighting_Lighting_LED</v>
      </c>
      <c r="F440" s="241" t="str">
        <f>INDEX('VDSM MAPPING'!E:E,MATCH($D440,'VDSM MAPPING'!$A:$A,0))</f>
        <v>Residential</v>
      </c>
      <c r="G440" s="241" t="str">
        <f>INDEX('VDSM MAPPING'!F:F,MATCH($D440,'VDSM MAPPING'!$A:$A,0))</f>
        <v>Residential Lighting</v>
      </c>
      <c r="H440" s="241" t="str">
        <f>INDEX('VDSM MAPPING'!G:G,MATCH($D440,'VDSM MAPPING'!$A:$A,0))</f>
        <v>Lighting</v>
      </c>
      <c r="I440" s="241" t="str">
        <f>INDEX('VDSM MAPPING'!H:H,MATCH($D440,'VDSM MAPPING'!$A:$A,0))</f>
        <v>LED</v>
      </c>
      <c r="J440" s="240">
        <f t="shared" si="85"/>
        <v>7.6540760934603463E-2</v>
      </c>
      <c r="K440" s="240">
        <f t="shared" si="86"/>
        <v>0.50765345000200468</v>
      </c>
      <c r="L440" s="240" t="b">
        <f t="shared" si="87"/>
        <v>0</v>
      </c>
      <c r="M440" s="240" t="b">
        <f t="shared" si="88"/>
        <v>0</v>
      </c>
      <c r="N440" s="204" t="s">
        <v>289</v>
      </c>
      <c r="O440" s="204" t="s">
        <v>1227</v>
      </c>
      <c r="P440" s="350">
        <v>1</v>
      </c>
      <c r="Q440" s="204" t="s">
        <v>1227</v>
      </c>
      <c r="R440" s="204" t="s">
        <v>1226</v>
      </c>
      <c r="S440" s="204" t="s">
        <v>1225</v>
      </c>
      <c r="T440" s="204" t="s">
        <v>1224</v>
      </c>
      <c r="V440" s="204" t="s">
        <v>1223</v>
      </c>
      <c r="W440" s="204" t="s">
        <v>329</v>
      </c>
      <c r="X440" s="204" t="s">
        <v>297</v>
      </c>
      <c r="Y440" s="204" t="s">
        <v>397</v>
      </c>
      <c r="Z440" s="204" t="s">
        <v>601</v>
      </c>
      <c r="AA440" s="204" t="s">
        <v>600</v>
      </c>
      <c r="AB440" s="204" t="s">
        <v>329</v>
      </c>
      <c r="AC440" s="204" t="s">
        <v>297</v>
      </c>
      <c r="AD440" s="204" t="s">
        <v>599</v>
      </c>
      <c r="AE440" s="204" t="s">
        <v>598</v>
      </c>
      <c r="AG440" s="204" t="s">
        <v>791</v>
      </c>
      <c r="AH440" s="204" t="s">
        <v>151</v>
      </c>
      <c r="AX440" s="204">
        <v>4</v>
      </c>
      <c r="AY440" s="204">
        <v>0</v>
      </c>
      <c r="AZ440" s="204">
        <v>1.52E-2</v>
      </c>
      <c r="BB440" s="204">
        <v>129.06800000000001</v>
      </c>
      <c r="BH440" s="204">
        <v>0</v>
      </c>
      <c r="BI440" s="204">
        <v>18</v>
      </c>
      <c r="BJ440" s="204">
        <v>42914</v>
      </c>
      <c r="BK440" s="204">
        <v>42921.6053982292</v>
      </c>
      <c r="BL440" s="204" t="s">
        <v>293</v>
      </c>
      <c r="BM440" s="204" t="s">
        <v>1222</v>
      </c>
      <c r="BN440" s="242">
        <f t="shared" si="89"/>
        <v>32.267000000000003</v>
      </c>
      <c r="BO440" s="269">
        <f t="shared" si="90"/>
        <v>4.5</v>
      </c>
      <c r="BP440" s="269">
        <f>INDEX('App Data Outliers'!$M:$M,MATCH($E440,'App Data Outliers'!$A:$A,0))</f>
        <v>31.912660854402784</v>
      </c>
      <c r="BQ440" s="269">
        <f>INDEX('App Data Outliers'!$N:$N,MATCH($E440,'App Data Outliers'!$A:$A,0))</f>
        <v>4.6294175975068628</v>
      </c>
      <c r="BR440" s="269">
        <f>INDEX('App Data Outliers'!$S:$S,MATCH($E440,'App Data Outliers'!$A:$A,0))</f>
        <v>3.9162224934612029</v>
      </c>
      <c r="BS440" s="269">
        <f>INDEX('App Data Outliers'!$T:$T,MATCH($E440,'App Data Outliers'!$A:$A,0))</f>
        <v>1.1499528005502413</v>
      </c>
    </row>
    <row r="441" spans="1:71" s="204" customFormat="1" hidden="1">
      <c r="A441" s="241">
        <v>437</v>
      </c>
      <c r="B441" s="241" t="str">
        <f t="shared" si="81"/>
        <v>Residential - BHPSD - Residential Lighting &amp; Appliances</v>
      </c>
      <c r="C441" s="241" t="b">
        <f t="shared" si="82"/>
        <v>1</v>
      </c>
      <c r="D441" s="241" t="str">
        <f t="shared" si="83"/>
        <v>Residential - BHPSD - Residential Lighting &amp; Appliances_Residential Lighting &amp; Appliances :- LED :- Customer Incentives_LED</v>
      </c>
      <c r="E441" s="241" t="str">
        <f t="shared" si="84"/>
        <v>Residential_Residential Lighting_Lighting_LED</v>
      </c>
      <c r="F441" s="241" t="str">
        <f>INDEX('VDSM MAPPING'!E:E,MATCH($D441,'VDSM MAPPING'!$A:$A,0))</f>
        <v>Residential</v>
      </c>
      <c r="G441" s="241" t="str">
        <f>INDEX('VDSM MAPPING'!F:F,MATCH($D441,'VDSM MAPPING'!$A:$A,0))</f>
        <v>Residential Lighting</v>
      </c>
      <c r="H441" s="241" t="str">
        <f>INDEX('VDSM MAPPING'!G:G,MATCH($D441,'VDSM MAPPING'!$A:$A,0))</f>
        <v>Lighting</v>
      </c>
      <c r="I441" s="241" t="str">
        <f>INDEX('VDSM MAPPING'!H:H,MATCH($D441,'VDSM MAPPING'!$A:$A,0))</f>
        <v>LED</v>
      </c>
      <c r="J441" s="240">
        <f t="shared" si="85"/>
        <v>7.6540760934603463E-2</v>
      </c>
      <c r="K441" s="240">
        <f t="shared" si="86"/>
        <v>0.50765345000200468</v>
      </c>
      <c r="L441" s="240" t="b">
        <f t="shared" si="87"/>
        <v>0</v>
      </c>
      <c r="M441" s="240" t="b">
        <f t="shared" si="88"/>
        <v>0</v>
      </c>
      <c r="N441" s="204" t="s">
        <v>289</v>
      </c>
      <c r="O441" s="204" t="s">
        <v>1221</v>
      </c>
      <c r="P441" s="350">
        <v>1</v>
      </c>
      <c r="Q441" s="204" t="s">
        <v>1221</v>
      </c>
      <c r="R441" s="204" t="s">
        <v>1220</v>
      </c>
      <c r="S441" s="204" t="s">
        <v>1219</v>
      </c>
      <c r="T441" s="204" t="s">
        <v>1218</v>
      </c>
      <c r="V441" s="204" t="s">
        <v>1217</v>
      </c>
      <c r="W441" s="204" t="s">
        <v>329</v>
      </c>
      <c r="X441" s="204" t="s">
        <v>297</v>
      </c>
      <c r="Y441" s="204" t="s">
        <v>328</v>
      </c>
      <c r="Z441" s="204" t="s">
        <v>601</v>
      </c>
      <c r="AA441" s="204" t="s">
        <v>600</v>
      </c>
      <c r="AB441" s="204" t="s">
        <v>329</v>
      </c>
      <c r="AC441" s="204" t="s">
        <v>297</v>
      </c>
      <c r="AD441" s="204" t="s">
        <v>599</v>
      </c>
      <c r="AE441" s="204" t="s">
        <v>598</v>
      </c>
      <c r="AG441" s="204" t="s">
        <v>791</v>
      </c>
      <c r="AH441" s="204" t="s">
        <v>151</v>
      </c>
      <c r="AX441" s="204">
        <v>5</v>
      </c>
      <c r="AY441" s="204">
        <v>0</v>
      </c>
      <c r="AZ441" s="204">
        <v>1.9E-2</v>
      </c>
      <c r="BB441" s="204">
        <v>161.33500000000001</v>
      </c>
      <c r="BH441" s="204">
        <v>0</v>
      </c>
      <c r="BI441" s="204">
        <v>22.5</v>
      </c>
      <c r="BJ441" s="204">
        <v>42927</v>
      </c>
      <c r="BK441" s="204">
        <v>42927.601135879602</v>
      </c>
      <c r="BL441" s="204" t="s">
        <v>293</v>
      </c>
      <c r="BM441" s="204" t="s">
        <v>1216</v>
      </c>
      <c r="BN441" s="242">
        <f t="shared" si="89"/>
        <v>32.267000000000003</v>
      </c>
      <c r="BO441" s="269">
        <f t="shared" si="90"/>
        <v>4.5</v>
      </c>
      <c r="BP441" s="269">
        <f>INDEX('App Data Outliers'!$M:$M,MATCH($E441,'App Data Outliers'!$A:$A,0))</f>
        <v>31.912660854402784</v>
      </c>
      <c r="BQ441" s="269">
        <f>INDEX('App Data Outliers'!$N:$N,MATCH($E441,'App Data Outliers'!$A:$A,0))</f>
        <v>4.6294175975068628</v>
      </c>
      <c r="BR441" s="269">
        <f>INDEX('App Data Outliers'!$S:$S,MATCH($E441,'App Data Outliers'!$A:$A,0))</f>
        <v>3.9162224934612029</v>
      </c>
      <c r="BS441" s="269">
        <f>INDEX('App Data Outliers'!$T:$T,MATCH($E441,'App Data Outliers'!$A:$A,0))</f>
        <v>1.1499528005502413</v>
      </c>
    </row>
    <row r="442" spans="1:71" s="204" customFormat="1" hidden="1">
      <c r="A442" s="241">
        <v>438</v>
      </c>
      <c r="B442" s="241" t="str">
        <f t="shared" si="81"/>
        <v>Residential - BHPSD - Residential Lighting &amp; Appliances</v>
      </c>
      <c r="C442" s="241" t="b">
        <f t="shared" si="82"/>
        <v>1</v>
      </c>
      <c r="D442" s="241" t="str">
        <f t="shared" si="83"/>
        <v>Residential - BHPSD - Residential Lighting &amp; Appliances_Residential Lighting &amp; Appliances :- LED :- Customer Incentives_LED</v>
      </c>
      <c r="E442" s="241" t="str">
        <f t="shared" si="84"/>
        <v>Residential_Residential Lighting_Lighting_LED</v>
      </c>
      <c r="F442" s="241" t="str">
        <f>INDEX('VDSM MAPPING'!E:E,MATCH($D442,'VDSM MAPPING'!$A:$A,0))</f>
        <v>Residential</v>
      </c>
      <c r="G442" s="241" t="str">
        <f>INDEX('VDSM MAPPING'!F:F,MATCH($D442,'VDSM MAPPING'!$A:$A,0))</f>
        <v>Residential Lighting</v>
      </c>
      <c r="H442" s="241" t="str">
        <f>INDEX('VDSM MAPPING'!G:G,MATCH($D442,'VDSM MAPPING'!$A:$A,0))</f>
        <v>Lighting</v>
      </c>
      <c r="I442" s="241" t="str">
        <f>INDEX('VDSM MAPPING'!H:H,MATCH($D442,'VDSM MAPPING'!$A:$A,0))</f>
        <v>LED</v>
      </c>
      <c r="J442" s="240">
        <f t="shared" si="85"/>
        <v>7.6540760934603463E-2</v>
      </c>
      <c r="K442" s="240">
        <f t="shared" si="86"/>
        <v>0.50765345000200468</v>
      </c>
      <c r="L442" s="240" t="b">
        <f t="shared" si="87"/>
        <v>0</v>
      </c>
      <c r="M442" s="240" t="b">
        <f t="shared" si="88"/>
        <v>0</v>
      </c>
      <c r="N442" s="204" t="s">
        <v>289</v>
      </c>
      <c r="O442" s="204" t="s">
        <v>1215</v>
      </c>
      <c r="P442" s="350">
        <v>1</v>
      </c>
      <c r="Q442" s="204" t="s">
        <v>1215</v>
      </c>
      <c r="R442" s="204" t="s">
        <v>1010</v>
      </c>
      <c r="S442" s="204" t="s">
        <v>1009</v>
      </c>
      <c r="T442" s="204" t="s">
        <v>1008</v>
      </c>
      <c r="V442" s="204" t="s">
        <v>1007</v>
      </c>
      <c r="W442" s="204" t="s">
        <v>345</v>
      </c>
      <c r="X442" s="204" t="s">
        <v>297</v>
      </c>
      <c r="Y442" s="204" t="s">
        <v>344</v>
      </c>
      <c r="Z442" s="204" t="s">
        <v>601</v>
      </c>
      <c r="AA442" s="204" t="s">
        <v>600</v>
      </c>
      <c r="AB442" s="204" t="s">
        <v>329</v>
      </c>
      <c r="AC442" s="204" t="s">
        <v>297</v>
      </c>
      <c r="AD442" s="204" t="s">
        <v>599</v>
      </c>
      <c r="AE442" s="204" t="s">
        <v>598</v>
      </c>
      <c r="AG442" s="204" t="s">
        <v>791</v>
      </c>
      <c r="AH442" s="204" t="s">
        <v>151</v>
      </c>
      <c r="AX442" s="204">
        <v>1</v>
      </c>
      <c r="AY442" s="204">
        <v>0</v>
      </c>
      <c r="AZ442" s="204">
        <v>3.8E-3</v>
      </c>
      <c r="BB442" s="204">
        <v>32.267000000000003</v>
      </c>
      <c r="BH442" s="204">
        <v>0</v>
      </c>
      <c r="BI442" s="204">
        <v>4.5</v>
      </c>
      <c r="BJ442" s="204">
        <v>42929</v>
      </c>
      <c r="BK442" s="204">
        <v>42929.759636724499</v>
      </c>
      <c r="BL442" s="204" t="s">
        <v>293</v>
      </c>
      <c r="BM442" s="204" t="s">
        <v>1214</v>
      </c>
      <c r="BN442" s="242">
        <f t="shared" si="89"/>
        <v>32.267000000000003</v>
      </c>
      <c r="BO442" s="269">
        <f t="shared" si="90"/>
        <v>4.5</v>
      </c>
      <c r="BP442" s="269">
        <f>INDEX('App Data Outliers'!$M:$M,MATCH($E442,'App Data Outliers'!$A:$A,0))</f>
        <v>31.912660854402784</v>
      </c>
      <c r="BQ442" s="269">
        <f>INDEX('App Data Outliers'!$N:$N,MATCH($E442,'App Data Outliers'!$A:$A,0))</f>
        <v>4.6294175975068628</v>
      </c>
      <c r="BR442" s="269">
        <f>INDEX('App Data Outliers'!$S:$S,MATCH($E442,'App Data Outliers'!$A:$A,0))</f>
        <v>3.9162224934612029</v>
      </c>
      <c r="BS442" s="269">
        <f>INDEX('App Data Outliers'!$T:$T,MATCH($E442,'App Data Outliers'!$A:$A,0))</f>
        <v>1.1499528005502413</v>
      </c>
    </row>
    <row r="443" spans="1:71" s="204" customFormat="1" hidden="1">
      <c r="A443" s="241">
        <v>439</v>
      </c>
      <c r="B443" s="241" t="str">
        <f t="shared" si="81"/>
        <v>Residential - BHPSD - Residential Lighting &amp; Appliances</v>
      </c>
      <c r="C443" s="241" t="b">
        <f t="shared" si="82"/>
        <v>1</v>
      </c>
      <c r="D443" s="241" t="str">
        <f t="shared" si="83"/>
        <v>Residential - BHPSD - Residential Lighting &amp; Appliances_Residential Lighting &amp; Appliances :- LED :- Customer Incentives_LED</v>
      </c>
      <c r="E443" s="241" t="str">
        <f t="shared" si="84"/>
        <v>Residential_Residential Lighting_Lighting_LED</v>
      </c>
      <c r="F443" s="241" t="str">
        <f>INDEX('VDSM MAPPING'!E:E,MATCH($D443,'VDSM MAPPING'!$A:$A,0))</f>
        <v>Residential</v>
      </c>
      <c r="G443" s="241" t="str">
        <f>INDEX('VDSM MAPPING'!F:F,MATCH($D443,'VDSM MAPPING'!$A:$A,0))</f>
        <v>Residential Lighting</v>
      </c>
      <c r="H443" s="241" t="str">
        <f>INDEX('VDSM MAPPING'!G:G,MATCH($D443,'VDSM MAPPING'!$A:$A,0))</f>
        <v>Lighting</v>
      </c>
      <c r="I443" s="241" t="str">
        <f>INDEX('VDSM MAPPING'!H:H,MATCH($D443,'VDSM MAPPING'!$A:$A,0))</f>
        <v>LED</v>
      </c>
      <c r="J443" s="240">
        <f t="shared" si="85"/>
        <v>7.6540760934603463E-2</v>
      </c>
      <c r="K443" s="240">
        <f t="shared" si="86"/>
        <v>0.50765345000200468</v>
      </c>
      <c r="L443" s="240" t="b">
        <f t="shared" si="87"/>
        <v>0</v>
      </c>
      <c r="M443" s="240" t="b">
        <f t="shared" si="88"/>
        <v>0</v>
      </c>
      <c r="N443" s="204" t="s">
        <v>289</v>
      </c>
      <c r="O443" s="204" t="s">
        <v>1212</v>
      </c>
      <c r="P443" s="350">
        <v>1</v>
      </c>
      <c r="Q443" s="204" t="s">
        <v>1212</v>
      </c>
      <c r="R443" s="204" t="s">
        <v>1050</v>
      </c>
      <c r="S443" s="204" t="s">
        <v>1049</v>
      </c>
      <c r="T443" s="204" t="s">
        <v>1048</v>
      </c>
      <c r="V443" s="204" t="s">
        <v>1047</v>
      </c>
      <c r="W443" s="204" t="s">
        <v>329</v>
      </c>
      <c r="X443" s="204" t="s">
        <v>297</v>
      </c>
      <c r="Y443" s="204" t="s">
        <v>397</v>
      </c>
      <c r="Z443" s="204" t="s">
        <v>601</v>
      </c>
      <c r="AA443" s="204" t="s">
        <v>600</v>
      </c>
      <c r="AB443" s="204" t="s">
        <v>329</v>
      </c>
      <c r="AC443" s="204" t="s">
        <v>297</v>
      </c>
      <c r="AD443" s="204" t="s">
        <v>599</v>
      </c>
      <c r="AE443" s="204" t="s">
        <v>598</v>
      </c>
      <c r="AG443" s="204" t="s">
        <v>791</v>
      </c>
      <c r="AH443" s="204" t="s">
        <v>151</v>
      </c>
      <c r="AX443" s="204">
        <v>3</v>
      </c>
      <c r="AY443" s="204">
        <v>0</v>
      </c>
      <c r="AZ443" s="204">
        <v>1.14E-2</v>
      </c>
      <c r="BB443" s="204">
        <v>96.801000000000002</v>
      </c>
      <c r="BH443" s="204">
        <v>0</v>
      </c>
      <c r="BI443" s="204">
        <v>13.5</v>
      </c>
      <c r="BJ443" s="204">
        <v>42933</v>
      </c>
      <c r="BK443" s="204">
        <v>42933.560542164298</v>
      </c>
      <c r="BL443" s="204" t="s">
        <v>293</v>
      </c>
      <c r="BM443" s="204" t="s">
        <v>1213</v>
      </c>
      <c r="BN443" s="242">
        <f t="shared" si="89"/>
        <v>32.267000000000003</v>
      </c>
      <c r="BO443" s="269">
        <f t="shared" si="90"/>
        <v>4.5</v>
      </c>
      <c r="BP443" s="269">
        <f>INDEX('App Data Outliers'!$M:$M,MATCH($E443,'App Data Outliers'!$A:$A,0))</f>
        <v>31.912660854402784</v>
      </c>
      <c r="BQ443" s="269">
        <f>INDEX('App Data Outliers'!$N:$N,MATCH($E443,'App Data Outliers'!$A:$A,0))</f>
        <v>4.6294175975068628</v>
      </c>
      <c r="BR443" s="269">
        <f>INDEX('App Data Outliers'!$S:$S,MATCH($E443,'App Data Outliers'!$A:$A,0))</f>
        <v>3.9162224934612029</v>
      </c>
      <c r="BS443" s="269">
        <f>INDEX('App Data Outliers'!$T:$T,MATCH($E443,'App Data Outliers'!$A:$A,0))</f>
        <v>1.1499528005502413</v>
      </c>
    </row>
    <row r="444" spans="1:71" s="204" customFormat="1" hidden="1">
      <c r="A444" s="241">
        <v>440</v>
      </c>
      <c r="B444" s="241" t="str">
        <f t="shared" si="81"/>
        <v>Residential - BHPSD - Residential Lighting &amp; Appliances</v>
      </c>
      <c r="C444" s="241" t="b">
        <f t="shared" si="82"/>
        <v>1</v>
      </c>
      <c r="D444" s="241" t="str">
        <f t="shared" si="83"/>
        <v>Residential - BHPSD - Residential Lighting &amp; Appliances_Residential Lighting &amp; Appliances :- LED :- Customer Incentives_LED</v>
      </c>
      <c r="E444" s="241" t="str">
        <f t="shared" si="84"/>
        <v>Residential_Residential Lighting_Lighting_LED</v>
      </c>
      <c r="F444" s="241" t="str">
        <f>INDEX('VDSM MAPPING'!E:E,MATCH($D444,'VDSM MAPPING'!$A:$A,0))</f>
        <v>Residential</v>
      </c>
      <c r="G444" s="241" t="str">
        <f>INDEX('VDSM MAPPING'!F:F,MATCH($D444,'VDSM MAPPING'!$A:$A,0))</f>
        <v>Residential Lighting</v>
      </c>
      <c r="H444" s="241" t="str">
        <f>INDEX('VDSM MAPPING'!G:G,MATCH($D444,'VDSM MAPPING'!$A:$A,0))</f>
        <v>Lighting</v>
      </c>
      <c r="I444" s="241" t="str">
        <f>INDEX('VDSM MAPPING'!H:H,MATCH($D444,'VDSM MAPPING'!$A:$A,0))</f>
        <v>LED</v>
      </c>
      <c r="J444" s="240">
        <f t="shared" si="85"/>
        <v>0.40336372907962731</v>
      </c>
      <c r="K444" s="240">
        <f t="shared" si="86"/>
        <v>1.4642144492653311</v>
      </c>
      <c r="L444" s="240" t="b">
        <f t="shared" si="87"/>
        <v>0</v>
      </c>
      <c r="M444" s="240" t="b">
        <f t="shared" si="88"/>
        <v>0</v>
      </c>
      <c r="N444" s="204" t="s">
        <v>289</v>
      </c>
      <c r="O444" s="204" t="s">
        <v>1212</v>
      </c>
      <c r="P444" s="350">
        <v>0</v>
      </c>
      <c r="Q444" s="204" t="s">
        <v>1212</v>
      </c>
      <c r="R444" s="204" t="s">
        <v>1050</v>
      </c>
      <c r="S444" s="204" t="s">
        <v>1049</v>
      </c>
      <c r="T444" s="204" t="s">
        <v>1048</v>
      </c>
      <c r="V444" s="204" t="s">
        <v>1047</v>
      </c>
      <c r="W444" s="204" t="s">
        <v>329</v>
      </c>
      <c r="X444" s="204" t="s">
        <v>297</v>
      </c>
      <c r="Y444" s="204" t="s">
        <v>397</v>
      </c>
      <c r="Z444" s="204" t="s">
        <v>601</v>
      </c>
      <c r="AA444" s="204" t="s">
        <v>600</v>
      </c>
      <c r="AB444" s="204" t="s">
        <v>329</v>
      </c>
      <c r="AC444" s="204" t="s">
        <v>297</v>
      </c>
      <c r="AD444" s="204" t="s">
        <v>599</v>
      </c>
      <c r="AE444" s="204" t="s">
        <v>598</v>
      </c>
      <c r="AG444" s="204" t="s">
        <v>791</v>
      </c>
      <c r="AH444" s="204" t="s">
        <v>151</v>
      </c>
      <c r="AX444" s="204">
        <v>1</v>
      </c>
      <c r="AY444" s="204">
        <v>0</v>
      </c>
      <c r="AZ444" s="204">
        <v>4.0000000000000001E-3</v>
      </c>
      <c r="BB444" s="204">
        <v>33.78</v>
      </c>
      <c r="BH444" s="204">
        <v>0</v>
      </c>
      <c r="BI444" s="204">
        <v>5.6</v>
      </c>
      <c r="BJ444" s="204">
        <v>42933</v>
      </c>
      <c r="BK444" s="204">
        <v>42933.560542164298</v>
      </c>
      <c r="BL444" s="204" t="s">
        <v>293</v>
      </c>
      <c r="BM444" s="204" t="s">
        <v>1211</v>
      </c>
      <c r="BN444" s="242">
        <f t="shared" si="89"/>
        <v>33.78</v>
      </c>
      <c r="BO444" s="269">
        <f t="shared" si="90"/>
        <v>5.6</v>
      </c>
      <c r="BP444" s="269">
        <f>INDEX('App Data Outliers'!$M:$M,MATCH($E444,'App Data Outliers'!$A:$A,0))</f>
        <v>31.912660854402784</v>
      </c>
      <c r="BQ444" s="269">
        <f>INDEX('App Data Outliers'!$N:$N,MATCH($E444,'App Data Outliers'!$A:$A,0))</f>
        <v>4.6294175975068628</v>
      </c>
      <c r="BR444" s="269">
        <f>INDEX('App Data Outliers'!$S:$S,MATCH($E444,'App Data Outliers'!$A:$A,0))</f>
        <v>3.9162224934612029</v>
      </c>
      <c r="BS444" s="269">
        <f>INDEX('App Data Outliers'!$T:$T,MATCH($E444,'App Data Outliers'!$A:$A,0))</f>
        <v>1.1499528005502413</v>
      </c>
    </row>
    <row r="445" spans="1:71" s="204" customFormat="1" hidden="1">
      <c r="A445" s="241">
        <v>441</v>
      </c>
      <c r="B445" s="241" t="str">
        <f t="shared" si="81"/>
        <v>Residential - BHPSD - Residential Lighting &amp; Appliances</v>
      </c>
      <c r="C445" s="241" t="b">
        <f t="shared" si="82"/>
        <v>1</v>
      </c>
      <c r="D445" s="241" t="str">
        <f t="shared" si="83"/>
        <v>Residential - BHPSD - Residential Lighting &amp; Appliances_Residential Lighting &amp; Appliances :- LED :- Customer Incentives_LED</v>
      </c>
      <c r="E445" s="241" t="str">
        <f t="shared" si="84"/>
        <v>Residential_Residential Lighting_Lighting_LED</v>
      </c>
      <c r="F445" s="241" t="str">
        <f>INDEX('VDSM MAPPING'!E:E,MATCH($D445,'VDSM MAPPING'!$A:$A,0))</f>
        <v>Residential</v>
      </c>
      <c r="G445" s="241" t="str">
        <f>INDEX('VDSM MAPPING'!F:F,MATCH($D445,'VDSM MAPPING'!$A:$A,0))</f>
        <v>Residential Lighting</v>
      </c>
      <c r="H445" s="241" t="str">
        <f>INDEX('VDSM MAPPING'!G:G,MATCH($D445,'VDSM MAPPING'!$A:$A,0))</f>
        <v>Lighting</v>
      </c>
      <c r="I445" s="241" t="str">
        <f>INDEX('VDSM MAPPING'!H:H,MATCH($D445,'VDSM MAPPING'!$A:$A,0))</f>
        <v>LED</v>
      </c>
      <c r="J445" s="240">
        <f t="shared" si="85"/>
        <v>7.6540760934603463E-2</v>
      </c>
      <c r="K445" s="240">
        <f t="shared" si="86"/>
        <v>0.50765345000200468</v>
      </c>
      <c r="L445" s="240" t="b">
        <f t="shared" si="87"/>
        <v>0</v>
      </c>
      <c r="M445" s="240" t="b">
        <f t="shared" si="88"/>
        <v>0</v>
      </c>
      <c r="N445" s="204" t="s">
        <v>289</v>
      </c>
      <c r="O445" s="204" t="s">
        <v>1209</v>
      </c>
      <c r="P445" s="350">
        <v>1</v>
      </c>
      <c r="Q445" s="204" t="s">
        <v>1209</v>
      </c>
      <c r="R445" s="204" t="s">
        <v>1078</v>
      </c>
      <c r="S445" s="204" t="s">
        <v>1077</v>
      </c>
      <c r="T445" s="204" t="s">
        <v>1076</v>
      </c>
      <c r="V445" s="204" t="s">
        <v>1075</v>
      </c>
      <c r="W445" s="204" t="s">
        <v>329</v>
      </c>
      <c r="X445" s="204" t="s">
        <v>297</v>
      </c>
      <c r="Y445" s="204" t="s">
        <v>328</v>
      </c>
      <c r="Z445" s="204" t="s">
        <v>601</v>
      </c>
      <c r="AA445" s="204" t="s">
        <v>600</v>
      </c>
      <c r="AB445" s="204" t="s">
        <v>329</v>
      </c>
      <c r="AC445" s="204" t="s">
        <v>297</v>
      </c>
      <c r="AD445" s="204" t="s">
        <v>599</v>
      </c>
      <c r="AE445" s="204" t="s">
        <v>598</v>
      </c>
      <c r="AG445" s="204" t="s">
        <v>791</v>
      </c>
      <c r="AH445" s="204" t="s">
        <v>151</v>
      </c>
      <c r="AX445" s="204">
        <v>20</v>
      </c>
      <c r="AY445" s="204">
        <v>0</v>
      </c>
      <c r="AZ445" s="204">
        <v>7.5999999999999998E-2</v>
      </c>
      <c r="BB445" s="204">
        <v>645.34</v>
      </c>
      <c r="BH445" s="204">
        <v>0</v>
      </c>
      <c r="BI445" s="204">
        <v>90</v>
      </c>
      <c r="BJ445" s="204">
        <v>42934</v>
      </c>
      <c r="BK445" s="204">
        <v>42934.512228969899</v>
      </c>
      <c r="BL445" s="204" t="s">
        <v>293</v>
      </c>
      <c r="BM445" s="204" t="s">
        <v>1208</v>
      </c>
      <c r="BN445" s="242">
        <f t="shared" si="89"/>
        <v>32.267000000000003</v>
      </c>
      <c r="BO445" s="269">
        <f t="shared" si="90"/>
        <v>4.5</v>
      </c>
      <c r="BP445" s="269">
        <f>INDEX('App Data Outliers'!$M:$M,MATCH($E445,'App Data Outliers'!$A:$A,0))</f>
        <v>31.912660854402784</v>
      </c>
      <c r="BQ445" s="269">
        <f>INDEX('App Data Outliers'!$N:$N,MATCH($E445,'App Data Outliers'!$A:$A,0))</f>
        <v>4.6294175975068628</v>
      </c>
      <c r="BR445" s="269">
        <f>INDEX('App Data Outliers'!$S:$S,MATCH($E445,'App Data Outliers'!$A:$A,0))</f>
        <v>3.9162224934612029</v>
      </c>
      <c r="BS445" s="269">
        <f>INDEX('App Data Outliers'!$T:$T,MATCH($E445,'App Data Outliers'!$A:$A,0))</f>
        <v>1.1499528005502413</v>
      </c>
    </row>
    <row r="446" spans="1:71" s="204" customFormat="1" hidden="1">
      <c r="A446" s="241">
        <v>442</v>
      </c>
      <c r="B446" s="241" t="str">
        <f t="shared" si="81"/>
        <v>Residential - BHPSD - Residential Lighting &amp; Appliances</v>
      </c>
      <c r="C446" s="241" t="b">
        <f t="shared" si="82"/>
        <v>1</v>
      </c>
      <c r="D446" s="241" t="str">
        <f t="shared" si="83"/>
        <v>Residential - BHPSD - Residential Lighting &amp; Appliances_Residential Lighting &amp; Appliances :- LED :- Customer Incentives_LED</v>
      </c>
      <c r="E446" s="241" t="str">
        <f t="shared" si="84"/>
        <v>Residential_Residential Lighting_Lighting_LED</v>
      </c>
      <c r="F446" s="241" t="str">
        <f>INDEX('VDSM MAPPING'!E:E,MATCH($D446,'VDSM MAPPING'!$A:$A,0))</f>
        <v>Residential</v>
      </c>
      <c r="G446" s="241" t="str">
        <f>INDEX('VDSM MAPPING'!F:F,MATCH($D446,'VDSM MAPPING'!$A:$A,0))</f>
        <v>Residential Lighting</v>
      </c>
      <c r="H446" s="241" t="str">
        <f>INDEX('VDSM MAPPING'!G:G,MATCH($D446,'VDSM MAPPING'!$A:$A,0))</f>
        <v>Lighting</v>
      </c>
      <c r="I446" s="241" t="str">
        <f>INDEX('VDSM MAPPING'!H:H,MATCH($D446,'VDSM MAPPING'!$A:$A,0))</f>
        <v>LED</v>
      </c>
      <c r="J446" s="240">
        <f t="shared" si="85"/>
        <v>-1.8837490182564711</v>
      </c>
      <c r="K446" s="240">
        <f t="shared" si="86"/>
        <v>7.2852995791401517E-2</v>
      </c>
      <c r="L446" s="240" t="b">
        <f t="shared" si="87"/>
        <v>0</v>
      </c>
      <c r="M446" s="240" t="b">
        <f t="shared" si="88"/>
        <v>0</v>
      </c>
      <c r="N446" s="204" t="s">
        <v>289</v>
      </c>
      <c r="O446" s="204" t="s">
        <v>1209</v>
      </c>
      <c r="P446" s="350">
        <v>0</v>
      </c>
      <c r="Q446" s="204" t="s">
        <v>1209</v>
      </c>
      <c r="R446" s="204" t="s">
        <v>1078</v>
      </c>
      <c r="S446" s="204" t="s">
        <v>1077</v>
      </c>
      <c r="T446" s="204" t="s">
        <v>1076</v>
      </c>
      <c r="V446" s="204" t="s">
        <v>1075</v>
      </c>
      <c r="W446" s="204" t="s">
        <v>329</v>
      </c>
      <c r="X446" s="204" t="s">
        <v>297</v>
      </c>
      <c r="Y446" s="204" t="s">
        <v>328</v>
      </c>
      <c r="Z446" s="204" t="s">
        <v>601</v>
      </c>
      <c r="AA446" s="204" t="s">
        <v>600</v>
      </c>
      <c r="AB446" s="204" t="s">
        <v>329</v>
      </c>
      <c r="AC446" s="204" t="s">
        <v>297</v>
      </c>
      <c r="AD446" s="204" t="s">
        <v>599</v>
      </c>
      <c r="AE446" s="204" t="s">
        <v>598</v>
      </c>
      <c r="AG446" s="204" t="s">
        <v>791</v>
      </c>
      <c r="AH446" s="204" t="s">
        <v>151</v>
      </c>
      <c r="AX446" s="204">
        <v>9</v>
      </c>
      <c r="AY446" s="204">
        <v>0</v>
      </c>
      <c r="AZ446" s="204">
        <v>2.4299999999999999E-2</v>
      </c>
      <c r="BB446" s="204">
        <v>208.72800000000001</v>
      </c>
      <c r="BH446" s="204">
        <v>0</v>
      </c>
      <c r="BI446" s="204">
        <v>36</v>
      </c>
      <c r="BJ446" s="204">
        <v>42934</v>
      </c>
      <c r="BK446" s="204">
        <v>42934.512228969899</v>
      </c>
      <c r="BL446" s="204" t="s">
        <v>293</v>
      </c>
      <c r="BM446" s="204" t="s">
        <v>1210</v>
      </c>
      <c r="BN446" s="242">
        <f t="shared" si="89"/>
        <v>23.192</v>
      </c>
      <c r="BO446" s="269">
        <f t="shared" si="90"/>
        <v>4</v>
      </c>
      <c r="BP446" s="269">
        <f>INDEX('App Data Outliers'!$M:$M,MATCH($E446,'App Data Outliers'!$A:$A,0))</f>
        <v>31.912660854402784</v>
      </c>
      <c r="BQ446" s="269">
        <f>INDEX('App Data Outliers'!$N:$N,MATCH($E446,'App Data Outliers'!$A:$A,0))</f>
        <v>4.6294175975068628</v>
      </c>
      <c r="BR446" s="269">
        <f>INDEX('App Data Outliers'!$S:$S,MATCH($E446,'App Data Outliers'!$A:$A,0))</f>
        <v>3.9162224934612029</v>
      </c>
      <c r="BS446" s="269">
        <f>INDEX('App Data Outliers'!$T:$T,MATCH($E446,'App Data Outliers'!$A:$A,0))</f>
        <v>1.1499528005502413</v>
      </c>
    </row>
    <row r="447" spans="1:71" s="204" customFormat="1" hidden="1">
      <c r="A447" s="241">
        <v>443</v>
      </c>
      <c r="B447" s="241" t="str">
        <f t="shared" si="81"/>
        <v>Residential - BHPSD - Residential Lighting &amp; Appliances</v>
      </c>
      <c r="C447" s="241" t="b">
        <f t="shared" si="82"/>
        <v>1</v>
      </c>
      <c r="D447" s="241" t="str">
        <f t="shared" si="83"/>
        <v>Residential - BHPSD - Residential Lighting &amp; Appliances_Residential Lighting &amp; Appliances :- LED :- Customer Incentives_LED</v>
      </c>
      <c r="E447" s="241" t="str">
        <f t="shared" si="84"/>
        <v>Residential_Residential Lighting_Lighting_LED</v>
      </c>
      <c r="F447" s="241" t="str">
        <f>INDEX('VDSM MAPPING'!E:E,MATCH($D447,'VDSM MAPPING'!$A:$A,0))</f>
        <v>Residential</v>
      </c>
      <c r="G447" s="241" t="str">
        <f>INDEX('VDSM MAPPING'!F:F,MATCH($D447,'VDSM MAPPING'!$A:$A,0))</f>
        <v>Residential Lighting</v>
      </c>
      <c r="H447" s="241" t="str">
        <f>INDEX('VDSM MAPPING'!G:G,MATCH($D447,'VDSM MAPPING'!$A:$A,0))</f>
        <v>Lighting</v>
      </c>
      <c r="I447" s="241" t="str">
        <f>INDEX('VDSM MAPPING'!H:H,MATCH($D447,'VDSM MAPPING'!$A:$A,0))</f>
        <v>LED</v>
      </c>
      <c r="J447" s="240">
        <f t="shared" si="85"/>
        <v>0.51223271516362701</v>
      </c>
      <c r="K447" s="240">
        <f t="shared" si="86"/>
        <v>-1.7793969391457676</v>
      </c>
      <c r="L447" s="240" t="b">
        <f t="shared" si="87"/>
        <v>0</v>
      </c>
      <c r="M447" s="240" t="b">
        <f t="shared" si="88"/>
        <v>0</v>
      </c>
      <c r="N447" s="204" t="s">
        <v>289</v>
      </c>
      <c r="O447" s="204" t="s">
        <v>1207</v>
      </c>
      <c r="P447" s="350">
        <v>1</v>
      </c>
      <c r="Q447" s="204" t="s">
        <v>1207</v>
      </c>
      <c r="R447" s="204" t="s">
        <v>1206</v>
      </c>
      <c r="S447" s="204" t="s">
        <v>1205</v>
      </c>
      <c r="T447" s="204" t="s">
        <v>1204</v>
      </c>
      <c r="V447" s="204" t="s">
        <v>1203</v>
      </c>
      <c r="W447" s="204" t="s">
        <v>329</v>
      </c>
      <c r="X447" s="204" t="s">
        <v>297</v>
      </c>
      <c r="Y447" s="204" t="s">
        <v>328</v>
      </c>
      <c r="Z447" s="204" t="s">
        <v>850</v>
      </c>
      <c r="AA447" s="204" t="s">
        <v>849</v>
      </c>
      <c r="AB447" s="204" t="s">
        <v>329</v>
      </c>
      <c r="AC447" s="204" t="s">
        <v>297</v>
      </c>
      <c r="AD447" s="204" t="s">
        <v>848</v>
      </c>
      <c r="AE447" s="204" t="s">
        <v>847</v>
      </c>
      <c r="AG447" s="204" t="s">
        <v>791</v>
      </c>
      <c r="AH447" s="204" t="s">
        <v>151</v>
      </c>
      <c r="AV447" s="204" t="s">
        <v>985</v>
      </c>
      <c r="AX447" s="204">
        <v>8</v>
      </c>
      <c r="AY447" s="204">
        <v>0</v>
      </c>
      <c r="AZ447" s="204">
        <v>3.2000000000000001E-2</v>
      </c>
      <c r="BB447" s="204">
        <v>274.27199999999999</v>
      </c>
      <c r="BH447" s="204">
        <v>0</v>
      </c>
      <c r="BI447" s="204">
        <v>14.96</v>
      </c>
      <c r="BJ447" s="204">
        <v>42937</v>
      </c>
      <c r="BK447" s="204">
        <v>42937.778202083296</v>
      </c>
      <c r="BL447" s="204" t="s">
        <v>293</v>
      </c>
      <c r="BM447" s="204" t="s">
        <v>1202</v>
      </c>
      <c r="BN447" s="242">
        <f t="shared" si="89"/>
        <v>34.283999999999999</v>
      </c>
      <c r="BO447" s="269">
        <f t="shared" si="90"/>
        <v>1.87</v>
      </c>
      <c r="BP447" s="269">
        <f>INDEX('App Data Outliers'!$M:$M,MATCH($E447,'App Data Outliers'!$A:$A,0))</f>
        <v>31.912660854402784</v>
      </c>
      <c r="BQ447" s="269">
        <f>INDEX('App Data Outliers'!$N:$N,MATCH($E447,'App Data Outliers'!$A:$A,0))</f>
        <v>4.6294175975068628</v>
      </c>
      <c r="BR447" s="269">
        <f>INDEX('App Data Outliers'!$S:$S,MATCH($E447,'App Data Outliers'!$A:$A,0))</f>
        <v>3.9162224934612029</v>
      </c>
      <c r="BS447" s="269">
        <f>INDEX('App Data Outliers'!$T:$T,MATCH($E447,'App Data Outliers'!$A:$A,0))</f>
        <v>1.1499528005502413</v>
      </c>
    </row>
    <row r="448" spans="1:71" s="204" customFormat="1" hidden="1">
      <c r="A448" s="241">
        <v>444</v>
      </c>
      <c r="B448" s="241" t="str">
        <f t="shared" si="81"/>
        <v>Residential - BHPSD - Residential Lighting &amp; Appliances</v>
      </c>
      <c r="C448" s="241" t="b">
        <f t="shared" si="82"/>
        <v>1</v>
      </c>
      <c r="D448" s="241" t="str">
        <f t="shared" si="83"/>
        <v>Residential - BHPSD - Residential Lighting &amp; Appliances_Residential Lighting &amp; Appliances :- LED :- Customer Incentives_LED</v>
      </c>
      <c r="E448" s="241" t="str">
        <f t="shared" si="84"/>
        <v>Residential_Residential Lighting_Lighting_LED</v>
      </c>
      <c r="F448" s="241" t="str">
        <f>INDEX('VDSM MAPPING'!E:E,MATCH($D448,'VDSM MAPPING'!$A:$A,0))</f>
        <v>Residential</v>
      </c>
      <c r="G448" s="241" t="str">
        <f>INDEX('VDSM MAPPING'!F:F,MATCH($D448,'VDSM MAPPING'!$A:$A,0))</f>
        <v>Residential Lighting</v>
      </c>
      <c r="H448" s="241" t="str">
        <f>INDEX('VDSM MAPPING'!G:G,MATCH($D448,'VDSM MAPPING'!$A:$A,0))</f>
        <v>Lighting</v>
      </c>
      <c r="I448" s="241" t="str">
        <f>INDEX('VDSM MAPPING'!H:H,MATCH($D448,'VDSM MAPPING'!$A:$A,0))</f>
        <v>LED</v>
      </c>
      <c r="J448" s="240">
        <f t="shared" si="85"/>
        <v>1.1656626415606512</v>
      </c>
      <c r="K448" s="240">
        <f t="shared" si="86"/>
        <v>0.94245390421260777</v>
      </c>
      <c r="L448" s="240" t="b">
        <f t="shared" si="87"/>
        <v>0</v>
      </c>
      <c r="M448" s="240" t="b">
        <f t="shared" si="88"/>
        <v>0</v>
      </c>
      <c r="N448" s="204" t="s">
        <v>289</v>
      </c>
      <c r="O448" s="204" t="s">
        <v>1199</v>
      </c>
      <c r="P448" s="350">
        <v>1</v>
      </c>
      <c r="Q448" s="204" t="s">
        <v>1199</v>
      </c>
      <c r="R448" s="204" t="s">
        <v>1198</v>
      </c>
      <c r="S448" s="204" t="s">
        <v>1197</v>
      </c>
      <c r="T448" s="204" t="s">
        <v>1196</v>
      </c>
      <c r="V448" s="204" t="s">
        <v>1195</v>
      </c>
      <c r="W448" s="204" t="s">
        <v>298</v>
      </c>
      <c r="X448" s="204" t="s">
        <v>297</v>
      </c>
      <c r="Y448" s="204" t="s">
        <v>296</v>
      </c>
      <c r="Z448" s="204" t="s">
        <v>959</v>
      </c>
      <c r="AA448" s="204" t="s">
        <v>958</v>
      </c>
      <c r="AB448" s="204" t="s">
        <v>329</v>
      </c>
      <c r="AC448" s="204" t="s">
        <v>297</v>
      </c>
      <c r="AD448" s="204" t="s">
        <v>397</v>
      </c>
      <c r="AE448" s="204" t="s">
        <v>957</v>
      </c>
      <c r="AG448" s="204" t="s">
        <v>791</v>
      </c>
      <c r="AH448" s="204" t="s">
        <v>151</v>
      </c>
      <c r="AV448" s="204" t="s">
        <v>1194</v>
      </c>
      <c r="AX448" s="204">
        <v>4</v>
      </c>
      <c r="AY448" s="204">
        <v>0</v>
      </c>
      <c r="AZ448" s="204">
        <v>1.7600000000000001E-2</v>
      </c>
      <c r="BB448" s="204">
        <v>149.23599999999999</v>
      </c>
      <c r="BH448" s="204">
        <v>0</v>
      </c>
      <c r="BI448" s="204">
        <v>20</v>
      </c>
      <c r="BJ448" s="204">
        <v>42937</v>
      </c>
      <c r="BK448" s="204">
        <v>42937.805287384297</v>
      </c>
      <c r="BL448" s="204" t="s">
        <v>293</v>
      </c>
      <c r="BM448" s="204" t="s">
        <v>1193</v>
      </c>
      <c r="BN448" s="242">
        <f t="shared" si="89"/>
        <v>37.308999999999997</v>
      </c>
      <c r="BO448" s="269">
        <f t="shared" si="90"/>
        <v>5</v>
      </c>
      <c r="BP448" s="269">
        <f>INDEX('App Data Outliers'!$M:$M,MATCH($E448,'App Data Outliers'!$A:$A,0))</f>
        <v>31.912660854402784</v>
      </c>
      <c r="BQ448" s="269">
        <f>INDEX('App Data Outliers'!$N:$N,MATCH($E448,'App Data Outliers'!$A:$A,0))</f>
        <v>4.6294175975068628</v>
      </c>
      <c r="BR448" s="269">
        <f>INDEX('App Data Outliers'!$S:$S,MATCH($E448,'App Data Outliers'!$A:$A,0))</f>
        <v>3.9162224934612029</v>
      </c>
      <c r="BS448" s="269">
        <f>INDEX('App Data Outliers'!$T:$T,MATCH($E448,'App Data Outliers'!$A:$A,0))</f>
        <v>1.1499528005502413</v>
      </c>
    </row>
    <row r="449" spans="1:71" s="204" customFormat="1" hidden="1">
      <c r="A449" s="241">
        <v>445</v>
      </c>
      <c r="B449" s="241" t="str">
        <f t="shared" si="81"/>
        <v>Residential - BHPSD - Residential Lighting &amp; Appliances</v>
      </c>
      <c r="C449" s="241" t="b">
        <f t="shared" si="82"/>
        <v>1</v>
      </c>
      <c r="D449" s="241" t="str">
        <f t="shared" si="83"/>
        <v>Residential - BHPSD - Residential Lighting &amp; Appliances_Residential Lighting &amp; Appliances :- LED :- Customer Incentives_LED</v>
      </c>
      <c r="E449" s="241" t="str">
        <f t="shared" si="84"/>
        <v>Residential_Residential Lighting_Lighting_LED</v>
      </c>
      <c r="F449" s="241" t="str">
        <f>INDEX('VDSM MAPPING'!E:E,MATCH($D449,'VDSM MAPPING'!$A:$A,0))</f>
        <v>Residential</v>
      </c>
      <c r="G449" s="241" t="str">
        <f>INDEX('VDSM MAPPING'!F:F,MATCH($D449,'VDSM MAPPING'!$A:$A,0))</f>
        <v>Residential Lighting</v>
      </c>
      <c r="H449" s="241" t="str">
        <f>INDEX('VDSM MAPPING'!G:G,MATCH($D449,'VDSM MAPPING'!$A:$A,0))</f>
        <v>Lighting</v>
      </c>
      <c r="I449" s="241" t="str">
        <f>INDEX('VDSM MAPPING'!H:H,MATCH($D449,'VDSM MAPPING'!$A:$A,0))</f>
        <v>LED</v>
      </c>
      <c r="J449" s="240">
        <f t="shared" si="85"/>
        <v>-0.14119721123339737</v>
      </c>
      <c r="K449" s="240">
        <f t="shared" si="86"/>
        <v>0.49895744091779276</v>
      </c>
      <c r="L449" s="240" t="b">
        <f t="shared" si="87"/>
        <v>0</v>
      </c>
      <c r="M449" s="240" t="b">
        <f t="shared" si="88"/>
        <v>0</v>
      </c>
      <c r="N449" s="204" t="s">
        <v>289</v>
      </c>
      <c r="O449" s="204" t="s">
        <v>1199</v>
      </c>
      <c r="P449" s="350">
        <v>0</v>
      </c>
      <c r="Q449" s="204" t="s">
        <v>1199</v>
      </c>
      <c r="R449" s="204" t="s">
        <v>1198</v>
      </c>
      <c r="S449" s="204" t="s">
        <v>1197</v>
      </c>
      <c r="T449" s="204" t="s">
        <v>1196</v>
      </c>
      <c r="V449" s="204" t="s">
        <v>1195</v>
      </c>
      <c r="W449" s="204" t="s">
        <v>298</v>
      </c>
      <c r="X449" s="204" t="s">
        <v>297</v>
      </c>
      <c r="Y449" s="204" t="s">
        <v>296</v>
      </c>
      <c r="Z449" s="204" t="s">
        <v>959</v>
      </c>
      <c r="AA449" s="204" t="s">
        <v>958</v>
      </c>
      <c r="AB449" s="204" t="s">
        <v>329</v>
      </c>
      <c r="AC449" s="204" t="s">
        <v>297</v>
      </c>
      <c r="AD449" s="204" t="s">
        <v>397</v>
      </c>
      <c r="AE449" s="204" t="s">
        <v>957</v>
      </c>
      <c r="AG449" s="204" t="s">
        <v>791</v>
      </c>
      <c r="AH449" s="204" t="s">
        <v>151</v>
      </c>
      <c r="AV449" s="204" t="s">
        <v>1201</v>
      </c>
      <c r="AX449" s="204">
        <v>4</v>
      </c>
      <c r="AY449" s="204">
        <v>0</v>
      </c>
      <c r="AZ449" s="204">
        <v>1.4800000000000001E-2</v>
      </c>
      <c r="BB449" s="204">
        <v>125.036</v>
      </c>
      <c r="BH449" s="204">
        <v>0</v>
      </c>
      <c r="BI449" s="204">
        <v>17.96</v>
      </c>
      <c r="BJ449" s="204">
        <v>42937</v>
      </c>
      <c r="BK449" s="204">
        <v>42937.805287384297</v>
      </c>
      <c r="BL449" s="204" t="s">
        <v>293</v>
      </c>
      <c r="BM449" s="204" t="s">
        <v>1200</v>
      </c>
      <c r="BN449" s="242">
        <f t="shared" si="89"/>
        <v>31.259</v>
      </c>
      <c r="BO449" s="269">
        <f t="shared" si="90"/>
        <v>4.49</v>
      </c>
      <c r="BP449" s="269">
        <f>INDEX('App Data Outliers'!$M:$M,MATCH($E449,'App Data Outliers'!$A:$A,0))</f>
        <v>31.912660854402784</v>
      </c>
      <c r="BQ449" s="269">
        <f>INDEX('App Data Outliers'!$N:$N,MATCH($E449,'App Data Outliers'!$A:$A,0))</f>
        <v>4.6294175975068628</v>
      </c>
      <c r="BR449" s="269">
        <f>INDEX('App Data Outliers'!$S:$S,MATCH($E449,'App Data Outliers'!$A:$A,0))</f>
        <v>3.9162224934612029</v>
      </c>
      <c r="BS449" s="269">
        <f>INDEX('App Data Outliers'!$T:$T,MATCH($E449,'App Data Outliers'!$A:$A,0))</f>
        <v>1.1499528005502413</v>
      </c>
    </row>
    <row r="450" spans="1:71" s="204" customFormat="1" hidden="1">
      <c r="A450" s="241">
        <v>446</v>
      </c>
      <c r="B450" s="241" t="str">
        <f t="shared" si="81"/>
        <v>Residential - BHPSD - Residential Lighting &amp; Appliances</v>
      </c>
      <c r="C450" s="241" t="b">
        <f t="shared" si="82"/>
        <v>1</v>
      </c>
      <c r="D450" s="241" t="str">
        <f t="shared" si="83"/>
        <v>Residential - BHPSD - Residential Lighting &amp; Appliances_Residential Lighting &amp; Appliances :- LED :- Customer Incentives_LED</v>
      </c>
      <c r="E450" s="241" t="str">
        <f t="shared" si="84"/>
        <v>Residential_Residential Lighting_Lighting_LED</v>
      </c>
      <c r="F450" s="241" t="str">
        <f>INDEX('VDSM MAPPING'!E:E,MATCH($D450,'VDSM MAPPING'!$A:$A,0))</f>
        <v>Residential</v>
      </c>
      <c r="G450" s="241" t="str">
        <f>INDEX('VDSM MAPPING'!F:F,MATCH($D450,'VDSM MAPPING'!$A:$A,0))</f>
        <v>Residential Lighting</v>
      </c>
      <c r="H450" s="241" t="str">
        <f>INDEX('VDSM MAPPING'!G:G,MATCH($D450,'VDSM MAPPING'!$A:$A,0))</f>
        <v>Lighting</v>
      </c>
      <c r="I450" s="241" t="str">
        <f>INDEX('VDSM MAPPING'!H:H,MATCH($D450,'VDSM MAPPING'!$A:$A,0))</f>
        <v>LED</v>
      </c>
      <c r="J450" s="240">
        <f t="shared" si="85"/>
        <v>1.1656626415606528</v>
      </c>
      <c r="K450" s="240">
        <f t="shared" si="86"/>
        <v>0.94245390421260777</v>
      </c>
      <c r="L450" s="240" t="b">
        <f t="shared" si="87"/>
        <v>0</v>
      </c>
      <c r="M450" s="240" t="b">
        <f t="shared" si="88"/>
        <v>0</v>
      </c>
      <c r="N450" s="204" t="s">
        <v>289</v>
      </c>
      <c r="O450" s="204" t="s">
        <v>1192</v>
      </c>
      <c r="P450" s="350">
        <v>1</v>
      </c>
      <c r="Q450" s="204" t="s">
        <v>1192</v>
      </c>
      <c r="R450" s="204" t="s">
        <v>1191</v>
      </c>
      <c r="S450" s="204" t="s">
        <v>1190</v>
      </c>
      <c r="T450" s="204" t="s">
        <v>1189</v>
      </c>
      <c r="V450" s="204" t="s">
        <v>1188</v>
      </c>
      <c r="W450" s="204" t="s">
        <v>928</v>
      </c>
      <c r="X450" s="204" t="s">
        <v>297</v>
      </c>
      <c r="Y450" s="204" t="s">
        <v>412</v>
      </c>
      <c r="Z450" s="204" t="s">
        <v>959</v>
      </c>
      <c r="AA450" s="204" t="s">
        <v>958</v>
      </c>
      <c r="AB450" s="204" t="s">
        <v>329</v>
      </c>
      <c r="AC450" s="204" t="s">
        <v>297</v>
      </c>
      <c r="AD450" s="204" t="s">
        <v>397</v>
      </c>
      <c r="AE450" s="204" t="s">
        <v>957</v>
      </c>
      <c r="AG450" s="204" t="s">
        <v>791</v>
      </c>
      <c r="AH450" s="204" t="s">
        <v>151</v>
      </c>
      <c r="AV450" s="204" t="s">
        <v>1187</v>
      </c>
      <c r="AX450" s="204">
        <v>3</v>
      </c>
      <c r="AY450" s="204">
        <v>0</v>
      </c>
      <c r="AZ450" s="204">
        <v>1.32E-2</v>
      </c>
      <c r="BB450" s="204">
        <v>111.92700000000001</v>
      </c>
      <c r="BH450" s="204">
        <v>0</v>
      </c>
      <c r="BI450" s="204">
        <v>15</v>
      </c>
      <c r="BJ450" s="204">
        <v>42937</v>
      </c>
      <c r="BK450" s="204">
        <v>42937.811945798603</v>
      </c>
      <c r="BL450" s="204" t="s">
        <v>293</v>
      </c>
      <c r="BM450" s="204" t="s">
        <v>1186</v>
      </c>
      <c r="BN450" s="242">
        <f t="shared" si="89"/>
        <v>37.309000000000005</v>
      </c>
      <c r="BO450" s="269">
        <f t="shared" si="90"/>
        <v>5</v>
      </c>
      <c r="BP450" s="269">
        <f>INDEX('App Data Outliers'!$M:$M,MATCH($E450,'App Data Outliers'!$A:$A,0))</f>
        <v>31.912660854402784</v>
      </c>
      <c r="BQ450" s="269">
        <f>INDEX('App Data Outliers'!$N:$N,MATCH($E450,'App Data Outliers'!$A:$A,0))</f>
        <v>4.6294175975068628</v>
      </c>
      <c r="BR450" s="269">
        <f>INDEX('App Data Outliers'!$S:$S,MATCH($E450,'App Data Outliers'!$A:$A,0))</f>
        <v>3.9162224934612029</v>
      </c>
      <c r="BS450" s="269">
        <f>INDEX('App Data Outliers'!$T:$T,MATCH($E450,'App Data Outliers'!$A:$A,0))</f>
        <v>1.1499528005502413</v>
      </c>
    </row>
    <row r="451" spans="1:71" s="204" customFormat="1" hidden="1">
      <c r="A451" s="241">
        <v>447</v>
      </c>
      <c r="B451" s="241" t="str">
        <f t="shared" si="81"/>
        <v>Residential - BHPSD - Residential Lighting &amp; Appliances</v>
      </c>
      <c r="C451" s="241" t="b">
        <f t="shared" si="82"/>
        <v>1</v>
      </c>
      <c r="D451" s="241" t="str">
        <f t="shared" si="83"/>
        <v>Residential - BHPSD - Residential Lighting &amp; Appliances_Residential Lighting &amp; Appliances :- ES Star Fixture :- Customer Incentives_ENERGY STAR LED Fixture</v>
      </c>
      <c r="E451" s="241" t="str">
        <f t="shared" si="84"/>
        <v>Residential_Residential Lighting_Lighting_ENERGY STAR Fixture</v>
      </c>
      <c r="F451" s="241" t="str">
        <f>INDEX('VDSM MAPPING'!E:E,MATCH($D451,'VDSM MAPPING'!$A:$A,0))</f>
        <v>Residential</v>
      </c>
      <c r="G451" s="241" t="str">
        <f>INDEX('VDSM MAPPING'!F:F,MATCH($D451,'VDSM MAPPING'!$A:$A,0))</f>
        <v>Residential Lighting</v>
      </c>
      <c r="H451" s="241" t="str">
        <f>INDEX('VDSM MAPPING'!G:G,MATCH($D451,'VDSM MAPPING'!$A:$A,0))</f>
        <v>Lighting</v>
      </c>
      <c r="I451" s="241" t="str">
        <f>INDEX('VDSM MAPPING'!H:H,MATCH($D451,'VDSM MAPPING'!$A:$A,0))</f>
        <v>ENERGY STAR Fixture</v>
      </c>
      <c r="J451" s="240">
        <f t="shared" si="85"/>
        <v>-2.7817480546640867E-2</v>
      </c>
      <c r="K451" s="240">
        <f t="shared" si="86"/>
        <v>-0.79718268840468876</v>
      </c>
      <c r="L451" s="240" t="b">
        <f t="shared" si="87"/>
        <v>0</v>
      </c>
      <c r="M451" s="240" t="b">
        <f t="shared" si="88"/>
        <v>0</v>
      </c>
      <c r="N451" s="204" t="s">
        <v>289</v>
      </c>
      <c r="O451" s="204" t="s">
        <v>1183</v>
      </c>
      <c r="P451" s="350">
        <v>1</v>
      </c>
      <c r="Q451" s="204" t="s">
        <v>1183</v>
      </c>
      <c r="R451" s="204" t="s">
        <v>1182</v>
      </c>
      <c r="S451" s="204" t="s">
        <v>1181</v>
      </c>
      <c r="T451" s="204" t="s">
        <v>1180</v>
      </c>
      <c r="V451" s="204" t="s">
        <v>1179</v>
      </c>
      <c r="W451" s="204" t="s">
        <v>329</v>
      </c>
      <c r="X451" s="204" t="s">
        <v>297</v>
      </c>
      <c r="Y451" s="204" t="s">
        <v>328</v>
      </c>
      <c r="Z451" s="204" t="s">
        <v>1178</v>
      </c>
      <c r="AA451" s="204" t="s">
        <v>1177</v>
      </c>
      <c r="AB451" s="204" t="s">
        <v>1176</v>
      </c>
      <c r="AC451" s="204" t="s">
        <v>1175</v>
      </c>
      <c r="AD451" s="204" t="s">
        <v>1174</v>
      </c>
      <c r="AE451" s="204" t="s">
        <v>1173</v>
      </c>
      <c r="AG451" s="204" t="s">
        <v>895</v>
      </c>
      <c r="AH451" s="204" t="s">
        <v>150</v>
      </c>
      <c r="AV451" s="204" t="s">
        <v>1185</v>
      </c>
      <c r="AX451" s="204">
        <v>1</v>
      </c>
      <c r="AY451" s="204">
        <v>0</v>
      </c>
      <c r="AZ451" s="204">
        <v>4.0000000000000001E-3</v>
      </c>
      <c r="BB451" s="204">
        <v>34.283999999999999</v>
      </c>
      <c r="BH451" s="204">
        <v>0</v>
      </c>
      <c r="BI451" s="204">
        <v>7.99</v>
      </c>
      <c r="BJ451" s="204">
        <v>42937</v>
      </c>
      <c r="BK451" s="204">
        <v>42937.816817476902</v>
      </c>
      <c r="BL451" s="204" t="s">
        <v>293</v>
      </c>
      <c r="BM451" s="204" t="s">
        <v>1184</v>
      </c>
      <c r="BN451" s="242">
        <f t="shared" si="89"/>
        <v>34.283999999999999</v>
      </c>
      <c r="BO451" s="269">
        <f t="shared" si="90"/>
        <v>7.99</v>
      </c>
      <c r="BP451" s="269">
        <f>INDEX('App Data Outliers'!$M:$M,MATCH($E451,'App Data Outliers'!$A:$A,0))</f>
        <v>35.519370843989762</v>
      </c>
      <c r="BQ451" s="269">
        <f>INDEX('App Data Outliers'!$N:$N,MATCH($E451,'App Data Outliers'!$A:$A,0))</f>
        <v>44.409875363027503</v>
      </c>
      <c r="BR451" s="269">
        <f>INDEX('App Data Outliers'!$S:$S,MATCH($E451,'App Data Outliers'!$A:$A,0))</f>
        <v>9.3048337595907924</v>
      </c>
      <c r="BS451" s="269">
        <f>INDEX('App Data Outliers'!$T:$T,MATCH($E451,'App Data Outliers'!$A:$A,0))</f>
        <v>1.6493506177636894</v>
      </c>
    </row>
    <row r="452" spans="1:71" s="204" customFormat="1" hidden="1">
      <c r="A452" s="241">
        <v>448</v>
      </c>
      <c r="B452" s="241" t="str">
        <f t="shared" si="81"/>
        <v>Residential - BHPSD - Residential Lighting &amp; Appliances</v>
      </c>
      <c r="C452" s="241" t="b">
        <f t="shared" si="82"/>
        <v>1</v>
      </c>
      <c r="D452" s="241" t="str">
        <f t="shared" si="83"/>
        <v>Residential - BHPSD - Residential Lighting &amp; Appliances_Residential Lighting &amp; Appliances :- ES Star Fixture :- Customer Incentives_ENERGY STAR LED Fixture</v>
      </c>
      <c r="E452" s="241" t="str">
        <f t="shared" si="84"/>
        <v>Residential_Residential Lighting_Lighting_ENERGY STAR Fixture</v>
      </c>
      <c r="F452" s="241" t="str">
        <f>INDEX('VDSM MAPPING'!E:E,MATCH($D452,'VDSM MAPPING'!$A:$A,0))</f>
        <v>Residential</v>
      </c>
      <c r="G452" s="241" t="str">
        <f>INDEX('VDSM MAPPING'!F:F,MATCH($D452,'VDSM MAPPING'!$A:$A,0))</f>
        <v>Residential Lighting</v>
      </c>
      <c r="H452" s="241" t="str">
        <f>INDEX('VDSM MAPPING'!G:G,MATCH($D452,'VDSM MAPPING'!$A:$A,0))</f>
        <v>Lighting</v>
      </c>
      <c r="I452" s="241" t="str">
        <f>INDEX('VDSM MAPPING'!H:H,MATCH($D452,'VDSM MAPPING'!$A:$A,0))</f>
        <v>ENERGY STAR Fixture</v>
      </c>
      <c r="J452" s="240">
        <f t="shared" si="85"/>
        <v>-6.1886479561657562E-2</v>
      </c>
      <c r="K452" s="240">
        <f t="shared" si="86"/>
        <v>-3.5194662051064753</v>
      </c>
      <c r="L452" s="240" t="b">
        <f t="shared" si="87"/>
        <v>0</v>
      </c>
      <c r="M452" s="240" t="b">
        <f t="shared" si="88"/>
        <v>1</v>
      </c>
      <c r="N452" s="204" t="s">
        <v>289</v>
      </c>
      <c r="O452" s="204" t="s">
        <v>1183</v>
      </c>
      <c r="P452" s="350">
        <v>0</v>
      </c>
      <c r="Q452" s="204" t="s">
        <v>1183</v>
      </c>
      <c r="R452" s="204" t="s">
        <v>1182</v>
      </c>
      <c r="S452" s="204" t="s">
        <v>1181</v>
      </c>
      <c r="T452" s="204" t="s">
        <v>1180</v>
      </c>
      <c r="V452" s="204" t="s">
        <v>1179</v>
      </c>
      <c r="W452" s="204" t="s">
        <v>329</v>
      </c>
      <c r="X452" s="204" t="s">
        <v>297</v>
      </c>
      <c r="Y452" s="204" t="s">
        <v>328</v>
      </c>
      <c r="Z452" s="204" t="s">
        <v>1178</v>
      </c>
      <c r="AA452" s="204" t="s">
        <v>1177</v>
      </c>
      <c r="AB452" s="204" t="s">
        <v>1176</v>
      </c>
      <c r="AC452" s="204" t="s">
        <v>1175</v>
      </c>
      <c r="AD452" s="204" t="s">
        <v>1174</v>
      </c>
      <c r="AE452" s="204" t="s">
        <v>1173</v>
      </c>
      <c r="AG452" s="204" t="s">
        <v>895</v>
      </c>
      <c r="AH452" s="204" t="s">
        <v>150</v>
      </c>
      <c r="AV452" s="204" t="s">
        <v>1172</v>
      </c>
      <c r="AX452" s="204">
        <v>20</v>
      </c>
      <c r="AY452" s="204">
        <v>0</v>
      </c>
      <c r="AZ452" s="204">
        <v>7.8E-2</v>
      </c>
      <c r="BB452" s="204">
        <v>655.42</v>
      </c>
      <c r="BH452" s="204">
        <v>0</v>
      </c>
      <c r="BI452" s="204">
        <v>70</v>
      </c>
      <c r="BJ452" s="204">
        <v>42937</v>
      </c>
      <c r="BK452" s="204">
        <v>42937.816817476902</v>
      </c>
      <c r="BL452" s="204" t="s">
        <v>293</v>
      </c>
      <c r="BM452" s="204" t="s">
        <v>1171</v>
      </c>
      <c r="BN452" s="242">
        <f t="shared" si="89"/>
        <v>32.771000000000001</v>
      </c>
      <c r="BO452" s="269">
        <f t="shared" si="90"/>
        <v>3.5</v>
      </c>
      <c r="BP452" s="269">
        <f>INDEX('App Data Outliers'!$M:$M,MATCH($E452,'App Data Outliers'!$A:$A,0))</f>
        <v>35.519370843989762</v>
      </c>
      <c r="BQ452" s="269">
        <f>INDEX('App Data Outliers'!$N:$N,MATCH($E452,'App Data Outliers'!$A:$A,0))</f>
        <v>44.409875363027503</v>
      </c>
      <c r="BR452" s="269">
        <f>INDEX('App Data Outliers'!$S:$S,MATCH($E452,'App Data Outliers'!$A:$A,0))</f>
        <v>9.3048337595907924</v>
      </c>
      <c r="BS452" s="269">
        <f>INDEX('App Data Outliers'!$T:$T,MATCH($E452,'App Data Outliers'!$A:$A,0))</f>
        <v>1.6493506177636894</v>
      </c>
    </row>
    <row r="453" spans="1:71" s="204" customFormat="1" hidden="1">
      <c r="A453" s="241">
        <v>449</v>
      </c>
      <c r="B453" s="241" t="str">
        <f t="shared" ref="B453:B516" si="91">IF(N453="",B452,N453)</f>
        <v>Residential - BHPSD - Residential Lighting &amp; Appliances</v>
      </c>
      <c r="C453" s="241" t="b">
        <f t="shared" ref="C453:C516" si="92">(N453="")</f>
        <v>1</v>
      </c>
      <c r="D453" s="241" t="str">
        <f t="shared" ref="D453:D516" si="93">B453&amp;"_"&amp;AG453&amp;"_"&amp;AH453</f>
        <v>Residential - BHPSD - Residential Lighting &amp; Appliances_Residential Lighting &amp; Appliances :- LED :- Customer Incentives_LED</v>
      </c>
      <c r="E453" s="241" t="str">
        <f t="shared" ref="E453:E516" si="94">IFERROR(F453&amp;"_"&amp;G453&amp;"_"&amp;H453&amp;"_"&amp;I453,0)</f>
        <v>Residential_Residential Lighting_Lighting_LED</v>
      </c>
      <c r="F453" s="241" t="str">
        <f>INDEX('VDSM MAPPING'!E:E,MATCH($D453,'VDSM MAPPING'!$A:$A,0))</f>
        <v>Residential</v>
      </c>
      <c r="G453" s="241" t="str">
        <f>INDEX('VDSM MAPPING'!F:F,MATCH($D453,'VDSM MAPPING'!$A:$A,0))</f>
        <v>Residential Lighting</v>
      </c>
      <c r="H453" s="241" t="str">
        <f>INDEX('VDSM MAPPING'!G:G,MATCH($D453,'VDSM MAPPING'!$A:$A,0))</f>
        <v>Lighting</v>
      </c>
      <c r="I453" s="241" t="str">
        <f>INDEX('VDSM MAPPING'!H:H,MATCH($D453,'VDSM MAPPING'!$A:$A,0))</f>
        <v>LED</v>
      </c>
      <c r="J453" s="240">
        <f t="shared" si="85"/>
        <v>1.1656626415606512</v>
      </c>
      <c r="K453" s="240">
        <f t="shared" si="86"/>
        <v>0.72505367710730617</v>
      </c>
      <c r="L453" s="240" t="b">
        <f t="shared" si="87"/>
        <v>0</v>
      </c>
      <c r="M453" s="240" t="b">
        <f t="shared" si="88"/>
        <v>0</v>
      </c>
      <c r="N453" s="204" t="s">
        <v>289</v>
      </c>
      <c r="O453" s="204" t="s">
        <v>1166</v>
      </c>
      <c r="P453" s="350">
        <v>1</v>
      </c>
      <c r="Q453" s="204" t="s">
        <v>1166</v>
      </c>
      <c r="R453" s="204" t="s">
        <v>1165</v>
      </c>
      <c r="S453" s="204" t="s">
        <v>1164</v>
      </c>
      <c r="T453" s="204" t="s">
        <v>407</v>
      </c>
      <c r="V453" s="204" t="s">
        <v>1163</v>
      </c>
      <c r="W453" s="204" t="s">
        <v>413</v>
      </c>
      <c r="X453" s="204" t="s">
        <v>297</v>
      </c>
      <c r="Y453" s="204" t="s">
        <v>412</v>
      </c>
      <c r="Z453" s="204" t="s">
        <v>850</v>
      </c>
      <c r="AA453" s="204" t="s">
        <v>849</v>
      </c>
      <c r="AB453" s="204" t="s">
        <v>329</v>
      </c>
      <c r="AC453" s="204" t="s">
        <v>297</v>
      </c>
      <c r="AD453" s="204" t="s">
        <v>848</v>
      </c>
      <c r="AE453" s="204" t="s">
        <v>847</v>
      </c>
      <c r="AG453" s="204" t="s">
        <v>791</v>
      </c>
      <c r="AH453" s="204" t="s">
        <v>151</v>
      </c>
      <c r="AV453" s="204" t="s">
        <v>1168</v>
      </c>
      <c r="AX453" s="204">
        <v>8</v>
      </c>
      <c r="AY453" s="204">
        <v>0</v>
      </c>
      <c r="AZ453" s="204">
        <v>3.5200000000000002E-2</v>
      </c>
      <c r="BB453" s="204">
        <v>298.47199999999998</v>
      </c>
      <c r="BH453" s="204">
        <v>0</v>
      </c>
      <c r="BI453" s="204">
        <v>38</v>
      </c>
      <c r="BJ453" s="204">
        <v>42940</v>
      </c>
      <c r="BK453" s="204">
        <v>42940.726356250001</v>
      </c>
      <c r="BL453" s="204" t="s">
        <v>293</v>
      </c>
      <c r="BM453" s="204" t="s">
        <v>1167</v>
      </c>
      <c r="BN453" s="242">
        <f t="shared" si="89"/>
        <v>37.308999999999997</v>
      </c>
      <c r="BO453" s="269">
        <f t="shared" si="90"/>
        <v>4.75</v>
      </c>
      <c r="BP453" s="269">
        <f>INDEX('App Data Outliers'!$M:$M,MATCH($E453,'App Data Outliers'!$A:$A,0))</f>
        <v>31.912660854402784</v>
      </c>
      <c r="BQ453" s="269">
        <f>INDEX('App Data Outliers'!$N:$N,MATCH($E453,'App Data Outliers'!$A:$A,0))</f>
        <v>4.6294175975068628</v>
      </c>
      <c r="BR453" s="269">
        <f>INDEX('App Data Outliers'!$S:$S,MATCH($E453,'App Data Outliers'!$A:$A,0))</f>
        <v>3.9162224934612029</v>
      </c>
      <c r="BS453" s="269">
        <f>INDEX('App Data Outliers'!$T:$T,MATCH($E453,'App Data Outliers'!$A:$A,0))</f>
        <v>1.1499528005502413</v>
      </c>
    </row>
    <row r="454" spans="1:71" s="204" customFormat="1" hidden="1">
      <c r="A454" s="241">
        <v>450</v>
      </c>
      <c r="B454" s="241" t="str">
        <f t="shared" si="91"/>
        <v>Residential - BHPSD - Residential Lighting &amp; Appliances</v>
      </c>
      <c r="C454" s="241" t="b">
        <f t="shared" si="92"/>
        <v>1</v>
      </c>
      <c r="D454" s="241" t="str">
        <f t="shared" si="93"/>
        <v>Residential - BHPSD - Residential Lighting &amp; Appliances_Residential Lighting &amp; Appliances :- LED :- Customer Incentives_LED</v>
      </c>
      <c r="E454" s="241" t="str">
        <f t="shared" si="94"/>
        <v>Residential_Residential Lighting_Lighting_LED</v>
      </c>
      <c r="F454" s="241" t="str">
        <f>INDEX('VDSM MAPPING'!E:E,MATCH($D454,'VDSM MAPPING'!$A:$A,0))</f>
        <v>Residential</v>
      </c>
      <c r="G454" s="241" t="str">
        <f>INDEX('VDSM MAPPING'!F:F,MATCH($D454,'VDSM MAPPING'!$A:$A,0))</f>
        <v>Residential Lighting</v>
      </c>
      <c r="H454" s="241" t="str">
        <f>INDEX('VDSM MAPPING'!G:G,MATCH($D454,'VDSM MAPPING'!$A:$A,0))</f>
        <v>Lighting</v>
      </c>
      <c r="I454" s="241" t="str">
        <f>INDEX('VDSM MAPPING'!H:H,MATCH($D454,'VDSM MAPPING'!$A:$A,0))</f>
        <v>LED</v>
      </c>
      <c r="J454" s="240">
        <f t="shared" ref="J454:J517" si="95">IFERROR(STANDARDIZE(BN454,BP454,BQ454),"")</f>
        <v>-2.1014869904244713</v>
      </c>
      <c r="K454" s="240">
        <f t="shared" ref="K454:K517" si="96">IFERROR(STANDARDIZE($BO454,$BR454,$BS454),"")</f>
        <v>-0.37064346750341348</v>
      </c>
      <c r="L454" s="240" t="b">
        <f t="shared" ref="L454:L517" si="97">AND(ISNUMBER(J454),OR(J454&gt;=L$1,J454&lt;=-L$1))</f>
        <v>1</v>
      </c>
      <c r="M454" s="240" t="b">
        <f t="shared" ref="M454:M517" si="98">AND(ISNUMBER(K454),OR(K454&gt;=M$1,K454&lt;=-M$1))</f>
        <v>0</v>
      </c>
      <c r="N454" s="204" t="s">
        <v>289</v>
      </c>
      <c r="O454" s="204" t="s">
        <v>1166</v>
      </c>
      <c r="P454" s="350">
        <v>0</v>
      </c>
      <c r="Q454" s="204" t="s">
        <v>1166</v>
      </c>
      <c r="R454" s="204" t="s">
        <v>1165</v>
      </c>
      <c r="S454" s="204" t="s">
        <v>1164</v>
      </c>
      <c r="T454" s="204" t="s">
        <v>407</v>
      </c>
      <c r="V454" s="204" t="s">
        <v>1163</v>
      </c>
      <c r="W454" s="204" t="s">
        <v>413</v>
      </c>
      <c r="X454" s="204" t="s">
        <v>297</v>
      </c>
      <c r="Y454" s="204" t="s">
        <v>412</v>
      </c>
      <c r="Z454" s="204" t="s">
        <v>850</v>
      </c>
      <c r="AA454" s="204" t="s">
        <v>849</v>
      </c>
      <c r="AB454" s="204" t="s">
        <v>329</v>
      </c>
      <c r="AC454" s="204" t="s">
        <v>297</v>
      </c>
      <c r="AD454" s="204" t="s">
        <v>848</v>
      </c>
      <c r="AE454" s="204" t="s">
        <v>847</v>
      </c>
      <c r="AG454" s="204" t="s">
        <v>791</v>
      </c>
      <c r="AH454" s="204" t="s">
        <v>151</v>
      </c>
      <c r="AV454" s="204" t="s">
        <v>1170</v>
      </c>
      <c r="AX454" s="204">
        <v>4</v>
      </c>
      <c r="AY454" s="204">
        <v>0</v>
      </c>
      <c r="AZ454" s="204">
        <v>1.04E-2</v>
      </c>
      <c r="BB454" s="204">
        <v>88.736000000000004</v>
      </c>
      <c r="BH454" s="204">
        <v>0</v>
      </c>
      <c r="BI454" s="204">
        <v>13.96</v>
      </c>
      <c r="BJ454" s="204">
        <v>42940</v>
      </c>
      <c r="BK454" s="204">
        <v>42940.726356250001</v>
      </c>
      <c r="BL454" s="204" t="s">
        <v>293</v>
      </c>
      <c r="BM454" s="204" t="s">
        <v>1169</v>
      </c>
      <c r="BN454" s="242">
        <f t="shared" ref="BN454:BN517" si="99">IFERROR(BB454/$AX454,"")</f>
        <v>22.184000000000001</v>
      </c>
      <c r="BO454" s="269">
        <f t="shared" ref="BO454:BO517" si="100">BI454/$AX454</f>
        <v>3.49</v>
      </c>
      <c r="BP454" s="269">
        <f>INDEX('App Data Outliers'!$M:$M,MATCH($E454,'App Data Outliers'!$A:$A,0))</f>
        <v>31.912660854402784</v>
      </c>
      <c r="BQ454" s="269">
        <f>INDEX('App Data Outliers'!$N:$N,MATCH($E454,'App Data Outliers'!$A:$A,0))</f>
        <v>4.6294175975068628</v>
      </c>
      <c r="BR454" s="269">
        <f>INDEX('App Data Outliers'!$S:$S,MATCH($E454,'App Data Outliers'!$A:$A,0))</f>
        <v>3.9162224934612029</v>
      </c>
      <c r="BS454" s="269">
        <f>INDEX('App Data Outliers'!$T:$T,MATCH($E454,'App Data Outliers'!$A:$A,0))</f>
        <v>1.1499528005502413</v>
      </c>
    </row>
    <row r="455" spans="1:71" s="204" customFormat="1" hidden="1">
      <c r="A455" s="241">
        <v>451</v>
      </c>
      <c r="B455" s="241" t="str">
        <f t="shared" si="91"/>
        <v>Residential - BHPSD - Residential Lighting &amp; Appliances</v>
      </c>
      <c r="C455" s="241" t="b">
        <f t="shared" si="92"/>
        <v>1</v>
      </c>
      <c r="D455" s="241" t="str">
        <f t="shared" si="93"/>
        <v>Residential - BHPSD - Residential Lighting &amp; Appliances_Residential Lighting &amp; Appliances :- LED :- Customer Incentives_LED</v>
      </c>
      <c r="E455" s="241" t="str">
        <f t="shared" si="94"/>
        <v>Residential_Residential Lighting_Lighting_LED</v>
      </c>
      <c r="F455" s="241" t="str">
        <f>INDEX('VDSM MAPPING'!E:E,MATCH($D455,'VDSM MAPPING'!$A:$A,0))</f>
        <v>Residential</v>
      </c>
      <c r="G455" s="241" t="str">
        <f>INDEX('VDSM MAPPING'!F:F,MATCH($D455,'VDSM MAPPING'!$A:$A,0))</f>
        <v>Residential Lighting</v>
      </c>
      <c r="H455" s="241" t="str">
        <f>INDEX('VDSM MAPPING'!G:G,MATCH($D455,'VDSM MAPPING'!$A:$A,0))</f>
        <v>Lighting</v>
      </c>
      <c r="I455" s="241" t="str">
        <f>INDEX('VDSM MAPPING'!H:H,MATCH($D455,'VDSM MAPPING'!$A:$A,0))</f>
        <v>LED</v>
      </c>
      <c r="J455" s="240">
        <f t="shared" si="95"/>
        <v>0.51223271516362701</v>
      </c>
      <c r="K455" s="240">
        <f t="shared" si="96"/>
        <v>-1.7793969391457676</v>
      </c>
      <c r="L455" s="240" t="b">
        <f t="shared" si="97"/>
        <v>0</v>
      </c>
      <c r="M455" s="240" t="b">
        <f t="shared" si="98"/>
        <v>0</v>
      </c>
      <c r="N455" s="204" t="s">
        <v>289</v>
      </c>
      <c r="O455" s="204" t="s">
        <v>1166</v>
      </c>
      <c r="P455" s="350">
        <v>0</v>
      </c>
      <c r="Q455" s="204" t="s">
        <v>1166</v>
      </c>
      <c r="R455" s="204" t="s">
        <v>1165</v>
      </c>
      <c r="S455" s="204" t="s">
        <v>1164</v>
      </c>
      <c r="T455" s="204" t="s">
        <v>407</v>
      </c>
      <c r="V455" s="204" t="s">
        <v>1163</v>
      </c>
      <c r="W455" s="204" t="s">
        <v>413</v>
      </c>
      <c r="X455" s="204" t="s">
        <v>297</v>
      </c>
      <c r="Y455" s="204" t="s">
        <v>412</v>
      </c>
      <c r="Z455" s="204" t="s">
        <v>850</v>
      </c>
      <c r="AA455" s="204" t="s">
        <v>849</v>
      </c>
      <c r="AB455" s="204" t="s">
        <v>329</v>
      </c>
      <c r="AC455" s="204" t="s">
        <v>297</v>
      </c>
      <c r="AD455" s="204" t="s">
        <v>848</v>
      </c>
      <c r="AE455" s="204" t="s">
        <v>847</v>
      </c>
      <c r="AG455" s="204" t="s">
        <v>791</v>
      </c>
      <c r="AH455" s="204" t="s">
        <v>151</v>
      </c>
      <c r="AV455" s="204" t="s">
        <v>985</v>
      </c>
      <c r="AX455" s="204">
        <v>16</v>
      </c>
      <c r="AY455" s="204">
        <v>0</v>
      </c>
      <c r="AZ455" s="204">
        <v>6.4000000000000001E-2</v>
      </c>
      <c r="BB455" s="204">
        <v>548.54399999999998</v>
      </c>
      <c r="BH455" s="204">
        <v>0</v>
      </c>
      <c r="BI455" s="204">
        <v>29.92</v>
      </c>
      <c r="BJ455" s="204">
        <v>42940</v>
      </c>
      <c r="BK455" s="204">
        <v>42940.726356250001</v>
      </c>
      <c r="BL455" s="204" t="s">
        <v>293</v>
      </c>
      <c r="BM455" s="204" t="s">
        <v>1162</v>
      </c>
      <c r="BN455" s="242">
        <f t="shared" si="99"/>
        <v>34.283999999999999</v>
      </c>
      <c r="BO455" s="269">
        <f t="shared" si="100"/>
        <v>1.87</v>
      </c>
      <c r="BP455" s="269">
        <f>INDEX('App Data Outliers'!$M:$M,MATCH($E455,'App Data Outliers'!$A:$A,0))</f>
        <v>31.912660854402784</v>
      </c>
      <c r="BQ455" s="269">
        <f>INDEX('App Data Outliers'!$N:$N,MATCH($E455,'App Data Outliers'!$A:$A,0))</f>
        <v>4.6294175975068628</v>
      </c>
      <c r="BR455" s="269">
        <f>INDEX('App Data Outliers'!$S:$S,MATCH($E455,'App Data Outliers'!$A:$A,0))</f>
        <v>3.9162224934612029</v>
      </c>
      <c r="BS455" s="269">
        <f>INDEX('App Data Outliers'!$T:$T,MATCH($E455,'App Data Outliers'!$A:$A,0))</f>
        <v>1.1499528005502413</v>
      </c>
    </row>
    <row r="456" spans="1:71" s="204" customFormat="1" hidden="1">
      <c r="A456" s="241">
        <v>452</v>
      </c>
      <c r="B456" s="241" t="str">
        <f t="shared" si="91"/>
        <v>Residential - BHPSD - Residential Lighting &amp; Appliances</v>
      </c>
      <c r="C456" s="241" t="b">
        <f t="shared" si="92"/>
        <v>1</v>
      </c>
      <c r="D456" s="241" t="str">
        <f t="shared" si="93"/>
        <v>Residential - BHPSD - Residential Lighting &amp; Appliances_Residential Lighting &amp; Appliances :- LED :- Customer Incentives_LED</v>
      </c>
      <c r="E456" s="241" t="str">
        <f t="shared" si="94"/>
        <v>Residential_Residential Lighting_Lighting_LED</v>
      </c>
      <c r="F456" s="241" t="str">
        <f>INDEX('VDSM MAPPING'!E:E,MATCH($D456,'VDSM MAPPING'!$A:$A,0))</f>
        <v>Residential</v>
      </c>
      <c r="G456" s="241" t="str">
        <f>INDEX('VDSM MAPPING'!F:F,MATCH($D456,'VDSM MAPPING'!$A:$A,0))</f>
        <v>Residential Lighting</v>
      </c>
      <c r="H456" s="241" t="str">
        <f>INDEX('VDSM MAPPING'!G:G,MATCH($D456,'VDSM MAPPING'!$A:$A,0))</f>
        <v>Lighting</v>
      </c>
      <c r="I456" s="241" t="str">
        <f>INDEX('VDSM MAPPING'!H:H,MATCH($D456,'VDSM MAPPING'!$A:$A,0))</f>
        <v>LED</v>
      </c>
      <c r="J456" s="240">
        <f t="shared" si="95"/>
        <v>7.6540760934603463E-2</v>
      </c>
      <c r="K456" s="240">
        <f t="shared" si="96"/>
        <v>0.50765345000200468</v>
      </c>
      <c r="L456" s="240" t="b">
        <f t="shared" si="97"/>
        <v>0</v>
      </c>
      <c r="M456" s="240" t="b">
        <f t="shared" si="98"/>
        <v>0</v>
      </c>
      <c r="N456" s="204" t="s">
        <v>289</v>
      </c>
      <c r="O456" s="204" t="s">
        <v>1161</v>
      </c>
      <c r="P456" s="350">
        <v>1</v>
      </c>
      <c r="Q456" s="204" t="s">
        <v>1161</v>
      </c>
      <c r="R456" s="204" t="s">
        <v>1160</v>
      </c>
      <c r="S456" s="204" t="s">
        <v>1159</v>
      </c>
      <c r="T456" s="204" t="s">
        <v>1158</v>
      </c>
      <c r="V456" s="204" t="s">
        <v>1157</v>
      </c>
      <c r="W456" s="204" t="s">
        <v>568</v>
      </c>
      <c r="X456" s="204" t="s">
        <v>297</v>
      </c>
      <c r="Y456" s="204" t="s">
        <v>567</v>
      </c>
      <c r="Z456" s="204" t="s">
        <v>601</v>
      </c>
      <c r="AA456" s="204" t="s">
        <v>600</v>
      </c>
      <c r="AB456" s="204" t="s">
        <v>329</v>
      </c>
      <c r="AC456" s="204" t="s">
        <v>297</v>
      </c>
      <c r="AD456" s="204" t="s">
        <v>599</v>
      </c>
      <c r="AE456" s="204" t="s">
        <v>598</v>
      </c>
      <c r="AG456" s="204" t="s">
        <v>791</v>
      </c>
      <c r="AH456" s="204" t="s">
        <v>151</v>
      </c>
      <c r="AX456" s="204">
        <v>1</v>
      </c>
      <c r="AY456" s="204">
        <v>0</v>
      </c>
      <c r="AZ456" s="204">
        <v>3.8E-3</v>
      </c>
      <c r="BB456" s="204">
        <v>32.267000000000003</v>
      </c>
      <c r="BH456" s="204">
        <v>0</v>
      </c>
      <c r="BI456" s="204">
        <v>4.5</v>
      </c>
      <c r="BJ456" s="204">
        <v>42941</v>
      </c>
      <c r="BK456" s="204">
        <v>42941.428206169003</v>
      </c>
      <c r="BL456" s="204" t="s">
        <v>293</v>
      </c>
      <c r="BM456" s="204" t="s">
        <v>1156</v>
      </c>
      <c r="BN456" s="242">
        <f t="shared" si="99"/>
        <v>32.267000000000003</v>
      </c>
      <c r="BO456" s="243">
        <f t="shared" si="100"/>
        <v>4.5</v>
      </c>
      <c r="BP456" s="269">
        <f>INDEX('App Data Outliers'!$M:$M,MATCH($E456,'App Data Outliers'!$A:$A,0))</f>
        <v>31.912660854402784</v>
      </c>
      <c r="BQ456" s="243">
        <f>INDEX('App Data Outliers'!$N:$N,MATCH($E456,'App Data Outliers'!$A:$A,0))</f>
        <v>4.6294175975068628</v>
      </c>
      <c r="BR456" s="243">
        <f>INDEX('App Data Outliers'!$S:$S,MATCH($E456,'App Data Outliers'!$A:$A,0))</f>
        <v>3.9162224934612029</v>
      </c>
      <c r="BS456" s="243">
        <f>INDEX('App Data Outliers'!$T:$T,MATCH($E456,'App Data Outliers'!$A:$A,0))</f>
        <v>1.1499528005502413</v>
      </c>
    </row>
    <row r="457" spans="1:71" s="204" customFormat="1" hidden="1">
      <c r="A457" s="241">
        <v>453</v>
      </c>
      <c r="B457" s="241" t="str">
        <f t="shared" si="91"/>
        <v>Residential - BHPSD - Residential Lighting &amp; Appliances</v>
      </c>
      <c r="C457" s="241" t="b">
        <f t="shared" si="92"/>
        <v>1</v>
      </c>
      <c r="D457" s="241" t="str">
        <f t="shared" si="93"/>
        <v>Residential - BHPSD - Residential Lighting &amp; Appliances_Residential Lighting &amp; Appliances :- LED :- Customer Incentives_LED</v>
      </c>
      <c r="E457" s="241" t="str">
        <f t="shared" si="94"/>
        <v>Residential_Residential Lighting_Lighting_LED</v>
      </c>
      <c r="F457" s="241" t="str">
        <f>INDEX('VDSM MAPPING'!E:E,MATCH($D457,'VDSM MAPPING'!$A:$A,0))</f>
        <v>Residential</v>
      </c>
      <c r="G457" s="241" t="str">
        <f>INDEX('VDSM MAPPING'!F:F,MATCH($D457,'VDSM MAPPING'!$A:$A,0))</f>
        <v>Residential Lighting</v>
      </c>
      <c r="H457" s="241" t="str">
        <f>INDEX('VDSM MAPPING'!G:G,MATCH($D457,'VDSM MAPPING'!$A:$A,0))</f>
        <v>Lighting</v>
      </c>
      <c r="I457" s="241" t="str">
        <f>INDEX('VDSM MAPPING'!H:H,MATCH($D457,'VDSM MAPPING'!$A:$A,0))</f>
        <v>LED</v>
      </c>
      <c r="J457" s="240">
        <f t="shared" si="95"/>
        <v>7.6540760934603463E-2</v>
      </c>
      <c r="K457" s="240">
        <f t="shared" si="96"/>
        <v>0.50765345000200468</v>
      </c>
      <c r="L457" s="240" t="b">
        <f t="shared" si="97"/>
        <v>0</v>
      </c>
      <c r="M457" s="240" t="b">
        <f t="shared" si="98"/>
        <v>0</v>
      </c>
      <c r="N457" s="204" t="s">
        <v>289</v>
      </c>
      <c r="O457" s="204" t="s">
        <v>1155</v>
      </c>
      <c r="P457" s="350">
        <v>1</v>
      </c>
      <c r="Q457" s="204" t="s">
        <v>1155</v>
      </c>
      <c r="R457" s="204" t="s">
        <v>1134</v>
      </c>
      <c r="S457" s="204" t="s">
        <v>1133</v>
      </c>
      <c r="T457" s="204" t="s">
        <v>1132</v>
      </c>
      <c r="V457" s="204" t="s">
        <v>1131</v>
      </c>
      <c r="W457" s="204" t="s">
        <v>329</v>
      </c>
      <c r="X457" s="204" t="s">
        <v>297</v>
      </c>
      <c r="Y457" s="204" t="s">
        <v>328</v>
      </c>
      <c r="Z457" s="204" t="s">
        <v>601</v>
      </c>
      <c r="AA457" s="204" t="s">
        <v>600</v>
      </c>
      <c r="AB457" s="204" t="s">
        <v>329</v>
      </c>
      <c r="AC457" s="204" t="s">
        <v>297</v>
      </c>
      <c r="AD457" s="204" t="s">
        <v>599</v>
      </c>
      <c r="AE457" s="204" t="s">
        <v>598</v>
      </c>
      <c r="AG457" s="204" t="s">
        <v>791</v>
      </c>
      <c r="AH457" s="204" t="s">
        <v>151</v>
      </c>
      <c r="AX457" s="204">
        <v>6</v>
      </c>
      <c r="AY457" s="204">
        <v>0</v>
      </c>
      <c r="AZ457" s="204">
        <v>2.2800000000000001E-2</v>
      </c>
      <c r="BB457" s="204">
        <v>193.602</v>
      </c>
      <c r="BH457" s="204">
        <v>0</v>
      </c>
      <c r="BI457" s="204">
        <v>27</v>
      </c>
      <c r="BJ457" s="204">
        <v>42941</v>
      </c>
      <c r="BK457" s="204">
        <v>42941.443959837998</v>
      </c>
      <c r="BL457" s="204" t="s">
        <v>293</v>
      </c>
      <c r="BM457" s="204" t="s">
        <v>1154</v>
      </c>
      <c r="BN457" s="242">
        <f t="shared" si="99"/>
        <v>32.267000000000003</v>
      </c>
      <c r="BO457" s="269">
        <f t="shared" si="100"/>
        <v>4.5</v>
      </c>
      <c r="BP457" s="269">
        <f>INDEX('App Data Outliers'!$M:$M,MATCH($E457,'App Data Outliers'!$A:$A,0))</f>
        <v>31.912660854402784</v>
      </c>
      <c r="BQ457" s="269">
        <f>INDEX('App Data Outliers'!$N:$N,MATCH($E457,'App Data Outliers'!$A:$A,0))</f>
        <v>4.6294175975068628</v>
      </c>
      <c r="BR457" s="269">
        <f>INDEX('App Data Outliers'!$S:$S,MATCH($E457,'App Data Outliers'!$A:$A,0))</f>
        <v>3.9162224934612029</v>
      </c>
      <c r="BS457" s="269">
        <f>INDEX('App Data Outliers'!$T:$T,MATCH($E457,'App Data Outliers'!$A:$A,0))</f>
        <v>1.1499528005502413</v>
      </c>
    </row>
    <row r="458" spans="1:71" s="204" customFormat="1" hidden="1">
      <c r="A458" s="241">
        <v>454</v>
      </c>
      <c r="B458" s="241" t="str">
        <f t="shared" si="91"/>
        <v>Residential - BHPSD - Residential Lighting &amp; Appliances</v>
      </c>
      <c r="C458" s="241" t="b">
        <f t="shared" si="92"/>
        <v>1</v>
      </c>
      <c r="D458" s="241" t="str">
        <f t="shared" si="93"/>
        <v>Residential - BHPSD - Residential Lighting &amp; Appliances_Residential Lighting &amp; Appliances :- LED :- Customer Incentives_LED</v>
      </c>
      <c r="E458" s="241" t="str">
        <f t="shared" si="94"/>
        <v>Residential_Residential Lighting_Lighting_LED</v>
      </c>
      <c r="F458" s="241" t="str">
        <f>INDEX('VDSM MAPPING'!E:E,MATCH($D458,'VDSM MAPPING'!$A:$A,0))</f>
        <v>Residential</v>
      </c>
      <c r="G458" s="241" t="str">
        <f>INDEX('VDSM MAPPING'!F:F,MATCH($D458,'VDSM MAPPING'!$A:$A,0))</f>
        <v>Residential Lighting</v>
      </c>
      <c r="H458" s="241" t="str">
        <f>INDEX('VDSM MAPPING'!G:G,MATCH($D458,'VDSM MAPPING'!$A:$A,0))</f>
        <v>Lighting</v>
      </c>
      <c r="I458" s="241" t="str">
        <f>INDEX('VDSM MAPPING'!H:H,MATCH($D458,'VDSM MAPPING'!$A:$A,0))</f>
        <v>LED</v>
      </c>
      <c r="J458" s="240">
        <f t="shared" si="95"/>
        <v>7.6540760934603463E-2</v>
      </c>
      <c r="K458" s="240">
        <f t="shared" si="96"/>
        <v>0.50765345000200468</v>
      </c>
      <c r="L458" s="240" t="b">
        <f t="shared" si="97"/>
        <v>0</v>
      </c>
      <c r="M458" s="240" t="b">
        <f t="shared" si="98"/>
        <v>0</v>
      </c>
      <c r="N458" s="204" t="s">
        <v>289</v>
      </c>
      <c r="O458" s="204" t="s">
        <v>1153</v>
      </c>
      <c r="P458" s="350">
        <v>1</v>
      </c>
      <c r="Q458" s="204" t="s">
        <v>1153</v>
      </c>
      <c r="R458" s="204" t="s">
        <v>1050</v>
      </c>
      <c r="S458" s="204" t="s">
        <v>1049</v>
      </c>
      <c r="T458" s="204" t="s">
        <v>1048</v>
      </c>
      <c r="V458" s="204" t="s">
        <v>1047</v>
      </c>
      <c r="W458" s="204" t="s">
        <v>329</v>
      </c>
      <c r="X458" s="204" t="s">
        <v>297</v>
      </c>
      <c r="Y458" s="204" t="s">
        <v>397</v>
      </c>
      <c r="Z458" s="204" t="s">
        <v>601</v>
      </c>
      <c r="AA458" s="204" t="s">
        <v>600</v>
      </c>
      <c r="AB458" s="204" t="s">
        <v>329</v>
      </c>
      <c r="AC458" s="204" t="s">
        <v>297</v>
      </c>
      <c r="AD458" s="204" t="s">
        <v>599</v>
      </c>
      <c r="AE458" s="204" t="s">
        <v>598</v>
      </c>
      <c r="AG458" s="204" t="s">
        <v>791</v>
      </c>
      <c r="AH458" s="204" t="s">
        <v>151</v>
      </c>
      <c r="AX458" s="204">
        <v>5</v>
      </c>
      <c r="AY458" s="204">
        <v>0</v>
      </c>
      <c r="AZ458" s="204">
        <v>1.9E-2</v>
      </c>
      <c r="BB458" s="204">
        <v>161.33500000000001</v>
      </c>
      <c r="BH458" s="204">
        <v>0</v>
      </c>
      <c r="BI458" s="204">
        <v>22.5</v>
      </c>
      <c r="BJ458" s="204">
        <v>42941</v>
      </c>
      <c r="BK458" s="204">
        <v>42941.515431979198</v>
      </c>
      <c r="BL458" s="204" t="s">
        <v>293</v>
      </c>
      <c r="BM458" s="204" t="s">
        <v>1152</v>
      </c>
      <c r="BN458" s="242">
        <f t="shared" si="99"/>
        <v>32.267000000000003</v>
      </c>
      <c r="BO458" s="269">
        <f t="shared" si="100"/>
        <v>4.5</v>
      </c>
      <c r="BP458" s="269">
        <f>INDEX('App Data Outliers'!$M:$M,MATCH($E458,'App Data Outliers'!$A:$A,0))</f>
        <v>31.912660854402784</v>
      </c>
      <c r="BQ458" s="269">
        <f>INDEX('App Data Outliers'!$N:$N,MATCH($E458,'App Data Outliers'!$A:$A,0))</f>
        <v>4.6294175975068628</v>
      </c>
      <c r="BR458" s="269">
        <f>INDEX('App Data Outliers'!$S:$S,MATCH($E458,'App Data Outliers'!$A:$A,0))</f>
        <v>3.9162224934612029</v>
      </c>
      <c r="BS458" s="269">
        <f>INDEX('App Data Outliers'!$T:$T,MATCH($E458,'App Data Outliers'!$A:$A,0))</f>
        <v>1.1499528005502413</v>
      </c>
    </row>
    <row r="459" spans="1:71" s="204" customFormat="1" hidden="1">
      <c r="A459" s="241">
        <v>455</v>
      </c>
      <c r="B459" s="241" t="str">
        <f t="shared" si="91"/>
        <v>Residential - BHPSD - Residential Lighting &amp; Appliances</v>
      </c>
      <c r="C459" s="241" t="b">
        <f t="shared" si="92"/>
        <v>1</v>
      </c>
      <c r="D459" s="241" t="str">
        <f t="shared" si="93"/>
        <v>Residential - BHPSD - Residential Lighting &amp; Appliances_Residential Lighting &amp; Appliances :- LED :- Customer Incentives_LED</v>
      </c>
      <c r="E459" s="241" t="str">
        <f t="shared" si="94"/>
        <v>Residential_Residential Lighting_Lighting_LED</v>
      </c>
      <c r="F459" s="241" t="str">
        <f>INDEX('VDSM MAPPING'!E:E,MATCH($D459,'VDSM MAPPING'!$A:$A,0))</f>
        <v>Residential</v>
      </c>
      <c r="G459" s="241" t="str">
        <f>INDEX('VDSM MAPPING'!F:F,MATCH($D459,'VDSM MAPPING'!$A:$A,0))</f>
        <v>Residential Lighting</v>
      </c>
      <c r="H459" s="241" t="str">
        <f>INDEX('VDSM MAPPING'!G:G,MATCH($D459,'VDSM MAPPING'!$A:$A,0))</f>
        <v>Lighting</v>
      </c>
      <c r="I459" s="241" t="str">
        <f>INDEX('VDSM MAPPING'!H:H,MATCH($D459,'VDSM MAPPING'!$A:$A,0))</f>
        <v>LED</v>
      </c>
      <c r="J459" s="240">
        <f t="shared" si="95"/>
        <v>0.51223271516362701</v>
      </c>
      <c r="K459" s="240">
        <f t="shared" si="96"/>
        <v>0.94245390421260777</v>
      </c>
      <c r="L459" s="240" t="b">
        <f t="shared" si="97"/>
        <v>0</v>
      </c>
      <c r="M459" s="240" t="b">
        <f t="shared" si="98"/>
        <v>0</v>
      </c>
      <c r="N459" s="204" t="s">
        <v>289</v>
      </c>
      <c r="O459" s="204" t="s">
        <v>1142</v>
      </c>
      <c r="P459" s="350">
        <v>1</v>
      </c>
      <c r="Q459" s="204" t="s">
        <v>1142</v>
      </c>
      <c r="R459" s="204" t="s">
        <v>1141</v>
      </c>
      <c r="S459" s="204" t="s">
        <v>1140</v>
      </c>
      <c r="T459" s="204" t="s">
        <v>1139</v>
      </c>
      <c r="V459" s="204" t="s">
        <v>1138</v>
      </c>
      <c r="W459" s="204" t="s">
        <v>329</v>
      </c>
      <c r="X459" s="204" t="s">
        <v>297</v>
      </c>
      <c r="Y459" s="204" t="s">
        <v>397</v>
      </c>
      <c r="Z459" s="204" t="s">
        <v>1017</v>
      </c>
      <c r="AA459" s="204" t="s">
        <v>1016</v>
      </c>
      <c r="AB459" s="204" t="s">
        <v>329</v>
      </c>
      <c r="AC459" s="204" t="s">
        <v>297</v>
      </c>
      <c r="AD459" s="204" t="s">
        <v>848</v>
      </c>
      <c r="AE459" s="204" t="s">
        <v>1015</v>
      </c>
      <c r="AF459" s="204" t="s">
        <v>1014</v>
      </c>
      <c r="AG459" s="204" t="s">
        <v>791</v>
      </c>
      <c r="AH459" s="204" t="s">
        <v>151</v>
      </c>
      <c r="AX459" s="204">
        <v>16</v>
      </c>
      <c r="AY459" s="204">
        <v>0</v>
      </c>
      <c r="AZ459" s="204">
        <v>6.4000000000000001E-2</v>
      </c>
      <c r="BB459" s="204">
        <v>548.54399999999998</v>
      </c>
      <c r="BH459" s="204">
        <v>0</v>
      </c>
      <c r="BI459" s="204">
        <v>80</v>
      </c>
      <c r="BJ459" s="204">
        <v>42949</v>
      </c>
      <c r="BK459" s="204">
        <v>42942.486203472203</v>
      </c>
      <c r="BL459" s="204" t="s">
        <v>293</v>
      </c>
      <c r="BM459" s="204" t="s">
        <v>1147</v>
      </c>
      <c r="BN459" s="242">
        <f t="shared" si="99"/>
        <v>34.283999999999999</v>
      </c>
      <c r="BO459" s="269">
        <f t="shared" si="100"/>
        <v>5</v>
      </c>
      <c r="BP459" s="269">
        <f>INDEX('App Data Outliers'!$M:$M,MATCH($E459,'App Data Outliers'!$A:$A,0))</f>
        <v>31.912660854402784</v>
      </c>
      <c r="BQ459" s="269">
        <f>INDEX('App Data Outliers'!$N:$N,MATCH($E459,'App Data Outliers'!$A:$A,0))</f>
        <v>4.6294175975068628</v>
      </c>
      <c r="BR459" s="269">
        <f>INDEX('App Data Outliers'!$S:$S,MATCH($E459,'App Data Outliers'!$A:$A,0))</f>
        <v>3.9162224934612029</v>
      </c>
      <c r="BS459" s="269">
        <f>INDEX('App Data Outliers'!$T:$T,MATCH($E459,'App Data Outliers'!$A:$A,0))</f>
        <v>1.1499528005502413</v>
      </c>
    </row>
    <row r="460" spans="1:71" s="204" customFormat="1" hidden="1">
      <c r="A460" s="241">
        <v>456</v>
      </c>
      <c r="B460" s="241" t="str">
        <f t="shared" si="91"/>
        <v>Residential - BHPSD - Residential Lighting &amp; Appliances</v>
      </c>
      <c r="C460" s="241" t="b">
        <f t="shared" si="92"/>
        <v>1</v>
      </c>
      <c r="D460" s="241" t="str">
        <f t="shared" si="93"/>
        <v>Residential - BHPSD - Residential Lighting &amp; Appliances_Residential Lighting &amp; Appliances :- LED :- Customer Incentives_LED</v>
      </c>
      <c r="E460" s="241" t="str">
        <f t="shared" si="94"/>
        <v>Residential_Residential Lighting_Lighting_LED</v>
      </c>
      <c r="F460" s="241" t="str">
        <f>INDEX('VDSM MAPPING'!E:E,MATCH($D460,'VDSM MAPPING'!$A:$A,0))</f>
        <v>Residential</v>
      </c>
      <c r="G460" s="241" t="str">
        <f>INDEX('VDSM MAPPING'!F:F,MATCH($D460,'VDSM MAPPING'!$A:$A,0))</f>
        <v>Residential Lighting</v>
      </c>
      <c r="H460" s="241" t="str">
        <f>INDEX('VDSM MAPPING'!G:G,MATCH($D460,'VDSM MAPPING'!$A:$A,0))</f>
        <v>Lighting</v>
      </c>
      <c r="I460" s="241" t="str">
        <f>INDEX('VDSM MAPPING'!H:H,MATCH($D460,'VDSM MAPPING'!$A:$A,0))</f>
        <v>LED</v>
      </c>
      <c r="J460" s="240">
        <f t="shared" si="95"/>
        <v>0.51223271516362701</v>
      </c>
      <c r="K460" s="240">
        <f t="shared" si="96"/>
        <v>-0.27498736757708087</v>
      </c>
      <c r="L460" s="240" t="b">
        <f t="shared" si="97"/>
        <v>0</v>
      </c>
      <c r="M460" s="240" t="b">
        <f t="shared" si="98"/>
        <v>0</v>
      </c>
      <c r="N460" s="204" t="s">
        <v>289</v>
      </c>
      <c r="O460" s="204" t="s">
        <v>1142</v>
      </c>
      <c r="P460" s="350">
        <v>0</v>
      </c>
      <c r="Q460" s="204" t="s">
        <v>1142</v>
      </c>
      <c r="R460" s="204" t="s">
        <v>1141</v>
      </c>
      <c r="S460" s="204" t="s">
        <v>1140</v>
      </c>
      <c r="T460" s="204" t="s">
        <v>1139</v>
      </c>
      <c r="V460" s="204" t="s">
        <v>1138</v>
      </c>
      <c r="W460" s="204" t="s">
        <v>329</v>
      </c>
      <c r="X460" s="204" t="s">
        <v>297</v>
      </c>
      <c r="Y460" s="204" t="s">
        <v>397</v>
      </c>
      <c r="Z460" s="204" t="s">
        <v>1017</v>
      </c>
      <c r="AA460" s="204" t="s">
        <v>1016</v>
      </c>
      <c r="AB460" s="204" t="s">
        <v>329</v>
      </c>
      <c r="AC460" s="204" t="s">
        <v>297</v>
      </c>
      <c r="AD460" s="204" t="s">
        <v>848</v>
      </c>
      <c r="AE460" s="204" t="s">
        <v>1015</v>
      </c>
      <c r="AF460" s="204" t="s">
        <v>1014</v>
      </c>
      <c r="AG460" s="204" t="s">
        <v>791</v>
      </c>
      <c r="AH460" s="204" t="s">
        <v>151</v>
      </c>
      <c r="AV460" s="204" t="s">
        <v>1137</v>
      </c>
      <c r="AX460" s="204">
        <v>6</v>
      </c>
      <c r="AY460" s="204">
        <v>0</v>
      </c>
      <c r="AZ460" s="204">
        <v>2.4E-2</v>
      </c>
      <c r="BB460" s="204">
        <v>205.70400000000001</v>
      </c>
      <c r="BH460" s="204">
        <v>0</v>
      </c>
      <c r="BI460" s="204">
        <v>21.6</v>
      </c>
      <c r="BJ460" s="204">
        <v>42949</v>
      </c>
      <c r="BK460" s="204">
        <v>42942.486203472203</v>
      </c>
      <c r="BL460" s="204" t="s">
        <v>293</v>
      </c>
      <c r="BM460" s="204" t="s">
        <v>1136</v>
      </c>
      <c r="BN460" s="242">
        <f t="shared" si="99"/>
        <v>34.283999999999999</v>
      </c>
      <c r="BO460" s="269">
        <f t="shared" si="100"/>
        <v>3.6</v>
      </c>
      <c r="BP460" s="269">
        <f>INDEX('App Data Outliers'!$M:$M,MATCH($E460,'App Data Outliers'!$A:$A,0))</f>
        <v>31.912660854402784</v>
      </c>
      <c r="BQ460" s="269">
        <f>INDEX('App Data Outliers'!$N:$N,MATCH($E460,'App Data Outliers'!$A:$A,0))</f>
        <v>4.6294175975068628</v>
      </c>
      <c r="BR460" s="269">
        <f>INDEX('App Data Outliers'!$S:$S,MATCH($E460,'App Data Outliers'!$A:$A,0))</f>
        <v>3.9162224934612029</v>
      </c>
      <c r="BS460" s="269">
        <f>INDEX('App Data Outliers'!$T:$T,MATCH($E460,'App Data Outliers'!$A:$A,0))</f>
        <v>1.1499528005502413</v>
      </c>
    </row>
    <row r="461" spans="1:71" s="204" customFormat="1" hidden="1">
      <c r="A461" s="241">
        <v>457</v>
      </c>
      <c r="B461" s="241" t="str">
        <f t="shared" si="91"/>
        <v>Residential - BHPSD - Residential Lighting &amp; Appliances</v>
      </c>
      <c r="C461" s="241" t="b">
        <f t="shared" si="92"/>
        <v>1</v>
      </c>
      <c r="D461" s="241" t="str">
        <f t="shared" si="93"/>
        <v>Residential - BHPSD - Residential Lighting &amp; Appliances_Residential Lighting &amp; Appliances :- ES Star Fixture :- Customer Incentives_ENERGY STAR LED Fixture</v>
      </c>
      <c r="E461" s="241" t="str">
        <f t="shared" si="94"/>
        <v>Residential_Residential Lighting_Lighting_ENERGY STAR Fixture</v>
      </c>
      <c r="F461" s="241" t="str">
        <f>INDEX('VDSM MAPPING'!E:E,MATCH($D461,'VDSM MAPPING'!$A:$A,0))</f>
        <v>Residential</v>
      </c>
      <c r="G461" s="241" t="str">
        <f>INDEX('VDSM MAPPING'!F:F,MATCH($D461,'VDSM MAPPING'!$A:$A,0))</f>
        <v>Residential Lighting</v>
      </c>
      <c r="H461" s="241" t="str">
        <f>INDEX('VDSM MAPPING'!G:G,MATCH($D461,'VDSM MAPPING'!$A:$A,0))</f>
        <v>Lighting</v>
      </c>
      <c r="I461" s="241" t="str">
        <f>INDEX('VDSM MAPPING'!H:H,MATCH($D461,'VDSM MAPPING'!$A:$A,0))</f>
        <v>ENERGY STAR Fixture</v>
      </c>
      <c r="J461" s="240">
        <f t="shared" si="95"/>
        <v>6.2995654303036955E-2</v>
      </c>
      <c r="K461" s="240">
        <f t="shared" si="96"/>
        <v>-0.24545039437381444</v>
      </c>
      <c r="L461" s="240" t="b">
        <f t="shared" si="97"/>
        <v>0</v>
      </c>
      <c r="M461" s="240" t="b">
        <f t="shared" si="98"/>
        <v>0</v>
      </c>
      <c r="N461" s="204" t="s">
        <v>289</v>
      </c>
      <c r="O461" s="204" t="s">
        <v>1142</v>
      </c>
      <c r="P461" s="350">
        <v>0</v>
      </c>
      <c r="Q461" s="204" t="s">
        <v>1142</v>
      </c>
      <c r="R461" s="204" t="s">
        <v>1141</v>
      </c>
      <c r="S461" s="204" t="s">
        <v>1140</v>
      </c>
      <c r="T461" s="204" t="s">
        <v>1139</v>
      </c>
      <c r="V461" s="204" t="s">
        <v>1138</v>
      </c>
      <c r="W461" s="204" t="s">
        <v>329</v>
      </c>
      <c r="X461" s="204" t="s">
        <v>297</v>
      </c>
      <c r="Y461" s="204" t="s">
        <v>397</v>
      </c>
      <c r="Z461" s="204" t="s">
        <v>1017</v>
      </c>
      <c r="AA461" s="204" t="s">
        <v>1016</v>
      </c>
      <c r="AB461" s="204" t="s">
        <v>329</v>
      </c>
      <c r="AC461" s="204" t="s">
        <v>297</v>
      </c>
      <c r="AD461" s="204" t="s">
        <v>848</v>
      </c>
      <c r="AE461" s="204" t="s">
        <v>1015</v>
      </c>
      <c r="AF461" s="204" t="s">
        <v>1014</v>
      </c>
      <c r="AG461" s="204" t="s">
        <v>895</v>
      </c>
      <c r="AH461" s="204" t="s">
        <v>150</v>
      </c>
      <c r="AV461" s="204" t="s">
        <v>1146</v>
      </c>
      <c r="AX461" s="204">
        <v>1</v>
      </c>
      <c r="AY461" s="204">
        <v>0</v>
      </c>
      <c r="AZ461" s="204">
        <v>4.4999999999999997E-3</v>
      </c>
      <c r="BB461" s="204">
        <v>38.317</v>
      </c>
      <c r="BH461" s="204">
        <v>0</v>
      </c>
      <c r="BI461" s="204">
        <v>8.9</v>
      </c>
      <c r="BJ461" s="204">
        <v>42949</v>
      </c>
      <c r="BK461" s="204">
        <v>42942.486203472203</v>
      </c>
      <c r="BL461" s="204" t="s">
        <v>293</v>
      </c>
      <c r="BM461" s="204" t="s">
        <v>1145</v>
      </c>
      <c r="BN461" s="242">
        <f t="shared" si="99"/>
        <v>38.317</v>
      </c>
      <c r="BO461" s="269">
        <f t="shared" si="100"/>
        <v>8.9</v>
      </c>
      <c r="BP461" s="269">
        <f>INDEX('App Data Outliers'!$M:$M,MATCH($E461,'App Data Outliers'!$A:$A,0))</f>
        <v>35.519370843989762</v>
      </c>
      <c r="BQ461" s="269">
        <f>INDEX('App Data Outliers'!$N:$N,MATCH($E461,'App Data Outliers'!$A:$A,0))</f>
        <v>44.409875363027503</v>
      </c>
      <c r="BR461" s="269">
        <f>INDEX('App Data Outliers'!$S:$S,MATCH($E461,'App Data Outliers'!$A:$A,0))</f>
        <v>9.3048337595907924</v>
      </c>
      <c r="BS461" s="269">
        <f>INDEX('App Data Outliers'!$T:$T,MATCH($E461,'App Data Outliers'!$A:$A,0))</f>
        <v>1.6493506177636894</v>
      </c>
    </row>
    <row r="462" spans="1:71" s="204" customFormat="1" hidden="1">
      <c r="A462" s="241">
        <v>458</v>
      </c>
      <c r="B462" s="241" t="str">
        <f t="shared" si="91"/>
        <v>Residential - BHPSD - Residential Lighting &amp; Appliances</v>
      </c>
      <c r="C462" s="241" t="b">
        <f t="shared" si="92"/>
        <v>1</v>
      </c>
      <c r="D462" s="241" t="str">
        <f t="shared" si="93"/>
        <v>Residential - BHPSD - Residential Lighting &amp; Appliances_Residential Lighting &amp; Appliances :- ES Star Fixture :- Customer Incentives_ENERGY STAR LED Fixture</v>
      </c>
      <c r="E462" s="241" t="str">
        <f t="shared" si="94"/>
        <v>Residential_Residential Lighting_Lighting_ENERGY STAR Fixture</v>
      </c>
      <c r="F462" s="241" t="str">
        <f>INDEX('VDSM MAPPING'!E:E,MATCH($D462,'VDSM MAPPING'!$A:$A,0))</f>
        <v>Residential</v>
      </c>
      <c r="G462" s="241" t="str">
        <f>INDEX('VDSM MAPPING'!F:F,MATCH($D462,'VDSM MAPPING'!$A:$A,0))</f>
        <v>Residential Lighting</v>
      </c>
      <c r="H462" s="241" t="str">
        <f>INDEX('VDSM MAPPING'!G:G,MATCH($D462,'VDSM MAPPING'!$A:$A,0))</f>
        <v>Lighting</v>
      </c>
      <c r="I462" s="241" t="str">
        <f>INDEX('VDSM MAPPING'!H:H,MATCH($D462,'VDSM MAPPING'!$A:$A,0))</f>
        <v>ENERGY STAR Fixture</v>
      </c>
      <c r="J462" s="240">
        <f t="shared" si="95"/>
        <v>7.4344481469969109E-2</v>
      </c>
      <c r="K462" s="240">
        <f t="shared" si="96"/>
        <v>-8.7812596079279062E-2</v>
      </c>
      <c r="L462" s="240" t="b">
        <f t="shared" si="97"/>
        <v>0</v>
      </c>
      <c r="M462" s="240" t="b">
        <f t="shared" si="98"/>
        <v>0</v>
      </c>
      <c r="N462" s="204" t="s">
        <v>289</v>
      </c>
      <c r="O462" s="204" t="s">
        <v>1142</v>
      </c>
      <c r="P462" s="350">
        <v>0</v>
      </c>
      <c r="Q462" s="204" t="s">
        <v>1142</v>
      </c>
      <c r="R462" s="204" t="s">
        <v>1141</v>
      </c>
      <c r="S462" s="204" t="s">
        <v>1140</v>
      </c>
      <c r="T462" s="204" t="s">
        <v>1139</v>
      </c>
      <c r="V462" s="204" t="s">
        <v>1138</v>
      </c>
      <c r="W462" s="204" t="s">
        <v>329</v>
      </c>
      <c r="X462" s="204" t="s">
        <v>297</v>
      </c>
      <c r="Y462" s="204" t="s">
        <v>397</v>
      </c>
      <c r="Z462" s="204" t="s">
        <v>1017</v>
      </c>
      <c r="AA462" s="204" t="s">
        <v>1016</v>
      </c>
      <c r="AB462" s="204" t="s">
        <v>329</v>
      </c>
      <c r="AC462" s="204" t="s">
        <v>297</v>
      </c>
      <c r="AD462" s="204" t="s">
        <v>848</v>
      </c>
      <c r="AE462" s="204" t="s">
        <v>1015</v>
      </c>
      <c r="AF462" s="204" t="s">
        <v>1014</v>
      </c>
      <c r="AG462" s="204" t="s">
        <v>895</v>
      </c>
      <c r="AH462" s="204" t="s">
        <v>150</v>
      </c>
      <c r="AV462" s="204" t="s">
        <v>1151</v>
      </c>
      <c r="AX462" s="204">
        <v>2</v>
      </c>
      <c r="AY462" s="204">
        <v>0</v>
      </c>
      <c r="AZ462" s="204">
        <v>9.1999999999999998E-3</v>
      </c>
      <c r="BB462" s="204">
        <v>77.641999999999996</v>
      </c>
      <c r="BH462" s="204">
        <v>0</v>
      </c>
      <c r="BI462" s="204">
        <v>18.32</v>
      </c>
      <c r="BJ462" s="204">
        <v>42949</v>
      </c>
      <c r="BK462" s="204">
        <v>42942.486203472203</v>
      </c>
      <c r="BL462" s="204" t="s">
        <v>293</v>
      </c>
      <c r="BM462" s="204" t="s">
        <v>1150</v>
      </c>
      <c r="BN462" s="242">
        <f t="shared" si="99"/>
        <v>38.820999999999998</v>
      </c>
      <c r="BO462" s="269">
        <f t="shared" si="100"/>
        <v>9.16</v>
      </c>
      <c r="BP462" s="269">
        <f>INDEX('App Data Outliers'!$M:$M,MATCH($E462,'App Data Outliers'!$A:$A,0))</f>
        <v>35.519370843989762</v>
      </c>
      <c r="BQ462" s="269">
        <f>INDEX('App Data Outliers'!$N:$N,MATCH($E462,'App Data Outliers'!$A:$A,0))</f>
        <v>44.409875363027503</v>
      </c>
      <c r="BR462" s="269">
        <f>INDEX('App Data Outliers'!$S:$S,MATCH($E462,'App Data Outliers'!$A:$A,0))</f>
        <v>9.3048337595907924</v>
      </c>
      <c r="BS462" s="269">
        <f>INDEX('App Data Outliers'!$T:$T,MATCH($E462,'App Data Outliers'!$A:$A,0))</f>
        <v>1.6493506177636894</v>
      </c>
    </row>
    <row r="463" spans="1:71" s="204" customFormat="1" hidden="1">
      <c r="A463" s="241">
        <v>459</v>
      </c>
      <c r="B463" s="241" t="str">
        <f t="shared" si="91"/>
        <v>Residential - BHPSD - Residential Lighting &amp; Appliances</v>
      </c>
      <c r="C463" s="241" t="b">
        <f t="shared" si="92"/>
        <v>1</v>
      </c>
      <c r="D463" s="241" t="str">
        <f t="shared" si="93"/>
        <v>Residential - BHPSD - Residential Lighting &amp; Appliances_Residential Lighting &amp; Appliances :- ES Star Fixture :- Customer Incentives_ENERGY STAR LED Fixture</v>
      </c>
      <c r="E463" s="241" t="str">
        <f t="shared" si="94"/>
        <v>Residential_Residential Lighting_Lighting_ENERGY STAR Fixture</v>
      </c>
      <c r="F463" s="241" t="str">
        <f>INDEX('VDSM MAPPING'!E:E,MATCH($D463,'VDSM MAPPING'!$A:$A,0))</f>
        <v>Residential</v>
      </c>
      <c r="G463" s="241" t="str">
        <f>INDEX('VDSM MAPPING'!F:F,MATCH($D463,'VDSM MAPPING'!$A:$A,0))</f>
        <v>Residential Lighting</v>
      </c>
      <c r="H463" s="241" t="str">
        <f>INDEX('VDSM MAPPING'!G:G,MATCH($D463,'VDSM MAPPING'!$A:$A,0))</f>
        <v>Lighting</v>
      </c>
      <c r="I463" s="241" t="str">
        <f>INDEX('VDSM MAPPING'!H:H,MATCH($D463,'VDSM MAPPING'!$A:$A,0))</f>
        <v>ENERGY STAR Fixture</v>
      </c>
      <c r="J463" s="240">
        <f t="shared" si="95"/>
        <v>7.4344481469969109E-2</v>
      </c>
      <c r="K463" s="240">
        <f t="shared" si="96"/>
        <v>0.4214787522569125</v>
      </c>
      <c r="L463" s="240" t="b">
        <f t="shared" si="97"/>
        <v>0</v>
      </c>
      <c r="M463" s="240" t="b">
        <f t="shared" si="98"/>
        <v>0</v>
      </c>
      <c r="N463" s="204" t="s">
        <v>289</v>
      </c>
      <c r="O463" s="204" t="s">
        <v>1142</v>
      </c>
      <c r="P463" s="350">
        <v>0</v>
      </c>
      <c r="Q463" s="204" t="s">
        <v>1142</v>
      </c>
      <c r="R463" s="204" t="s">
        <v>1141</v>
      </c>
      <c r="S463" s="204" t="s">
        <v>1140</v>
      </c>
      <c r="T463" s="204" t="s">
        <v>1139</v>
      </c>
      <c r="V463" s="204" t="s">
        <v>1138</v>
      </c>
      <c r="W463" s="204" t="s">
        <v>329</v>
      </c>
      <c r="X463" s="204" t="s">
        <v>297</v>
      </c>
      <c r="Y463" s="204" t="s">
        <v>397</v>
      </c>
      <c r="Z463" s="204" t="s">
        <v>1017</v>
      </c>
      <c r="AA463" s="204" t="s">
        <v>1016</v>
      </c>
      <c r="AB463" s="204" t="s">
        <v>329</v>
      </c>
      <c r="AC463" s="204" t="s">
        <v>297</v>
      </c>
      <c r="AD463" s="204" t="s">
        <v>848</v>
      </c>
      <c r="AE463" s="204" t="s">
        <v>1015</v>
      </c>
      <c r="AF463" s="204" t="s">
        <v>1014</v>
      </c>
      <c r="AG463" s="204" t="s">
        <v>895</v>
      </c>
      <c r="AH463" s="204" t="s">
        <v>150</v>
      </c>
      <c r="AV463" s="204" t="s">
        <v>1144</v>
      </c>
      <c r="AX463" s="204">
        <v>1</v>
      </c>
      <c r="AY463" s="204">
        <v>0</v>
      </c>
      <c r="AZ463" s="204">
        <v>4.5999999999999999E-3</v>
      </c>
      <c r="BB463" s="204">
        <v>38.820999999999998</v>
      </c>
      <c r="BH463" s="204">
        <v>0</v>
      </c>
      <c r="BI463" s="204">
        <v>10</v>
      </c>
      <c r="BJ463" s="204">
        <v>42949</v>
      </c>
      <c r="BK463" s="204">
        <v>42942.486203472203</v>
      </c>
      <c r="BL463" s="204" t="s">
        <v>293</v>
      </c>
      <c r="BM463" s="204" t="s">
        <v>1143</v>
      </c>
      <c r="BN463" s="242">
        <f t="shared" si="99"/>
        <v>38.820999999999998</v>
      </c>
      <c r="BO463" s="269">
        <f t="shared" si="100"/>
        <v>10</v>
      </c>
      <c r="BP463" s="269">
        <f>INDEX('App Data Outliers'!$M:$M,MATCH($E463,'App Data Outliers'!$A:$A,0))</f>
        <v>35.519370843989762</v>
      </c>
      <c r="BQ463" s="269">
        <f>INDEX('App Data Outliers'!$N:$N,MATCH($E463,'App Data Outliers'!$A:$A,0))</f>
        <v>44.409875363027503</v>
      </c>
      <c r="BR463" s="269">
        <f>INDEX('App Data Outliers'!$S:$S,MATCH($E463,'App Data Outliers'!$A:$A,0))</f>
        <v>9.3048337595907924</v>
      </c>
      <c r="BS463" s="269">
        <f>INDEX('App Data Outliers'!$T:$T,MATCH($E463,'App Data Outliers'!$A:$A,0))</f>
        <v>1.6493506177636894</v>
      </c>
    </row>
    <row r="464" spans="1:71" s="204" customFormat="1" hidden="1">
      <c r="A464" s="241">
        <v>460</v>
      </c>
      <c r="B464" s="241" t="str">
        <f t="shared" si="91"/>
        <v>Residential - BHPSD - Residential Lighting &amp; Appliances</v>
      </c>
      <c r="C464" s="241" t="b">
        <f t="shared" si="92"/>
        <v>1</v>
      </c>
      <c r="D464" s="241" t="str">
        <f t="shared" si="93"/>
        <v>Residential - BHPSD - Residential Lighting &amp; Appliances_Residential Lighting &amp; Appliances :- ES Star Fixture :- Customer Incentives_ENERGY STAR LED Fixture</v>
      </c>
      <c r="E464" s="241" t="str">
        <f t="shared" si="94"/>
        <v>Residential_Residential Lighting_Lighting_ENERGY STAR Fixture</v>
      </c>
      <c r="F464" s="241" t="str">
        <f>INDEX('VDSM MAPPING'!E:E,MATCH($D464,'VDSM MAPPING'!$A:$A,0))</f>
        <v>Residential</v>
      </c>
      <c r="G464" s="241" t="str">
        <f>INDEX('VDSM MAPPING'!F:F,MATCH($D464,'VDSM MAPPING'!$A:$A,0))</f>
        <v>Residential Lighting</v>
      </c>
      <c r="H464" s="241" t="str">
        <f>INDEX('VDSM MAPPING'!G:G,MATCH($D464,'VDSM MAPPING'!$A:$A,0))</f>
        <v>Lighting</v>
      </c>
      <c r="I464" s="241" t="str">
        <f>INDEX('VDSM MAPPING'!H:H,MATCH($D464,'VDSM MAPPING'!$A:$A,0))</f>
        <v>ENERGY STAR Fixture</v>
      </c>
      <c r="J464" s="240">
        <f t="shared" si="95"/>
        <v>-9.5932961062454206E-2</v>
      </c>
      <c r="K464" s="240">
        <f t="shared" si="96"/>
        <v>-0.42734016163674043</v>
      </c>
      <c r="L464" s="240" t="b">
        <f t="shared" si="97"/>
        <v>0</v>
      </c>
      <c r="M464" s="240" t="b">
        <f t="shared" si="98"/>
        <v>0</v>
      </c>
      <c r="N464" s="204" t="s">
        <v>289</v>
      </c>
      <c r="O464" s="204" t="s">
        <v>1142</v>
      </c>
      <c r="P464" s="350">
        <v>0</v>
      </c>
      <c r="Q464" s="204" t="s">
        <v>1142</v>
      </c>
      <c r="R464" s="204" t="s">
        <v>1141</v>
      </c>
      <c r="S464" s="204" t="s">
        <v>1140</v>
      </c>
      <c r="T464" s="204" t="s">
        <v>1139</v>
      </c>
      <c r="V464" s="204" t="s">
        <v>1138</v>
      </c>
      <c r="W464" s="204" t="s">
        <v>329</v>
      </c>
      <c r="X464" s="204" t="s">
        <v>297</v>
      </c>
      <c r="Y464" s="204" t="s">
        <v>397</v>
      </c>
      <c r="Z464" s="204" t="s">
        <v>1017</v>
      </c>
      <c r="AA464" s="204" t="s">
        <v>1016</v>
      </c>
      <c r="AB464" s="204" t="s">
        <v>329</v>
      </c>
      <c r="AC464" s="204" t="s">
        <v>297</v>
      </c>
      <c r="AD464" s="204" t="s">
        <v>848</v>
      </c>
      <c r="AE464" s="204" t="s">
        <v>1015</v>
      </c>
      <c r="AF464" s="204" t="s">
        <v>1014</v>
      </c>
      <c r="AG464" s="204" t="s">
        <v>895</v>
      </c>
      <c r="AH464" s="204" t="s">
        <v>150</v>
      </c>
      <c r="AV464" s="204" t="s">
        <v>1149</v>
      </c>
      <c r="AX464" s="204">
        <v>1</v>
      </c>
      <c r="AY464" s="204">
        <v>0</v>
      </c>
      <c r="AZ464" s="204">
        <v>3.7000000000000002E-3</v>
      </c>
      <c r="BB464" s="204">
        <v>31.259</v>
      </c>
      <c r="BH464" s="204">
        <v>0</v>
      </c>
      <c r="BI464" s="204">
        <v>8.6</v>
      </c>
      <c r="BJ464" s="204">
        <v>42949</v>
      </c>
      <c r="BK464" s="204">
        <v>42942.486203472203</v>
      </c>
      <c r="BL464" s="204" t="s">
        <v>293</v>
      </c>
      <c r="BM464" s="204" t="s">
        <v>1148</v>
      </c>
      <c r="BN464" s="242">
        <f t="shared" si="99"/>
        <v>31.259</v>
      </c>
      <c r="BO464" s="269">
        <f t="shared" si="100"/>
        <v>8.6</v>
      </c>
      <c r="BP464" s="269">
        <f>INDEX('App Data Outliers'!$M:$M,MATCH($E464,'App Data Outliers'!$A:$A,0))</f>
        <v>35.519370843989762</v>
      </c>
      <c r="BQ464" s="269">
        <f>INDEX('App Data Outliers'!$N:$N,MATCH($E464,'App Data Outliers'!$A:$A,0))</f>
        <v>44.409875363027503</v>
      </c>
      <c r="BR464" s="269">
        <f>INDEX('App Data Outliers'!$S:$S,MATCH($E464,'App Data Outliers'!$A:$A,0))</f>
        <v>9.3048337595907924</v>
      </c>
      <c r="BS464" s="269">
        <f>INDEX('App Data Outliers'!$T:$T,MATCH($E464,'App Data Outliers'!$A:$A,0))</f>
        <v>1.6493506177636894</v>
      </c>
    </row>
    <row r="465" spans="1:71" s="204" customFormat="1" hidden="1">
      <c r="A465" s="241">
        <v>461</v>
      </c>
      <c r="B465" s="241" t="str">
        <f t="shared" si="91"/>
        <v>Residential - BHPSD - Residential Lighting &amp; Appliances</v>
      </c>
      <c r="C465" s="241" t="b">
        <f t="shared" si="92"/>
        <v>1</v>
      </c>
      <c r="D465" s="241" t="str">
        <f t="shared" si="93"/>
        <v>Residential - BHPSD - Residential Lighting &amp; Appliances_Residential Lighting &amp; Appliances :- LED :- Customer Incentives_LED</v>
      </c>
      <c r="E465" s="241" t="str">
        <f t="shared" si="94"/>
        <v>Residential_Residential Lighting_Lighting_LED</v>
      </c>
      <c r="F465" s="241" t="str">
        <f>INDEX('VDSM MAPPING'!E:E,MATCH($D465,'VDSM MAPPING'!$A:$A,0))</f>
        <v>Residential</v>
      </c>
      <c r="G465" s="241" t="str">
        <f>INDEX('VDSM MAPPING'!F:F,MATCH($D465,'VDSM MAPPING'!$A:$A,0))</f>
        <v>Residential Lighting</v>
      </c>
      <c r="H465" s="241" t="str">
        <f>INDEX('VDSM MAPPING'!G:G,MATCH($D465,'VDSM MAPPING'!$A:$A,0))</f>
        <v>Lighting</v>
      </c>
      <c r="I465" s="241" t="str">
        <f>INDEX('VDSM MAPPING'!H:H,MATCH($D465,'VDSM MAPPING'!$A:$A,0))</f>
        <v>LED</v>
      </c>
      <c r="J465" s="240">
        <f t="shared" si="95"/>
        <v>7.6540760934603463E-2</v>
      </c>
      <c r="K465" s="240">
        <f t="shared" si="96"/>
        <v>0.50765345000200468</v>
      </c>
      <c r="L465" s="240" t="b">
        <f t="shared" si="97"/>
        <v>0</v>
      </c>
      <c r="M465" s="240" t="b">
        <f t="shared" si="98"/>
        <v>0</v>
      </c>
      <c r="N465" s="204" t="s">
        <v>289</v>
      </c>
      <c r="O465" s="204" t="s">
        <v>1135</v>
      </c>
      <c r="P465" s="350">
        <v>1</v>
      </c>
      <c r="Q465" s="204" t="s">
        <v>1135</v>
      </c>
      <c r="R465" s="204" t="s">
        <v>1134</v>
      </c>
      <c r="S465" s="204" t="s">
        <v>1133</v>
      </c>
      <c r="T465" s="204" t="s">
        <v>1132</v>
      </c>
      <c r="V465" s="204" t="s">
        <v>1131</v>
      </c>
      <c r="W465" s="204" t="s">
        <v>329</v>
      </c>
      <c r="X465" s="204" t="s">
        <v>297</v>
      </c>
      <c r="Y465" s="204" t="s">
        <v>328</v>
      </c>
      <c r="Z465" s="204" t="s">
        <v>601</v>
      </c>
      <c r="AA465" s="204" t="s">
        <v>600</v>
      </c>
      <c r="AB465" s="204" t="s">
        <v>329</v>
      </c>
      <c r="AC465" s="204" t="s">
        <v>297</v>
      </c>
      <c r="AD465" s="204" t="s">
        <v>599</v>
      </c>
      <c r="AE465" s="204" t="s">
        <v>598</v>
      </c>
      <c r="AG465" s="204" t="s">
        <v>791</v>
      </c>
      <c r="AH465" s="204" t="s">
        <v>151</v>
      </c>
      <c r="AX465" s="204">
        <v>8</v>
      </c>
      <c r="AY465" s="204">
        <v>0</v>
      </c>
      <c r="AZ465" s="204">
        <v>3.04E-2</v>
      </c>
      <c r="BB465" s="204">
        <v>258.13600000000002</v>
      </c>
      <c r="BH465" s="204">
        <v>0</v>
      </c>
      <c r="BI465" s="204">
        <v>36</v>
      </c>
      <c r="BJ465" s="204">
        <v>42944</v>
      </c>
      <c r="BK465" s="204">
        <v>42944.685320451397</v>
      </c>
      <c r="BL465" s="204" t="s">
        <v>293</v>
      </c>
      <c r="BM465" s="204" t="s">
        <v>1130</v>
      </c>
      <c r="BN465" s="242">
        <f t="shared" si="99"/>
        <v>32.267000000000003</v>
      </c>
      <c r="BO465" s="269">
        <f t="shared" si="100"/>
        <v>4.5</v>
      </c>
      <c r="BP465" s="269">
        <f>INDEX('App Data Outliers'!$M:$M,MATCH($E465,'App Data Outliers'!$A:$A,0))</f>
        <v>31.912660854402784</v>
      </c>
      <c r="BQ465" s="269">
        <f>INDEX('App Data Outliers'!$N:$N,MATCH($E465,'App Data Outliers'!$A:$A,0))</f>
        <v>4.6294175975068628</v>
      </c>
      <c r="BR465" s="269">
        <f>INDEX('App Data Outliers'!$S:$S,MATCH($E465,'App Data Outliers'!$A:$A,0))</f>
        <v>3.9162224934612029</v>
      </c>
      <c r="BS465" s="269">
        <f>INDEX('App Data Outliers'!$T:$T,MATCH($E465,'App Data Outliers'!$A:$A,0))</f>
        <v>1.1499528005502413</v>
      </c>
    </row>
    <row r="466" spans="1:71" s="204" customFormat="1" hidden="1">
      <c r="A466" s="241">
        <v>462</v>
      </c>
      <c r="B466" s="241" t="str">
        <f t="shared" si="91"/>
        <v>Residential - BHPSD - Residential Lighting &amp; Appliances</v>
      </c>
      <c r="C466" s="241" t="b">
        <f t="shared" si="92"/>
        <v>1</v>
      </c>
      <c r="D466" s="241" t="str">
        <f t="shared" si="93"/>
        <v>Residential - BHPSD - Residential Lighting &amp; Appliances_Residential Lighting &amp; Appliances :- LED :- Customer Incentives_LED</v>
      </c>
      <c r="E466" s="241" t="str">
        <f t="shared" si="94"/>
        <v>Residential_Residential Lighting_Lighting_LED</v>
      </c>
      <c r="F466" s="241" t="str">
        <f>INDEX('VDSM MAPPING'!E:E,MATCH($D466,'VDSM MAPPING'!$A:$A,0))</f>
        <v>Residential</v>
      </c>
      <c r="G466" s="241" t="str">
        <f>INDEX('VDSM MAPPING'!F:F,MATCH($D466,'VDSM MAPPING'!$A:$A,0))</f>
        <v>Residential Lighting</v>
      </c>
      <c r="H466" s="241" t="str">
        <f>INDEX('VDSM MAPPING'!G:G,MATCH($D466,'VDSM MAPPING'!$A:$A,0))</f>
        <v>Lighting</v>
      </c>
      <c r="I466" s="241" t="str">
        <f>INDEX('VDSM MAPPING'!H:H,MATCH($D466,'VDSM MAPPING'!$A:$A,0))</f>
        <v>LED</v>
      </c>
      <c r="J466" s="240">
        <f t="shared" si="95"/>
        <v>3.3122772436817591E-2</v>
      </c>
      <c r="K466" s="240">
        <f t="shared" si="96"/>
        <v>0.82070977703363912</v>
      </c>
      <c r="L466" s="240" t="b">
        <f t="shared" si="97"/>
        <v>0</v>
      </c>
      <c r="M466" s="240" t="b">
        <f t="shared" si="98"/>
        <v>0</v>
      </c>
      <c r="N466" s="204" t="s">
        <v>289</v>
      </c>
      <c r="O466" s="204" t="s">
        <v>1125</v>
      </c>
      <c r="P466" s="350">
        <v>1</v>
      </c>
      <c r="Q466" s="204" t="s">
        <v>1125</v>
      </c>
      <c r="R466" s="204" t="s">
        <v>1124</v>
      </c>
      <c r="S466" s="204" t="s">
        <v>1123</v>
      </c>
      <c r="T466" s="204" t="s">
        <v>1122</v>
      </c>
      <c r="V466" s="204" t="s">
        <v>1121</v>
      </c>
      <c r="W466" s="204" t="s">
        <v>329</v>
      </c>
      <c r="X466" s="204" t="s">
        <v>297</v>
      </c>
      <c r="Y466" s="204" t="s">
        <v>397</v>
      </c>
      <c r="Z466" s="204" t="s">
        <v>1120</v>
      </c>
      <c r="AA466" s="204" t="s">
        <v>1119</v>
      </c>
      <c r="AB466" s="204" t="s">
        <v>1119</v>
      </c>
      <c r="AC466" s="204" t="s">
        <v>297</v>
      </c>
      <c r="AD466" s="204" t="s">
        <v>397</v>
      </c>
      <c r="AG466" s="204" t="s">
        <v>791</v>
      </c>
      <c r="AH466" s="204" t="s">
        <v>151</v>
      </c>
      <c r="AV466" s="204" t="s">
        <v>1127</v>
      </c>
      <c r="AX466" s="204">
        <v>1</v>
      </c>
      <c r="AY466" s="204">
        <v>0</v>
      </c>
      <c r="AZ466" s="204">
        <v>3.8E-3</v>
      </c>
      <c r="BB466" s="204">
        <v>32.066000000000003</v>
      </c>
      <c r="BH466" s="204">
        <v>0</v>
      </c>
      <c r="BI466" s="204">
        <v>4.8600000000000003</v>
      </c>
      <c r="BJ466" s="204">
        <v>42949</v>
      </c>
      <c r="BK466" s="204">
        <v>42949.573773958298</v>
      </c>
      <c r="BL466" s="204" t="s">
        <v>293</v>
      </c>
      <c r="BM466" s="204" t="s">
        <v>1126</v>
      </c>
      <c r="BN466" s="242">
        <f t="shared" si="99"/>
        <v>32.066000000000003</v>
      </c>
      <c r="BO466" s="269">
        <f t="shared" si="100"/>
        <v>4.8600000000000003</v>
      </c>
      <c r="BP466" s="269">
        <f>INDEX('App Data Outliers'!$M:$M,MATCH($E466,'App Data Outliers'!$A:$A,0))</f>
        <v>31.912660854402784</v>
      </c>
      <c r="BQ466" s="269">
        <f>INDEX('App Data Outliers'!$N:$N,MATCH($E466,'App Data Outliers'!$A:$A,0))</f>
        <v>4.6294175975068628</v>
      </c>
      <c r="BR466" s="269">
        <f>INDEX('App Data Outliers'!$S:$S,MATCH($E466,'App Data Outliers'!$A:$A,0))</f>
        <v>3.9162224934612029</v>
      </c>
      <c r="BS466" s="269">
        <f>INDEX('App Data Outliers'!$T:$T,MATCH($E466,'App Data Outliers'!$A:$A,0))</f>
        <v>1.1499528005502413</v>
      </c>
    </row>
    <row r="467" spans="1:71" s="204" customFormat="1" hidden="1">
      <c r="A467" s="241">
        <v>463</v>
      </c>
      <c r="B467" s="241" t="str">
        <f t="shared" si="91"/>
        <v>Residential - BHPSD - Residential Lighting &amp; Appliances</v>
      </c>
      <c r="C467" s="241" t="b">
        <f t="shared" si="92"/>
        <v>1</v>
      </c>
      <c r="D467" s="241" t="str">
        <f t="shared" si="93"/>
        <v>Residential - BHPSD - Residential Lighting &amp; Appliances_Residential Lighting &amp; Appliances :- LED :- Customer Incentives_LED</v>
      </c>
      <c r="E467" s="241" t="str">
        <f t="shared" si="94"/>
        <v>Residential_Residential Lighting_Lighting_LED</v>
      </c>
      <c r="F467" s="241" t="str">
        <f>INDEX('VDSM MAPPING'!E:E,MATCH($D467,'VDSM MAPPING'!$A:$A,0))</f>
        <v>Residential</v>
      </c>
      <c r="G467" s="241" t="str">
        <f>INDEX('VDSM MAPPING'!F:F,MATCH($D467,'VDSM MAPPING'!$A:$A,0))</f>
        <v>Residential Lighting</v>
      </c>
      <c r="H467" s="241" t="str">
        <f>INDEX('VDSM MAPPING'!G:G,MATCH($D467,'VDSM MAPPING'!$A:$A,0))</f>
        <v>Lighting</v>
      </c>
      <c r="I467" s="241" t="str">
        <f>INDEX('VDSM MAPPING'!H:H,MATCH($D467,'VDSM MAPPING'!$A:$A,0))</f>
        <v>LED</v>
      </c>
      <c r="J467" s="240">
        <f t="shared" si="95"/>
        <v>0.25086074460481689</v>
      </c>
      <c r="K467" s="240">
        <f t="shared" si="96"/>
        <v>6.4156986707189251E-2</v>
      </c>
      <c r="L467" s="240" t="b">
        <f t="shared" si="97"/>
        <v>0</v>
      </c>
      <c r="M467" s="240" t="b">
        <f t="shared" si="98"/>
        <v>0</v>
      </c>
      <c r="N467" s="204" t="s">
        <v>289</v>
      </c>
      <c r="O467" s="204" t="s">
        <v>1125</v>
      </c>
      <c r="P467" s="350">
        <v>0</v>
      </c>
      <c r="Q467" s="204" t="s">
        <v>1125</v>
      </c>
      <c r="R467" s="204" t="s">
        <v>1124</v>
      </c>
      <c r="S467" s="204" t="s">
        <v>1123</v>
      </c>
      <c r="T467" s="204" t="s">
        <v>1122</v>
      </c>
      <c r="V467" s="204" t="s">
        <v>1121</v>
      </c>
      <c r="W467" s="204" t="s">
        <v>329</v>
      </c>
      <c r="X467" s="204" t="s">
        <v>297</v>
      </c>
      <c r="Y467" s="204" t="s">
        <v>397</v>
      </c>
      <c r="Z467" s="204" t="s">
        <v>1120</v>
      </c>
      <c r="AA467" s="204" t="s">
        <v>1119</v>
      </c>
      <c r="AB467" s="204" t="s">
        <v>1119</v>
      </c>
      <c r="AC467" s="204" t="s">
        <v>297</v>
      </c>
      <c r="AD467" s="204" t="s">
        <v>397</v>
      </c>
      <c r="AG467" s="204" t="s">
        <v>791</v>
      </c>
      <c r="AH467" s="204" t="s">
        <v>151</v>
      </c>
      <c r="AV467" s="204" t="s">
        <v>1129</v>
      </c>
      <c r="AX467" s="204">
        <v>14</v>
      </c>
      <c r="AY467" s="204">
        <v>0</v>
      </c>
      <c r="AZ467" s="204">
        <v>5.4600000000000003E-2</v>
      </c>
      <c r="BB467" s="204">
        <v>463.036</v>
      </c>
      <c r="BH467" s="204">
        <v>0</v>
      </c>
      <c r="BI467" s="204">
        <v>55.86</v>
      </c>
      <c r="BJ467" s="204">
        <v>42949</v>
      </c>
      <c r="BK467" s="204">
        <v>42949.573773958298</v>
      </c>
      <c r="BL467" s="204" t="s">
        <v>293</v>
      </c>
      <c r="BM467" s="204" t="s">
        <v>1128</v>
      </c>
      <c r="BN467" s="242">
        <f t="shared" si="99"/>
        <v>33.073999999999998</v>
      </c>
      <c r="BO467" s="269">
        <f t="shared" si="100"/>
        <v>3.9899999999999998</v>
      </c>
      <c r="BP467" s="269">
        <f>INDEX('App Data Outliers'!$M:$M,MATCH($E467,'App Data Outliers'!$A:$A,0))</f>
        <v>31.912660854402784</v>
      </c>
      <c r="BQ467" s="269">
        <f>INDEX('App Data Outliers'!$N:$N,MATCH($E467,'App Data Outliers'!$A:$A,0))</f>
        <v>4.6294175975068628</v>
      </c>
      <c r="BR467" s="269">
        <f>INDEX('App Data Outliers'!$S:$S,MATCH($E467,'App Data Outliers'!$A:$A,0))</f>
        <v>3.9162224934612029</v>
      </c>
      <c r="BS467" s="269">
        <f>INDEX('App Data Outliers'!$T:$T,MATCH($E467,'App Data Outliers'!$A:$A,0))</f>
        <v>1.1499528005502413</v>
      </c>
    </row>
    <row r="468" spans="1:71" s="204" customFormat="1" hidden="1">
      <c r="A468" s="241">
        <v>464</v>
      </c>
      <c r="B468" s="241" t="str">
        <f t="shared" si="91"/>
        <v>Residential - BHPSD - Residential Lighting &amp; Appliances</v>
      </c>
      <c r="C468" s="241" t="b">
        <f t="shared" si="92"/>
        <v>1</v>
      </c>
      <c r="D468" s="241" t="str">
        <f t="shared" si="93"/>
        <v>Residential - BHPSD - Residential Lighting &amp; Appliances_Residential Lighting &amp; Appliances :- LED :- Customer Incentives_LED</v>
      </c>
      <c r="E468" s="241" t="str">
        <f t="shared" si="94"/>
        <v>Residential_Residential Lighting_Lighting_LED</v>
      </c>
      <c r="F468" s="241" t="str">
        <f>INDEX('VDSM MAPPING'!E:E,MATCH($D468,'VDSM MAPPING'!$A:$A,0))</f>
        <v>Residential</v>
      </c>
      <c r="G468" s="241" t="str">
        <f>INDEX('VDSM MAPPING'!F:F,MATCH($D468,'VDSM MAPPING'!$A:$A,0))</f>
        <v>Residential Lighting</v>
      </c>
      <c r="H468" s="241" t="str">
        <f>INDEX('VDSM MAPPING'!G:G,MATCH($D468,'VDSM MAPPING'!$A:$A,0))</f>
        <v>Lighting</v>
      </c>
      <c r="I468" s="241" t="str">
        <f>INDEX('VDSM MAPPING'!H:H,MATCH($D468,'VDSM MAPPING'!$A:$A,0))</f>
        <v>LED</v>
      </c>
      <c r="J468" s="240">
        <f t="shared" si="95"/>
        <v>3.3122772436816057E-2</v>
      </c>
      <c r="K468" s="240">
        <f t="shared" si="96"/>
        <v>3.2849231177049599E-3</v>
      </c>
      <c r="L468" s="240" t="b">
        <f t="shared" si="97"/>
        <v>0</v>
      </c>
      <c r="M468" s="240" t="b">
        <f t="shared" si="98"/>
        <v>0</v>
      </c>
      <c r="N468" s="204" t="s">
        <v>289</v>
      </c>
      <c r="O468" s="204" t="s">
        <v>1125</v>
      </c>
      <c r="P468" s="350">
        <v>0</v>
      </c>
      <c r="Q468" s="204" t="s">
        <v>1125</v>
      </c>
      <c r="R468" s="204" t="s">
        <v>1124</v>
      </c>
      <c r="S468" s="204" t="s">
        <v>1123</v>
      </c>
      <c r="T468" s="204" t="s">
        <v>1122</v>
      </c>
      <c r="V468" s="204" t="s">
        <v>1121</v>
      </c>
      <c r="W468" s="204" t="s">
        <v>329</v>
      </c>
      <c r="X468" s="204" t="s">
        <v>297</v>
      </c>
      <c r="Y468" s="204" t="s">
        <v>397</v>
      </c>
      <c r="Z468" s="204" t="s">
        <v>1120</v>
      </c>
      <c r="AA468" s="204" t="s">
        <v>1119</v>
      </c>
      <c r="AB468" s="204" t="s">
        <v>1119</v>
      </c>
      <c r="AC468" s="204" t="s">
        <v>297</v>
      </c>
      <c r="AD468" s="204" t="s">
        <v>397</v>
      </c>
      <c r="AG468" s="204" t="s">
        <v>791</v>
      </c>
      <c r="AH468" s="204" t="s">
        <v>151</v>
      </c>
      <c r="AV468" s="204" t="s">
        <v>1118</v>
      </c>
      <c r="AX468" s="204">
        <v>24</v>
      </c>
      <c r="AY468" s="204">
        <v>0</v>
      </c>
      <c r="AZ468" s="204">
        <v>9.1200000000000003E-2</v>
      </c>
      <c r="BB468" s="204">
        <v>769.58399999999995</v>
      </c>
      <c r="BH468" s="204">
        <v>0</v>
      </c>
      <c r="BI468" s="204">
        <v>94.08</v>
      </c>
      <c r="BJ468" s="204">
        <v>42949</v>
      </c>
      <c r="BK468" s="204">
        <v>42949.573773958298</v>
      </c>
      <c r="BL468" s="204" t="s">
        <v>293</v>
      </c>
      <c r="BM468" s="204" t="s">
        <v>1117</v>
      </c>
      <c r="BN468" s="242">
        <f t="shared" si="99"/>
        <v>32.065999999999995</v>
      </c>
      <c r="BO468" s="269">
        <f t="shared" si="100"/>
        <v>3.92</v>
      </c>
      <c r="BP468" s="269">
        <f>INDEX('App Data Outliers'!$M:$M,MATCH($E468,'App Data Outliers'!$A:$A,0))</f>
        <v>31.912660854402784</v>
      </c>
      <c r="BQ468" s="269">
        <f>INDEX('App Data Outliers'!$N:$N,MATCH($E468,'App Data Outliers'!$A:$A,0))</f>
        <v>4.6294175975068628</v>
      </c>
      <c r="BR468" s="269">
        <f>INDEX('App Data Outliers'!$S:$S,MATCH($E468,'App Data Outliers'!$A:$A,0))</f>
        <v>3.9162224934612029</v>
      </c>
      <c r="BS468" s="269">
        <f>INDEX('App Data Outliers'!$T:$T,MATCH($E468,'App Data Outliers'!$A:$A,0))</f>
        <v>1.1499528005502413</v>
      </c>
    </row>
    <row r="469" spans="1:71" s="204" customFormat="1" hidden="1">
      <c r="A469" s="241">
        <v>465</v>
      </c>
      <c r="B469" s="241" t="str">
        <f t="shared" si="91"/>
        <v>Residential - BHPSD - Residential Lighting &amp; Appliances</v>
      </c>
      <c r="C469" s="241" t="b">
        <f t="shared" si="92"/>
        <v>1</v>
      </c>
      <c r="D469" s="241" t="str">
        <f t="shared" si="93"/>
        <v>Residential - BHPSD - Residential Lighting &amp; Appliances_Residential Lighting &amp; Appliances :- LED :- Customer Incentives_LED</v>
      </c>
      <c r="E469" s="241" t="str">
        <f t="shared" si="94"/>
        <v>Residential_Residential Lighting_Lighting_LED</v>
      </c>
      <c r="F469" s="241" t="str">
        <f>INDEX('VDSM MAPPING'!E:E,MATCH($D469,'VDSM MAPPING'!$A:$A,0))</f>
        <v>Residential</v>
      </c>
      <c r="G469" s="241" t="str">
        <f>INDEX('VDSM MAPPING'!F:F,MATCH($D469,'VDSM MAPPING'!$A:$A,0))</f>
        <v>Residential Lighting</v>
      </c>
      <c r="H469" s="241" t="str">
        <f>INDEX('VDSM MAPPING'!G:G,MATCH($D469,'VDSM MAPPING'!$A:$A,0))</f>
        <v>Lighting</v>
      </c>
      <c r="I469" s="241" t="str">
        <f>INDEX('VDSM MAPPING'!H:H,MATCH($D469,'VDSM MAPPING'!$A:$A,0))</f>
        <v>LED</v>
      </c>
      <c r="J469" s="240">
        <f t="shared" si="95"/>
        <v>0.40336372907962731</v>
      </c>
      <c r="K469" s="240">
        <f t="shared" si="96"/>
        <v>-1.7707009300615557</v>
      </c>
      <c r="L469" s="240" t="b">
        <f t="shared" si="97"/>
        <v>0</v>
      </c>
      <c r="M469" s="240" t="b">
        <f t="shared" si="98"/>
        <v>0</v>
      </c>
      <c r="N469" s="204" t="s">
        <v>289</v>
      </c>
      <c r="O469" s="204" t="s">
        <v>1109</v>
      </c>
      <c r="P469" s="350">
        <v>1</v>
      </c>
      <c r="Q469" s="204" t="s">
        <v>1109</v>
      </c>
      <c r="R469" s="204" t="s">
        <v>1108</v>
      </c>
      <c r="S469" s="204" t="s">
        <v>1107</v>
      </c>
      <c r="T469" s="204" t="s">
        <v>1106</v>
      </c>
      <c r="V469" s="204" t="s">
        <v>1105</v>
      </c>
      <c r="W469" s="204" t="s">
        <v>329</v>
      </c>
      <c r="X469" s="204" t="s">
        <v>297</v>
      </c>
      <c r="Y469" s="204" t="s">
        <v>397</v>
      </c>
      <c r="Z469" s="204" t="s">
        <v>850</v>
      </c>
      <c r="AA469" s="204" t="s">
        <v>849</v>
      </c>
      <c r="AB469" s="204" t="s">
        <v>329</v>
      </c>
      <c r="AC469" s="204" t="s">
        <v>297</v>
      </c>
      <c r="AD469" s="204" t="s">
        <v>848</v>
      </c>
      <c r="AE469" s="204" t="s">
        <v>847</v>
      </c>
      <c r="AG469" s="204" t="s">
        <v>791</v>
      </c>
      <c r="AH469" s="204" t="s">
        <v>151</v>
      </c>
      <c r="AV469" s="204" t="s">
        <v>1111</v>
      </c>
      <c r="AX469" s="204">
        <v>4</v>
      </c>
      <c r="AY469" s="204">
        <v>0</v>
      </c>
      <c r="AZ469" s="204">
        <v>1.6E-2</v>
      </c>
      <c r="BB469" s="204">
        <v>135.12</v>
      </c>
      <c r="BH469" s="204">
        <v>0</v>
      </c>
      <c r="BI469" s="204">
        <v>7.52</v>
      </c>
      <c r="BJ469" s="204">
        <v>42954</v>
      </c>
      <c r="BK469" s="204">
        <v>42954.5407716435</v>
      </c>
      <c r="BL469" s="204" t="s">
        <v>293</v>
      </c>
      <c r="BM469" s="204" t="s">
        <v>1110</v>
      </c>
      <c r="BN469" s="242">
        <f t="shared" si="99"/>
        <v>33.78</v>
      </c>
      <c r="BO469" s="269">
        <f t="shared" si="100"/>
        <v>1.88</v>
      </c>
      <c r="BP469" s="269">
        <f>INDEX('App Data Outliers'!$M:$M,MATCH($E469,'App Data Outliers'!$A:$A,0))</f>
        <v>31.912660854402784</v>
      </c>
      <c r="BQ469" s="269">
        <f>INDEX('App Data Outliers'!$N:$N,MATCH($E469,'App Data Outliers'!$A:$A,0))</f>
        <v>4.6294175975068628</v>
      </c>
      <c r="BR469" s="269">
        <f>INDEX('App Data Outliers'!$S:$S,MATCH($E469,'App Data Outliers'!$A:$A,0))</f>
        <v>3.9162224934612029</v>
      </c>
      <c r="BS469" s="269">
        <f>INDEX('App Data Outliers'!$T:$T,MATCH($E469,'App Data Outliers'!$A:$A,0))</f>
        <v>1.1499528005502413</v>
      </c>
    </row>
    <row r="470" spans="1:71" s="204" customFormat="1" hidden="1">
      <c r="A470" s="241">
        <v>466</v>
      </c>
      <c r="B470" s="241" t="str">
        <f t="shared" si="91"/>
        <v>Residential - BHPSD - Residential Lighting &amp; Appliances</v>
      </c>
      <c r="C470" s="241" t="b">
        <f t="shared" si="92"/>
        <v>1</v>
      </c>
      <c r="D470" s="241" t="str">
        <f t="shared" si="93"/>
        <v>Residential - BHPSD - Residential Lighting &amp; Appliances_Residential Lighting &amp; Appliances :- LED :- Customer Incentives_LED</v>
      </c>
      <c r="E470" s="241" t="str">
        <f t="shared" si="94"/>
        <v>Residential_Residential Lighting_Lighting_LED</v>
      </c>
      <c r="F470" s="241" t="str">
        <f>INDEX('VDSM MAPPING'!E:E,MATCH($D470,'VDSM MAPPING'!$A:$A,0))</f>
        <v>Residential</v>
      </c>
      <c r="G470" s="241" t="str">
        <f>INDEX('VDSM MAPPING'!F:F,MATCH($D470,'VDSM MAPPING'!$A:$A,0))</f>
        <v>Residential Lighting</v>
      </c>
      <c r="H470" s="241" t="str">
        <f>INDEX('VDSM MAPPING'!G:G,MATCH($D470,'VDSM MAPPING'!$A:$A,0))</f>
        <v>Lighting</v>
      </c>
      <c r="I470" s="241" t="str">
        <f>INDEX('VDSM MAPPING'!H:H,MATCH($D470,'VDSM MAPPING'!$A:$A,0))</f>
        <v>LED</v>
      </c>
      <c r="J470" s="240">
        <f t="shared" si="95"/>
        <v>0.51223271516362701</v>
      </c>
      <c r="K470" s="240">
        <f t="shared" si="96"/>
        <v>-1.7793969391457676</v>
      </c>
      <c r="L470" s="240" t="b">
        <f t="shared" si="97"/>
        <v>0</v>
      </c>
      <c r="M470" s="240" t="b">
        <f t="shared" si="98"/>
        <v>0</v>
      </c>
      <c r="N470" s="204" t="s">
        <v>289</v>
      </c>
      <c r="O470" s="204" t="s">
        <v>1109</v>
      </c>
      <c r="P470" s="350">
        <v>0</v>
      </c>
      <c r="Q470" s="204" t="s">
        <v>1109</v>
      </c>
      <c r="R470" s="204" t="s">
        <v>1108</v>
      </c>
      <c r="S470" s="204" t="s">
        <v>1107</v>
      </c>
      <c r="T470" s="204" t="s">
        <v>1106</v>
      </c>
      <c r="V470" s="204" t="s">
        <v>1105</v>
      </c>
      <c r="W470" s="204" t="s">
        <v>329</v>
      </c>
      <c r="X470" s="204" t="s">
        <v>297</v>
      </c>
      <c r="Y470" s="204" t="s">
        <v>397</v>
      </c>
      <c r="Z470" s="204" t="s">
        <v>850</v>
      </c>
      <c r="AA470" s="204" t="s">
        <v>849</v>
      </c>
      <c r="AB470" s="204" t="s">
        <v>329</v>
      </c>
      <c r="AC470" s="204" t="s">
        <v>297</v>
      </c>
      <c r="AD470" s="204" t="s">
        <v>848</v>
      </c>
      <c r="AE470" s="204" t="s">
        <v>847</v>
      </c>
      <c r="AG470" s="204" t="s">
        <v>791</v>
      </c>
      <c r="AH470" s="204" t="s">
        <v>151</v>
      </c>
      <c r="AV470" s="204" t="s">
        <v>985</v>
      </c>
      <c r="AX470" s="204">
        <v>8</v>
      </c>
      <c r="AY470" s="204">
        <v>0</v>
      </c>
      <c r="AZ470" s="204">
        <v>3.2000000000000001E-2</v>
      </c>
      <c r="BB470" s="204">
        <v>274.27199999999999</v>
      </c>
      <c r="BH470" s="204">
        <v>0</v>
      </c>
      <c r="BI470" s="204">
        <v>14.96</v>
      </c>
      <c r="BJ470" s="204">
        <v>42954</v>
      </c>
      <c r="BK470" s="204">
        <v>42954.5407716435</v>
      </c>
      <c r="BL470" s="204" t="s">
        <v>293</v>
      </c>
      <c r="BM470" s="204" t="s">
        <v>1104</v>
      </c>
      <c r="BN470" s="242">
        <f t="shared" si="99"/>
        <v>34.283999999999999</v>
      </c>
      <c r="BO470" s="269">
        <f t="shared" si="100"/>
        <v>1.87</v>
      </c>
      <c r="BP470" s="269">
        <f>INDEX('App Data Outliers'!$M:$M,MATCH($E470,'App Data Outliers'!$A:$A,0))</f>
        <v>31.912660854402784</v>
      </c>
      <c r="BQ470" s="269">
        <f>INDEX('App Data Outliers'!$N:$N,MATCH($E470,'App Data Outliers'!$A:$A,0))</f>
        <v>4.6294175975068628</v>
      </c>
      <c r="BR470" s="269">
        <f>INDEX('App Data Outliers'!$S:$S,MATCH($E470,'App Data Outliers'!$A:$A,0))</f>
        <v>3.9162224934612029</v>
      </c>
      <c r="BS470" s="269">
        <f>INDEX('App Data Outliers'!$T:$T,MATCH($E470,'App Data Outliers'!$A:$A,0))</f>
        <v>1.1499528005502413</v>
      </c>
    </row>
    <row r="471" spans="1:71" s="204" customFormat="1" hidden="1">
      <c r="A471" s="241">
        <v>467</v>
      </c>
      <c r="B471" s="241" t="str">
        <f t="shared" si="91"/>
        <v>Residential - BHPSD - Residential Lighting &amp; Appliances</v>
      </c>
      <c r="C471" s="241" t="b">
        <f t="shared" si="92"/>
        <v>1</v>
      </c>
      <c r="D471" s="241" t="str">
        <f t="shared" si="93"/>
        <v>Residential - BHPSD - Residential Lighting &amp; Appliances_Residential Lighting &amp; Appliances :- LED :- Customer Incentives_LED</v>
      </c>
      <c r="E471" s="241" t="str">
        <f t="shared" si="94"/>
        <v>Residential_Residential Lighting_Lighting_LED</v>
      </c>
      <c r="F471" s="241" t="str">
        <f>INDEX('VDSM MAPPING'!E:E,MATCH($D471,'VDSM MAPPING'!$A:$A,0))</f>
        <v>Residential</v>
      </c>
      <c r="G471" s="241" t="str">
        <f>INDEX('VDSM MAPPING'!F:F,MATCH($D471,'VDSM MAPPING'!$A:$A,0))</f>
        <v>Residential Lighting</v>
      </c>
      <c r="H471" s="241" t="str">
        <f>INDEX('VDSM MAPPING'!G:G,MATCH($D471,'VDSM MAPPING'!$A:$A,0))</f>
        <v>Lighting</v>
      </c>
      <c r="I471" s="241" t="str">
        <f>INDEX('VDSM MAPPING'!H:H,MATCH($D471,'VDSM MAPPING'!$A:$A,0))</f>
        <v>LED</v>
      </c>
      <c r="J471" s="240">
        <f t="shared" si="95"/>
        <v>-0.14119721123339737</v>
      </c>
      <c r="K471" s="240">
        <f t="shared" si="96"/>
        <v>-0.36194745841920162</v>
      </c>
      <c r="L471" s="240" t="b">
        <f t="shared" si="97"/>
        <v>0</v>
      </c>
      <c r="M471" s="240" t="b">
        <f t="shared" si="98"/>
        <v>0</v>
      </c>
      <c r="N471" s="204" t="s">
        <v>289</v>
      </c>
      <c r="O471" s="204" t="s">
        <v>1109</v>
      </c>
      <c r="P471" s="350">
        <v>0</v>
      </c>
      <c r="Q471" s="204" t="s">
        <v>1109</v>
      </c>
      <c r="R471" s="204" t="s">
        <v>1108</v>
      </c>
      <c r="S471" s="204" t="s">
        <v>1107</v>
      </c>
      <c r="T471" s="204" t="s">
        <v>1106</v>
      </c>
      <c r="V471" s="204" t="s">
        <v>1105</v>
      </c>
      <c r="W471" s="204" t="s">
        <v>329</v>
      </c>
      <c r="X471" s="204" t="s">
        <v>297</v>
      </c>
      <c r="Y471" s="204" t="s">
        <v>397</v>
      </c>
      <c r="Z471" s="204" t="s">
        <v>850</v>
      </c>
      <c r="AA471" s="204" t="s">
        <v>849</v>
      </c>
      <c r="AB471" s="204" t="s">
        <v>329</v>
      </c>
      <c r="AC471" s="204" t="s">
        <v>297</v>
      </c>
      <c r="AD471" s="204" t="s">
        <v>848</v>
      </c>
      <c r="AE471" s="204" t="s">
        <v>847</v>
      </c>
      <c r="AG471" s="204" t="s">
        <v>791</v>
      </c>
      <c r="AH471" s="204" t="s">
        <v>151</v>
      </c>
      <c r="AV471" s="204" t="s">
        <v>1115</v>
      </c>
      <c r="AX471" s="204">
        <v>8</v>
      </c>
      <c r="AY471" s="204">
        <v>0</v>
      </c>
      <c r="AZ471" s="204">
        <v>2.9600000000000001E-2</v>
      </c>
      <c r="BB471" s="204">
        <v>250.072</v>
      </c>
      <c r="BH471" s="204">
        <v>0</v>
      </c>
      <c r="BI471" s="204">
        <v>28</v>
      </c>
      <c r="BJ471" s="204">
        <v>42954</v>
      </c>
      <c r="BK471" s="204">
        <v>42954.5407716435</v>
      </c>
      <c r="BL471" s="204" t="s">
        <v>293</v>
      </c>
      <c r="BM471" s="204" t="s">
        <v>1114</v>
      </c>
      <c r="BN471" s="242">
        <f t="shared" si="99"/>
        <v>31.259</v>
      </c>
      <c r="BO471" s="269">
        <f t="shared" si="100"/>
        <v>3.5</v>
      </c>
      <c r="BP471" s="269">
        <f>INDEX('App Data Outliers'!$M:$M,MATCH($E471,'App Data Outliers'!$A:$A,0))</f>
        <v>31.912660854402784</v>
      </c>
      <c r="BQ471" s="269">
        <f>INDEX('App Data Outliers'!$N:$N,MATCH($E471,'App Data Outliers'!$A:$A,0))</f>
        <v>4.6294175975068628</v>
      </c>
      <c r="BR471" s="269">
        <f>INDEX('App Data Outliers'!$S:$S,MATCH($E471,'App Data Outliers'!$A:$A,0))</f>
        <v>3.9162224934612029</v>
      </c>
      <c r="BS471" s="269">
        <f>INDEX('App Data Outliers'!$T:$T,MATCH($E471,'App Data Outliers'!$A:$A,0))</f>
        <v>1.1499528005502413</v>
      </c>
    </row>
    <row r="472" spans="1:71" s="204" customFormat="1" hidden="1">
      <c r="A472" s="241">
        <v>468</v>
      </c>
      <c r="B472" s="241" t="str">
        <f t="shared" si="91"/>
        <v>Residential - BHPSD - Residential Lighting &amp; Appliances</v>
      </c>
      <c r="C472" s="241" t="b">
        <f t="shared" si="92"/>
        <v>1</v>
      </c>
      <c r="D472" s="241" t="str">
        <f t="shared" si="93"/>
        <v>Residential - BHPSD - Residential Lighting &amp; Appliances_Residential Lighting &amp; Appliances :- LED :- Customer Incentives_LED</v>
      </c>
      <c r="E472" s="241" t="str">
        <f t="shared" si="94"/>
        <v>Residential_Residential Lighting_Lighting_LED</v>
      </c>
      <c r="F472" s="241" t="str">
        <f>INDEX('VDSM MAPPING'!E:E,MATCH($D472,'VDSM MAPPING'!$A:$A,0))</f>
        <v>Residential</v>
      </c>
      <c r="G472" s="241" t="str">
        <f>INDEX('VDSM MAPPING'!F:F,MATCH($D472,'VDSM MAPPING'!$A:$A,0))</f>
        <v>Residential Lighting</v>
      </c>
      <c r="H472" s="241" t="str">
        <f>INDEX('VDSM MAPPING'!G:G,MATCH($D472,'VDSM MAPPING'!$A:$A,0))</f>
        <v>Lighting</v>
      </c>
      <c r="I472" s="241" t="str">
        <f>INDEX('VDSM MAPPING'!H:H,MATCH($D472,'VDSM MAPPING'!$A:$A,0))</f>
        <v>LED</v>
      </c>
      <c r="J472" s="240">
        <f t="shared" si="95"/>
        <v>-1.8837490182564711</v>
      </c>
      <c r="K472" s="240">
        <f t="shared" si="96"/>
        <v>-2.2141973933563706</v>
      </c>
      <c r="L472" s="240" t="b">
        <f t="shared" si="97"/>
        <v>0</v>
      </c>
      <c r="M472" s="240" t="b">
        <f t="shared" si="98"/>
        <v>1</v>
      </c>
      <c r="N472" s="204" t="s">
        <v>289</v>
      </c>
      <c r="O472" s="204" t="s">
        <v>1109</v>
      </c>
      <c r="P472" s="350">
        <v>0</v>
      </c>
      <c r="Q472" s="204" t="s">
        <v>1109</v>
      </c>
      <c r="R472" s="204" t="s">
        <v>1108</v>
      </c>
      <c r="S472" s="204" t="s">
        <v>1107</v>
      </c>
      <c r="T472" s="204" t="s">
        <v>1106</v>
      </c>
      <c r="V472" s="204" t="s">
        <v>1105</v>
      </c>
      <c r="W472" s="204" t="s">
        <v>329</v>
      </c>
      <c r="X472" s="204" t="s">
        <v>297</v>
      </c>
      <c r="Y472" s="204" t="s">
        <v>397</v>
      </c>
      <c r="Z472" s="204" t="s">
        <v>850</v>
      </c>
      <c r="AA472" s="204" t="s">
        <v>849</v>
      </c>
      <c r="AB472" s="204" t="s">
        <v>329</v>
      </c>
      <c r="AC472" s="204" t="s">
        <v>297</v>
      </c>
      <c r="AD472" s="204" t="s">
        <v>848</v>
      </c>
      <c r="AE472" s="204" t="s">
        <v>847</v>
      </c>
      <c r="AG472" s="204" t="s">
        <v>791</v>
      </c>
      <c r="AH472" s="204" t="s">
        <v>151</v>
      </c>
      <c r="AV472" s="204" t="s">
        <v>1113</v>
      </c>
      <c r="AX472" s="204">
        <v>4</v>
      </c>
      <c r="AY472" s="204">
        <v>0</v>
      </c>
      <c r="AZ472" s="204">
        <v>1.0800000000000001E-2</v>
      </c>
      <c r="BB472" s="204">
        <v>92.768000000000001</v>
      </c>
      <c r="BH472" s="204">
        <v>0</v>
      </c>
      <c r="BI472" s="204">
        <v>5.48</v>
      </c>
      <c r="BJ472" s="204">
        <v>42954</v>
      </c>
      <c r="BK472" s="204">
        <v>42954.5407716435</v>
      </c>
      <c r="BL472" s="204" t="s">
        <v>293</v>
      </c>
      <c r="BM472" s="204" t="s">
        <v>1112</v>
      </c>
      <c r="BN472" s="242">
        <f t="shared" si="99"/>
        <v>23.192</v>
      </c>
      <c r="BO472" s="269">
        <f t="shared" si="100"/>
        <v>1.37</v>
      </c>
      <c r="BP472" s="269">
        <f>INDEX('App Data Outliers'!$M:$M,MATCH($E472,'App Data Outliers'!$A:$A,0))</f>
        <v>31.912660854402784</v>
      </c>
      <c r="BQ472" s="269">
        <f>INDEX('App Data Outliers'!$N:$N,MATCH($E472,'App Data Outliers'!$A:$A,0))</f>
        <v>4.6294175975068628</v>
      </c>
      <c r="BR472" s="269">
        <f>INDEX('App Data Outliers'!$S:$S,MATCH($E472,'App Data Outliers'!$A:$A,0))</f>
        <v>3.9162224934612029</v>
      </c>
      <c r="BS472" s="269">
        <f>INDEX('App Data Outliers'!$T:$T,MATCH($E472,'App Data Outliers'!$A:$A,0))</f>
        <v>1.1499528005502413</v>
      </c>
    </row>
    <row r="473" spans="1:71" s="204" customFormat="1" hidden="1">
      <c r="A473" s="241">
        <v>469</v>
      </c>
      <c r="B473" s="241" t="str">
        <f t="shared" si="91"/>
        <v>Residential - BHPSD - Residential Lighting &amp; Appliances</v>
      </c>
      <c r="C473" s="241" t="b">
        <f t="shared" si="92"/>
        <v>1</v>
      </c>
      <c r="D473" s="241" t="str">
        <f t="shared" si="93"/>
        <v>Residential - BHPSD - Residential Lighting &amp; Appliances_Residential Lighting &amp; Appliances :- LED :- Customer Incentives_LED</v>
      </c>
      <c r="E473" s="241" t="str">
        <f t="shared" si="94"/>
        <v>Residential_Residential Lighting_Lighting_LED</v>
      </c>
      <c r="F473" s="241" t="str">
        <f>INDEX('VDSM MAPPING'!E:E,MATCH($D473,'VDSM MAPPING'!$A:$A,0))</f>
        <v>Residential</v>
      </c>
      <c r="G473" s="241" t="str">
        <f>INDEX('VDSM MAPPING'!F:F,MATCH($D473,'VDSM MAPPING'!$A:$A,0))</f>
        <v>Residential Lighting</v>
      </c>
      <c r="H473" s="241" t="str">
        <f>INDEX('VDSM MAPPING'!G:G,MATCH($D473,'VDSM MAPPING'!$A:$A,0))</f>
        <v>Lighting</v>
      </c>
      <c r="I473" s="241" t="str">
        <f>INDEX('VDSM MAPPING'!H:H,MATCH($D473,'VDSM MAPPING'!$A:$A,0))</f>
        <v>LED</v>
      </c>
      <c r="J473" s="240">
        <f t="shared" si="95"/>
        <v>1.3834006137286521</v>
      </c>
      <c r="K473" s="240">
        <f t="shared" si="96"/>
        <v>0.94245390421260777</v>
      </c>
      <c r="L473" s="240" t="b">
        <f t="shared" si="97"/>
        <v>0</v>
      </c>
      <c r="M473" s="240" t="b">
        <f t="shared" si="98"/>
        <v>0</v>
      </c>
      <c r="N473" s="204" t="s">
        <v>289</v>
      </c>
      <c r="O473" s="204" t="s">
        <v>1109</v>
      </c>
      <c r="P473" s="350">
        <v>0</v>
      </c>
      <c r="Q473" s="204" t="s">
        <v>1109</v>
      </c>
      <c r="R473" s="204" t="s">
        <v>1108</v>
      </c>
      <c r="S473" s="204" t="s">
        <v>1107</v>
      </c>
      <c r="T473" s="204" t="s">
        <v>1106</v>
      </c>
      <c r="V473" s="204" t="s">
        <v>1105</v>
      </c>
      <c r="W473" s="204" t="s">
        <v>329</v>
      </c>
      <c r="X473" s="204" t="s">
        <v>297</v>
      </c>
      <c r="Y473" s="204" t="s">
        <v>397</v>
      </c>
      <c r="Z473" s="204" t="s">
        <v>850</v>
      </c>
      <c r="AA473" s="204" t="s">
        <v>849</v>
      </c>
      <c r="AB473" s="204" t="s">
        <v>329</v>
      </c>
      <c r="AC473" s="204" t="s">
        <v>297</v>
      </c>
      <c r="AD473" s="204" t="s">
        <v>848</v>
      </c>
      <c r="AE473" s="204" t="s">
        <v>847</v>
      </c>
      <c r="AG473" s="204" t="s">
        <v>791</v>
      </c>
      <c r="AH473" s="204" t="s">
        <v>151</v>
      </c>
      <c r="AV473" s="204" t="s">
        <v>1005</v>
      </c>
      <c r="AX473" s="204">
        <v>1</v>
      </c>
      <c r="AY473" s="204">
        <v>0</v>
      </c>
      <c r="AZ473" s="204">
        <v>4.4999999999999997E-3</v>
      </c>
      <c r="BB473" s="204">
        <v>38.317</v>
      </c>
      <c r="BH473" s="204">
        <v>0</v>
      </c>
      <c r="BI473" s="204">
        <v>5</v>
      </c>
      <c r="BJ473" s="204">
        <v>42954</v>
      </c>
      <c r="BK473" s="204">
        <v>42954.5407716435</v>
      </c>
      <c r="BL473" s="204" t="s">
        <v>293</v>
      </c>
      <c r="BM473" s="204" t="s">
        <v>1116</v>
      </c>
      <c r="BN473" s="242">
        <f t="shared" si="99"/>
        <v>38.317</v>
      </c>
      <c r="BO473" s="269">
        <f t="shared" si="100"/>
        <v>5</v>
      </c>
      <c r="BP473" s="269">
        <f>INDEX('App Data Outliers'!$M:$M,MATCH($E473,'App Data Outliers'!$A:$A,0))</f>
        <v>31.912660854402784</v>
      </c>
      <c r="BQ473" s="269">
        <f>INDEX('App Data Outliers'!$N:$N,MATCH($E473,'App Data Outliers'!$A:$A,0))</f>
        <v>4.6294175975068628</v>
      </c>
      <c r="BR473" s="269">
        <f>INDEX('App Data Outliers'!$S:$S,MATCH($E473,'App Data Outliers'!$A:$A,0))</f>
        <v>3.9162224934612029</v>
      </c>
      <c r="BS473" s="269">
        <f>INDEX('App Data Outliers'!$T:$T,MATCH($E473,'App Data Outliers'!$A:$A,0))</f>
        <v>1.1499528005502413</v>
      </c>
    </row>
    <row r="474" spans="1:71" s="204" customFormat="1" hidden="1">
      <c r="A474" s="241">
        <v>470</v>
      </c>
      <c r="B474" s="241" t="str">
        <f t="shared" si="91"/>
        <v>Residential - BHPSD - Residential Lighting &amp; Appliances</v>
      </c>
      <c r="C474" s="241" t="b">
        <f t="shared" si="92"/>
        <v>1</v>
      </c>
      <c r="D474" s="241" t="str">
        <f t="shared" si="93"/>
        <v>Residential - BHPSD - Residential Lighting &amp; Appliances_Residential Lighting &amp; Appliances :- LED :- Customer Incentives_LED</v>
      </c>
      <c r="E474" s="241" t="str">
        <f t="shared" si="94"/>
        <v>Residential_Residential Lighting_Lighting_LED</v>
      </c>
      <c r="F474" s="241" t="str">
        <f>INDEX('VDSM MAPPING'!E:E,MATCH($D474,'VDSM MAPPING'!$A:$A,0))</f>
        <v>Residential</v>
      </c>
      <c r="G474" s="241" t="str">
        <f>INDEX('VDSM MAPPING'!F:F,MATCH($D474,'VDSM MAPPING'!$A:$A,0))</f>
        <v>Residential Lighting</v>
      </c>
      <c r="H474" s="241" t="str">
        <f>INDEX('VDSM MAPPING'!G:G,MATCH($D474,'VDSM MAPPING'!$A:$A,0))</f>
        <v>Lighting</v>
      </c>
      <c r="I474" s="241" t="str">
        <f>INDEX('VDSM MAPPING'!H:H,MATCH($D474,'VDSM MAPPING'!$A:$A,0))</f>
        <v>LED</v>
      </c>
      <c r="J474" s="240">
        <f t="shared" si="95"/>
        <v>0.40336372907962731</v>
      </c>
      <c r="K474" s="240">
        <f t="shared" si="96"/>
        <v>-0.84022795805086525</v>
      </c>
      <c r="L474" s="240" t="b">
        <f t="shared" si="97"/>
        <v>0</v>
      </c>
      <c r="M474" s="240" t="b">
        <f t="shared" si="98"/>
        <v>0</v>
      </c>
      <c r="N474" s="204" t="s">
        <v>289</v>
      </c>
      <c r="O474" s="204" t="s">
        <v>1103</v>
      </c>
      <c r="P474" s="350">
        <v>1</v>
      </c>
      <c r="Q474" s="204" t="s">
        <v>1103</v>
      </c>
      <c r="R474" s="204" t="s">
        <v>1102</v>
      </c>
      <c r="S474" s="204" t="s">
        <v>1101</v>
      </c>
      <c r="T474" s="204" t="s">
        <v>1100</v>
      </c>
      <c r="V474" s="204" t="s">
        <v>1099</v>
      </c>
      <c r="W474" s="204" t="s">
        <v>345</v>
      </c>
      <c r="X474" s="204" t="s">
        <v>297</v>
      </c>
      <c r="Y474" s="204" t="s">
        <v>344</v>
      </c>
      <c r="Z474" s="204" t="s">
        <v>601</v>
      </c>
      <c r="AA474" s="204" t="s">
        <v>600</v>
      </c>
      <c r="AB474" s="204" t="s">
        <v>329</v>
      </c>
      <c r="AC474" s="204" t="s">
        <v>297</v>
      </c>
      <c r="AD474" s="204" t="s">
        <v>599</v>
      </c>
      <c r="AE474" s="204" t="s">
        <v>598</v>
      </c>
      <c r="AG474" s="204" t="s">
        <v>791</v>
      </c>
      <c r="AH474" s="204" t="s">
        <v>151</v>
      </c>
      <c r="AX474" s="204">
        <v>12</v>
      </c>
      <c r="AY474" s="204">
        <v>0</v>
      </c>
      <c r="AZ474" s="204">
        <v>4.8000000000000001E-2</v>
      </c>
      <c r="BB474" s="204">
        <v>405.36</v>
      </c>
      <c r="BH474" s="204">
        <v>0</v>
      </c>
      <c r="BI474" s="204">
        <v>35.4</v>
      </c>
      <c r="BJ474" s="204">
        <v>42954</v>
      </c>
      <c r="BK474" s="204">
        <v>42954.781707754599</v>
      </c>
      <c r="BL474" s="204" t="s">
        <v>293</v>
      </c>
      <c r="BM474" s="204" t="s">
        <v>1098</v>
      </c>
      <c r="BN474" s="242">
        <f t="shared" si="99"/>
        <v>33.78</v>
      </c>
      <c r="BO474" s="269">
        <f t="shared" si="100"/>
        <v>2.9499999999999997</v>
      </c>
      <c r="BP474" s="269">
        <f>INDEX('App Data Outliers'!$M:$M,MATCH($E474,'App Data Outliers'!$A:$A,0))</f>
        <v>31.912660854402784</v>
      </c>
      <c r="BQ474" s="269">
        <f>INDEX('App Data Outliers'!$N:$N,MATCH($E474,'App Data Outliers'!$A:$A,0))</f>
        <v>4.6294175975068628</v>
      </c>
      <c r="BR474" s="269">
        <f>INDEX('App Data Outliers'!$S:$S,MATCH($E474,'App Data Outliers'!$A:$A,0))</f>
        <v>3.9162224934612029</v>
      </c>
      <c r="BS474" s="269">
        <f>INDEX('App Data Outliers'!$T:$T,MATCH($E474,'App Data Outliers'!$A:$A,0))</f>
        <v>1.1499528005502413</v>
      </c>
    </row>
    <row r="475" spans="1:71" s="204" customFormat="1" hidden="1">
      <c r="A475" s="241">
        <v>471</v>
      </c>
      <c r="B475" s="241" t="str">
        <f t="shared" si="91"/>
        <v>Residential - BHPSD - Residential Lighting &amp; Appliances</v>
      </c>
      <c r="C475" s="241" t="b">
        <f t="shared" si="92"/>
        <v>1</v>
      </c>
      <c r="D475" s="241" t="str">
        <f t="shared" si="93"/>
        <v>Residential - BHPSD - Residential Lighting &amp; Appliances_Residential Lighting &amp; Appliances :- LED :- Customer Incentives_LED</v>
      </c>
      <c r="E475" s="241" t="str">
        <f t="shared" si="94"/>
        <v>Residential_Residential Lighting_Lighting_LED</v>
      </c>
      <c r="F475" s="241" t="str">
        <f>INDEX('VDSM MAPPING'!E:E,MATCH($D475,'VDSM MAPPING'!$A:$A,0))</f>
        <v>Residential</v>
      </c>
      <c r="G475" s="241" t="str">
        <f>INDEX('VDSM MAPPING'!F:F,MATCH($D475,'VDSM MAPPING'!$A:$A,0))</f>
        <v>Residential Lighting</v>
      </c>
      <c r="H475" s="241" t="str">
        <f>INDEX('VDSM MAPPING'!G:G,MATCH($D475,'VDSM MAPPING'!$A:$A,0))</f>
        <v>Lighting</v>
      </c>
      <c r="I475" s="241" t="str">
        <f>INDEX('VDSM MAPPING'!H:H,MATCH($D475,'VDSM MAPPING'!$A:$A,0))</f>
        <v>LED</v>
      </c>
      <c r="J475" s="240">
        <f t="shared" si="95"/>
        <v>1.1656626415606512</v>
      </c>
      <c r="K475" s="240">
        <f t="shared" si="96"/>
        <v>-0.57934768552450311</v>
      </c>
      <c r="L475" s="240" t="b">
        <f t="shared" si="97"/>
        <v>0</v>
      </c>
      <c r="M475" s="240" t="b">
        <f t="shared" si="98"/>
        <v>0</v>
      </c>
      <c r="N475" s="204" t="s">
        <v>289</v>
      </c>
      <c r="O475" s="204" t="s">
        <v>1096</v>
      </c>
      <c r="P475" s="350">
        <v>1</v>
      </c>
      <c r="Q475" s="204" t="s">
        <v>1096</v>
      </c>
      <c r="R475" s="204" t="s">
        <v>1095</v>
      </c>
      <c r="S475" s="204" t="s">
        <v>1094</v>
      </c>
      <c r="T475" s="204" t="s">
        <v>1093</v>
      </c>
      <c r="V475" s="204" t="s">
        <v>1092</v>
      </c>
      <c r="W475" s="204" t="s">
        <v>329</v>
      </c>
      <c r="X475" s="204" t="s">
        <v>297</v>
      </c>
      <c r="Y475" s="204" t="s">
        <v>397</v>
      </c>
      <c r="Z475" s="204" t="s">
        <v>850</v>
      </c>
      <c r="AA475" s="204" t="s">
        <v>849</v>
      </c>
      <c r="AB475" s="204" t="s">
        <v>329</v>
      </c>
      <c r="AC475" s="204" t="s">
        <v>297</v>
      </c>
      <c r="AD475" s="204" t="s">
        <v>848</v>
      </c>
      <c r="AE475" s="204" t="s">
        <v>847</v>
      </c>
      <c r="AG475" s="204" t="s">
        <v>791</v>
      </c>
      <c r="AH475" s="204" t="s">
        <v>151</v>
      </c>
      <c r="AV475" s="204" t="s">
        <v>863</v>
      </c>
      <c r="AX475" s="204">
        <v>8</v>
      </c>
      <c r="AY475" s="204">
        <v>0</v>
      </c>
      <c r="AZ475" s="204">
        <v>3.5200000000000002E-2</v>
      </c>
      <c r="BB475" s="204">
        <v>298.47199999999998</v>
      </c>
      <c r="BH475" s="204">
        <v>0</v>
      </c>
      <c r="BI475" s="204">
        <v>26</v>
      </c>
      <c r="BJ475" s="204">
        <v>42956</v>
      </c>
      <c r="BK475" s="204">
        <v>42956.671230057902</v>
      </c>
      <c r="BL475" s="204" t="s">
        <v>293</v>
      </c>
      <c r="BM475" s="204" t="s">
        <v>1091</v>
      </c>
      <c r="BN475" s="242">
        <f t="shared" si="99"/>
        <v>37.308999999999997</v>
      </c>
      <c r="BO475" s="243">
        <f t="shared" si="100"/>
        <v>3.25</v>
      </c>
      <c r="BP475" s="269">
        <f>INDEX('App Data Outliers'!$M:$M,MATCH($E475,'App Data Outliers'!$A:$A,0))</f>
        <v>31.912660854402784</v>
      </c>
      <c r="BQ475" s="243">
        <f>INDEX('App Data Outliers'!$N:$N,MATCH($E475,'App Data Outliers'!$A:$A,0))</f>
        <v>4.6294175975068628</v>
      </c>
      <c r="BR475" s="243">
        <f>INDEX('App Data Outliers'!$S:$S,MATCH($E475,'App Data Outliers'!$A:$A,0))</f>
        <v>3.9162224934612029</v>
      </c>
      <c r="BS475" s="243">
        <f>INDEX('App Data Outliers'!$T:$T,MATCH($E475,'App Data Outliers'!$A:$A,0))</f>
        <v>1.1499528005502413</v>
      </c>
    </row>
    <row r="476" spans="1:71" s="204" customFormat="1" hidden="1">
      <c r="A476" s="241">
        <v>472</v>
      </c>
      <c r="B476" s="241" t="str">
        <f t="shared" si="91"/>
        <v>Residential - BHPSD - Residential Lighting &amp; Appliances</v>
      </c>
      <c r="C476" s="241" t="b">
        <f t="shared" si="92"/>
        <v>1</v>
      </c>
      <c r="D476" s="241" t="str">
        <f t="shared" si="93"/>
        <v>Residential - BHPSD - Residential Lighting &amp; Appliances_Residential Lighting &amp; Appliances :- LED :- Customer Incentives_LED</v>
      </c>
      <c r="E476" s="241" t="str">
        <f t="shared" si="94"/>
        <v>Residential_Residential Lighting_Lighting_LED</v>
      </c>
      <c r="F476" s="241" t="str">
        <f>INDEX('VDSM MAPPING'!E:E,MATCH($D476,'VDSM MAPPING'!$A:$A,0))</f>
        <v>Residential</v>
      </c>
      <c r="G476" s="241" t="str">
        <f>INDEX('VDSM MAPPING'!F:F,MATCH($D476,'VDSM MAPPING'!$A:$A,0))</f>
        <v>Residential Lighting</v>
      </c>
      <c r="H476" s="241" t="str">
        <f>INDEX('VDSM MAPPING'!G:G,MATCH($D476,'VDSM MAPPING'!$A:$A,0))</f>
        <v>Lighting</v>
      </c>
      <c r="I476" s="241" t="str">
        <f>INDEX('VDSM MAPPING'!H:H,MATCH($D476,'VDSM MAPPING'!$A:$A,0))</f>
        <v>LED</v>
      </c>
      <c r="J476" s="240">
        <f t="shared" si="95"/>
        <v>0.51223271516362701</v>
      </c>
      <c r="K476" s="240">
        <f t="shared" si="96"/>
        <v>-2.2141973933563706</v>
      </c>
      <c r="L476" s="240" t="b">
        <f t="shared" si="97"/>
        <v>0</v>
      </c>
      <c r="M476" s="240" t="b">
        <f t="shared" si="98"/>
        <v>1</v>
      </c>
      <c r="N476" s="204" t="s">
        <v>289</v>
      </c>
      <c r="O476" s="204" t="s">
        <v>1096</v>
      </c>
      <c r="P476" s="350">
        <v>0</v>
      </c>
      <c r="Q476" s="204" t="s">
        <v>1096</v>
      </c>
      <c r="R476" s="204" t="s">
        <v>1095</v>
      </c>
      <c r="S476" s="204" t="s">
        <v>1094</v>
      </c>
      <c r="T476" s="204" t="s">
        <v>1093</v>
      </c>
      <c r="V476" s="204" t="s">
        <v>1092</v>
      </c>
      <c r="W476" s="204" t="s">
        <v>329</v>
      </c>
      <c r="X476" s="204" t="s">
        <v>297</v>
      </c>
      <c r="Y476" s="204" t="s">
        <v>397</v>
      </c>
      <c r="Z476" s="204" t="s">
        <v>850</v>
      </c>
      <c r="AA476" s="204" t="s">
        <v>849</v>
      </c>
      <c r="AB476" s="204" t="s">
        <v>329</v>
      </c>
      <c r="AC476" s="204" t="s">
        <v>297</v>
      </c>
      <c r="AD476" s="204" t="s">
        <v>848</v>
      </c>
      <c r="AE476" s="204" t="s">
        <v>847</v>
      </c>
      <c r="AG476" s="204" t="s">
        <v>791</v>
      </c>
      <c r="AH476" s="204" t="s">
        <v>151</v>
      </c>
      <c r="AV476" s="204" t="s">
        <v>985</v>
      </c>
      <c r="AX476" s="204">
        <v>8</v>
      </c>
      <c r="AY476" s="204">
        <v>0</v>
      </c>
      <c r="AZ476" s="204">
        <v>3.2000000000000001E-2</v>
      </c>
      <c r="BB476" s="204">
        <v>274.27199999999999</v>
      </c>
      <c r="BH476" s="204">
        <v>0</v>
      </c>
      <c r="BI476" s="204">
        <v>10.96</v>
      </c>
      <c r="BJ476" s="204">
        <v>42956</v>
      </c>
      <c r="BK476" s="204">
        <v>42956.671230057902</v>
      </c>
      <c r="BL476" s="204" t="s">
        <v>293</v>
      </c>
      <c r="BM476" s="204" t="s">
        <v>1097</v>
      </c>
      <c r="BN476" s="242">
        <f t="shared" si="99"/>
        <v>34.283999999999999</v>
      </c>
      <c r="BO476" s="269">
        <f t="shared" si="100"/>
        <v>1.37</v>
      </c>
      <c r="BP476" s="269">
        <f>INDEX('App Data Outliers'!$M:$M,MATCH($E476,'App Data Outliers'!$A:$A,0))</f>
        <v>31.912660854402784</v>
      </c>
      <c r="BQ476" s="269">
        <f>INDEX('App Data Outliers'!$N:$N,MATCH($E476,'App Data Outliers'!$A:$A,0))</f>
        <v>4.6294175975068628</v>
      </c>
      <c r="BR476" s="269">
        <f>INDEX('App Data Outliers'!$S:$S,MATCH($E476,'App Data Outliers'!$A:$A,0))</f>
        <v>3.9162224934612029</v>
      </c>
      <c r="BS476" s="269">
        <f>INDEX('App Data Outliers'!$T:$T,MATCH($E476,'App Data Outliers'!$A:$A,0))</f>
        <v>1.1499528005502413</v>
      </c>
    </row>
    <row r="477" spans="1:71" s="204" customFormat="1" hidden="1">
      <c r="A477" s="241">
        <v>473</v>
      </c>
      <c r="B477" s="241" t="str">
        <f t="shared" si="91"/>
        <v>Residential - BHPSD - Residential Lighting &amp; Appliances</v>
      </c>
      <c r="C477" s="241" t="b">
        <f t="shared" si="92"/>
        <v>1</v>
      </c>
      <c r="D477" s="241" t="str">
        <f t="shared" si="93"/>
        <v>Residential - BHPSD - Residential Lighting &amp; Appliances_Residential Lighting &amp; Appliances :- LED :- Customer Incentives_LED</v>
      </c>
      <c r="E477" s="241" t="str">
        <f t="shared" si="94"/>
        <v>Residential_Residential Lighting_Lighting_LED</v>
      </c>
      <c r="F477" s="241" t="str">
        <f>INDEX('VDSM MAPPING'!E:E,MATCH($D477,'VDSM MAPPING'!$A:$A,0))</f>
        <v>Residential</v>
      </c>
      <c r="G477" s="241" t="str">
        <f>INDEX('VDSM MAPPING'!F:F,MATCH($D477,'VDSM MAPPING'!$A:$A,0))</f>
        <v>Residential Lighting</v>
      </c>
      <c r="H477" s="241" t="str">
        <f>INDEX('VDSM MAPPING'!G:G,MATCH($D477,'VDSM MAPPING'!$A:$A,0))</f>
        <v>Lighting</v>
      </c>
      <c r="I477" s="241" t="str">
        <f>INDEX('VDSM MAPPING'!H:H,MATCH($D477,'VDSM MAPPING'!$A:$A,0))</f>
        <v>LED</v>
      </c>
      <c r="J477" s="240">
        <f t="shared" si="95"/>
        <v>5.0862421999428005</v>
      </c>
      <c r="K477" s="240">
        <f t="shared" si="96"/>
        <v>0.94245390421260777</v>
      </c>
      <c r="L477" s="240" t="b">
        <f t="shared" si="97"/>
        <v>1</v>
      </c>
      <c r="M477" s="240" t="b">
        <f t="shared" si="98"/>
        <v>0</v>
      </c>
      <c r="N477" s="204" t="s">
        <v>289</v>
      </c>
      <c r="O477" s="204" t="s">
        <v>1088</v>
      </c>
      <c r="P477" s="350">
        <v>1</v>
      </c>
      <c r="Q477" s="204" t="s">
        <v>1088</v>
      </c>
      <c r="R477" s="204" t="s">
        <v>1087</v>
      </c>
      <c r="S477" s="204" t="s">
        <v>1086</v>
      </c>
      <c r="T477" s="204" t="s">
        <v>1085</v>
      </c>
      <c r="V477" s="204" t="s">
        <v>1084</v>
      </c>
      <c r="W477" s="204" t="s">
        <v>329</v>
      </c>
      <c r="X477" s="204" t="s">
        <v>297</v>
      </c>
      <c r="Y477" s="204" t="s">
        <v>328</v>
      </c>
      <c r="Z477" s="204" t="s">
        <v>978</v>
      </c>
      <c r="AA477" s="204" t="s">
        <v>977</v>
      </c>
      <c r="AB477" s="204" t="s">
        <v>752</v>
      </c>
      <c r="AC477" s="204" t="s">
        <v>297</v>
      </c>
      <c r="AD477" s="204" t="s">
        <v>328</v>
      </c>
      <c r="AF477" s="204" t="s">
        <v>976</v>
      </c>
      <c r="AG477" s="204" t="s">
        <v>791</v>
      </c>
      <c r="AH477" s="204" t="s">
        <v>151</v>
      </c>
      <c r="AV477" s="204" t="s">
        <v>1090</v>
      </c>
      <c r="AX477" s="204">
        <v>1</v>
      </c>
      <c r="AY477" s="204">
        <v>0</v>
      </c>
      <c r="AZ477" s="204">
        <v>6.4999999999999997E-3</v>
      </c>
      <c r="BB477" s="204">
        <v>55.459000000000003</v>
      </c>
      <c r="BH477" s="204">
        <v>0</v>
      </c>
      <c r="BI477" s="204">
        <v>5</v>
      </c>
      <c r="BJ477" s="204">
        <v>42956</v>
      </c>
      <c r="BK477" s="204">
        <v>42956.683269097201</v>
      </c>
      <c r="BL477" s="204" t="s">
        <v>293</v>
      </c>
      <c r="BM477" s="204" t="s">
        <v>1089</v>
      </c>
      <c r="BN477" s="242">
        <f t="shared" si="99"/>
        <v>55.459000000000003</v>
      </c>
      <c r="BO477" s="269">
        <f t="shared" si="100"/>
        <v>5</v>
      </c>
      <c r="BP477" s="269">
        <f>INDEX('App Data Outliers'!$M:$M,MATCH($E477,'App Data Outliers'!$A:$A,0))</f>
        <v>31.912660854402784</v>
      </c>
      <c r="BQ477" s="269">
        <f>INDEX('App Data Outliers'!$N:$N,MATCH($E477,'App Data Outliers'!$A:$A,0))</f>
        <v>4.6294175975068628</v>
      </c>
      <c r="BR477" s="269">
        <f>INDEX('App Data Outliers'!$S:$S,MATCH($E477,'App Data Outliers'!$A:$A,0))</f>
        <v>3.9162224934612029</v>
      </c>
      <c r="BS477" s="269">
        <f>INDEX('App Data Outliers'!$T:$T,MATCH($E477,'App Data Outliers'!$A:$A,0))</f>
        <v>1.1499528005502413</v>
      </c>
    </row>
    <row r="478" spans="1:71" s="204" customFormat="1" hidden="1">
      <c r="A478" s="241">
        <v>474</v>
      </c>
      <c r="B478" s="241" t="str">
        <f t="shared" si="91"/>
        <v>Residential - BHPSD - Residential Lighting &amp; Appliances</v>
      </c>
      <c r="C478" s="241" t="b">
        <f t="shared" si="92"/>
        <v>1</v>
      </c>
      <c r="D478" s="241" t="str">
        <f t="shared" si="93"/>
        <v>Residential - BHPSD - Residential Lighting &amp; Appliances_Residential Lighting &amp; Appliances :- LED :- Customer Incentives_LED</v>
      </c>
      <c r="E478" s="241" t="str">
        <f t="shared" si="94"/>
        <v>Residential_Residential Lighting_Lighting_LED</v>
      </c>
      <c r="F478" s="241" t="str">
        <f>INDEX('VDSM MAPPING'!E:E,MATCH($D478,'VDSM MAPPING'!$A:$A,0))</f>
        <v>Residential</v>
      </c>
      <c r="G478" s="241" t="str">
        <f>INDEX('VDSM MAPPING'!F:F,MATCH($D478,'VDSM MAPPING'!$A:$A,0))</f>
        <v>Residential Lighting</v>
      </c>
      <c r="H478" s="241" t="str">
        <f>INDEX('VDSM MAPPING'!G:G,MATCH($D478,'VDSM MAPPING'!$A:$A,0))</f>
        <v>Lighting</v>
      </c>
      <c r="I478" s="241" t="str">
        <f>INDEX('VDSM MAPPING'!H:H,MATCH($D478,'VDSM MAPPING'!$A:$A,0))</f>
        <v>LED</v>
      </c>
      <c r="J478" s="240">
        <f t="shared" si="95"/>
        <v>0.40336372907962731</v>
      </c>
      <c r="K478" s="240">
        <f t="shared" si="96"/>
        <v>-1.4489485939457094</v>
      </c>
      <c r="L478" s="240" t="b">
        <f t="shared" si="97"/>
        <v>0</v>
      </c>
      <c r="M478" s="240" t="b">
        <f t="shared" si="98"/>
        <v>0</v>
      </c>
      <c r="N478" s="204" t="s">
        <v>289</v>
      </c>
      <c r="O478" s="204" t="s">
        <v>1088</v>
      </c>
      <c r="P478" s="350">
        <v>0</v>
      </c>
      <c r="Q478" s="204" t="s">
        <v>1088</v>
      </c>
      <c r="R478" s="204" t="s">
        <v>1087</v>
      </c>
      <c r="S478" s="204" t="s">
        <v>1086</v>
      </c>
      <c r="T478" s="204" t="s">
        <v>1085</v>
      </c>
      <c r="V478" s="204" t="s">
        <v>1084</v>
      </c>
      <c r="W478" s="204" t="s">
        <v>329</v>
      </c>
      <c r="X478" s="204" t="s">
        <v>297</v>
      </c>
      <c r="Y478" s="204" t="s">
        <v>328</v>
      </c>
      <c r="Z478" s="204" t="s">
        <v>978</v>
      </c>
      <c r="AA478" s="204" t="s">
        <v>977</v>
      </c>
      <c r="AB478" s="204" t="s">
        <v>752</v>
      </c>
      <c r="AC478" s="204" t="s">
        <v>297</v>
      </c>
      <c r="AD478" s="204" t="s">
        <v>328</v>
      </c>
      <c r="AF478" s="204" t="s">
        <v>976</v>
      </c>
      <c r="AG478" s="204" t="s">
        <v>791</v>
      </c>
      <c r="AH478" s="204" t="s">
        <v>151</v>
      </c>
      <c r="AV478" s="204" t="s">
        <v>1083</v>
      </c>
      <c r="AX478" s="204">
        <v>4</v>
      </c>
      <c r="AY478" s="204">
        <v>0</v>
      </c>
      <c r="AZ478" s="204">
        <v>1.6E-2</v>
      </c>
      <c r="BB478" s="204">
        <v>135.12</v>
      </c>
      <c r="BH478" s="204">
        <v>0</v>
      </c>
      <c r="BI478" s="204">
        <v>9</v>
      </c>
      <c r="BJ478" s="204">
        <v>42956</v>
      </c>
      <c r="BK478" s="204">
        <v>42956.683269097201</v>
      </c>
      <c r="BL478" s="204" t="s">
        <v>293</v>
      </c>
      <c r="BM478" s="204" t="s">
        <v>1082</v>
      </c>
      <c r="BN478" s="242">
        <f t="shared" si="99"/>
        <v>33.78</v>
      </c>
      <c r="BO478" s="269">
        <f t="shared" si="100"/>
        <v>2.25</v>
      </c>
      <c r="BP478" s="269">
        <f>INDEX('App Data Outliers'!$M:$M,MATCH($E478,'App Data Outliers'!$A:$A,0))</f>
        <v>31.912660854402784</v>
      </c>
      <c r="BQ478" s="269">
        <f>INDEX('App Data Outliers'!$N:$N,MATCH($E478,'App Data Outliers'!$A:$A,0))</f>
        <v>4.6294175975068628</v>
      </c>
      <c r="BR478" s="269">
        <f>INDEX('App Data Outliers'!$S:$S,MATCH($E478,'App Data Outliers'!$A:$A,0))</f>
        <v>3.9162224934612029</v>
      </c>
      <c r="BS478" s="269">
        <f>INDEX('App Data Outliers'!$T:$T,MATCH($E478,'App Data Outliers'!$A:$A,0))</f>
        <v>1.1499528005502413</v>
      </c>
    </row>
    <row r="479" spans="1:71" s="204" customFormat="1" hidden="1">
      <c r="A479" s="241">
        <v>475</v>
      </c>
      <c r="B479" s="241" t="str">
        <f t="shared" si="91"/>
        <v>Residential - BHPSD - Residential Lighting &amp; Appliances</v>
      </c>
      <c r="C479" s="241" t="b">
        <f t="shared" si="92"/>
        <v>1</v>
      </c>
      <c r="D479" s="241" t="str">
        <f t="shared" si="93"/>
        <v>Residential - BHPSD - Residential Lighting &amp; Appliances_Residential Lighting &amp; Appliances :- LED :- Customer Incentives_LED</v>
      </c>
      <c r="E479" s="241" t="str">
        <f t="shared" si="94"/>
        <v>Residential_Residential Lighting_Lighting_LED</v>
      </c>
      <c r="F479" s="241" t="str">
        <f>INDEX('VDSM MAPPING'!E:E,MATCH($D479,'VDSM MAPPING'!$A:$A,0))</f>
        <v>Residential</v>
      </c>
      <c r="G479" s="241" t="str">
        <f>INDEX('VDSM MAPPING'!F:F,MATCH($D479,'VDSM MAPPING'!$A:$A,0))</f>
        <v>Residential Lighting</v>
      </c>
      <c r="H479" s="241" t="str">
        <f>INDEX('VDSM MAPPING'!G:G,MATCH($D479,'VDSM MAPPING'!$A:$A,0))</f>
        <v>Lighting</v>
      </c>
      <c r="I479" s="241" t="str">
        <f>INDEX('VDSM MAPPING'!H:H,MATCH($D479,'VDSM MAPPING'!$A:$A,0))</f>
        <v>LED</v>
      </c>
      <c r="J479" s="240">
        <f t="shared" si="95"/>
        <v>-0.14119721123339737</v>
      </c>
      <c r="K479" s="240">
        <f t="shared" si="96"/>
        <v>0.6989656498546698</v>
      </c>
      <c r="L479" s="240" t="b">
        <f t="shared" si="97"/>
        <v>0</v>
      </c>
      <c r="M479" s="240" t="b">
        <f t="shared" si="98"/>
        <v>0</v>
      </c>
      <c r="N479" s="204" t="s">
        <v>289</v>
      </c>
      <c r="O479" s="204" t="s">
        <v>1079</v>
      </c>
      <c r="P479" s="350">
        <v>1</v>
      </c>
      <c r="Q479" s="204" t="s">
        <v>1079</v>
      </c>
      <c r="R479" s="204" t="s">
        <v>1078</v>
      </c>
      <c r="S479" s="204" t="s">
        <v>1077</v>
      </c>
      <c r="T479" s="204" t="s">
        <v>1076</v>
      </c>
      <c r="V479" s="204" t="s">
        <v>1075</v>
      </c>
      <c r="W479" s="204" t="s">
        <v>329</v>
      </c>
      <c r="X479" s="204" t="s">
        <v>297</v>
      </c>
      <c r="Y479" s="204" t="s">
        <v>328</v>
      </c>
      <c r="Z479" s="204" t="s">
        <v>978</v>
      </c>
      <c r="AA479" s="204" t="s">
        <v>977</v>
      </c>
      <c r="AB479" s="204" t="s">
        <v>752</v>
      </c>
      <c r="AC479" s="204" t="s">
        <v>297</v>
      </c>
      <c r="AD479" s="204" t="s">
        <v>328</v>
      </c>
      <c r="AF479" s="204" t="s">
        <v>976</v>
      </c>
      <c r="AG479" s="204" t="s">
        <v>791</v>
      </c>
      <c r="AH479" s="204" t="s">
        <v>151</v>
      </c>
      <c r="AV479" s="204" t="s">
        <v>1081</v>
      </c>
      <c r="AX479" s="204">
        <v>2</v>
      </c>
      <c r="AY479" s="204">
        <v>0</v>
      </c>
      <c r="AZ479" s="204">
        <v>7.4000000000000003E-3</v>
      </c>
      <c r="BB479" s="204">
        <v>62.518000000000001</v>
      </c>
      <c r="BH479" s="204">
        <v>0</v>
      </c>
      <c r="BI479" s="204">
        <v>9.44</v>
      </c>
      <c r="BJ479" s="204">
        <v>42956</v>
      </c>
      <c r="BK479" s="204">
        <v>42956.699713576403</v>
      </c>
      <c r="BL479" s="204" t="s">
        <v>293</v>
      </c>
      <c r="BM479" s="204" t="s">
        <v>1080</v>
      </c>
      <c r="BN479" s="242">
        <f t="shared" si="99"/>
        <v>31.259</v>
      </c>
      <c r="BO479" s="243">
        <f t="shared" si="100"/>
        <v>4.72</v>
      </c>
      <c r="BP479" s="269">
        <f>INDEX('App Data Outliers'!$M:$M,MATCH($E479,'App Data Outliers'!$A:$A,0))</f>
        <v>31.912660854402784</v>
      </c>
      <c r="BQ479" s="243">
        <f>INDEX('App Data Outliers'!$N:$N,MATCH($E479,'App Data Outliers'!$A:$A,0))</f>
        <v>4.6294175975068628</v>
      </c>
      <c r="BR479" s="243">
        <f>INDEX('App Data Outliers'!$S:$S,MATCH($E479,'App Data Outliers'!$A:$A,0))</f>
        <v>3.9162224934612029</v>
      </c>
      <c r="BS479" s="243">
        <f>INDEX('App Data Outliers'!$T:$T,MATCH($E479,'App Data Outliers'!$A:$A,0))</f>
        <v>1.1499528005502413</v>
      </c>
    </row>
    <row r="480" spans="1:71" s="204" customFormat="1" hidden="1">
      <c r="A480" s="241">
        <v>476</v>
      </c>
      <c r="B480" s="241" t="str">
        <f t="shared" si="91"/>
        <v>Residential - BHPSD - Residential Lighting &amp; Appliances</v>
      </c>
      <c r="C480" s="241" t="b">
        <f t="shared" si="92"/>
        <v>1</v>
      </c>
      <c r="D480" s="241" t="str">
        <f t="shared" si="93"/>
        <v>Residential - BHPSD - Residential Lighting &amp; Appliances_Residential Lighting &amp; Appliances :- LED :- Customer Incentives_LED</v>
      </c>
      <c r="E480" s="241" t="str">
        <f t="shared" si="94"/>
        <v>Residential_Residential Lighting_Lighting_LED</v>
      </c>
      <c r="F480" s="241" t="str">
        <f>INDEX('VDSM MAPPING'!E:E,MATCH($D480,'VDSM MAPPING'!$A:$A,0))</f>
        <v>Residential</v>
      </c>
      <c r="G480" s="241" t="str">
        <f>INDEX('VDSM MAPPING'!F:F,MATCH($D480,'VDSM MAPPING'!$A:$A,0))</f>
        <v>Residential Lighting</v>
      </c>
      <c r="H480" s="241" t="str">
        <f>INDEX('VDSM MAPPING'!G:G,MATCH($D480,'VDSM MAPPING'!$A:$A,0))</f>
        <v>Lighting</v>
      </c>
      <c r="I480" s="241" t="str">
        <f>INDEX('VDSM MAPPING'!H:H,MATCH($D480,'VDSM MAPPING'!$A:$A,0))</f>
        <v>LED</v>
      </c>
      <c r="J480" s="240">
        <f t="shared" si="95"/>
        <v>-1.6660110460884709</v>
      </c>
      <c r="K480" s="240">
        <f t="shared" si="96"/>
        <v>-0.66630777636662386</v>
      </c>
      <c r="L480" s="240" t="b">
        <f t="shared" si="97"/>
        <v>0</v>
      </c>
      <c r="M480" s="240" t="b">
        <f t="shared" si="98"/>
        <v>0</v>
      </c>
      <c r="N480" s="204" t="s">
        <v>289</v>
      </c>
      <c r="O480" s="204" t="s">
        <v>1079</v>
      </c>
      <c r="P480" s="350">
        <v>0</v>
      </c>
      <c r="Q480" s="204" t="s">
        <v>1079</v>
      </c>
      <c r="R480" s="204" t="s">
        <v>1078</v>
      </c>
      <c r="S480" s="204" t="s">
        <v>1077</v>
      </c>
      <c r="T480" s="204" t="s">
        <v>1076</v>
      </c>
      <c r="V480" s="204" t="s">
        <v>1075</v>
      </c>
      <c r="W480" s="204" t="s">
        <v>329</v>
      </c>
      <c r="X480" s="204" t="s">
        <v>297</v>
      </c>
      <c r="Y480" s="204" t="s">
        <v>328</v>
      </c>
      <c r="Z480" s="204" t="s">
        <v>978</v>
      </c>
      <c r="AA480" s="204" t="s">
        <v>977</v>
      </c>
      <c r="AB480" s="204" t="s">
        <v>752</v>
      </c>
      <c r="AC480" s="204" t="s">
        <v>297</v>
      </c>
      <c r="AD480" s="204" t="s">
        <v>328</v>
      </c>
      <c r="AF480" s="204" t="s">
        <v>976</v>
      </c>
      <c r="AG480" s="204" t="s">
        <v>791</v>
      </c>
      <c r="AH480" s="204" t="s">
        <v>151</v>
      </c>
      <c r="AV480" s="204" t="s">
        <v>1053</v>
      </c>
      <c r="AX480" s="204">
        <v>6</v>
      </c>
      <c r="AY480" s="204">
        <v>0</v>
      </c>
      <c r="AZ480" s="204">
        <v>1.6799999999999999E-2</v>
      </c>
      <c r="BB480" s="204">
        <v>145.19999999999999</v>
      </c>
      <c r="BH480" s="204">
        <v>0</v>
      </c>
      <c r="BI480" s="204">
        <v>18.899999999999999</v>
      </c>
      <c r="BJ480" s="204">
        <v>42956</v>
      </c>
      <c r="BK480" s="204">
        <v>42956.699713576403</v>
      </c>
      <c r="BL480" s="204" t="s">
        <v>293</v>
      </c>
      <c r="BM480" s="204" t="s">
        <v>1074</v>
      </c>
      <c r="BN480" s="242">
        <f t="shared" si="99"/>
        <v>24.2</v>
      </c>
      <c r="BO480" s="269">
        <f t="shared" si="100"/>
        <v>3.15</v>
      </c>
      <c r="BP480" s="269">
        <f>INDEX('App Data Outliers'!$M:$M,MATCH($E480,'App Data Outliers'!$A:$A,0))</f>
        <v>31.912660854402784</v>
      </c>
      <c r="BQ480" s="269">
        <f>INDEX('App Data Outliers'!$N:$N,MATCH($E480,'App Data Outliers'!$A:$A,0))</f>
        <v>4.6294175975068628</v>
      </c>
      <c r="BR480" s="269">
        <f>INDEX('App Data Outliers'!$S:$S,MATCH($E480,'App Data Outliers'!$A:$A,0))</f>
        <v>3.9162224934612029</v>
      </c>
      <c r="BS480" s="269">
        <f>INDEX('App Data Outliers'!$T:$T,MATCH($E480,'App Data Outliers'!$A:$A,0))</f>
        <v>1.1499528005502413</v>
      </c>
    </row>
    <row r="481" spans="1:71" s="204" customFormat="1" hidden="1">
      <c r="A481" s="241">
        <v>477</v>
      </c>
      <c r="B481" s="241" t="str">
        <f t="shared" si="91"/>
        <v>Residential - BHPSD - Residential Lighting &amp; Appliances</v>
      </c>
      <c r="C481" s="241" t="b">
        <f t="shared" si="92"/>
        <v>1</v>
      </c>
      <c r="D481" s="241" t="str">
        <f t="shared" si="93"/>
        <v>Residential - BHPSD - Residential Lighting &amp; Appliances_Residential Lighting &amp; Appliances :- ES Star Fixture :- Customer Incentives_ENERGY STAR LED Fixture</v>
      </c>
      <c r="E481" s="241" t="str">
        <f t="shared" si="94"/>
        <v>Residential_Residential Lighting_Lighting_ENERGY STAR Fixture</v>
      </c>
      <c r="F481" s="241" t="str">
        <f>INDEX('VDSM MAPPING'!E:E,MATCH($D481,'VDSM MAPPING'!$A:$A,0))</f>
        <v>Residential</v>
      </c>
      <c r="G481" s="241" t="str">
        <f>INDEX('VDSM MAPPING'!F:F,MATCH($D481,'VDSM MAPPING'!$A:$A,0))</f>
        <v>Residential Lighting</v>
      </c>
      <c r="H481" s="241" t="str">
        <f>INDEX('VDSM MAPPING'!G:G,MATCH($D481,'VDSM MAPPING'!$A:$A,0))</f>
        <v>Lighting</v>
      </c>
      <c r="I481" s="241" t="str">
        <f>INDEX('VDSM MAPPING'!H:H,MATCH($D481,'VDSM MAPPING'!$A:$A,0))</f>
        <v>ENERGY STAR Fixture</v>
      </c>
      <c r="J481" s="240">
        <f t="shared" si="95"/>
        <v>-4.3714845586033911E-2</v>
      </c>
      <c r="K481" s="240">
        <f t="shared" si="96"/>
        <v>8.195118669945109E-2</v>
      </c>
      <c r="L481" s="240" t="b">
        <f t="shared" si="97"/>
        <v>0</v>
      </c>
      <c r="M481" s="240" t="b">
        <f t="shared" si="98"/>
        <v>0</v>
      </c>
      <c r="N481" s="204" t="s">
        <v>289</v>
      </c>
      <c r="O481" s="204" t="s">
        <v>1065</v>
      </c>
      <c r="P481" s="350">
        <v>1</v>
      </c>
      <c r="Q481" s="204" t="s">
        <v>1065</v>
      </c>
      <c r="R481" s="204" t="s">
        <v>1064</v>
      </c>
      <c r="S481" s="204" t="s">
        <v>1063</v>
      </c>
      <c r="T481" s="204" t="s">
        <v>1062</v>
      </c>
      <c r="V481" s="204" t="s">
        <v>1061</v>
      </c>
      <c r="W481" s="204" t="s">
        <v>329</v>
      </c>
      <c r="X481" s="204" t="s">
        <v>297</v>
      </c>
      <c r="Y481" s="204" t="s">
        <v>397</v>
      </c>
      <c r="Z481" s="204" t="s">
        <v>959</v>
      </c>
      <c r="AA481" s="204" t="s">
        <v>958</v>
      </c>
      <c r="AB481" s="204" t="s">
        <v>329</v>
      </c>
      <c r="AC481" s="204" t="s">
        <v>297</v>
      </c>
      <c r="AD481" s="204" t="s">
        <v>397</v>
      </c>
      <c r="AE481" s="204" t="s">
        <v>957</v>
      </c>
      <c r="AG481" s="204" t="s">
        <v>895</v>
      </c>
      <c r="AH481" s="204" t="s">
        <v>150</v>
      </c>
      <c r="AV481" s="204" t="s">
        <v>1069</v>
      </c>
      <c r="AX481" s="204">
        <v>1</v>
      </c>
      <c r="AY481" s="204">
        <v>0</v>
      </c>
      <c r="AZ481" s="204">
        <v>3.8999999999999998E-3</v>
      </c>
      <c r="BB481" s="204">
        <v>33.578000000000003</v>
      </c>
      <c r="BH481" s="204">
        <v>0</v>
      </c>
      <c r="BI481" s="204">
        <v>9.44</v>
      </c>
      <c r="BJ481" s="204">
        <v>42956</v>
      </c>
      <c r="BK481" s="204">
        <v>42956.764294247703</v>
      </c>
      <c r="BL481" s="204" t="s">
        <v>293</v>
      </c>
      <c r="BM481" s="204" t="s">
        <v>1068</v>
      </c>
      <c r="BN481" s="242">
        <f t="shared" si="99"/>
        <v>33.578000000000003</v>
      </c>
      <c r="BO481" s="269">
        <f t="shared" si="100"/>
        <v>9.44</v>
      </c>
      <c r="BP481" s="269">
        <f>INDEX('App Data Outliers'!$M:$M,MATCH($E481,'App Data Outliers'!$A:$A,0))</f>
        <v>35.519370843989762</v>
      </c>
      <c r="BQ481" s="269">
        <f>INDEX('App Data Outliers'!$N:$N,MATCH($E481,'App Data Outliers'!$A:$A,0))</f>
        <v>44.409875363027503</v>
      </c>
      <c r="BR481" s="269">
        <f>INDEX('App Data Outliers'!$S:$S,MATCH($E481,'App Data Outliers'!$A:$A,0))</f>
        <v>9.3048337595907924</v>
      </c>
      <c r="BS481" s="269">
        <f>INDEX('App Data Outliers'!$T:$T,MATCH($E481,'App Data Outliers'!$A:$A,0))</f>
        <v>1.6493506177636894</v>
      </c>
    </row>
    <row r="482" spans="1:71" s="204" customFormat="1" hidden="1">
      <c r="A482" s="241">
        <v>478</v>
      </c>
      <c r="B482" s="241" t="str">
        <f t="shared" si="91"/>
        <v>Residential - BHPSD - Residential Lighting &amp; Appliances</v>
      </c>
      <c r="C482" s="241" t="b">
        <f t="shared" si="92"/>
        <v>1</v>
      </c>
      <c r="D482" s="241" t="str">
        <f t="shared" si="93"/>
        <v>Residential - BHPSD - Residential Lighting &amp; Appliances_Residential Lighting &amp; Appliances :- ES Star Fixture :- Customer Incentives_ENERGY STAR LED Fixture</v>
      </c>
      <c r="E482" s="241" t="str">
        <f t="shared" si="94"/>
        <v>Residential_Residential Lighting_Lighting_ENERGY STAR Fixture</v>
      </c>
      <c r="F482" s="241" t="str">
        <f>INDEX('VDSM MAPPING'!E:E,MATCH($D482,'VDSM MAPPING'!$A:$A,0))</f>
        <v>Residential</v>
      </c>
      <c r="G482" s="241" t="str">
        <f>INDEX('VDSM MAPPING'!F:F,MATCH($D482,'VDSM MAPPING'!$A:$A,0))</f>
        <v>Residential Lighting</v>
      </c>
      <c r="H482" s="241" t="str">
        <f>INDEX('VDSM MAPPING'!G:G,MATCH($D482,'VDSM MAPPING'!$A:$A,0))</f>
        <v>Lighting</v>
      </c>
      <c r="I482" s="241" t="str">
        <f>INDEX('VDSM MAPPING'!H:H,MATCH($D482,'VDSM MAPPING'!$A:$A,0))</f>
        <v>ENERGY STAR Fixture</v>
      </c>
      <c r="J482" s="240">
        <f t="shared" si="95"/>
        <v>4.3770586511900245</v>
      </c>
      <c r="K482" s="240">
        <f t="shared" si="96"/>
        <v>0.4214787522569125</v>
      </c>
      <c r="L482" s="240" t="b">
        <f t="shared" si="97"/>
        <v>1</v>
      </c>
      <c r="M482" s="240" t="b">
        <f t="shared" si="98"/>
        <v>0</v>
      </c>
      <c r="N482" s="204" t="s">
        <v>289</v>
      </c>
      <c r="O482" s="204" t="s">
        <v>1065</v>
      </c>
      <c r="P482" s="350">
        <v>0</v>
      </c>
      <c r="Q482" s="204" t="s">
        <v>1065</v>
      </c>
      <c r="R482" s="204" t="s">
        <v>1064</v>
      </c>
      <c r="S482" s="204" t="s">
        <v>1063</v>
      </c>
      <c r="T482" s="204" t="s">
        <v>1062</v>
      </c>
      <c r="V482" s="204" t="s">
        <v>1061</v>
      </c>
      <c r="W482" s="204" t="s">
        <v>329</v>
      </c>
      <c r="X482" s="204" t="s">
        <v>297</v>
      </c>
      <c r="Y482" s="204" t="s">
        <v>397</v>
      </c>
      <c r="Z482" s="204" t="s">
        <v>959</v>
      </c>
      <c r="AA482" s="204" t="s">
        <v>958</v>
      </c>
      <c r="AB482" s="204" t="s">
        <v>329</v>
      </c>
      <c r="AC482" s="204" t="s">
        <v>297</v>
      </c>
      <c r="AD482" s="204" t="s">
        <v>397</v>
      </c>
      <c r="AE482" s="204" t="s">
        <v>957</v>
      </c>
      <c r="AG482" s="204" t="s">
        <v>895</v>
      </c>
      <c r="AH482" s="204" t="s">
        <v>150</v>
      </c>
      <c r="AV482" s="204" t="s">
        <v>1071</v>
      </c>
      <c r="AX482" s="204">
        <v>1</v>
      </c>
      <c r="AY482" s="204">
        <v>0</v>
      </c>
      <c r="AZ482" s="204">
        <v>2.7E-2</v>
      </c>
      <c r="BB482" s="204">
        <v>229.904</v>
      </c>
      <c r="BH482" s="204">
        <v>0</v>
      </c>
      <c r="BI482" s="204">
        <v>10</v>
      </c>
      <c r="BJ482" s="204">
        <v>42956</v>
      </c>
      <c r="BK482" s="204">
        <v>42956.764294247703</v>
      </c>
      <c r="BL482" s="204" t="s">
        <v>293</v>
      </c>
      <c r="BM482" s="204" t="s">
        <v>1070</v>
      </c>
      <c r="BN482" s="242">
        <f t="shared" si="99"/>
        <v>229.904</v>
      </c>
      <c r="BO482" s="269">
        <f t="shared" si="100"/>
        <v>10</v>
      </c>
      <c r="BP482" s="269">
        <f>INDEX('App Data Outliers'!$M:$M,MATCH($E482,'App Data Outliers'!$A:$A,0))</f>
        <v>35.519370843989762</v>
      </c>
      <c r="BQ482" s="269">
        <f>INDEX('App Data Outliers'!$N:$N,MATCH($E482,'App Data Outliers'!$A:$A,0))</f>
        <v>44.409875363027503</v>
      </c>
      <c r="BR482" s="269">
        <f>INDEX('App Data Outliers'!$S:$S,MATCH($E482,'App Data Outliers'!$A:$A,0))</f>
        <v>9.3048337595907924</v>
      </c>
      <c r="BS482" s="269">
        <f>INDEX('App Data Outliers'!$T:$T,MATCH($E482,'App Data Outliers'!$A:$A,0))</f>
        <v>1.6493506177636894</v>
      </c>
    </row>
    <row r="483" spans="1:71" s="204" customFormat="1" hidden="1">
      <c r="A483" s="241">
        <v>479</v>
      </c>
      <c r="B483" s="241" t="str">
        <f t="shared" si="91"/>
        <v>Residential - BHPSD - Residential Lighting &amp; Appliances</v>
      </c>
      <c r="C483" s="241" t="b">
        <f t="shared" si="92"/>
        <v>1</v>
      </c>
      <c r="D483" s="241" t="str">
        <f t="shared" si="93"/>
        <v>Residential - BHPSD - Residential Lighting &amp; Appliances_Residential Lighting &amp; Appliances :- LED :- Customer Incentives_LED</v>
      </c>
      <c r="E483" s="241" t="str">
        <f t="shared" si="94"/>
        <v>Residential_Residential Lighting_Lighting_LED</v>
      </c>
      <c r="F483" s="241" t="str">
        <f>INDEX('VDSM MAPPING'!E:E,MATCH($D483,'VDSM MAPPING'!$A:$A,0))</f>
        <v>Residential</v>
      </c>
      <c r="G483" s="241" t="str">
        <f>INDEX('VDSM MAPPING'!F:F,MATCH($D483,'VDSM MAPPING'!$A:$A,0))</f>
        <v>Residential Lighting</v>
      </c>
      <c r="H483" s="241" t="str">
        <f>INDEX('VDSM MAPPING'!G:G,MATCH($D483,'VDSM MAPPING'!$A:$A,0))</f>
        <v>Lighting</v>
      </c>
      <c r="I483" s="241" t="str">
        <f>INDEX('VDSM MAPPING'!H:H,MATCH($D483,'VDSM MAPPING'!$A:$A,0))</f>
        <v>LED</v>
      </c>
      <c r="J483" s="240">
        <f t="shared" si="95"/>
        <v>1.3834006137286521</v>
      </c>
      <c r="K483" s="240">
        <f t="shared" si="96"/>
        <v>-1.5098206575351936</v>
      </c>
      <c r="L483" s="240" t="b">
        <f t="shared" si="97"/>
        <v>0</v>
      </c>
      <c r="M483" s="240" t="b">
        <f t="shared" si="98"/>
        <v>0</v>
      </c>
      <c r="N483" s="204" t="s">
        <v>289</v>
      </c>
      <c r="O483" s="204" t="s">
        <v>1065</v>
      </c>
      <c r="P483" s="350">
        <v>0</v>
      </c>
      <c r="Q483" s="204" t="s">
        <v>1065</v>
      </c>
      <c r="R483" s="204" t="s">
        <v>1064</v>
      </c>
      <c r="S483" s="204" t="s">
        <v>1063</v>
      </c>
      <c r="T483" s="204" t="s">
        <v>1062</v>
      </c>
      <c r="V483" s="204" t="s">
        <v>1061</v>
      </c>
      <c r="W483" s="204" t="s">
        <v>329</v>
      </c>
      <c r="X483" s="204" t="s">
        <v>297</v>
      </c>
      <c r="Y483" s="204" t="s">
        <v>397</v>
      </c>
      <c r="Z483" s="204" t="s">
        <v>959</v>
      </c>
      <c r="AA483" s="204" t="s">
        <v>958</v>
      </c>
      <c r="AB483" s="204" t="s">
        <v>329</v>
      </c>
      <c r="AC483" s="204" t="s">
        <v>297</v>
      </c>
      <c r="AD483" s="204" t="s">
        <v>397</v>
      </c>
      <c r="AE483" s="204" t="s">
        <v>957</v>
      </c>
      <c r="AG483" s="204" t="s">
        <v>791</v>
      </c>
      <c r="AH483" s="204" t="s">
        <v>151</v>
      </c>
      <c r="AV483" s="204" t="s">
        <v>1060</v>
      </c>
      <c r="AX483" s="204">
        <v>2</v>
      </c>
      <c r="AY483" s="204">
        <v>0</v>
      </c>
      <c r="AZ483" s="204">
        <v>8.9999999999999993E-3</v>
      </c>
      <c r="BB483" s="204">
        <v>76.634</v>
      </c>
      <c r="BH483" s="204">
        <v>0</v>
      </c>
      <c r="BI483" s="204">
        <v>4.3600000000000003</v>
      </c>
      <c r="BJ483" s="204">
        <v>42956</v>
      </c>
      <c r="BK483" s="204">
        <v>42956.764294247703</v>
      </c>
      <c r="BL483" s="204" t="s">
        <v>293</v>
      </c>
      <c r="BM483" s="204" t="s">
        <v>1059</v>
      </c>
      <c r="BN483" s="242">
        <f t="shared" si="99"/>
        <v>38.317</v>
      </c>
      <c r="BO483" s="269">
        <f t="shared" si="100"/>
        <v>2.1800000000000002</v>
      </c>
      <c r="BP483" s="269">
        <f>INDEX('App Data Outliers'!$M:$M,MATCH($E483,'App Data Outliers'!$A:$A,0))</f>
        <v>31.912660854402784</v>
      </c>
      <c r="BQ483" s="269">
        <f>INDEX('App Data Outliers'!$N:$N,MATCH($E483,'App Data Outliers'!$A:$A,0))</f>
        <v>4.6294175975068628</v>
      </c>
      <c r="BR483" s="269">
        <f>INDEX('App Data Outliers'!$S:$S,MATCH($E483,'App Data Outliers'!$A:$A,0))</f>
        <v>3.9162224934612029</v>
      </c>
      <c r="BS483" s="269">
        <f>INDEX('App Data Outliers'!$T:$T,MATCH($E483,'App Data Outliers'!$A:$A,0))</f>
        <v>1.1499528005502413</v>
      </c>
    </row>
    <row r="484" spans="1:71" s="204" customFormat="1" hidden="1">
      <c r="A484" s="241">
        <v>480</v>
      </c>
      <c r="B484" s="241" t="str">
        <f t="shared" si="91"/>
        <v>Residential - BHPSD - Residential Lighting &amp; Appliances</v>
      </c>
      <c r="C484" s="241" t="b">
        <f t="shared" si="92"/>
        <v>1</v>
      </c>
      <c r="D484" s="241" t="str">
        <f t="shared" si="93"/>
        <v>Residential - BHPSD - Residential Lighting &amp; Appliances_Residential Lighting &amp; Appliances :- LED :- Customer Incentives_LED</v>
      </c>
      <c r="E484" s="241" t="str">
        <f t="shared" si="94"/>
        <v>Residential_Residential Lighting_Lighting_LED</v>
      </c>
      <c r="F484" s="241" t="str">
        <f>INDEX('VDSM MAPPING'!E:E,MATCH($D484,'VDSM MAPPING'!$A:$A,0))</f>
        <v>Residential</v>
      </c>
      <c r="G484" s="241" t="str">
        <f>INDEX('VDSM MAPPING'!F:F,MATCH($D484,'VDSM MAPPING'!$A:$A,0))</f>
        <v>Residential Lighting</v>
      </c>
      <c r="H484" s="241" t="str">
        <f>INDEX('VDSM MAPPING'!G:G,MATCH($D484,'VDSM MAPPING'!$A:$A,0))</f>
        <v>Lighting</v>
      </c>
      <c r="I484" s="241" t="str">
        <f>INDEX('VDSM MAPPING'!H:H,MATCH($D484,'VDSM MAPPING'!$A:$A,0))</f>
        <v>LED</v>
      </c>
      <c r="J484" s="240">
        <f t="shared" si="95"/>
        <v>4.4328122735457747</v>
      </c>
      <c r="K484" s="240">
        <f t="shared" si="96"/>
        <v>0.94245390421260777</v>
      </c>
      <c r="L484" s="240" t="b">
        <f t="shared" si="97"/>
        <v>1</v>
      </c>
      <c r="M484" s="240" t="b">
        <f t="shared" si="98"/>
        <v>0</v>
      </c>
      <c r="N484" s="204" t="s">
        <v>289</v>
      </c>
      <c r="O484" s="204" t="s">
        <v>1065</v>
      </c>
      <c r="P484" s="350">
        <v>0</v>
      </c>
      <c r="Q484" s="204" t="s">
        <v>1065</v>
      </c>
      <c r="R484" s="204" t="s">
        <v>1064</v>
      </c>
      <c r="S484" s="204" t="s">
        <v>1063</v>
      </c>
      <c r="T484" s="204" t="s">
        <v>1062</v>
      </c>
      <c r="V484" s="204" t="s">
        <v>1061</v>
      </c>
      <c r="W484" s="204" t="s">
        <v>329</v>
      </c>
      <c r="X484" s="204" t="s">
        <v>297</v>
      </c>
      <c r="Y484" s="204" t="s">
        <v>397</v>
      </c>
      <c r="Z484" s="204" t="s">
        <v>959</v>
      </c>
      <c r="AA484" s="204" t="s">
        <v>958</v>
      </c>
      <c r="AB484" s="204" t="s">
        <v>329</v>
      </c>
      <c r="AC484" s="204" t="s">
        <v>297</v>
      </c>
      <c r="AD484" s="204" t="s">
        <v>397</v>
      </c>
      <c r="AE484" s="204" t="s">
        <v>957</v>
      </c>
      <c r="AG484" s="204" t="s">
        <v>791</v>
      </c>
      <c r="AH484" s="204" t="s">
        <v>151</v>
      </c>
      <c r="AV484" s="204" t="s">
        <v>1067</v>
      </c>
      <c r="AX484" s="204">
        <v>1</v>
      </c>
      <c r="AY484" s="204">
        <v>0</v>
      </c>
      <c r="AZ484" s="204">
        <v>6.1999999999999998E-3</v>
      </c>
      <c r="BB484" s="204">
        <v>52.433999999999997</v>
      </c>
      <c r="BH484" s="204">
        <v>0</v>
      </c>
      <c r="BI484" s="204">
        <v>5</v>
      </c>
      <c r="BJ484" s="204">
        <v>42956</v>
      </c>
      <c r="BK484" s="204">
        <v>42956.764294247703</v>
      </c>
      <c r="BL484" s="204" t="s">
        <v>293</v>
      </c>
      <c r="BM484" s="204" t="s">
        <v>1066</v>
      </c>
      <c r="BN484" s="242">
        <f t="shared" si="99"/>
        <v>52.433999999999997</v>
      </c>
      <c r="BO484" s="269">
        <f t="shared" si="100"/>
        <v>5</v>
      </c>
      <c r="BP484" s="269">
        <f>INDEX('App Data Outliers'!$M:$M,MATCH($E484,'App Data Outliers'!$A:$A,0))</f>
        <v>31.912660854402784</v>
      </c>
      <c r="BQ484" s="269">
        <f>INDEX('App Data Outliers'!$N:$N,MATCH($E484,'App Data Outliers'!$A:$A,0))</f>
        <v>4.6294175975068628</v>
      </c>
      <c r="BR484" s="269">
        <f>INDEX('App Data Outliers'!$S:$S,MATCH($E484,'App Data Outliers'!$A:$A,0))</f>
        <v>3.9162224934612029</v>
      </c>
      <c r="BS484" s="269">
        <f>INDEX('App Data Outliers'!$T:$T,MATCH($E484,'App Data Outliers'!$A:$A,0))</f>
        <v>1.1499528005502413</v>
      </c>
    </row>
    <row r="485" spans="1:71" s="204" customFormat="1" hidden="1">
      <c r="A485" s="241">
        <v>481</v>
      </c>
      <c r="B485" s="241" t="str">
        <f t="shared" si="91"/>
        <v>Residential - BHPSD - Residential Lighting &amp; Appliances</v>
      </c>
      <c r="C485" s="241" t="b">
        <f t="shared" si="92"/>
        <v>1</v>
      </c>
      <c r="D485" s="241" t="str">
        <f t="shared" si="93"/>
        <v>Residential - BHPSD - Residential Lighting &amp; Appliances_Residential Lighting &amp; Appliances :- LED :- Customer Incentives_LED</v>
      </c>
      <c r="E485" s="241" t="str">
        <f t="shared" si="94"/>
        <v>Residential_Residential Lighting_Lighting_LED</v>
      </c>
      <c r="F485" s="241" t="str">
        <f>INDEX('VDSM MAPPING'!E:E,MATCH($D485,'VDSM MAPPING'!$A:$A,0))</f>
        <v>Residential</v>
      </c>
      <c r="G485" s="241" t="str">
        <f>INDEX('VDSM MAPPING'!F:F,MATCH($D485,'VDSM MAPPING'!$A:$A,0))</f>
        <v>Residential Lighting</v>
      </c>
      <c r="H485" s="241" t="str">
        <f>INDEX('VDSM MAPPING'!G:G,MATCH($D485,'VDSM MAPPING'!$A:$A,0))</f>
        <v>Lighting</v>
      </c>
      <c r="I485" s="241" t="str">
        <f>INDEX('VDSM MAPPING'!H:H,MATCH($D485,'VDSM MAPPING'!$A:$A,0))</f>
        <v>LED</v>
      </c>
      <c r="J485" s="240">
        <f t="shared" si="95"/>
        <v>0.62110170124762665</v>
      </c>
      <c r="K485" s="240">
        <f t="shared" si="96"/>
        <v>-2.7533499565775186</v>
      </c>
      <c r="L485" s="240" t="b">
        <f t="shared" si="97"/>
        <v>0</v>
      </c>
      <c r="M485" s="240" t="b">
        <f t="shared" si="98"/>
        <v>1</v>
      </c>
      <c r="N485" s="204" t="s">
        <v>289</v>
      </c>
      <c r="O485" s="204" t="s">
        <v>1065</v>
      </c>
      <c r="P485" s="350">
        <v>0</v>
      </c>
      <c r="Q485" s="204" t="s">
        <v>1065</v>
      </c>
      <c r="R485" s="204" t="s">
        <v>1064</v>
      </c>
      <c r="S485" s="204" t="s">
        <v>1063</v>
      </c>
      <c r="T485" s="204" t="s">
        <v>1062</v>
      </c>
      <c r="V485" s="204" t="s">
        <v>1061</v>
      </c>
      <c r="W485" s="204" t="s">
        <v>329</v>
      </c>
      <c r="X485" s="204" t="s">
        <v>297</v>
      </c>
      <c r="Y485" s="204" t="s">
        <v>397</v>
      </c>
      <c r="Z485" s="204" t="s">
        <v>959</v>
      </c>
      <c r="AA485" s="204" t="s">
        <v>958</v>
      </c>
      <c r="AB485" s="204" t="s">
        <v>329</v>
      </c>
      <c r="AC485" s="204" t="s">
        <v>297</v>
      </c>
      <c r="AD485" s="204" t="s">
        <v>397</v>
      </c>
      <c r="AE485" s="204" t="s">
        <v>957</v>
      </c>
      <c r="AG485" s="204" t="s">
        <v>791</v>
      </c>
      <c r="AH485" s="204" t="s">
        <v>151</v>
      </c>
      <c r="AV485" s="204" t="s">
        <v>1073</v>
      </c>
      <c r="AX485" s="204">
        <v>8</v>
      </c>
      <c r="AY485" s="204">
        <v>0</v>
      </c>
      <c r="AZ485" s="204">
        <v>3.2800000000000003E-2</v>
      </c>
      <c r="BB485" s="204">
        <v>278.30399999999997</v>
      </c>
      <c r="BH485" s="204">
        <v>0</v>
      </c>
      <c r="BI485" s="204">
        <v>6</v>
      </c>
      <c r="BJ485" s="204">
        <v>42956</v>
      </c>
      <c r="BK485" s="204">
        <v>42956.764294247703</v>
      </c>
      <c r="BL485" s="204" t="s">
        <v>293</v>
      </c>
      <c r="BM485" s="204" t="s">
        <v>1072</v>
      </c>
      <c r="BN485" s="242">
        <f t="shared" si="99"/>
        <v>34.787999999999997</v>
      </c>
      <c r="BO485" s="243">
        <f t="shared" si="100"/>
        <v>0.75</v>
      </c>
      <c r="BP485" s="269">
        <f>INDEX('App Data Outliers'!$M:$M,MATCH($E485,'App Data Outliers'!$A:$A,0))</f>
        <v>31.912660854402784</v>
      </c>
      <c r="BQ485" s="243">
        <f>INDEX('App Data Outliers'!$N:$N,MATCH($E485,'App Data Outliers'!$A:$A,0))</f>
        <v>4.6294175975068628</v>
      </c>
      <c r="BR485" s="243">
        <f>INDEX('App Data Outliers'!$S:$S,MATCH($E485,'App Data Outliers'!$A:$A,0))</f>
        <v>3.9162224934612029</v>
      </c>
      <c r="BS485" s="243">
        <f>INDEX('App Data Outliers'!$T:$T,MATCH($E485,'App Data Outliers'!$A:$A,0))</f>
        <v>1.1499528005502413</v>
      </c>
    </row>
    <row r="486" spans="1:71" s="204" customFormat="1" hidden="1">
      <c r="A486" s="241">
        <v>482</v>
      </c>
      <c r="B486" s="241" t="str">
        <f t="shared" si="91"/>
        <v>Residential - BHPSD - Residential Lighting &amp; Appliances</v>
      </c>
      <c r="C486" s="241" t="b">
        <f t="shared" si="92"/>
        <v>1</v>
      </c>
      <c r="D486" s="241" t="str">
        <f t="shared" si="93"/>
        <v>Residential - BHPSD - Residential Lighting &amp; Appliances_Residential Lighting &amp; Appliances :- LED :- Customer Incentives_LED</v>
      </c>
      <c r="E486" s="241" t="str">
        <f t="shared" si="94"/>
        <v>Residential_Residential Lighting_Lighting_LED</v>
      </c>
      <c r="F486" s="241" t="str">
        <f>INDEX('VDSM MAPPING'!E:E,MATCH($D486,'VDSM MAPPING'!$A:$A,0))</f>
        <v>Residential</v>
      </c>
      <c r="G486" s="241" t="str">
        <f>INDEX('VDSM MAPPING'!F:F,MATCH($D486,'VDSM MAPPING'!$A:$A,0))</f>
        <v>Residential Lighting</v>
      </c>
      <c r="H486" s="241" t="str">
        <f>INDEX('VDSM MAPPING'!G:G,MATCH($D486,'VDSM MAPPING'!$A:$A,0))</f>
        <v>Lighting</v>
      </c>
      <c r="I486" s="241" t="str">
        <f>INDEX('VDSM MAPPING'!H:H,MATCH($D486,'VDSM MAPPING'!$A:$A,0))</f>
        <v>LED</v>
      </c>
      <c r="J486" s="240">
        <f t="shared" si="95"/>
        <v>-1.6660110460884709</v>
      </c>
      <c r="K486" s="240">
        <f t="shared" si="96"/>
        <v>-0.36194745841920162</v>
      </c>
      <c r="L486" s="240" t="b">
        <f t="shared" si="97"/>
        <v>0</v>
      </c>
      <c r="M486" s="240" t="b">
        <f t="shared" si="98"/>
        <v>0</v>
      </c>
      <c r="N486" s="204" t="s">
        <v>289</v>
      </c>
      <c r="O486" s="204" t="s">
        <v>1058</v>
      </c>
      <c r="P486" s="350">
        <v>1</v>
      </c>
      <c r="Q486" s="204" t="s">
        <v>1058</v>
      </c>
      <c r="R486" s="204" t="s">
        <v>1057</v>
      </c>
      <c r="S486" s="204" t="s">
        <v>1056</v>
      </c>
      <c r="T486" s="204" t="s">
        <v>1055</v>
      </c>
      <c r="V486" s="204" t="s">
        <v>1054</v>
      </c>
      <c r="W486" s="204" t="s">
        <v>329</v>
      </c>
      <c r="X486" s="204" t="s">
        <v>297</v>
      </c>
      <c r="Y486" s="204" t="s">
        <v>328</v>
      </c>
      <c r="Z486" s="204" t="s">
        <v>978</v>
      </c>
      <c r="AA486" s="204" t="s">
        <v>977</v>
      </c>
      <c r="AB486" s="204" t="s">
        <v>752</v>
      </c>
      <c r="AC486" s="204" t="s">
        <v>297</v>
      </c>
      <c r="AD486" s="204" t="s">
        <v>328</v>
      </c>
      <c r="AF486" s="204" t="s">
        <v>976</v>
      </c>
      <c r="AG486" s="204" t="s">
        <v>791</v>
      </c>
      <c r="AH486" s="204" t="s">
        <v>151</v>
      </c>
      <c r="AV486" s="204" t="s">
        <v>1053</v>
      </c>
      <c r="AX486" s="204">
        <v>4</v>
      </c>
      <c r="AY486" s="204">
        <v>0</v>
      </c>
      <c r="AZ486" s="204">
        <v>1.12E-2</v>
      </c>
      <c r="BB486" s="204">
        <v>96.8</v>
      </c>
      <c r="BH486" s="204">
        <v>0</v>
      </c>
      <c r="BI486" s="204">
        <v>14</v>
      </c>
      <c r="BJ486" s="204">
        <v>42957</v>
      </c>
      <c r="BK486" s="204">
        <v>42957.798842129603</v>
      </c>
      <c r="BL486" s="204" t="s">
        <v>293</v>
      </c>
      <c r="BM486" s="204" t="s">
        <v>1052</v>
      </c>
      <c r="BN486" s="242">
        <f t="shared" si="99"/>
        <v>24.2</v>
      </c>
      <c r="BO486" s="269">
        <f t="shared" si="100"/>
        <v>3.5</v>
      </c>
      <c r="BP486" s="269">
        <f>INDEX('App Data Outliers'!$M:$M,MATCH($E486,'App Data Outliers'!$A:$A,0))</f>
        <v>31.912660854402784</v>
      </c>
      <c r="BQ486" s="269">
        <f>INDEX('App Data Outliers'!$N:$N,MATCH($E486,'App Data Outliers'!$A:$A,0))</f>
        <v>4.6294175975068628</v>
      </c>
      <c r="BR486" s="269">
        <f>INDEX('App Data Outliers'!$S:$S,MATCH($E486,'App Data Outliers'!$A:$A,0))</f>
        <v>3.9162224934612029</v>
      </c>
      <c r="BS486" s="269">
        <f>INDEX('App Data Outliers'!$T:$T,MATCH($E486,'App Data Outliers'!$A:$A,0))</f>
        <v>1.1499528005502413</v>
      </c>
    </row>
    <row r="487" spans="1:71" s="204" customFormat="1" hidden="1">
      <c r="A487" s="241">
        <v>483</v>
      </c>
      <c r="B487" s="241" t="str">
        <f t="shared" si="91"/>
        <v>Residential - BHPSD - Residential Lighting &amp; Appliances</v>
      </c>
      <c r="C487" s="241" t="b">
        <f t="shared" si="92"/>
        <v>1</v>
      </c>
      <c r="D487" s="241" t="str">
        <f t="shared" si="93"/>
        <v>Residential - BHPSD - Residential Lighting &amp; Appliances_Residential Lighting &amp; Appliances :- LED :- Customer Incentives_LED</v>
      </c>
      <c r="E487" s="241" t="str">
        <f t="shared" si="94"/>
        <v>Residential_Residential Lighting_Lighting_LED</v>
      </c>
      <c r="F487" s="241" t="str">
        <f>INDEX('VDSM MAPPING'!E:E,MATCH($D487,'VDSM MAPPING'!$A:$A,0))</f>
        <v>Residential</v>
      </c>
      <c r="G487" s="241" t="str">
        <f>INDEX('VDSM MAPPING'!F:F,MATCH($D487,'VDSM MAPPING'!$A:$A,0))</f>
        <v>Residential Lighting</v>
      </c>
      <c r="H487" s="241" t="str">
        <f>INDEX('VDSM MAPPING'!G:G,MATCH($D487,'VDSM MAPPING'!$A:$A,0))</f>
        <v>Lighting</v>
      </c>
      <c r="I487" s="241" t="str">
        <f>INDEX('VDSM MAPPING'!H:H,MATCH($D487,'VDSM MAPPING'!$A:$A,0))</f>
        <v>LED</v>
      </c>
      <c r="J487" s="240">
        <f t="shared" si="95"/>
        <v>0.40336372907962731</v>
      </c>
      <c r="K487" s="240">
        <f t="shared" si="96"/>
        <v>-0.84022795805086525</v>
      </c>
      <c r="L487" s="240" t="b">
        <f t="shared" si="97"/>
        <v>0</v>
      </c>
      <c r="M487" s="240" t="b">
        <f t="shared" si="98"/>
        <v>0</v>
      </c>
      <c r="N487" s="204" t="s">
        <v>289</v>
      </c>
      <c r="O487" s="204" t="s">
        <v>1051</v>
      </c>
      <c r="P487" s="350">
        <v>1</v>
      </c>
      <c r="Q487" s="204" t="s">
        <v>1051</v>
      </c>
      <c r="R487" s="204" t="s">
        <v>1050</v>
      </c>
      <c r="S487" s="204" t="s">
        <v>1049</v>
      </c>
      <c r="T487" s="204" t="s">
        <v>1048</v>
      </c>
      <c r="V487" s="204" t="s">
        <v>1047</v>
      </c>
      <c r="W487" s="204" t="s">
        <v>329</v>
      </c>
      <c r="X487" s="204" t="s">
        <v>297</v>
      </c>
      <c r="Y487" s="204" t="s">
        <v>397</v>
      </c>
      <c r="Z487" s="204" t="s">
        <v>601</v>
      </c>
      <c r="AA487" s="204" t="s">
        <v>600</v>
      </c>
      <c r="AB487" s="204" t="s">
        <v>329</v>
      </c>
      <c r="AC487" s="204" t="s">
        <v>297</v>
      </c>
      <c r="AD487" s="204" t="s">
        <v>599</v>
      </c>
      <c r="AE487" s="204" t="s">
        <v>598</v>
      </c>
      <c r="AG487" s="204" t="s">
        <v>791</v>
      </c>
      <c r="AH487" s="204" t="s">
        <v>151</v>
      </c>
      <c r="AX487" s="204">
        <v>6</v>
      </c>
      <c r="AY487" s="204">
        <v>0</v>
      </c>
      <c r="AZ487" s="204">
        <v>2.4E-2</v>
      </c>
      <c r="BB487" s="204">
        <v>202.68</v>
      </c>
      <c r="BH487" s="204">
        <v>0</v>
      </c>
      <c r="BI487" s="204">
        <v>17.7</v>
      </c>
      <c r="BJ487" s="204">
        <v>42961</v>
      </c>
      <c r="BK487" s="204">
        <v>42961.635425844899</v>
      </c>
      <c r="BL487" s="204" t="s">
        <v>293</v>
      </c>
      <c r="BM487" s="204" t="s">
        <v>1046</v>
      </c>
      <c r="BN487" s="242">
        <f t="shared" si="99"/>
        <v>33.78</v>
      </c>
      <c r="BO487" s="269">
        <f t="shared" si="100"/>
        <v>2.9499999999999997</v>
      </c>
      <c r="BP487" s="269">
        <f>INDEX('App Data Outliers'!$M:$M,MATCH($E487,'App Data Outliers'!$A:$A,0))</f>
        <v>31.912660854402784</v>
      </c>
      <c r="BQ487" s="269">
        <f>INDEX('App Data Outliers'!$N:$N,MATCH($E487,'App Data Outliers'!$A:$A,0))</f>
        <v>4.6294175975068628</v>
      </c>
      <c r="BR487" s="269">
        <f>INDEX('App Data Outliers'!$S:$S,MATCH($E487,'App Data Outliers'!$A:$A,0))</f>
        <v>3.9162224934612029</v>
      </c>
      <c r="BS487" s="269">
        <f>INDEX('App Data Outliers'!$T:$T,MATCH($E487,'App Data Outliers'!$A:$A,0))</f>
        <v>1.1499528005502413</v>
      </c>
    </row>
    <row r="488" spans="1:71" s="204" customFormat="1" hidden="1">
      <c r="A488" s="241">
        <v>484</v>
      </c>
      <c r="B488" s="241" t="str">
        <f t="shared" si="91"/>
        <v>Residential - BHPSD - Residential Lighting &amp; Appliances</v>
      </c>
      <c r="C488" s="241" t="b">
        <f t="shared" si="92"/>
        <v>1</v>
      </c>
      <c r="D488" s="241" t="str">
        <f t="shared" si="93"/>
        <v>Residential - BHPSD - Residential Lighting &amp; Appliances_Residential Lighting &amp; Appliances :- LED :- Customer Incentives_LED</v>
      </c>
      <c r="E488" s="241" t="str">
        <f t="shared" si="94"/>
        <v>Residential_Residential Lighting_Lighting_LED</v>
      </c>
      <c r="F488" s="241" t="str">
        <f>INDEX('VDSM MAPPING'!E:E,MATCH($D488,'VDSM MAPPING'!$A:$A,0))</f>
        <v>Residential</v>
      </c>
      <c r="G488" s="241" t="str">
        <f>INDEX('VDSM MAPPING'!F:F,MATCH($D488,'VDSM MAPPING'!$A:$A,0))</f>
        <v>Residential Lighting</v>
      </c>
      <c r="H488" s="241" t="str">
        <f>INDEX('VDSM MAPPING'!G:G,MATCH($D488,'VDSM MAPPING'!$A:$A,0))</f>
        <v>Lighting</v>
      </c>
      <c r="I488" s="241" t="str">
        <f>INDEX('VDSM MAPPING'!H:H,MATCH($D488,'VDSM MAPPING'!$A:$A,0))</f>
        <v>LED</v>
      </c>
      <c r="J488" s="240">
        <f t="shared" si="95"/>
        <v>0.40336372907962731</v>
      </c>
      <c r="K488" s="240">
        <f t="shared" si="96"/>
        <v>-0.84022795805086481</v>
      </c>
      <c r="L488" s="240" t="b">
        <f t="shared" si="97"/>
        <v>0</v>
      </c>
      <c r="M488" s="240" t="b">
        <f t="shared" si="98"/>
        <v>0</v>
      </c>
      <c r="N488" s="204" t="s">
        <v>289</v>
      </c>
      <c r="O488" s="204" t="s">
        <v>1044</v>
      </c>
      <c r="P488" s="350">
        <v>1</v>
      </c>
      <c r="Q488" s="204" t="s">
        <v>1044</v>
      </c>
      <c r="R488" s="204" t="s">
        <v>1043</v>
      </c>
      <c r="S488" s="204" t="s">
        <v>1042</v>
      </c>
      <c r="T488" s="204" t="s">
        <v>1041</v>
      </c>
      <c r="V488" s="204" t="s">
        <v>1040</v>
      </c>
      <c r="W488" s="204" t="s">
        <v>329</v>
      </c>
      <c r="X488" s="204" t="s">
        <v>297</v>
      </c>
      <c r="Y488" s="204" t="s">
        <v>397</v>
      </c>
      <c r="Z488" s="204" t="s">
        <v>601</v>
      </c>
      <c r="AA488" s="204" t="s">
        <v>600</v>
      </c>
      <c r="AB488" s="204" t="s">
        <v>329</v>
      </c>
      <c r="AC488" s="204" t="s">
        <v>297</v>
      </c>
      <c r="AD488" s="204" t="s">
        <v>599</v>
      </c>
      <c r="AE488" s="204" t="s">
        <v>598</v>
      </c>
      <c r="AG488" s="204" t="s">
        <v>791</v>
      </c>
      <c r="AH488" s="204" t="s">
        <v>151</v>
      </c>
      <c r="AX488" s="204">
        <v>10</v>
      </c>
      <c r="AY488" s="204">
        <v>0</v>
      </c>
      <c r="AZ488" s="204">
        <v>0.04</v>
      </c>
      <c r="BB488" s="204">
        <v>337.8</v>
      </c>
      <c r="BH488" s="204">
        <v>0</v>
      </c>
      <c r="BI488" s="204">
        <v>29.5</v>
      </c>
      <c r="BJ488" s="204">
        <v>42961</v>
      </c>
      <c r="BK488" s="204">
        <v>42961.6363909375</v>
      </c>
      <c r="BL488" s="204" t="s">
        <v>293</v>
      </c>
      <c r="BM488" s="204" t="s">
        <v>1039</v>
      </c>
      <c r="BN488" s="242">
        <f t="shared" si="99"/>
        <v>33.78</v>
      </c>
      <c r="BO488" s="269">
        <f t="shared" si="100"/>
        <v>2.95</v>
      </c>
      <c r="BP488" s="269">
        <f>INDEX('App Data Outliers'!$M:$M,MATCH($E488,'App Data Outliers'!$A:$A,0))</f>
        <v>31.912660854402784</v>
      </c>
      <c r="BQ488" s="269">
        <f>INDEX('App Data Outliers'!$N:$N,MATCH($E488,'App Data Outliers'!$A:$A,0))</f>
        <v>4.6294175975068628</v>
      </c>
      <c r="BR488" s="269">
        <f>INDEX('App Data Outliers'!$S:$S,MATCH($E488,'App Data Outliers'!$A:$A,0))</f>
        <v>3.9162224934612029</v>
      </c>
      <c r="BS488" s="269">
        <f>INDEX('App Data Outliers'!$T:$T,MATCH($E488,'App Data Outliers'!$A:$A,0))</f>
        <v>1.1499528005502413</v>
      </c>
    </row>
    <row r="489" spans="1:71" s="204" customFormat="1" hidden="1">
      <c r="A489" s="241">
        <v>485</v>
      </c>
      <c r="B489" s="241" t="str">
        <f t="shared" si="91"/>
        <v>Residential - BHPSD - Residential Lighting &amp; Appliances</v>
      </c>
      <c r="C489" s="241" t="b">
        <f t="shared" si="92"/>
        <v>1</v>
      </c>
      <c r="D489" s="241" t="str">
        <f t="shared" si="93"/>
        <v>Residential - BHPSD - Residential Lighting &amp; Appliances_Residential Lighting &amp; Appliances :- LED :- Customer Incentives_LED</v>
      </c>
      <c r="E489" s="241" t="str">
        <f t="shared" si="94"/>
        <v>Residential_Residential Lighting_Lighting_LED</v>
      </c>
      <c r="F489" s="241" t="str">
        <f>INDEX('VDSM MAPPING'!E:E,MATCH($D489,'VDSM MAPPING'!$A:$A,0))</f>
        <v>Residential</v>
      </c>
      <c r="G489" s="241" t="str">
        <f>INDEX('VDSM MAPPING'!F:F,MATCH($D489,'VDSM MAPPING'!$A:$A,0))</f>
        <v>Residential Lighting</v>
      </c>
      <c r="H489" s="241" t="str">
        <f>INDEX('VDSM MAPPING'!G:G,MATCH($D489,'VDSM MAPPING'!$A:$A,0))</f>
        <v>Lighting</v>
      </c>
      <c r="I489" s="241" t="str">
        <f>INDEX('VDSM MAPPING'!H:H,MATCH($D489,'VDSM MAPPING'!$A:$A,0))</f>
        <v>LED</v>
      </c>
      <c r="J489" s="240">
        <f t="shared" si="95"/>
        <v>0.18540974701860313</v>
      </c>
      <c r="K489" s="240">
        <f t="shared" si="96"/>
        <v>7.2852995791401517E-2</v>
      </c>
      <c r="L489" s="240" t="b">
        <f t="shared" si="97"/>
        <v>0</v>
      </c>
      <c r="M489" s="240" t="b">
        <f t="shared" si="98"/>
        <v>0</v>
      </c>
      <c r="N489" s="204" t="s">
        <v>289</v>
      </c>
      <c r="O489" s="204" t="s">
        <v>1044</v>
      </c>
      <c r="P489" s="350">
        <v>0</v>
      </c>
      <c r="Q489" s="204" t="s">
        <v>1044</v>
      </c>
      <c r="R489" s="204" t="s">
        <v>1043</v>
      </c>
      <c r="S489" s="204" t="s">
        <v>1042</v>
      </c>
      <c r="T489" s="204" t="s">
        <v>1041</v>
      </c>
      <c r="V489" s="204" t="s">
        <v>1040</v>
      </c>
      <c r="W489" s="204" t="s">
        <v>329</v>
      </c>
      <c r="X489" s="204" t="s">
        <v>297</v>
      </c>
      <c r="Y489" s="204" t="s">
        <v>397</v>
      </c>
      <c r="Z489" s="204" t="s">
        <v>601</v>
      </c>
      <c r="AA489" s="204" t="s">
        <v>600</v>
      </c>
      <c r="AB489" s="204" t="s">
        <v>329</v>
      </c>
      <c r="AC489" s="204" t="s">
        <v>297</v>
      </c>
      <c r="AD489" s="204" t="s">
        <v>599</v>
      </c>
      <c r="AE489" s="204" t="s">
        <v>598</v>
      </c>
      <c r="AG489" s="204" t="s">
        <v>791</v>
      </c>
      <c r="AH489" s="204" t="s">
        <v>151</v>
      </c>
      <c r="AX489" s="204">
        <v>8</v>
      </c>
      <c r="AY489" s="204">
        <v>0</v>
      </c>
      <c r="AZ489" s="204">
        <v>3.1199999999999999E-2</v>
      </c>
      <c r="BB489" s="204">
        <v>262.16800000000001</v>
      </c>
      <c r="BH489" s="204">
        <v>0</v>
      </c>
      <c r="BI489" s="204">
        <v>32</v>
      </c>
      <c r="BJ489" s="204">
        <v>42961</v>
      </c>
      <c r="BK489" s="204">
        <v>42961.6363909375</v>
      </c>
      <c r="BL489" s="204" t="s">
        <v>293</v>
      </c>
      <c r="BM489" s="204" t="s">
        <v>1045</v>
      </c>
      <c r="BN489" s="242">
        <f t="shared" si="99"/>
        <v>32.771000000000001</v>
      </c>
      <c r="BO489" s="269">
        <f t="shared" si="100"/>
        <v>4</v>
      </c>
      <c r="BP489" s="269">
        <f>INDEX('App Data Outliers'!$M:$M,MATCH($E489,'App Data Outliers'!$A:$A,0))</f>
        <v>31.912660854402784</v>
      </c>
      <c r="BQ489" s="269">
        <f>INDEX('App Data Outliers'!$N:$N,MATCH($E489,'App Data Outliers'!$A:$A,0))</f>
        <v>4.6294175975068628</v>
      </c>
      <c r="BR489" s="269">
        <f>INDEX('App Data Outliers'!$S:$S,MATCH($E489,'App Data Outliers'!$A:$A,0))</f>
        <v>3.9162224934612029</v>
      </c>
      <c r="BS489" s="269">
        <f>INDEX('App Data Outliers'!$T:$T,MATCH($E489,'App Data Outliers'!$A:$A,0))</f>
        <v>1.1499528005502413</v>
      </c>
    </row>
    <row r="490" spans="1:71" s="204" customFormat="1" hidden="1">
      <c r="A490" s="241">
        <v>486</v>
      </c>
      <c r="B490" s="241" t="str">
        <f t="shared" si="91"/>
        <v>Residential - BHPSD - Residential Lighting &amp; Appliances</v>
      </c>
      <c r="C490" s="241" t="b">
        <f t="shared" si="92"/>
        <v>1</v>
      </c>
      <c r="D490" s="241" t="str">
        <f t="shared" si="93"/>
        <v>Residential - BHPSD - Residential Lighting &amp; Appliances_Residential Lighting &amp; Appliances :- LED :- Customer Incentives_LED</v>
      </c>
      <c r="E490" s="241" t="str">
        <f t="shared" si="94"/>
        <v>Residential_Residential Lighting_Lighting_LED</v>
      </c>
      <c r="F490" s="241" t="str">
        <f>INDEX('VDSM MAPPING'!E:E,MATCH($D490,'VDSM MAPPING'!$A:$A,0))</f>
        <v>Residential</v>
      </c>
      <c r="G490" s="241" t="str">
        <f>INDEX('VDSM MAPPING'!F:F,MATCH($D490,'VDSM MAPPING'!$A:$A,0))</f>
        <v>Residential Lighting</v>
      </c>
      <c r="H490" s="241" t="str">
        <f>INDEX('VDSM MAPPING'!G:G,MATCH($D490,'VDSM MAPPING'!$A:$A,0))</f>
        <v>Lighting</v>
      </c>
      <c r="I490" s="241" t="str">
        <f>INDEX('VDSM MAPPING'!H:H,MATCH($D490,'VDSM MAPPING'!$A:$A,0))</f>
        <v>LED</v>
      </c>
      <c r="J490" s="240">
        <f t="shared" si="95"/>
        <v>0.51223271516362701</v>
      </c>
      <c r="K490" s="240">
        <f t="shared" si="96"/>
        <v>-0.58369569006660904</v>
      </c>
      <c r="L490" s="240" t="b">
        <f t="shared" si="97"/>
        <v>0</v>
      </c>
      <c r="M490" s="240" t="b">
        <f t="shared" si="98"/>
        <v>0</v>
      </c>
      <c r="N490" s="204" t="s">
        <v>289</v>
      </c>
      <c r="O490" s="204" t="s">
        <v>1038</v>
      </c>
      <c r="P490" s="350">
        <v>1</v>
      </c>
      <c r="Q490" s="204" t="s">
        <v>1038</v>
      </c>
      <c r="R490" s="204" t="s">
        <v>1037</v>
      </c>
      <c r="S490" s="204" t="s">
        <v>1036</v>
      </c>
      <c r="T490" s="204" t="s">
        <v>1035</v>
      </c>
      <c r="V490" s="204" t="s">
        <v>1034</v>
      </c>
      <c r="W490" s="204" t="s">
        <v>329</v>
      </c>
      <c r="X490" s="204" t="s">
        <v>297</v>
      </c>
      <c r="Y490" s="204" t="s">
        <v>397</v>
      </c>
      <c r="Z490" s="204" t="s">
        <v>850</v>
      </c>
      <c r="AA490" s="204" t="s">
        <v>849</v>
      </c>
      <c r="AB490" s="204" t="s">
        <v>329</v>
      </c>
      <c r="AC490" s="204" t="s">
        <v>297</v>
      </c>
      <c r="AD490" s="204" t="s">
        <v>848</v>
      </c>
      <c r="AE490" s="204" t="s">
        <v>847</v>
      </c>
      <c r="AG490" s="204" t="s">
        <v>791</v>
      </c>
      <c r="AH490" s="204" t="s">
        <v>151</v>
      </c>
      <c r="AV490" s="204" t="s">
        <v>1033</v>
      </c>
      <c r="AX490" s="204">
        <v>8</v>
      </c>
      <c r="AY490" s="204">
        <v>0</v>
      </c>
      <c r="AZ490" s="204">
        <v>3.2000000000000001E-2</v>
      </c>
      <c r="BB490" s="204">
        <v>274.27199999999999</v>
      </c>
      <c r="BH490" s="204">
        <v>0</v>
      </c>
      <c r="BI490" s="204">
        <v>25.96</v>
      </c>
      <c r="BJ490" s="204">
        <v>42962</v>
      </c>
      <c r="BK490" s="204">
        <v>42962.620611458296</v>
      </c>
      <c r="BL490" s="204" t="s">
        <v>293</v>
      </c>
      <c r="BM490" s="204" t="s">
        <v>1032</v>
      </c>
      <c r="BN490" s="242">
        <f t="shared" si="99"/>
        <v>34.283999999999999</v>
      </c>
      <c r="BO490" s="269">
        <f t="shared" si="100"/>
        <v>3.2450000000000001</v>
      </c>
      <c r="BP490" s="269">
        <f>INDEX('App Data Outliers'!$M:$M,MATCH($E490,'App Data Outliers'!$A:$A,0))</f>
        <v>31.912660854402784</v>
      </c>
      <c r="BQ490" s="269">
        <f>INDEX('App Data Outliers'!$N:$N,MATCH($E490,'App Data Outliers'!$A:$A,0))</f>
        <v>4.6294175975068628</v>
      </c>
      <c r="BR490" s="269">
        <f>INDEX('App Data Outliers'!$S:$S,MATCH($E490,'App Data Outliers'!$A:$A,0))</f>
        <v>3.9162224934612029</v>
      </c>
      <c r="BS490" s="269">
        <f>INDEX('App Data Outliers'!$T:$T,MATCH($E490,'App Data Outliers'!$A:$A,0))</f>
        <v>1.1499528005502413</v>
      </c>
    </row>
    <row r="491" spans="1:71" s="204" customFormat="1" hidden="1">
      <c r="A491" s="241">
        <v>487</v>
      </c>
      <c r="B491" s="241" t="str">
        <f t="shared" si="91"/>
        <v>Residential - BHPSD - Residential Lighting &amp; Appliances</v>
      </c>
      <c r="C491" s="241" t="b">
        <f t="shared" si="92"/>
        <v>1</v>
      </c>
      <c r="D491" s="241" t="str">
        <f t="shared" si="93"/>
        <v>Residential - BHPSD - Residential Lighting &amp; Appliances_Residential Lighting &amp; Appliances :- LED :- Customer Incentives_LED</v>
      </c>
      <c r="E491" s="241" t="str">
        <f t="shared" si="94"/>
        <v>Residential_Residential Lighting_Lighting_LED</v>
      </c>
      <c r="F491" s="241" t="str">
        <f>INDEX('VDSM MAPPING'!E:E,MATCH($D491,'VDSM MAPPING'!$A:$A,0))</f>
        <v>Residential</v>
      </c>
      <c r="G491" s="241" t="str">
        <f>INDEX('VDSM MAPPING'!F:F,MATCH($D491,'VDSM MAPPING'!$A:$A,0))</f>
        <v>Residential Lighting</v>
      </c>
      <c r="H491" s="241" t="str">
        <f>INDEX('VDSM MAPPING'!G:G,MATCH($D491,'VDSM MAPPING'!$A:$A,0))</f>
        <v>Lighting</v>
      </c>
      <c r="I491" s="241" t="str">
        <f>INDEX('VDSM MAPPING'!H:H,MATCH($D491,'VDSM MAPPING'!$A:$A,0))</f>
        <v>LED</v>
      </c>
      <c r="J491" s="240">
        <f t="shared" si="95"/>
        <v>-0.14119721123339737</v>
      </c>
      <c r="K491" s="240">
        <f t="shared" si="96"/>
        <v>0.49895744091779276</v>
      </c>
      <c r="L491" s="240" t="b">
        <f t="shared" si="97"/>
        <v>0</v>
      </c>
      <c r="M491" s="240" t="b">
        <f t="shared" si="98"/>
        <v>0</v>
      </c>
      <c r="N491" s="204" t="s">
        <v>289</v>
      </c>
      <c r="O491" s="204" t="s">
        <v>1031</v>
      </c>
      <c r="P491" s="350">
        <v>1</v>
      </c>
      <c r="Q491" s="204" t="s">
        <v>1031</v>
      </c>
      <c r="R491" s="204" t="s">
        <v>1030</v>
      </c>
      <c r="S491" s="204" t="s">
        <v>1029</v>
      </c>
      <c r="T491" s="204" t="s">
        <v>1028</v>
      </c>
      <c r="V491" s="204" t="s">
        <v>1027</v>
      </c>
      <c r="W491" s="204" t="s">
        <v>329</v>
      </c>
      <c r="X491" s="204" t="s">
        <v>297</v>
      </c>
      <c r="Y491" s="204" t="s">
        <v>397</v>
      </c>
      <c r="Z491" s="204" t="s">
        <v>959</v>
      </c>
      <c r="AA491" s="204" t="s">
        <v>958</v>
      </c>
      <c r="AB491" s="204" t="s">
        <v>329</v>
      </c>
      <c r="AC491" s="204" t="s">
        <v>297</v>
      </c>
      <c r="AD491" s="204" t="s">
        <v>397</v>
      </c>
      <c r="AE491" s="204" t="s">
        <v>957</v>
      </c>
      <c r="AG491" s="204" t="s">
        <v>791</v>
      </c>
      <c r="AH491" s="204" t="s">
        <v>151</v>
      </c>
      <c r="AV491" s="204" t="s">
        <v>1026</v>
      </c>
      <c r="AX491" s="204">
        <v>12</v>
      </c>
      <c r="AY491" s="204">
        <v>0</v>
      </c>
      <c r="AZ491" s="204">
        <v>4.4400000000000002E-2</v>
      </c>
      <c r="BB491" s="204">
        <v>375.108</v>
      </c>
      <c r="BH491" s="204">
        <v>0</v>
      </c>
      <c r="BI491" s="204">
        <v>53.88</v>
      </c>
      <c r="BJ491" s="204">
        <v>42962</v>
      </c>
      <c r="BK491" s="204">
        <v>42962.632401932897</v>
      </c>
      <c r="BL491" s="204" t="s">
        <v>293</v>
      </c>
      <c r="BM491" s="204" t="s">
        <v>1025</v>
      </c>
      <c r="BN491" s="242">
        <f t="shared" si="99"/>
        <v>31.259</v>
      </c>
      <c r="BO491" s="269">
        <f t="shared" si="100"/>
        <v>4.49</v>
      </c>
      <c r="BP491" s="269">
        <f>INDEX('App Data Outliers'!$M:$M,MATCH($E491,'App Data Outliers'!$A:$A,0))</f>
        <v>31.912660854402784</v>
      </c>
      <c r="BQ491" s="269">
        <f>INDEX('App Data Outliers'!$N:$N,MATCH($E491,'App Data Outliers'!$A:$A,0))</f>
        <v>4.6294175975068628</v>
      </c>
      <c r="BR491" s="269">
        <f>INDEX('App Data Outliers'!$S:$S,MATCH($E491,'App Data Outliers'!$A:$A,0))</f>
        <v>3.9162224934612029</v>
      </c>
      <c r="BS491" s="269">
        <f>INDEX('App Data Outliers'!$T:$T,MATCH($E491,'App Data Outliers'!$A:$A,0))</f>
        <v>1.1499528005502413</v>
      </c>
    </row>
    <row r="492" spans="1:71" s="204" customFormat="1" hidden="1">
      <c r="A492" s="241">
        <v>488</v>
      </c>
      <c r="B492" s="241" t="str">
        <f t="shared" si="91"/>
        <v>Residential - BHPSD - Residential Lighting &amp; Appliances</v>
      </c>
      <c r="C492" s="241" t="b">
        <f t="shared" si="92"/>
        <v>1</v>
      </c>
      <c r="D492" s="241" t="str">
        <f t="shared" si="93"/>
        <v>Residential - BHPSD - Residential Lighting &amp; Appliances_Residential Lighting &amp; Appliances :- LED :- Customer Incentives_LED</v>
      </c>
      <c r="E492" s="241" t="str">
        <f t="shared" si="94"/>
        <v>Residential_Residential Lighting_Lighting_LED</v>
      </c>
      <c r="F492" s="241" t="str">
        <f>INDEX('VDSM MAPPING'!E:E,MATCH($D492,'VDSM MAPPING'!$A:$A,0))</f>
        <v>Residential</v>
      </c>
      <c r="G492" s="241" t="str">
        <f>INDEX('VDSM MAPPING'!F:F,MATCH($D492,'VDSM MAPPING'!$A:$A,0))</f>
        <v>Residential Lighting</v>
      </c>
      <c r="H492" s="241" t="str">
        <f>INDEX('VDSM MAPPING'!G:G,MATCH($D492,'VDSM MAPPING'!$A:$A,0))</f>
        <v>Lighting</v>
      </c>
      <c r="I492" s="241" t="str">
        <f>INDEX('VDSM MAPPING'!H:H,MATCH($D492,'VDSM MAPPING'!$A:$A,0))</f>
        <v>LED</v>
      </c>
      <c r="J492" s="240">
        <f t="shared" si="95"/>
        <v>0.29449474299562761</v>
      </c>
      <c r="K492" s="240">
        <f t="shared" si="96"/>
        <v>-0.79674791262980471</v>
      </c>
      <c r="L492" s="240" t="b">
        <f t="shared" si="97"/>
        <v>0</v>
      </c>
      <c r="M492" s="240" t="b">
        <f t="shared" si="98"/>
        <v>0</v>
      </c>
      <c r="N492" s="204" t="s">
        <v>289</v>
      </c>
      <c r="O492" s="204" t="s">
        <v>1022</v>
      </c>
      <c r="P492" s="350">
        <v>1</v>
      </c>
      <c r="Q492" s="204" t="s">
        <v>1022</v>
      </c>
      <c r="R492" s="204" t="s">
        <v>1021</v>
      </c>
      <c r="S492" s="204" t="s">
        <v>1020</v>
      </c>
      <c r="T492" s="204" t="s">
        <v>1019</v>
      </c>
      <c r="V492" s="204" t="s">
        <v>1018</v>
      </c>
      <c r="W492" s="204" t="s">
        <v>329</v>
      </c>
      <c r="X492" s="204" t="s">
        <v>297</v>
      </c>
      <c r="Y492" s="204" t="s">
        <v>397</v>
      </c>
      <c r="Z492" s="204" t="s">
        <v>1017</v>
      </c>
      <c r="AA492" s="204" t="s">
        <v>1016</v>
      </c>
      <c r="AB492" s="204" t="s">
        <v>329</v>
      </c>
      <c r="AC492" s="204" t="s">
        <v>297</v>
      </c>
      <c r="AD492" s="204" t="s">
        <v>848</v>
      </c>
      <c r="AE492" s="204" t="s">
        <v>1015</v>
      </c>
      <c r="AF492" s="204" t="s">
        <v>1014</v>
      </c>
      <c r="AG492" s="204" t="s">
        <v>791</v>
      </c>
      <c r="AH492" s="204" t="s">
        <v>151</v>
      </c>
      <c r="AV492" s="204" t="s">
        <v>1013</v>
      </c>
      <c r="AX492" s="204">
        <v>3</v>
      </c>
      <c r="AY492" s="204">
        <v>0</v>
      </c>
      <c r="AZ492" s="204">
        <v>1.17E-2</v>
      </c>
      <c r="BB492" s="204">
        <v>99.828000000000003</v>
      </c>
      <c r="BH492" s="204">
        <v>0</v>
      </c>
      <c r="BI492" s="204">
        <v>9</v>
      </c>
      <c r="BJ492" s="204">
        <v>42962</v>
      </c>
      <c r="BK492" s="204">
        <v>42962.641889120401</v>
      </c>
      <c r="BL492" s="204" t="s">
        <v>293</v>
      </c>
      <c r="BM492" s="204" t="s">
        <v>1012</v>
      </c>
      <c r="BN492" s="242">
        <f t="shared" si="99"/>
        <v>33.276000000000003</v>
      </c>
      <c r="BO492" s="269">
        <f t="shared" si="100"/>
        <v>3</v>
      </c>
      <c r="BP492" s="269">
        <f>INDEX('App Data Outliers'!$M:$M,MATCH($E492,'App Data Outliers'!$A:$A,0))</f>
        <v>31.912660854402784</v>
      </c>
      <c r="BQ492" s="269">
        <f>INDEX('App Data Outliers'!$N:$N,MATCH($E492,'App Data Outliers'!$A:$A,0))</f>
        <v>4.6294175975068628</v>
      </c>
      <c r="BR492" s="269">
        <f>INDEX('App Data Outliers'!$S:$S,MATCH($E492,'App Data Outliers'!$A:$A,0))</f>
        <v>3.9162224934612029</v>
      </c>
      <c r="BS492" s="269">
        <f>INDEX('App Data Outliers'!$T:$T,MATCH($E492,'App Data Outliers'!$A:$A,0))</f>
        <v>1.1499528005502413</v>
      </c>
    </row>
    <row r="493" spans="1:71" s="204" customFormat="1" hidden="1">
      <c r="A493" s="241">
        <v>489</v>
      </c>
      <c r="B493" s="241" t="str">
        <f t="shared" si="91"/>
        <v>Residential - BHPSD - Residential Lighting &amp; Appliances</v>
      </c>
      <c r="C493" s="241" t="b">
        <f t="shared" si="92"/>
        <v>1</v>
      </c>
      <c r="D493" s="241" t="str">
        <f t="shared" si="93"/>
        <v>Residential - BHPSD - Residential Lighting &amp; Appliances_Residential Lighting &amp; Appliances :- LED :- Customer Incentives_LED</v>
      </c>
      <c r="E493" s="241" t="str">
        <f t="shared" si="94"/>
        <v>Residential_Residential Lighting_Lighting_LED</v>
      </c>
      <c r="F493" s="241" t="str">
        <f>INDEX('VDSM MAPPING'!E:E,MATCH($D493,'VDSM MAPPING'!$A:$A,0))</f>
        <v>Residential</v>
      </c>
      <c r="G493" s="241" t="str">
        <f>INDEX('VDSM MAPPING'!F:F,MATCH($D493,'VDSM MAPPING'!$A:$A,0))</f>
        <v>Residential Lighting</v>
      </c>
      <c r="H493" s="241" t="str">
        <f>INDEX('VDSM MAPPING'!G:G,MATCH($D493,'VDSM MAPPING'!$A:$A,0))</f>
        <v>Lighting</v>
      </c>
      <c r="I493" s="241" t="str">
        <f>INDEX('VDSM MAPPING'!H:H,MATCH($D493,'VDSM MAPPING'!$A:$A,0))</f>
        <v>LED</v>
      </c>
      <c r="J493" s="240">
        <f t="shared" si="95"/>
        <v>0.51223271516362701</v>
      </c>
      <c r="K493" s="240">
        <f t="shared" si="96"/>
        <v>0.2076411365966887</v>
      </c>
      <c r="L493" s="240" t="b">
        <f t="shared" si="97"/>
        <v>0</v>
      </c>
      <c r="M493" s="240" t="b">
        <f t="shared" si="98"/>
        <v>0</v>
      </c>
      <c r="N493" s="204" t="s">
        <v>289</v>
      </c>
      <c r="O493" s="204" t="s">
        <v>1022</v>
      </c>
      <c r="P493" s="350">
        <v>0</v>
      </c>
      <c r="Q493" s="204" t="s">
        <v>1022</v>
      </c>
      <c r="R493" s="204" t="s">
        <v>1021</v>
      </c>
      <c r="S493" s="204" t="s">
        <v>1020</v>
      </c>
      <c r="T493" s="204" t="s">
        <v>1019</v>
      </c>
      <c r="V493" s="204" t="s">
        <v>1018</v>
      </c>
      <c r="W493" s="204" t="s">
        <v>329</v>
      </c>
      <c r="X493" s="204" t="s">
        <v>297</v>
      </c>
      <c r="Y493" s="204" t="s">
        <v>397</v>
      </c>
      <c r="Z493" s="204" t="s">
        <v>1017</v>
      </c>
      <c r="AA493" s="204" t="s">
        <v>1016</v>
      </c>
      <c r="AB493" s="204" t="s">
        <v>329</v>
      </c>
      <c r="AC493" s="204" t="s">
        <v>297</v>
      </c>
      <c r="AD493" s="204" t="s">
        <v>848</v>
      </c>
      <c r="AE493" s="204" t="s">
        <v>1015</v>
      </c>
      <c r="AF493" s="204" t="s">
        <v>1014</v>
      </c>
      <c r="AG493" s="204" t="s">
        <v>791</v>
      </c>
      <c r="AH493" s="204" t="s">
        <v>151</v>
      </c>
      <c r="AV493" s="204" t="s">
        <v>1024</v>
      </c>
      <c r="AX493" s="204">
        <v>18</v>
      </c>
      <c r="AY493" s="204">
        <v>0</v>
      </c>
      <c r="AZ493" s="204">
        <v>7.1999999999999995E-2</v>
      </c>
      <c r="BB493" s="204">
        <v>617.11199999999997</v>
      </c>
      <c r="BH493" s="204">
        <v>0</v>
      </c>
      <c r="BI493" s="204">
        <v>74.790000000000006</v>
      </c>
      <c r="BJ493" s="204">
        <v>42962</v>
      </c>
      <c r="BK493" s="204">
        <v>42962.641889120401</v>
      </c>
      <c r="BL493" s="204" t="s">
        <v>293</v>
      </c>
      <c r="BM493" s="204" t="s">
        <v>1023</v>
      </c>
      <c r="BN493" s="242">
        <f t="shared" si="99"/>
        <v>34.283999999999999</v>
      </c>
      <c r="BO493" s="269">
        <f t="shared" si="100"/>
        <v>4.1550000000000002</v>
      </c>
      <c r="BP493" s="269">
        <f>INDEX('App Data Outliers'!$M:$M,MATCH($E493,'App Data Outliers'!$A:$A,0))</f>
        <v>31.912660854402784</v>
      </c>
      <c r="BQ493" s="269">
        <f>INDEX('App Data Outliers'!$N:$N,MATCH($E493,'App Data Outliers'!$A:$A,0))</f>
        <v>4.6294175975068628</v>
      </c>
      <c r="BR493" s="269">
        <f>INDEX('App Data Outliers'!$S:$S,MATCH($E493,'App Data Outliers'!$A:$A,0))</f>
        <v>3.9162224934612029</v>
      </c>
      <c r="BS493" s="269">
        <f>INDEX('App Data Outliers'!$T:$T,MATCH($E493,'App Data Outliers'!$A:$A,0))</f>
        <v>1.1499528005502413</v>
      </c>
    </row>
    <row r="494" spans="1:71" s="204" customFormat="1" hidden="1">
      <c r="A494" s="241">
        <v>490</v>
      </c>
      <c r="B494" s="241" t="str">
        <f t="shared" si="91"/>
        <v>Residential - BHPSD - Residential Lighting &amp; Appliances</v>
      </c>
      <c r="C494" s="241" t="b">
        <f t="shared" si="92"/>
        <v>1</v>
      </c>
      <c r="D494" s="241" t="str">
        <f t="shared" si="93"/>
        <v>Residential - BHPSD - Residential Lighting &amp; Appliances_Residential Lighting &amp; Appliances :- LED :- Customer Incentives_LED</v>
      </c>
      <c r="E494" s="241" t="str">
        <f t="shared" si="94"/>
        <v>Residential_Residential Lighting_Lighting_LED</v>
      </c>
      <c r="F494" s="241" t="str">
        <f>INDEX('VDSM MAPPING'!E:E,MATCH($D494,'VDSM MAPPING'!$A:$A,0))</f>
        <v>Residential</v>
      </c>
      <c r="G494" s="241" t="str">
        <f>INDEX('VDSM MAPPING'!F:F,MATCH($D494,'VDSM MAPPING'!$A:$A,0))</f>
        <v>Residential Lighting</v>
      </c>
      <c r="H494" s="241" t="str">
        <f>INDEX('VDSM MAPPING'!G:G,MATCH($D494,'VDSM MAPPING'!$A:$A,0))</f>
        <v>Lighting</v>
      </c>
      <c r="I494" s="241" t="str">
        <f>INDEX('VDSM MAPPING'!H:H,MATCH($D494,'VDSM MAPPING'!$A:$A,0))</f>
        <v>LED</v>
      </c>
      <c r="J494" s="240">
        <f t="shared" si="95"/>
        <v>0.40336372907962731</v>
      </c>
      <c r="K494" s="240">
        <f t="shared" si="96"/>
        <v>-0.84022795805086481</v>
      </c>
      <c r="L494" s="240" t="b">
        <f t="shared" si="97"/>
        <v>0</v>
      </c>
      <c r="M494" s="240" t="b">
        <f t="shared" si="98"/>
        <v>0</v>
      </c>
      <c r="N494" s="204" t="s">
        <v>289</v>
      </c>
      <c r="O494" s="204" t="s">
        <v>1011</v>
      </c>
      <c r="P494" s="350">
        <v>1</v>
      </c>
      <c r="Q494" s="204" t="s">
        <v>1011</v>
      </c>
      <c r="R494" s="204" t="s">
        <v>1010</v>
      </c>
      <c r="S494" s="204" t="s">
        <v>1009</v>
      </c>
      <c r="T494" s="204" t="s">
        <v>1008</v>
      </c>
      <c r="V494" s="204" t="s">
        <v>1007</v>
      </c>
      <c r="W494" s="204" t="s">
        <v>345</v>
      </c>
      <c r="X494" s="204" t="s">
        <v>297</v>
      </c>
      <c r="Y494" s="204" t="s">
        <v>344</v>
      </c>
      <c r="Z494" s="204" t="s">
        <v>601</v>
      </c>
      <c r="AA494" s="204" t="s">
        <v>600</v>
      </c>
      <c r="AB494" s="204" t="s">
        <v>329</v>
      </c>
      <c r="AC494" s="204" t="s">
        <v>297</v>
      </c>
      <c r="AD494" s="204" t="s">
        <v>599</v>
      </c>
      <c r="AE494" s="204" t="s">
        <v>598</v>
      </c>
      <c r="AG494" s="204" t="s">
        <v>791</v>
      </c>
      <c r="AH494" s="204" t="s">
        <v>151</v>
      </c>
      <c r="AX494" s="204">
        <v>1</v>
      </c>
      <c r="AY494" s="204">
        <v>0</v>
      </c>
      <c r="AZ494" s="204">
        <v>4.0000000000000001E-3</v>
      </c>
      <c r="BB494" s="204">
        <v>33.78</v>
      </c>
      <c r="BH494" s="204">
        <v>0</v>
      </c>
      <c r="BI494" s="204">
        <v>2.95</v>
      </c>
      <c r="BJ494" s="204">
        <v>42962</v>
      </c>
      <c r="BK494" s="204">
        <v>42962.690121990701</v>
      </c>
      <c r="BL494" s="204" t="s">
        <v>293</v>
      </c>
      <c r="BM494" s="204" t="s">
        <v>1006</v>
      </c>
      <c r="BN494" s="242">
        <f t="shared" si="99"/>
        <v>33.78</v>
      </c>
      <c r="BO494" s="269">
        <f t="shared" si="100"/>
        <v>2.95</v>
      </c>
      <c r="BP494" s="269">
        <f>INDEX('App Data Outliers'!$M:$M,MATCH($E494,'App Data Outliers'!$A:$A,0))</f>
        <v>31.912660854402784</v>
      </c>
      <c r="BQ494" s="269">
        <f>INDEX('App Data Outliers'!$N:$N,MATCH($E494,'App Data Outliers'!$A:$A,0))</f>
        <v>4.6294175975068628</v>
      </c>
      <c r="BR494" s="269">
        <f>INDEX('App Data Outliers'!$S:$S,MATCH($E494,'App Data Outliers'!$A:$A,0))</f>
        <v>3.9162224934612029</v>
      </c>
      <c r="BS494" s="269">
        <f>INDEX('App Data Outliers'!$T:$T,MATCH($E494,'App Data Outliers'!$A:$A,0))</f>
        <v>1.1499528005502413</v>
      </c>
    </row>
    <row r="495" spans="1:71" s="204" customFormat="1" hidden="1">
      <c r="A495" s="241">
        <v>491</v>
      </c>
      <c r="B495" s="241" t="str">
        <f t="shared" si="91"/>
        <v>Residential - BHPSD - Residential Lighting &amp; Appliances</v>
      </c>
      <c r="C495" s="241" t="b">
        <f t="shared" si="92"/>
        <v>1</v>
      </c>
      <c r="D495" s="241" t="str">
        <f t="shared" si="93"/>
        <v>Residential - BHPSD - Residential Lighting &amp; Appliances_Residential Lighting &amp; Appliances :- LED :- Customer Incentives_LED</v>
      </c>
      <c r="E495" s="241" t="str">
        <f t="shared" si="94"/>
        <v>Residential_Residential Lighting_Lighting_LED</v>
      </c>
      <c r="F495" s="241" t="str">
        <f>INDEX('VDSM MAPPING'!E:E,MATCH($D495,'VDSM MAPPING'!$A:$A,0))</f>
        <v>Residential</v>
      </c>
      <c r="G495" s="241" t="str">
        <f>INDEX('VDSM MAPPING'!F:F,MATCH($D495,'VDSM MAPPING'!$A:$A,0))</f>
        <v>Residential Lighting</v>
      </c>
      <c r="H495" s="241" t="str">
        <f>INDEX('VDSM MAPPING'!G:G,MATCH($D495,'VDSM MAPPING'!$A:$A,0))</f>
        <v>Lighting</v>
      </c>
      <c r="I495" s="241" t="str">
        <f>INDEX('VDSM MAPPING'!H:H,MATCH($D495,'VDSM MAPPING'!$A:$A,0))</f>
        <v>LED</v>
      </c>
      <c r="J495" s="240">
        <f t="shared" si="95"/>
        <v>0.51223271516362701</v>
      </c>
      <c r="K495" s="240">
        <f t="shared" si="96"/>
        <v>-1.0184961442772127</v>
      </c>
      <c r="L495" s="240" t="b">
        <f t="shared" si="97"/>
        <v>0</v>
      </c>
      <c r="M495" s="240" t="b">
        <f t="shared" si="98"/>
        <v>0</v>
      </c>
      <c r="N495" s="204" t="s">
        <v>289</v>
      </c>
      <c r="O495" s="204" t="s">
        <v>1003</v>
      </c>
      <c r="P495" s="350">
        <v>1</v>
      </c>
      <c r="Q495" s="204" t="s">
        <v>1003</v>
      </c>
      <c r="R495" s="204" t="s">
        <v>932</v>
      </c>
      <c r="S495" s="204" t="s">
        <v>931</v>
      </c>
      <c r="T495" s="204" t="s">
        <v>930</v>
      </c>
      <c r="V495" s="204" t="s">
        <v>929</v>
      </c>
      <c r="W495" s="204" t="s">
        <v>928</v>
      </c>
      <c r="X495" s="204" t="s">
        <v>297</v>
      </c>
      <c r="Y495" s="204" t="s">
        <v>412</v>
      </c>
      <c r="Z495" s="204" t="s">
        <v>850</v>
      </c>
      <c r="AA495" s="204" t="s">
        <v>849</v>
      </c>
      <c r="AB495" s="204" t="s">
        <v>329</v>
      </c>
      <c r="AC495" s="204" t="s">
        <v>297</v>
      </c>
      <c r="AD495" s="204" t="s">
        <v>848</v>
      </c>
      <c r="AE495" s="204" t="s">
        <v>847</v>
      </c>
      <c r="AG495" s="204" t="s">
        <v>791</v>
      </c>
      <c r="AH495" s="204" t="s">
        <v>151</v>
      </c>
      <c r="AV495" s="204" t="s">
        <v>861</v>
      </c>
      <c r="AX495" s="204">
        <v>6</v>
      </c>
      <c r="AY495" s="204">
        <v>0</v>
      </c>
      <c r="AZ495" s="204">
        <v>2.4E-2</v>
      </c>
      <c r="BB495" s="204">
        <v>205.70400000000001</v>
      </c>
      <c r="BH495" s="204">
        <v>0</v>
      </c>
      <c r="BI495" s="204">
        <v>16.47</v>
      </c>
      <c r="BJ495" s="204">
        <v>42968</v>
      </c>
      <c r="BK495" s="204">
        <v>42968.679168090297</v>
      </c>
      <c r="BL495" s="204" t="s">
        <v>293</v>
      </c>
      <c r="BM495" s="204" t="s">
        <v>1002</v>
      </c>
      <c r="BN495" s="242">
        <f t="shared" si="99"/>
        <v>34.283999999999999</v>
      </c>
      <c r="BO495" s="269">
        <f t="shared" si="100"/>
        <v>2.7449999999999997</v>
      </c>
      <c r="BP495" s="269">
        <f>INDEX('App Data Outliers'!$M:$M,MATCH($E495,'App Data Outliers'!$A:$A,0))</f>
        <v>31.912660854402784</v>
      </c>
      <c r="BQ495" s="269">
        <f>INDEX('App Data Outliers'!$N:$N,MATCH($E495,'App Data Outliers'!$A:$A,0))</f>
        <v>4.6294175975068628</v>
      </c>
      <c r="BR495" s="269">
        <f>INDEX('App Data Outliers'!$S:$S,MATCH($E495,'App Data Outliers'!$A:$A,0))</f>
        <v>3.9162224934612029</v>
      </c>
      <c r="BS495" s="269">
        <f>INDEX('App Data Outliers'!$T:$T,MATCH($E495,'App Data Outliers'!$A:$A,0))</f>
        <v>1.1499528005502413</v>
      </c>
    </row>
    <row r="496" spans="1:71" s="204" customFormat="1" hidden="1">
      <c r="A496" s="241">
        <v>492</v>
      </c>
      <c r="B496" s="241" t="str">
        <f t="shared" si="91"/>
        <v>Residential - BHPSD - Residential Lighting &amp; Appliances</v>
      </c>
      <c r="C496" s="241" t="b">
        <f t="shared" si="92"/>
        <v>1</v>
      </c>
      <c r="D496" s="241" t="str">
        <f t="shared" si="93"/>
        <v>Residential - BHPSD - Residential Lighting &amp; Appliances_Residential Lighting &amp; Appliances :- LED :- Customer Incentives_LED</v>
      </c>
      <c r="E496" s="241" t="str">
        <f t="shared" si="94"/>
        <v>Residential_Residential Lighting_Lighting_LED</v>
      </c>
      <c r="F496" s="241" t="str">
        <f>INDEX('VDSM MAPPING'!E:E,MATCH($D496,'VDSM MAPPING'!$A:$A,0))</f>
        <v>Residential</v>
      </c>
      <c r="G496" s="241" t="str">
        <f>INDEX('VDSM MAPPING'!F:F,MATCH($D496,'VDSM MAPPING'!$A:$A,0))</f>
        <v>Residential Lighting</v>
      </c>
      <c r="H496" s="241" t="str">
        <f>INDEX('VDSM MAPPING'!G:G,MATCH($D496,'VDSM MAPPING'!$A:$A,0))</f>
        <v>Lighting</v>
      </c>
      <c r="I496" s="241" t="str">
        <f>INDEX('VDSM MAPPING'!H:H,MATCH($D496,'VDSM MAPPING'!$A:$A,0))</f>
        <v>LED</v>
      </c>
      <c r="J496" s="240">
        <f t="shared" si="95"/>
        <v>1.3834006137286521</v>
      </c>
      <c r="K496" s="240">
        <f t="shared" si="96"/>
        <v>0.94245390421260777</v>
      </c>
      <c r="L496" s="240" t="b">
        <f t="shared" si="97"/>
        <v>0</v>
      </c>
      <c r="M496" s="240" t="b">
        <f t="shared" si="98"/>
        <v>0</v>
      </c>
      <c r="N496" s="204" t="s">
        <v>289</v>
      </c>
      <c r="O496" s="204" t="s">
        <v>1003</v>
      </c>
      <c r="P496" s="350">
        <v>0</v>
      </c>
      <c r="Q496" s="204" t="s">
        <v>1003</v>
      </c>
      <c r="R496" s="204" t="s">
        <v>932</v>
      </c>
      <c r="S496" s="204" t="s">
        <v>931</v>
      </c>
      <c r="T496" s="204" t="s">
        <v>930</v>
      </c>
      <c r="V496" s="204" t="s">
        <v>929</v>
      </c>
      <c r="W496" s="204" t="s">
        <v>928</v>
      </c>
      <c r="X496" s="204" t="s">
        <v>297</v>
      </c>
      <c r="Y496" s="204" t="s">
        <v>412</v>
      </c>
      <c r="Z496" s="204" t="s">
        <v>850</v>
      </c>
      <c r="AA496" s="204" t="s">
        <v>849</v>
      </c>
      <c r="AB496" s="204" t="s">
        <v>329</v>
      </c>
      <c r="AC496" s="204" t="s">
        <v>297</v>
      </c>
      <c r="AD496" s="204" t="s">
        <v>848</v>
      </c>
      <c r="AE496" s="204" t="s">
        <v>847</v>
      </c>
      <c r="AG496" s="204" t="s">
        <v>791</v>
      </c>
      <c r="AH496" s="204" t="s">
        <v>151</v>
      </c>
      <c r="AV496" s="204" t="s">
        <v>1005</v>
      </c>
      <c r="AX496" s="204">
        <v>1</v>
      </c>
      <c r="AY496" s="204">
        <v>0</v>
      </c>
      <c r="AZ496" s="204">
        <v>4.4999999999999997E-3</v>
      </c>
      <c r="BB496" s="204">
        <v>38.317</v>
      </c>
      <c r="BH496" s="204">
        <v>0</v>
      </c>
      <c r="BI496" s="204">
        <v>5</v>
      </c>
      <c r="BJ496" s="204">
        <v>42968</v>
      </c>
      <c r="BK496" s="204">
        <v>42968.679168090297</v>
      </c>
      <c r="BL496" s="204" t="s">
        <v>293</v>
      </c>
      <c r="BM496" s="204" t="s">
        <v>1004</v>
      </c>
      <c r="BN496" s="242">
        <f t="shared" si="99"/>
        <v>38.317</v>
      </c>
      <c r="BO496" s="269">
        <f t="shared" si="100"/>
        <v>5</v>
      </c>
      <c r="BP496" s="269">
        <f>INDEX('App Data Outliers'!$M:$M,MATCH($E496,'App Data Outliers'!$A:$A,0))</f>
        <v>31.912660854402784</v>
      </c>
      <c r="BQ496" s="269">
        <f>INDEX('App Data Outliers'!$N:$N,MATCH($E496,'App Data Outliers'!$A:$A,0))</f>
        <v>4.6294175975068628</v>
      </c>
      <c r="BR496" s="269">
        <f>INDEX('App Data Outliers'!$S:$S,MATCH($E496,'App Data Outliers'!$A:$A,0))</f>
        <v>3.9162224934612029</v>
      </c>
      <c r="BS496" s="269">
        <f>INDEX('App Data Outliers'!$T:$T,MATCH($E496,'App Data Outliers'!$A:$A,0))</f>
        <v>1.1499528005502413</v>
      </c>
    </row>
    <row r="497" spans="1:71" s="204" customFormat="1" hidden="1">
      <c r="A497" s="241">
        <v>493</v>
      </c>
      <c r="B497" s="241" t="str">
        <f t="shared" si="91"/>
        <v>Residential - BHPSD - Residential Lighting &amp; Appliances</v>
      </c>
      <c r="C497" s="241" t="b">
        <f t="shared" si="92"/>
        <v>1</v>
      </c>
      <c r="D497" s="241" t="str">
        <f t="shared" si="93"/>
        <v>Residential - BHPSD - Residential Lighting &amp; Appliances_Residential Lighting &amp; Appliances :- LED :- Customer Incentives_LED</v>
      </c>
      <c r="E497" s="241" t="str">
        <f t="shared" si="94"/>
        <v>Residential_Residential Lighting_Lighting_LED</v>
      </c>
      <c r="F497" s="241" t="str">
        <f>INDEX('VDSM MAPPING'!E:E,MATCH($D497,'VDSM MAPPING'!$A:$A,0))</f>
        <v>Residential</v>
      </c>
      <c r="G497" s="241" t="str">
        <f>INDEX('VDSM MAPPING'!F:F,MATCH($D497,'VDSM MAPPING'!$A:$A,0))</f>
        <v>Residential Lighting</v>
      </c>
      <c r="H497" s="241" t="str">
        <f>INDEX('VDSM MAPPING'!G:G,MATCH($D497,'VDSM MAPPING'!$A:$A,0))</f>
        <v>Lighting</v>
      </c>
      <c r="I497" s="241" t="str">
        <f>INDEX('VDSM MAPPING'!H:H,MATCH($D497,'VDSM MAPPING'!$A:$A,0))</f>
        <v>LED</v>
      </c>
      <c r="J497" s="240">
        <f t="shared" si="95"/>
        <v>-0.14119721123339737</v>
      </c>
      <c r="K497" s="240">
        <f t="shared" si="96"/>
        <v>-0.90649154727256076</v>
      </c>
      <c r="L497" s="240" t="b">
        <f t="shared" si="97"/>
        <v>0</v>
      </c>
      <c r="M497" s="240" t="b">
        <f t="shared" si="98"/>
        <v>0</v>
      </c>
      <c r="N497" s="204" t="s">
        <v>289</v>
      </c>
      <c r="O497" s="204" t="s">
        <v>1000</v>
      </c>
      <c r="P497" s="350">
        <v>1</v>
      </c>
      <c r="Q497" s="204" t="s">
        <v>1000</v>
      </c>
      <c r="R497" s="204" t="s">
        <v>999</v>
      </c>
      <c r="S497" s="204" t="s">
        <v>998</v>
      </c>
      <c r="T497" s="204" t="s">
        <v>997</v>
      </c>
      <c r="V497" s="204" t="s">
        <v>996</v>
      </c>
      <c r="W497" s="204" t="s">
        <v>329</v>
      </c>
      <c r="X497" s="204" t="s">
        <v>297</v>
      </c>
      <c r="Y497" s="204" t="s">
        <v>328</v>
      </c>
      <c r="Z497" s="204" t="s">
        <v>850</v>
      </c>
      <c r="AA497" s="204" t="s">
        <v>849</v>
      </c>
      <c r="AB497" s="204" t="s">
        <v>329</v>
      </c>
      <c r="AC497" s="204" t="s">
        <v>297</v>
      </c>
      <c r="AD497" s="204" t="s">
        <v>848</v>
      </c>
      <c r="AE497" s="204" t="s">
        <v>847</v>
      </c>
      <c r="AG497" s="204" t="s">
        <v>791</v>
      </c>
      <c r="AH497" s="204" t="s">
        <v>151</v>
      </c>
      <c r="AV497" s="204" t="s">
        <v>846</v>
      </c>
      <c r="AX497" s="204">
        <v>4</v>
      </c>
      <c r="AY497" s="204">
        <v>0</v>
      </c>
      <c r="AZ497" s="204">
        <v>1.4800000000000001E-2</v>
      </c>
      <c r="BB497" s="204">
        <v>125.036</v>
      </c>
      <c r="BH497" s="204">
        <v>0</v>
      </c>
      <c r="BI497" s="204">
        <v>11.495200000000001</v>
      </c>
      <c r="BJ497" s="204">
        <v>42968</v>
      </c>
      <c r="BK497" s="204">
        <v>42968.688930289398</v>
      </c>
      <c r="BL497" s="204" t="s">
        <v>293</v>
      </c>
      <c r="BM497" s="204" t="s">
        <v>1001</v>
      </c>
      <c r="BN497" s="242">
        <f t="shared" si="99"/>
        <v>31.259</v>
      </c>
      <c r="BO497" s="269">
        <f t="shared" si="100"/>
        <v>2.8738000000000001</v>
      </c>
      <c r="BP497" s="269">
        <f>INDEX('App Data Outliers'!$M:$M,MATCH($E497,'App Data Outliers'!$A:$A,0))</f>
        <v>31.912660854402784</v>
      </c>
      <c r="BQ497" s="269">
        <f>INDEX('App Data Outliers'!$N:$N,MATCH($E497,'App Data Outliers'!$A:$A,0))</f>
        <v>4.6294175975068628</v>
      </c>
      <c r="BR497" s="269">
        <f>INDEX('App Data Outliers'!$S:$S,MATCH($E497,'App Data Outliers'!$A:$A,0))</f>
        <v>3.9162224934612029</v>
      </c>
      <c r="BS497" s="269">
        <f>INDEX('App Data Outliers'!$T:$T,MATCH($E497,'App Data Outliers'!$A:$A,0))</f>
        <v>1.1499528005502413</v>
      </c>
    </row>
    <row r="498" spans="1:71" s="204" customFormat="1" hidden="1">
      <c r="A498" s="241">
        <v>494</v>
      </c>
      <c r="B498" s="241" t="str">
        <f t="shared" si="91"/>
        <v>Residential - BHPSD - Residential Lighting &amp; Appliances</v>
      </c>
      <c r="C498" s="241" t="b">
        <f t="shared" si="92"/>
        <v>1</v>
      </c>
      <c r="D498" s="241" t="str">
        <f t="shared" si="93"/>
        <v>Residential - BHPSD - Residential Lighting &amp; Appliances_Residential Lighting &amp; Appliances :- LED :- Customer Incentives_LED</v>
      </c>
      <c r="E498" s="241" t="str">
        <f t="shared" si="94"/>
        <v>Residential_Residential Lighting_Lighting_LED</v>
      </c>
      <c r="F498" s="241" t="str">
        <f>INDEX('VDSM MAPPING'!E:E,MATCH($D498,'VDSM MAPPING'!$A:$A,0))</f>
        <v>Residential</v>
      </c>
      <c r="G498" s="241" t="str">
        <f>INDEX('VDSM MAPPING'!F:F,MATCH($D498,'VDSM MAPPING'!$A:$A,0))</f>
        <v>Residential Lighting</v>
      </c>
      <c r="H498" s="241" t="str">
        <f>INDEX('VDSM MAPPING'!G:G,MATCH($D498,'VDSM MAPPING'!$A:$A,0))</f>
        <v>Lighting</v>
      </c>
      <c r="I498" s="241" t="str">
        <f>INDEX('VDSM MAPPING'!H:H,MATCH($D498,'VDSM MAPPING'!$A:$A,0))</f>
        <v>LED</v>
      </c>
      <c r="J498" s="240">
        <f t="shared" si="95"/>
        <v>0.51223271516362701</v>
      </c>
      <c r="K498" s="240">
        <f t="shared" si="96"/>
        <v>-2.3207235046379684</v>
      </c>
      <c r="L498" s="240" t="b">
        <f t="shared" si="97"/>
        <v>0</v>
      </c>
      <c r="M498" s="240" t="b">
        <f t="shared" si="98"/>
        <v>1</v>
      </c>
      <c r="N498" s="204" t="s">
        <v>289</v>
      </c>
      <c r="O498" s="204" t="s">
        <v>1000</v>
      </c>
      <c r="P498" s="350">
        <v>0</v>
      </c>
      <c r="Q498" s="204" t="s">
        <v>1000</v>
      </c>
      <c r="R498" s="204" t="s">
        <v>999</v>
      </c>
      <c r="S498" s="204" t="s">
        <v>998</v>
      </c>
      <c r="T498" s="204" t="s">
        <v>997</v>
      </c>
      <c r="V498" s="204" t="s">
        <v>996</v>
      </c>
      <c r="W498" s="204" t="s">
        <v>329</v>
      </c>
      <c r="X498" s="204" t="s">
        <v>297</v>
      </c>
      <c r="Y498" s="204" t="s">
        <v>328</v>
      </c>
      <c r="Z498" s="204" t="s">
        <v>850</v>
      </c>
      <c r="AA498" s="204" t="s">
        <v>849</v>
      </c>
      <c r="AB498" s="204" t="s">
        <v>329</v>
      </c>
      <c r="AC498" s="204" t="s">
        <v>297</v>
      </c>
      <c r="AD498" s="204" t="s">
        <v>848</v>
      </c>
      <c r="AE498" s="204" t="s">
        <v>847</v>
      </c>
      <c r="AG498" s="204" t="s">
        <v>791</v>
      </c>
      <c r="AH498" s="204" t="s">
        <v>151</v>
      </c>
      <c r="AV498" s="204" t="s">
        <v>857</v>
      </c>
      <c r="AX498" s="204">
        <v>4</v>
      </c>
      <c r="AY498" s="204">
        <v>0</v>
      </c>
      <c r="AZ498" s="204">
        <v>1.6E-2</v>
      </c>
      <c r="BB498" s="204">
        <v>137.136</v>
      </c>
      <c r="BH498" s="204">
        <v>0</v>
      </c>
      <c r="BI498" s="204">
        <v>4.99</v>
      </c>
      <c r="BJ498" s="204">
        <v>42968</v>
      </c>
      <c r="BK498" s="204">
        <v>42968.688930289398</v>
      </c>
      <c r="BL498" s="204" t="s">
        <v>293</v>
      </c>
      <c r="BM498" s="204" t="s">
        <v>995</v>
      </c>
      <c r="BN498" s="242">
        <f t="shared" si="99"/>
        <v>34.283999999999999</v>
      </c>
      <c r="BO498" s="269">
        <f t="shared" si="100"/>
        <v>1.2475000000000001</v>
      </c>
      <c r="BP498" s="269">
        <f>INDEX('App Data Outliers'!$M:$M,MATCH($E498,'App Data Outliers'!$A:$A,0))</f>
        <v>31.912660854402784</v>
      </c>
      <c r="BQ498" s="269">
        <f>INDEX('App Data Outliers'!$N:$N,MATCH($E498,'App Data Outliers'!$A:$A,0))</f>
        <v>4.6294175975068628</v>
      </c>
      <c r="BR498" s="269">
        <f>INDEX('App Data Outliers'!$S:$S,MATCH($E498,'App Data Outliers'!$A:$A,0))</f>
        <v>3.9162224934612029</v>
      </c>
      <c r="BS498" s="269">
        <f>INDEX('App Data Outliers'!$T:$T,MATCH($E498,'App Data Outliers'!$A:$A,0))</f>
        <v>1.1499528005502413</v>
      </c>
    </row>
    <row r="499" spans="1:71" s="204" customFormat="1" hidden="1">
      <c r="A499" s="241">
        <v>495</v>
      </c>
      <c r="B499" s="241" t="str">
        <f t="shared" si="91"/>
        <v>Residential - BHPSD - Residential Lighting &amp; Appliances</v>
      </c>
      <c r="C499" s="241" t="b">
        <f t="shared" si="92"/>
        <v>1</v>
      </c>
      <c r="D499" s="241" t="str">
        <f t="shared" si="93"/>
        <v>Residential - BHPSD - Residential Lighting &amp; Appliances_Residential Lighting &amp; Appliances :- ES Star Fixture :- Customer Incentives_ENERGY STAR LED Fixture</v>
      </c>
      <c r="E499" s="241" t="str">
        <f t="shared" si="94"/>
        <v>Residential_Residential Lighting_Lighting_ENERGY STAR Fixture</v>
      </c>
      <c r="F499" s="241" t="str">
        <f>INDEX('VDSM MAPPING'!E:E,MATCH($D499,'VDSM MAPPING'!$A:$A,0))</f>
        <v>Residential</v>
      </c>
      <c r="G499" s="241" t="str">
        <f>INDEX('VDSM MAPPING'!F:F,MATCH($D499,'VDSM MAPPING'!$A:$A,0))</f>
        <v>Residential Lighting</v>
      </c>
      <c r="H499" s="241" t="str">
        <f>INDEX('VDSM MAPPING'!G:G,MATCH($D499,'VDSM MAPPING'!$A:$A,0))</f>
        <v>Lighting</v>
      </c>
      <c r="I499" s="241" t="str">
        <f>INDEX('VDSM MAPPING'!H:H,MATCH($D499,'VDSM MAPPING'!$A:$A,0))</f>
        <v>ENERGY STAR Fixture</v>
      </c>
      <c r="J499" s="240">
        <f t="shared" si="95"/>
        <v>1.947553971926167</v>
      </c>
      <c r="K499" s="240">
        <f t="shared" si="96"/>
        <v>0.4214787522569125</v>
      </c>
      <c r="L499" s="240" t="b">
        <f t="shared" si="97"/>
        <v>0</v>
      </c>
      <c r="M499" s="240" t="b">
        <f t="shared" si="98"/>
        <v>0</v>
      </c>
      <c r="N499" s="204" t="s">
        <v>289</v>
      </c>
      <c r="O499" s="204" t="s">
        <v>990</v>
      </c>
      <c r="P499" s="350">
        <v>1</v>
      </c>
      <c r="Q499" s="204" t="s">
        <v>990</v>
      </c>
      <c r="R499" s="204" t="s">
        <v>989</v>
      </c>
      <c r="S499" s="204" t="s">
        <v>988</v>
      </c>
      <c r="T499" s="204" t="s">
        <v>987</v>
      </c>
      <c r="V499" s="204" t="s">
        <v>986</v>
      </c>
      <c r="W499" s="204" t="s">
        <v>531</v>
      </c>
      <c r="X499" s="204" t="s">
        <v>297</v>
      </c>
      <c r="Y499" s="204" t="s">
        <v>530</v>
      </c>
      <c r="Z499" s="204" t="s">
        <v>850</v>
      </c>
      <c r="AA499" s="204" t="s">
        <v>849</v>
      </c>
      <c r="AB499" s="204" t="s">
        <v>329</v>
      </c>
      <c r="AC499" s="204" t="s">
        <v>297</v>
      </c>
      <c r="AD499" s="204" t="s">
        <v>848</v>
      </c>
      <c r="AE499" s="204" t="s">
        <v>847</v>
      </c>
      <c r="AG499" s="204" t="s">
        <v>895</v>
      </c>
      <c r="AH499" s="204" t="s">
        <v>150</v>
      </c>
      <c r="AV499" s="204" t="s">
        <v>994</v>
      </c>
      <c r="AX499" s="204">
        <v>2</v>
      </c>
      <c r="AY499" s="204">
        <v>0</v>
      </c>
      <c r="AZ499" s="204">
        <v>2.86E-2</v>
      </c>
      <c r="BB499" s="204">
        <v>244.02</v>
      </c>
      <c r="BH499" s="204">
        <v>0</v>
      </c>
      <c r="BI499" s="204">
        <v>20</v>
      </c>
      <c r="BJ499" s="204">
        <v>42968</v>
      </c>
      <c r="BK499" s="204">
        <v>42968.694654085702</v>
      </c>
      <c r="BL499" s="204" t="s">
        <v>293</v>
      </c>
      <c r="BM499" s="204" t="s">
        <v>993</v>
      </c>
      <c r="BN499" s="242">
        <f t="shared" si="99"/>
        <v>122.01</v>
      </c>
      <c r="BO499" s="269">
        <f t="shared" si="100"/>
        <v>10</v>
      </c>
      <c r="BP499" s="269">
        <f>INDEX('App Data Outliers'!$M:$M,MATCH($E499,'App Data Outliers'!$A:$A,0))</f>
        <v>35.519370843989762</v>
      </c>
      <c r="BQ499" s="269">
        <f>INDEX('App Data Outliers'!$N:$N,MATCH($E499,'App Data Outliers'!$A:$A,0))</f>
        <v>44.409875363027503</v>
      </c>
      <c r="BR499" s="269">
        <f>INDEX('App Data Outliers'!$S:$S,MATCH($E499,'App Data Outliers'!$A:$A,0))</f>
        <v>9.3048337595907924</v>
      </c>
      <c r="BS499" s="269">
        <f>INDEX('App Data Outliers'!$T:$T,MATCH($E499,'App Data Outliers'!$A:$A,0))</f>
        <v>1.6493506177636894</v>
      </c>
    </row>
    <row r="500" spans="1:71" s="204" customFormat="1" hidden="1">
      <c r="A500" s="241">
        <v>496</v>
      </c>
      <c r="B500" s="241" t="str">
        <f t="shared" si="91"/>
        <v>Residential - BHPSD - Residential Lighting &amp; Appliances</v>
      </c>
      <c r="C500" s="241" t="b">
        <f t="shared" si="92"/>
        <v>1</v>
      </c>
      <c r="D500" s="241" t="str">
        <f t="shared" si="93"/>
        <v>Residential - BHPSD - Residential Lighting &amp; Appliances_Residential Lighting &amp; Appliances :- ES Star Fixture :- Customer Incentives_ENERGY STAR LED Fixture</v>
      </c>
      <c r="E500" s="241" t="str">
        <f t="shared" si="94"/>
        <v>Residential_Residential Lighting_Lighting_ENERGY STAR Fixture</v>
      </c>
      <c r="F500" s="241" t="str">
        <f>INDEX('VDSM MAPPING'!E:E,MATCH($D500,'VDSM MAPPING'!$A:$A,0))</f>
        <v>Residential</v>
      </c>
      <c r="G500" s="241" t="str">
        <f>INDEX('VDSM MAPPING'!F:F,MATCH($D500,'VDSM MAPPING'!$A:$A,0))</f>
        <v>Residential Lighting</v>
      </c>
      <c r="H500" s="241" t="str">
        <f>INDEX('VDSM MAPPING'!G:G,MATCH($D500,'VDSM MAPPING'!$A:$A,0))</f>
        <v>Lighting</v>
      </c>
      <c r="I500" s="241" t="str">
        <f>INDEX('VDSM MAPPING'!H:H,MATCH($D500,'VDSM MAPPING'!$A:$A,0))</f>
        <v>ENERGY STAR Fixture</v>
      </c>
      <c r="J500" s="240">
        <f t="shared" si="95"/>
        <v>0.38087540254823932</v>
      </c>
      <c r="K500" s="240">
        <f t="shared" si="96"/>
        <v>0.4214787522569125</v>
      </c>
      <c r="L500" s="240" t="b">
        <f t="shared" si="97"/>
        <v>0</v>
      </c>
      <c r="M500" s="240" t="b">
        <f t="shared" si="98"/>
        <v>0</v>
      </c>
      <c r="N500" s="204" t="s">
        <v>289</v>
      </c>
      <c r="O500" s="204" t="s">
        <v>990</v>
      </c>
      <c r="P500" s="350">
        <v>0</v>
      </c>
      <c r="Q500" s="204" t="s">
        <v>990</v>
      </c>
      <c r="R500" s="204" t="s">
        <v>989</v>
      </c>
      <c r="S500" s="204" t="s">
        <v>988</v>
      </c>
      <c r="T500" s="204" t="s">
        <v>987</v>
      </c>
      <c r="V500" s="204" t="s">
        <v>986</v>
      </c>
      <c r="W500" s="204" t="s">
        <v>531</v>
      </c>
      <c r="X500" s="204" t="s">
        <v>297</v>
      </c>
      <c r="Y500" s="204" t="s">
        <v>530</v>
      </c>
      <c r="Z500" s="204" t="s">
        <v>850</v>
      </c>
      <c r="AA500" s="204" t="s">
        <v>849</v>
      </c>
      <c r="AB500" s="204" t="s">
        <v>329</v>
      </c>
      <c r="AC500" s="204" t="s">
        <v>297</v>
      </c>
      <c r="AD500" s="204" t="s">
        <v>848</v>
      </c>
      <c r="AE500" s="204" t="s">
        <v>847</v>
      </c>
      <c r="AG500" s="204" t="s">
        <v>895</v>
      </c>
      <c r="AH500" s="204" t="s">
        <v>150</v>
      </c>
      <c r="AV500" s="204" t="s">
        <v>992</v>
      </c>
      <c r="AX500" s="204">
        <v>3</v>
      </c>
      <c r="AY500" s="204">
        <v>0</v>
      </c>
      <c r="AZ500" s="204">
        <v>1.8599999999999998E-2</v>
      </c>
      <c r="BB500" s="204">
        <v>157.30199999999999</v>
      </c>
      <c r="BH500" s="204">
        <v>0</v>
      </c>
      <c r="BI500" s="204">
        <v>30</v>
      </c>
      <c r="BJ500" s="204">
        <v>42968</v>
      </c>
      <c r="BK500" s="204">
        <v>42968.694654085702</v>
      </c>
      <c r="BL500" s="204" t="s">
        <v>293</v>
      </c>
      <c r="BM500" s="204" t="s">
        <v>991</v>
      </c>
      <c r="BN500" s="242">
        <f t="shared" si="99"/>
        <v>52.433999999999997</v>
      </c>
      <c r="BO500" s="269">
        <f t="shared" si="100"/>
        <v>10</v>
      </c>
      <c r="BP500" s="269">
        <f>INDEX('App Data Outliers'!$M:$M,MATCH($E500,'App Data Outliers'!$A:$A,0))</f>
        <v>35.519370843989762</v>
      </c>
      <c r="BQ500" s="269">
        <f>INDEX('App Data Outliers'!$N:$N,MATCH($E500,'App Data Outliers'!$A:$A,0))</f>
        <v>44.409875363027503</v>
      </c>
      <c r="BR500" s="269">
        <f>INDEX('App Data Outliers'!$S:$S,MATCH($E500,'App Data Outliers'!$A:$A,0))</f>
        <v>9.3048337595907924</v>
      </c>
      <c r="BS500" s="269">
        <f>INDEX('App Data Outliers'!$T:$T,MATCH($E500,'App Data Outliers'!$A:$A,0))</f>
        <v>1.6493506177636894</v>
      </c>
    </row>
    <row r="501" spans="1:71" s="204" customFormat="1" hidden="1">
      <c r="A501" s="241">
        <v>497</v>
      </c>
      <c r="B501" s="241" t="str">
        <f t="shared" si="91"/>
        <v>Residential - BHPSD - Residential Lighting &amp; Appliances</v>
      </c>
      <c r="C501" s="241" t="b">
        <f t="shared" si="92"/>
        <v>1</v>
      </c>
      <c r="D501" s="241" t="str">
        <f t="shared" si="93"/>
        <v>Residential - BHPSD - Residential Lighting &amp; Appliances_Residential Lighting &amp; Appliances :- LED :- Customer Incentives_LED</v>
      </c>
      <c r="E501" s="241" t="str">
        <f t="shared" si="94"/>
        <v>Residential_Residential Lighting_Lighting_LED</v>
      </c>
      <c r="F501" s="241" t="str">
        <f>INDEX('VDSM MAPPING'!E:E,MATCH($D501,'VDSM MAPPING'!$A:$A,0))</f>
        <v>Residential</v>
      </c>
      <c r="G501" s="241" t="str">
        <f>INDEX('VDSM MAPPING'!F:F,MATCH($D501,'VDSM MAPPING'!$A:$A,0))</f>
        <v>Residential Lighting</v>
      </c>
      <c r="H501" s="241" t="str">
        <f>INDEX('VDSM MAPPING'!G:G,MATCH($D501,'VDSM MAPPING'!$A:$A,0))</f>
        <v>Lighting</v>
      </c>
      <c r="I501" s="241" t="str">
        <f>INDEX('VDSM MAPPING'!H:H,MATCH($D501,'VDSM MAPPING'!$A:$A,0))</f>
        <v>LED</v>
      </c>
      <c r="J501" s="240">
        <f t="shared" si="95"/>
        <v>0.51223271516362701</v>
      </c>
      <c r="K501" s="240">
        <f t="shared" si="96"/>
        <v>-2.2120233910853178</v>
      </c>
      <c r="L501" s="240" t="b">
        <f t="shared" si="97"/>
        <v>0</v>
      </c>
      <c r="M501" s="240" t="b">
        <f t="shared" si="98"/>
        <v>1</v>
      </c>
      <c r="N501" s="204" t="s">
        <v>289</v>
      </c>
      <c r="O501" s="204" t="s">
        <v>990</v>
      </c>
      <c r="P501" s="350">
        <v>0</v>
      </c>
      <c r="Q501" s="204" t="s">
        <v>990</v>
      </c>
      <c r="R501" s="204" t="s">
        <v>989</v>
      </c>
      <c r="S501" s="204" t="s">
        <v>988</v>
      </c>
      <c r="T501" s="204" t="s">
        <v>987</v>
      </c>
      <c r="V501" s="204" t="s">
        <v>986</v>
      </c>
      <c r="W501" s="204" t="s">
        <v>531</v>
      </c>
      <c r="X501" s="204" t="s">
        <v>297</v>
      </c>
      <c r="Y501" s="204" t="s">
        <v>530</v>
      </c>
      <c r="Z501" s="204" t="s">
        <v>850</v>
      </c>
      <c r="AA501" s="204" t="s">
        <v>849</v>
      </c>
      <c r="AB501" s="204" t="s">
        <v>329</v>
      </c>
      <c r="AC501" s="204" t="s">
        <v>297</v>
      </c>
      <c r="AD501" s="204" t="s">
        <v>848</v>
      </c>
      <c r="AE501" s="204" t="s">
        <v>847</v>
      </c>
      <c r="AG501" s="204" t="s">
        <v>791</v>
      </c>
      <c r="AH501" s="204" t="s">
        <v>151</v>
      </c>
      <c r="AV501" s="204" t="s">
        <v>985</v>
      </c>
      <c r="AX501" s="204">
        <v>32</v>
      </c>
      <c r="AY501" s="204">
        <v>0</v>
      </c>
      <c r="AZ501" s="204">
        <v>0.128</v>
      </c>
      <c r="BB501" s="204">
        <v>1097.088</v>
      </c>
      <c r="BH501" s="204">
        <v>0</v>
      </c>
      <c r="BI501" s="204">
        <v>43.92</v>
      </c>
      <c r="BJ501" s="204">
        <v>42968</v>
      </c>
      <c r="BK501" s="204">
        <v>42968.694654085702</v>
      </c>
      <c r="BL501" s="204" t="s">
        <v>293</v>
      </c>
      <c r="BM501" s="204" t="s">
        <v>984</v>
      </c>
      <c r="BN501" s="242">
        <f t="shared" si="99"/>
        <v>34.283999999999999</v>
      </c>
      <c r="BO501" s="269">
        <f t="shared" si="100"/>
        <v>1.3725000000000001</v>
      </c>
      <c r="BP501" s="269">
        <f>INDEX('App Data Outliers'!$M:$M,MATCH($E501,'App Data Outliers'!$A:$A,0))</f>
        <v>31.912660854402784</v>
      </c>
      <c r="BQ501" s="269">
        <f>INDEX('App Data Outliers'!$N:$N,MATCH($E501,'App Data Outliers'!$A:$A,0))</f>
        <v>4.6294175975068628</v>
      </c>
      <c r="BR501" s="269">
        <f>INDEX('App Data Outliers'!$S:$S,MATCH($E501,'App Data Outliers'!$A:$A,0))</f>
        <v>3.9162224934612029</v>
      </c>
      <c r="BS501" s="269">
        <f>INDEX('App Data Outliers'!$T:$T,MATCH($E501,'App Data Outliers'!$A:$A,0))</f>
        <v>1.1499528005502413</v>
      </c>
    </row>
    <row r="502" spans="1:71" s="204" customFormat="1" hidden="1">
      <c r="A502" s="241">
        <v>498</v>
      </c>
      <c r="B502" s="241" t="str">
        <f t="shared" si="91"/>
        <v>Residential - BHPSD - Residential Lighting &amp; Appliances</v>
      </c>
      <c r="C502" s="241" t="b">
        <f t="shared" si="92"/>
        <v>1</v>
      </c>
      <c r="D502" s="241" t="str">
        <f t="shared" si="93"/>
        <v>Residential - BHPSD - Residential Lighting &amp; Appliances_Residential Lighting &amp; Appliances :- LED :- Customer Incentives_LED</v>
      </c>
      <c r="E502" s="241" t="str">
        <f t="shared" si="94"/>
        <v>Residential_Residential Lighting_Lighting_LED</v>
      </c>
      <c r="F502" s="241" t="str">
        <f>INDEX('VDSM MAPPING'!E:E,MATCH($D502,'VDSM MAPPING'!$A:$A,0))</f>
        <v>Residential</v>
      </c>
      <c r="G502" s="241" t="str">
        <f>INDEX('VDSM MAPPING'!F:F,MATCH($D502,'VDSM MAPPING'!$A:$A,0))</f>
        <v>Residential Lighting</v>
      </c>
      <c r="H502" s="241" t="str">
        <f>INDEX('VDSM MAPPING'!G:G,MATCH($D502,'VDSM MAPPING'!$A:$A,0))</f>
        <v>Lighting</v>
      </c>
      <c r="I502" s="241" t="str">
        <f>INDEX('VDSM MAPPING'!H:H,MATCH($D502,'VDSM MAPPING'!$A:$A,0))</f>
        <v>LED</v>
      </c>
      <c r="J502" s="240">
        <f t="shared" si="95"/>
        <v>-1.7748800321724714</v>
      </c>
      <c r="K502" s="240">
        <f t="shared" si="96"/>
        <v>-1.4489485939457094</v>
      </c>
      <c r="L502" s="240" t="b">
        <f t="shared" si="97"/>
        <v>0</v>
      </c>
      <c r="M502" s="240" t="b">
        <f t="shared" si="98"/>
        <v>0</v>
      </c>
      <c r="N502" s="204" t="s">
        <v>289</v>
      </c>
      <c r="O502" s="204" t="s">
        <v>983</v>
      </c>
      <c r="P502" s="350">
        <v>1</v>
      </c>
      <c r="Q502" s="204" t="s">
        <v>983</v>
      </c>
      <c r="R502" s="204" t="s">
        <v>982</v>
      </c>
      <c r="S502" s="204" t="s">
        <v>981</v>
      </c>
      <c r="T502" s="204" t="s">
        <v>980</v>
      </c>
      <c r="V502" s="204" t="s">
        <v>979</v>
      </c>
      <c r="W502" s="204" t="s">
        <v>329</v>
      </c>
      <c r="X502" s="204" t="s">
        <v>297</v>
      </c>
      <c r="Y502" s="204" t="s">
        <v>397</v>
      </c>
      <c r="Z502" s="204" t="s">
        <v>978</v>
      </c>
      <c r="AA502" s="204" t="s">
        <v>977</v>
      </c>
      <c r="AB502" s="204" t="s">
        <v>752</v>
      </c>
      <c r="AC502" s="204" t="s">
        <v>297</v>
      </c>
      <c r="AD502" s="204" t="s">
        <v>328</v>
      </c>
      <c r="AF502" s="204" t="s">
        <v>976</v>
      </c>
      <c r="AG502" s="204" t="s">
        <v>791</v>
      </c>
      <c r="AH502" s="204" t="s">
        <v>151</v>
      </c>
      <c r="AV502" s="204" t="s">
        <v>975</v>
      </c>
      <c r="AX502" s="204">
        <v>6</v>
      </c>
      <c r="AY502" s="204">
        <v>0</v>
      </c>
      <c r="AZ502" s="204">
        <v>1.6799999999999999E-2</v>
      </c>
      <c r="BB502" s="204">
        <v>142.17599999999999</v>
      </c>
      <c r="BH502" s="204">
        <v>0</v>
      </c>
      <c r="BI502" s="204">
        <v>13.5</v>
      </c>
      <c r="BJ502" s="204">
        <v>42968</v>
      </c>
      <c r="BK502" s="204">
        <v>42968.714913425902</v>
      </c>
      <c r="BL502" s="204" t="s">
        <v>293</v>
      </c>
      <c r="BM502" s="204" t="s">
        <v>974</v>
      </c>
      <c r="BN502" s="242">
        <f t="shared" si="99"/>
        <v>23.695999999999998</v>
      </c>
      <c r="BO502" s="243">
        <f t="shared" si="100"/>
        <v>2.25</v>
      </c>
      <c r="BP502" s="269">
        <f>INDEX('App Data Outliers'!$M:$M,MATCH($E502,'App Data Outliers'!$A:$A,0))</f>
        <v>31.912660854402784</v>
      </c>
      <c r="BQ502" s="243">
        <f>INDEX('App Data Outliers'!$N:$N,MATCH($E502,'App Data Outliers'!$A:$A,0))</f>
        <v>4.6294175975068628</v>
      </c>
      <c r="BR502" s="243">
        <f>INDEX('App Data Outliers'!$S:$S,MATCH($E502,'App Data Outliers'!$A:$A,0))</f>
        <v>3.9162224934612029</v>
      </c>
      <c r="BS502" s="243">
        <f>INDEX('App Data Outliers'!$T:$T,MATCH($E502,'App Data Outliers'!$A:$A,0))</f>
        <v>1.1499528005502413</v>
      </c>
    </row>
    <row r="503" spans="1:71" s="204" customFormat="1" hidden="1">
      <c r="A503" s="241">
        <v>499</v>
      </c>
      <c r="B503" s="241" t="str">
        <f t="shared" si="91"/>
        <v>Residential - BHPSD - Residential Lighting &amp; Appliances</v>
      </c>
      <c r="C503" s="241" t="b">
        <f t="shared" si="92"/>
        <v>1</v>
      </c>
      <c r="D503" s="241" t="str">
        <f t="shared" si="93"/>
        <v>Residential - BHPSD - Residential Lighting &amp; Appliances_Residential Lighting &amp; Appliances :- ES Star Fixture :- Customer Incentives_ENERGY STAR LED Fixture</v>
      </c>
      <c r="E503" s="241" t="str">
        <f t="shared" si="94"/>
        <v>Residential_Residential Lighting_Lighting_ENERGY STAR Fixture</v>
      </c>
      <c r="F503" s="241" t="str">
        <f>INDEX('VDSM MAPPING'!E:E,MATCH($D503,'VDSM MAPPING'!$A:$A,0))</f>
        <v>Residential</v>
      </c>
      <c r="G503" s="241" t="str">
        <f>INDEX('VDSM MAPPING'!F:F,MATCH($D503,'VDSM MAPPING'!$A:$A,0))</f>
        <v>Residential Lighting</v>
      </c>
      <c r="H503" s="241" t="str">
        <f>INDEX('VDSM MAPPING'!G:G,MATCH($D503,'VDSM MAPPING'!$A:$A,0))</f>
        <v>Lighting</v>
      </c>
      <c r="I503" s="241" t="str">
        <f>INDEX('VDSM MAPPING'!H:H,MATCH($D503,'VDSM MAPPING'!$A:$A,0))</f>
        <v>ENERGY STAR Fixture</v>
      </c>
      <c r="J503" s="240">
        <f t="shared" si="95"/>
        <v>-6.1886479561657562E-2</v>
      </c>
      <c r="K503" s="240">
        <f t="shared" si="96"/>
        <v>-2.3080803551353908</v>
      </c>
      <c r="L503" s="240" t="b">
        <f t="shared" si="97"/>
        <v>0</v>
      </c>
      <c r="M503" s="240" t="b">
        <f t="shared" si="98"/>
        <v>1</v>
      </c>
      <c r="N503" s="204" t="s">
        <v>289</v>
      </c>
      <c r="O503" s="204" t="s">
        <v>973</v>
      </c>
      <c r="P503" s="350">
        <v>1</v>
      </c>
      <c r="Q503" s="204" t="s">
        <v>973</v>
      </c>
      <c r="R503" s="204" t="s">
        <v>972</v>
      </c>
      <c r="S503" s="204" t="s">
        <v>971</v>
      </c>
      <c r="T503" s="204" t="s">
        <v>970</v>
      </c>
      <c r="V503" s="204" t="s">
        <v>969</v>
      </c>
      <c r="W503" s="204" t="s">
        <v>329</v>
      </c>
      <c r="X503" s="204" t="s">
        <v>297</v>
      </c>
      <c r="Y503" s="204" t="s">
        <v>397</v>
      </c>
      <c r="Z503" s="204" t="s">
        <v>959</v>
      </c>
      <c r="AA503" s="204" t="s">
        <v>958</v>
      </c>
      <c r="AB503" s="204" t="s">
        <v>329</v>
      </c>
      <c r="AC503" s="204" t="s">
        <v>297</v>
      </c>
      <c r="AD503" s="204" t="s">
        <v>397</v>
      </c>
      <c r="AE503" s="204" t="s">
        <v>957</v>
      </c>
      <c r="AG503" s="204" t="s">
        <v>895</v>
      </c>
      <c r="AH503" s="204" t="s">
        <v>150</v>
      </c>
      <c r="AV503" s="204" t="s">
        <v>968</v>
      </c>
      <c r="AX503" s="204">
        <v>30</v>
      </c>
      <c r="AY503" s="204">
        <v>0</v>
      </c>
      <c r="AZ503" s="204">
        <v>0.11700000000000001</v>
      </c>
      <c r="BB503" s="204">
        <v>983.13</v>
      </c>
      <c r="BH503" s="204">
        <v>0</v>
      </c>
      <c r="BI503" s="204">
        <v>164.94</v>
      </c>
      <c r="BJ503" s="204">
        <v>42968</v>
      </c>
      <c r="BK503" s="204">
        <v>42968.7197914352</v>
      </c>
      <c r="BL503" s="204" t="s">
        <v>293</v>
      </c>
      <c r="BM503" s="204" t="s">
        <v>967</v>
      </c>
      <c r="BN503" s="242">
        <f t="shared" si="99"/>
        <v>32.771000000000001</v>
      </c>
      <c r="BO503" s="269">
        <f t="shared" si="100"/>
        <v>5.4980000000000002</v>
      </c>
      <c r="BP503" s="269">
        <f>INDEX('App Data Outliers'!$M:$M,MATCH($E503,'App Data Outliers'!$A:$A,0))</f>
        <v>35.519370843989762</v>
      </c>
      <c r="BQ503" s="269">
        <f>INDEX('App Data Outliers'!$N:$N,MATCH($E503,'App Data Outliers'!$A:$A,0))</f>
        <v>44.409875363027503</v>
      </c>
      <c r="BR503" s="269">
        <f>INDEX('App Data Outliers'!$S:$S,MATCH($E503,'App Data Outliers'!$A:$A,0))</f>
        <v>9.3048337595907924</v>
      </c>
      <c r="BS503" s="269">
        <f>INDEX('App Data Outliers'!$T:$T,MATCH($E503,'App Data Outliers'!$A:$A,0))</f>
        <v>1.6493506177636894</v>
      </c>
    </row>
    <row r="504" spans="1:71" s="204" customFormat="1" hidden="1">
      <c r="A504" s="241">
        <v>500</v>
      </c>
      <c r="B504" s="241" t="str">
        <f t="shared" si="91"/>
        <v>Residential - BHPSD - Residential Lighting &amp; Appliances</v>
      </c>
      <c r="C504" s="241" t="b">
        <f t="shared" si="92"/>
        <v>1</v>
      </c>
      <c r="D504" s="241" t="str">
        <f t="shared" si="93"/>
        <v>Residential - BHPSD - Residential Lighting &amp; Appliances_Residential Lighting &amp; Appliances :- LED :- Customer Incentives_LED</v>
      </c>
      <c r="E504" s="241" t="str">
        <f t="shared" si="94"/>
        <v>Residential_Residential Lighting_Lighting_LED</v>
      </c>
      <c r="F504" s="241" t="str">
        <f>INDEX('VDSM MAPPING'!E:E,MATCH($D504,'VDSM MAPPING'!$A:$A,0))</f>
        <v>Residential</v>
      </c>
      <c r="G504" s="241" t="str">
        <f>INDEX('VDSM MAPPING'!F:F,MATCH($D504,'VDSM MAPPING'!$A:$A,0))</f>
        <v>Residential Lighting</v>
      </c>
      <c r="H504" s="241" t="str">
        <f>INDEX('VDSM MAPPING'!G:G,MATCH($D504,'VDSM MAPPING'!$A:$A,0))</f>
        <v>Lighting</v>
      </c>
      <c r="I504" s="241" t="str">
        <f>INDEX('VDSM MAPPING'!H:H,MATCH($D504,'VDSM MAPPING'!$A:$A,0))</f>
        <v>LED</v>
      </c>
      <c r="J504" s="240">
        <f t="shared" si="95"/>
        <v>0.51223271516362701</v>
      </c>
      <c r="K504" s="240">
        <f t="shared" si="96"/>
        <v>0.49895744091779276</v>
      </c>
      <c r="L504" s="240" t="b">
        <f t="shared" si="97"/>
        <v>0</v>
      </c>
      <c r="M504" s="240" t="b">
        <f t="shared" si="98"/>
        <v>0</v>
      </c>
      <c r="N504" s="204" t="s">
        <v>289</v>
      </c>
      <c r="O504" s="204" t="s">
        <v>964</v>
      </c>
      <c r="P504" s="350">
        <v>1</v>
      </c>
      <c r="Q504" s="204" t="s">
        <v>964</v>
      </c>
      <c r="R504" s="204" t="s">
        <v>963</v>
      </c>
      <c r="S504" s="204" t="s">
        <v>962</v>
      </c>
      <c r="T504" s="204" t="s">
        <v>961</v>
      </c>
      <c r="V504" s="204" t="s">
        <v>960</v>
      </c>
      <c r="W504" s="204" t="s">
        <v>329</v>
      </c>
      <c r="X504" s="204" t="s">
        <v>297</v>
      </c>
      <c r="Y504" s="204" t="s">
        <v>397</v>
      </c>
      <c r="Z504" s="204" t="s">
        <v>959</v>
      </c>
      <c r="AA504" s="204" t="s">
        <v>958</v>
      </c>
      <c r="AB504" s="204" t="s">
        <v>329</v>
      </c>
      <c r="AC504" s="204" t="s">
        <v>297</v>
      </c>
      <c r="AD504" s="204" t="s">
        <v>397</v>
      </c>
      <c r="AE504" s="204" t="s">
        <v>957</v>
      </c>
      <c r="AG504" s="204" t="s">
        <v>791</v>
      </c>
      <c r="AH504" s="204" t="s">
        <v>151</v>
      </c>
      <c r="AV504" s="204" t="s">
        <v>966</v>
      </c>
      <c r="AX504" s="204">
        <v>2</v>
      </c>
      <c r="AY504" s="204">
        <v>0</v>
      </c>
      <c r="AZ504" s="204">
        <v>8.0000000000000002E-3</v>
      </c>
      <c r="BB504" s="204">
        <v>68.567999999999998</v>
      </c>
      <c r="BH504" s="204">
        <v>0</v>
      </c>
      <c r="BI504" s="204">
        <v>8.98</v>
      </c>
      <c r="BJ504" s="204">
        <v>42968</v>
      </c>
      <c r="BK504" s="204">
        <v>42968.738223611101</v>
      </c>
      <c r="BL504" s="204" t="s">
        <v>293</v>
      </c>
      <c r="BM504" s="204" t="s">
        <v>965</v>
      </c>
      <c r="BN504" s="242">
        <f t="shared" si="99"/>
        <v>34.283999999999999</v>
      </c>
      <c r="BO504" s="269">
        <f t="shared" si="100"/>
        <v>4.49</v>
      </c>
      <c r="BP504" s="269">
        <f>INDEX('App Data Outliers'!$M:$M,MATCH($E504,'App Data Outliers'!$A:$A,0))</f>
        <v>31.912660854402784</v>
      </c>
      <c r="BQ504" s="269">
        <f>INDEX('App Data Outliers'!$N:$N,MATCH($E504,'App Data Outliers'!$A:$A,0))</f>
        <v>4.6294175975068628</v>
      </c>
      <c r="BR504" s="269">
        <f>INDEX('App Data Outliers'!$S:$S,MATCH($E504,'App Data Outliers'!$A:$A,0))</f>
        <v>3.9162224934612029</v>
      </c>
      <c r="BS504" s="269">
        <f>INDEX('App Data Outliers'!$T:$T,MATCH($E504,'App Data Outliers'!$A:$A,0))</f>
        <v>1.1499528005502413</v>
      </c>
    </row>
    <row r="505" spans="1:71" s="204" customFormat="1" hidden="1">
      <c r="A505" s="241">
        <v>501</v>
      </c>
      <c r="B505" s="241" t="str">
        <f t="shared" si="91"/>
        <v>Residential - BHPSD - Residential Lighting &amp; Appliances</v>
      </c>
      <c r="C505" s="241" t="b">
        <f t="shared" si="92"/>
        <v>1</v>
      </c>
      <c r="D505" s="241" t="str">
        <f t="shared" si="93"/>
        <v>Residential - BHPSD - Residential Lighting &amp; Appliances_Residential Lighting &amp; Appliances :- LED :- Customer Incentives_LED</v>
      </c>
      <c r="E505" s="241" t="str">
        <f t="shared" si="94"/>
        <v>Residential_Residential Lighting_Lighting_LED</v>
      </c>
      <c r="F505" s="241" t="str">
        <f>INDEX('VDSM MAPPING'!E:E,MATCH($D505,'VDSM MAPPING'!$A:$A,0))</f>
        <v>Residential</v>
      </c>
      <c r="G505" s="241" t="str">
        <f>INDEX('VDSM MAPPING'!F:F,MATCH($D505,'VDSM MAPPING'!$A:$A,0))</f>
        <v>Residential Lighting</v>
      </c>
      <c r="H505" s="241" t="str">
        <f>INDEX('VDSM MAPPING'!G:G,MATCH($D505,'VDSM MAPPING'!$A:$A,0))</f>
        <v>Lighting</v>
      </c>
      <c r="I505" s="241" t="str">
        <f>INDEX('VDSM MAPPING'!H:H,MATCH($D505,'VDSM MAPPING'!$A:$A,0))</f>
        <v>LED</v>
      </c>
      <c r="J505" s="240">
        <f t="shared" si="95"/>
        <v>-0.14119721123339737</v>
      </c>
      <c r="K505" s="240">
        <f t="shared" si="96"/>
        <v>0.93375789512839591</v>
      </c>
      <c r="L505" s="240" t="b">
        <f t="shared" si="97"/>
        <v>0</v>
      </c>
      <c r="M505" s="240" t="b">
        <f t="shared" si="98"/>
        <v>0</v>
      </c>
      <c r="N505" s="204" t="s">
        <v>289</v>
      </c>
      <c r="O505" s="204" t="s">
        <v>964</v>
      </c>
      <c r="P505" s="350">
        <v>0</v>
      </c>
      <c r="Q505" s="204" t="s">
        <v>964</v>
      </c>
      <c r="R505" s="204" t="s">
        <v>963</v>
      </c>
      <c r="S505" s="204" t="s">
        <v>962</v>
      </c>
      <c r="T505" s="204" t="s">
        <v>961</v>
      </c>
      <c r="V505" s="204" t="s">
        <v>960</v>
      </c>
      <c r="W505" s="204" t="s">
        <v>329</v>
      </c>
      <c r="X505" s="204" t="s">
        <v>297</v>
      </c>
      <c r="Y505" s="204" t="s">
        <v>397</v>
      </c>
      <c r="Z505" s="204" t="s">
        <v>959</v>
      </c>
      <c r="AA505" s="204" t="s">
        <v>958</v>
      </c>
      <c r="AB505" s="204" t="s">
        <v>329</v>
      </c>
      <c r="AC505" s="204" t="s">
        <v>297</v>
      </c>
      <c r="AD505" s="204" t="s">
        <v>397</v>
      </c>
      <c r="AE505" s="204" t="s">
        <v>957</v>
      </c>
      <c r="AG505" s="204" t="s">
        <v>791</v>
      </c>
      <c r="AH505" s="204" t="s">
        <v>151</v>
      </c>
      <c r="AV505" s="204" t="s">
        <v>956</v>
      </c>
      <c r="AX505" s="204">
        <v>3</v>
      </c>
      <c r="AY505" s="204">
        <v>0</v>
      </c>
      <c r="AZ505" s="204">
        <v>1.11E-2</v>
      </c>
      <c r="BB505" s="204">
        <v>93.777000000000001</v>
      </c>
      <c r="BH505" s="204">
        <v>0</v>
      </c>
      <c r="BI505" s="204">
        <v>14.97</v>
      </c>
      <c r="BJ505" s="204">
        <v>42968</v>
      </c>
      <c r="BK505" s="204">
        <v>42968.738223611101</v>
      </c>
      <c r="BL505" s="204" t="s">
        <v>293</v>
      </c>
      <c r="BM505" s="204" t="s">
        <v>955</v>
      </c>
      <c r="BN505" s="242">
        <f t="shared" si="99"/>
        <v>31.259</v>
      </c>
      <c r="BO505" s="243">
        <f t="shared" si="100"/>
        <v>4.99</v>
      </c>
      <c r="BP505" s="269">
        <f>INDEX('App Data Outliers'!$M:$M,MATCH($E505,'App Data Outliers'!$A:$A,0))</f>
        <v>31.912660854402784</v>
      </c>
      <c r="BQ505" s="243">
        <f>INDEX('App Data Outliers'!$N:$N,MATCH($E505,'App Data Outliers'!$A:$A,0))</f>
        <v>4.6294175975068628</v>
      </c>
      <c r="BR505" s="243">
        <f>INDEX('App Data Outliers'!$S:$S,MATCH($E505,'App Data Outliers'!$A:$A,0))</f>
        <v>3.9162224934612029</v>
      </c>
      <c r="BS505" s="243">
        <f>INDEX('App Data Outliers'!$T:$T,MATCH($E505,'App Data Outliers'!$A:$A,0))</f>
        <v>1.1499528005502413</v>
      </c>
    </row>
    <row r="506" spans="1:71" s="204" customFormat="1" hidden="1">
      <c r="A506" s="241">
        <v>502</v>
      </c>
      <c r="B506" s="241" t="str">
        <f t="shared" si="91"/>
        <v>Residential - BHPSD - Residential Lighting &amp; Appliances</v>
      </c>
      <c r="C506" s="241" t="b">
        <f t="shared" si="92"/>
        <v>1</v>
      </c>
      <c r="D506" s="241" t="str">
        <f t="shared" si="93"/>
        <v>Residential - BHPSD - Residential Lighting &amp; Appliances_Residential Lighting &amp; Appliances :- LED :- Customer Incentives_LED</v>
      </c>
      <c r="E506" s="241" t="str">
        <f t="shared" si="94"/>
        <v>Residential_Residential Lighting_Lighting_LED</v>
      </c>
      <c r="F506" s="241" t="str">
        <f>INDEX('VDSM MAPPING'!E:E,MATCH($D506,'VDSM MAPPING'!$A:$A,0))</f>
        <v>Residential</v>
      </c>
      <c r="G506" s="241" t="str">
        <f>INDEX('VDSM MAPPING'!F:F,MATCH($D506,'VDSM MAPPING'!$A:$A,0))</f>
        <v>Residential Lighting</v>
      </c>
      <c r="H506" s="241" t="str">
        <f>INDEX('VDSM MAPPING'!G:G,MATCH($D506,'VDSM MAPPING'!$A:$A,0))</f>
        <v>Lighting</v>
      </c>
      <c r="I506" s="241" t="str">
        <f>INDEX('VDSM MAPPING'!H:H,MATCH($D506,'VDSM MAPPING'!$A:$A,0))</f>
        <v>LED</v>
      </c>
      <c r="J506" s="240">
        <f t="shared" si="95"/>
        <v>-1.9926180043404715</v>
      </c>
      <c r="K506" s="240">
        <f t="shared" si="96"/>
        <v>-0.58804369460871497</v>
      </c>
      <c r="L506" s="240" t="b">
        <f t="shared" si="97"/>
        <v>0</v>
      </c>
      <c r="M506" s="240" t="b">
        <f t="shared" si="98"/>
        <v>0</v>
      </c>
      <c r="N506" s="204" t="s">
        <v>289</v>
      </c>
      <c r="O506" s="204" t="s">
        <v>954</v>
      </c>
      <c r="P506" s="350">
        <v>1</v>
      </c>
      <c r="Q506" s="204" t="s">
        <v>954</v>
      </c>
      <c r="R506" s="204" t="s">
        <v>953</v>
      </c>
      <c r="S506" s="204" t="s">
        <v>952</v>
      </c>
      <c r="T506" s="204" t="s">
        <v>951</v>
      </c>
      <c r="V506" s="204" t="s">
        <v>950</v>
      </c>
      <c r="W506" s="204" t="s">
        <v>345</v>
      </c>
      <c r="X506" s="204" t="s">
        <v>297</v>
      </c>
      <c r="Y506" s="204" t="s">
        <v>344</v>
      </c>
      <c r="Z506" s="204" t="s">
        <v>850</v>
      </c>
      <c r="AA506" s="204" t="s">
        <v>849</v>
      </c>
      <c r="AB506" s="204" t="s">
        <v>329</v>
      </c>
      <c r="AC506" s="204" t="s">
        <v>297</v>
      </c>
      <c r="AD506" s="204" t="s">
        <v>848</v>
      </c>
      <c r="AE506" s="204" t="s">
        <v>847</v>
      </c>
      <c r="AG506" s="204" t="s">
        <v>791</v>
      </c>
      <c r="AH506" s="204" t="s">
        <v>151</v>
      </c>
      <c r="AV506" s="204" t="s">
        <v>949</v>
      </c>
      <c r="AX506" s="204">
        <v>4</v>
      </c>
      <c r="AY506" s="204">
        <v>0</v>
      </c>
      <c r="AZ506" s="204">
        <v>1.0800000000000001E-2</v>
      </c>
      <c r="BB506" s="204">
        <v>90.751999999999995</v>
      </c>
      <c r="BH506" s="204">
        <v>0</v>
      </c>
      <c r="BI506" s="204">
        <v>12.96</v>
      </c>
      <c r="BJ506" s="204">
        <v>42968</v>
      </c>
      <c r="BK506" s="204">
        <v>42968.789404166702</v>
      </c>
      <c r="BL506" s="204" t="s">
        <v>293</v>
      </c>
      <c r="BM506" s="204" t="s">
        <v>948</v>
      </c>
      <c r="BN506" s="242">
        <f t="shared" si="99"/>
        <v>22.687999999999999</v>
      </c>
      <c r="BO506" s="269">
        <f t="shared" si="100"/>
        <v>3.24</v>
      </c>
      <c r="BP506" s="269">
        <f>INDEX('App Data Outliers'!$M:$M,MATCH($E506,'App Data Outliers'!$A:$A,0))</f>
        <v>31.912660854402784</v>
      </c>
      <c r="BQ506" s="269">
        <f>INDEX('App Data Outliers'!$N:$N,MATCH($E506,'App Data Outliers'!$A:$A,0))</f>
        <v>4.6294175975068628</v>
      </c>
      <c r="BR506" s="269">
        <f>INDEX('App Data Outliers'!$S:$S,MATCH($E506,'App Data Outliers'!$A:$A,0))</f>
        <v>3.9162224934612029</v>
      </c>
      <c r="BS506" s="269">
        <f>INDEX('App Data Outliers'!$T:$T,MATCH($E506,'App Data Outliers'!$A:$A,0))</f>
        <v>1.1499528005502413</v>
      </c>
    </row>
    <row r="507" spans="1:71" s="204" customFormat="1" hidden="1">
      <c r="A507" s="241">
        <v>503</v>
      </c>
      <c r="B507" s="241" t="str">
        <f t="shared" si="91"/>
        <v>Residential - BHPSD - Residential Lighting &amp; Appliances</v>
      </c>
      <c r="C507" s="241" t="b">
        <f t="shared" si="92"/>
        <v>1</v>
      </c>
      <c r="D507" s="241" t="str">
        <f t="shared" si="93"/>
        <v>Residential - BHPSD - Residential Lighting &amp; Appliances_Residential Lighting &amp; Appliances :- LED :- Customer Incentives_LED</v>
      </c>
      <c r="E507" s="241" t="str">
        <f t="shared" si="94"/>
        <v>Residential_Residential Lighting_Lighting_LED</v>
      </c>
      <c r="F507" s="241" t="str">
        <f>INDEX('VDSM MAPPING'!E:E,MATCH($D507,'VDSM MAPPING'!$A:$A,0))</f>
        <v>Residential</v>
      </c>
      <c r="G507" s="241" t="str">
        <f>INDEX('VDSM MAPPING'!F:F,MATCH($D507,'VDSM MAPPING'!$A:$A,0))</f>
        <v>Residential Lighting</v>
      </c>
      <c r="H507" s="241" t="str">
        <f>INDEX('VDSM MAPPING'!G:G,MATCH($D507,'VDSM MAPPING'!$A:$A,0))</f>
        <v>Lighting</v>
      </c>
      <c r="I507" s="241" t="str">
        <f>INDEX('VDSM MAPPING'!H:H,MATCH($D507,'VDSM MAPPING'!$A:$A,0))</f>
        <v>LED</v>
      </c>
      <c r="J507" s="240">
        <f t="shared" si="95"/>
        <v>1.4922695998126518</v>
      </c>
      <c r="K507" s="240">
        <f t="shared" si="96"/>
        <v>0.51634945908621654</v>
      </c>
      <c r="L507" s="240" t="b">
        <f t="shared" si="97"/>
        <v>0</v>
      </c>
      <c r="M507" s="240" t="b">
        <f t="shared" si="98"/>
        <v>0</v>
      </c>
      <c r="N507" s="204" t="s">
        <v>289</v>
      </c>
      <c r="O507" s="204" t="s">
        <v>943</v>
      </c>
      <c r="P507" s="350">
        <v>1</v>
      </c>
      <c r="Q507" s="204" t="s">
        <v>943</v>
      </c>
      <c r="R507" s="204" t="s">
        <v>942</v>
      </c>
      <c r="S507" s="204" t="s">
        <v>941</v>
      </c>
      <c r="T507" s="204" t="s">
        <v>940</v>
      </c>
      <c r="V507" s="204" t="s">
        <v>939</v>
      </c>
      <c r="W507" s="204" t="s">
        <v>329</v>
      </c>
      <c r="X507" s="204" t="s">
        <v>297</v>
      </c>
      <c r="Y507" s="204" t="s">
        <v>397</v>
      </c>
      <c r="Z507" s="204" t="s">
        <v>938</v>
      </c>
      <c r="AA507" s="204" t="s">
        <v>937</v>
      </c>
      <c r="AB507" s="204" t="s">
        <v>329</v>
      </c>
      <c r="AC507" s="204" t="s">
        <v>297</v>
      </c>
      <c r="AD507" s="204" t="s">
        <v>328</v>
      </c>
      <c r="AE507" s="204" t="s">
        <v>936</v>
      </c>
      <c r="AG507" s="204" t="s">
        <v>791</v>
      </c>
      <c r="AH507" s="204" t="s">
        <v>151</v>
      </c>
      <c r="AV507" s="204" t="s">
        <v>935</v>
      </c>
      <c r="AX507" s="204">
        <v>1</v>
      </c>
      <c r="AY507" s="204">
        <v>0</v>
      </c>
      <c r="AZ507" s="204">
        <v>4.5999999999999999E-3</v>
      </c>
      <c r="BB507" s="204">
        <v>38.820999999999998</v>
      </c>
      <c r="BH507" s="204">
        <v>0</v>
      </c>
      <c r="BI507" s="204">
        <v>4.51</v>
      </c>
      <c r="BJ507" s="204">
        <v>42968</v>
      </c>
      <c r="BK507" s="204">
        <v>42968.799432488398</v>
      </c>
      <c r="BL507" s="204" t="s">
        <v>293</v>
      </c>
      <c r="BM507" s="204" t="s">
        <v>934</v>
      </c>
      <c r="BN507" s="242">
        <f t="shared" si="99"/>
        <v>38.820999999999998</v>
      </c>
      <c r="BO507" s="243">
        <f t="shared" si="100"/>
        <v>4.51</v>
      </c>
      <c r="BP507" s="269">
        <f>INDEX('App Data Outliers'!$M:$M,MATCH($E507,'App Data Outliers'!$A:$A,0))</f>
        <v>31.912660854402784</v>
      </c>
      <c r="BQ507" s="243">
        <f>INDEX('App Data Outliers'!$N:$N,MATCH($E507,'App Data Outliers'!$A:$A,0))</f>
        <v>4.6294175975068628</v>
      </c>
      <c r="BR507" s="243">
        <f>INDEX('App Data Outliers'!$S:$S,MATCH($E507,'App Data Outliers'!$A:$A,0))</f>
        <v>3.9162224934612029</v>
      </c>
      <c r="BS507" s="243">
        <f>INDEX('App Data Outliers'!$T:$T,MATCH($E507,'App Data Outliers'!$A:$A,0))</f>
        <v>1.1499528005502413</v>
      </c>
    </row>
    <row r="508" spans="1:71" s="204" customFormat="1" hidden="1">
      <c r="A508" s="241">
        <v>504</v>
      </c>
      <c r="B508" s="241" t="str">
        <f t="shared" si="91"/>
        <v>Residential - BHPSD - Residential Lighting &amp; Appliances</v>
      </c>
      <c r="C508" s="241" t="b">
        <f t="shared" si="92"/>
        <v>1</v>
      </c>
      <c r="D508" s="241" t="str">
        <f t="shared" si="93"/>
        <v>Residential - BHPSD - Residential Lighting &amp; Appliances_Residential Lighting &amp; Appliances :- LED :- Customer Incentives_LED</v>
      </c>
      <c r="E508" s="241" t="str">
        <f t="shared" si="94"/>
        <v>Residential_Residential Lighting_Lighting_LED</v>
      </c>
      <c r="F508" s="241" t="str">
        <f>INDEX('VDSM MAPPING'!E:E,MATCH($D508,'VDSM MAPPING'!$A:$A,0))</f>
        <v>Residential</v>
      </c>
      <c r="G508" s="241" t="str">
        <f>INDEX('VDSM MAPPING'!F:F,MATCH($D508,'VDSM MAPPING'!$A:$A,0))</f>
        <v>Residential Lighting</v>
      </c>
      <c r="H508" s="241" t="str">
        <f>INDEX('VDSM MAPPING'!G:G,MATCH($D508,'VDSM MAPPING'!$A:$A,0))</f>
        <v>Lighting</v>
      </c>
      <c r="I508" s="241" t="str">
        <f>INDEX('VDSM MAPPING'!H:H,MATCH($D508,'VDSM MAPPING'!$A:$A,0))</f>
        <v>LED</v>
      </c>
      <c r="J508" s="240">
        <f t="shared" si="95"/>
        <v>0.40336372907962731</v>
      </c>
      <c r="K508" s="240">
        <f t="shared" si="96"/>
        <v>-1.8228769845668278</v>
      </c>
      <c r="L508" s="240" t="b">
        <f t="shared" si="97"/>
        <v>0</v>
      </c>
      <c r="M508" s="240" t="b">
        <f t="shared" si="98"/>
        <v>0</v>
      </c>
      <c r="N508" s="204" t="s">
        <v>289</v>
      </c>
      <c r="O508" s="204" t="s">
        <v>943</v>
      </c>
      <c r="P508" s="350">
        <v>0</v>
      </c>
      <c r="Q508" s="204" t="s">
        <v>943</v>
      </c>
      <c r="R508" s="204" t="s">
        <v>942</v>
      </c>
      <c r="S508" s="204" t="s">
        <v>941</v>
      </c>
      <c r="T508" s="204" t="s">
        <v>940</v>
      </c>
      <c r="V508" s="204" t="s">
        <v>939</v>
      </c>
      <c r="W508" s="204" t="s">
        <v>329</v>
      </c>
      <c r="X508" s="204" t="s">
        <v>297</v>
      </c>
      <c r="Y508" s="204" t="s">
        <v>397</v>
      </c>
      <c r="Z508" s="204" t="s">
        <v>938</v>
      </c>
      <c r="AA508" s="204" t="s">
        <v>937</v>
      </c>
      <c r="AB508" s="204" t="s">
        <v>329</v>
      </c>
      <c r="AC508" s="204" t="s">
        <v>297</v>
      </c>
      <c r="AD508" s="204" t="s">
        <v>328</v>
      </c>
      <c r="AE508" s="204" t="s">
        <v>936</v>
      </c>
      <c r="AG508" s="204" t="s">
        <v>791</v>
      </c>
      <c r="AH508" s="204" t="s">
        <v>151</v>
      </c>
      <c r="AV508" s="204" t="s">
        <v>945</v>
      </c>
      <c r="AX508" s="204">
        <v>4</v>
      </c>
      <c r="AY508" s="204">
        <v>0</v>
      </c>
      <c r="AZ508" s="204">
        <v>1.6E-2</v>
      </c>
      <c r="BB508" s="204">
        <v>135.12</v>
      </c>
      <c r="BH508" s="204">
        <v>0</v>
      </c>
      <c r="BI508" s="204">
        <v>7.28</v>
      </c>
      <c r="BJ508" s="204">
        <v>42968</v>
      </c>
      <c r="BK508" s="204">
        <v>42968.799432488398</v>
      </c>
      <c r="BL508" s="204" t="s">
        <v>293</v>
      </c>
      <c r="BM508" s="204" t="s">
        <v>944</v>
      </c>
      <c r="BN508" s="242">
        <f t="shared" si="99"/>
        <v>33.78</v>
      </c>
      <c r="BO508" s="269">
        <f t="shared" si="100"/>
        <v>1.82</v>
      </c>
      <c r="BP508" s="269">
        <f>INDEX('App Data Outliers'!$M:$M,MATCH($E508,'App Data Outliers'!$A:$A,0))</f>
        <v>31.912660854402784</v>
      </c>
      <c r="BQ508" s="269">
        <f>INDEX('App Data Outliers'!$N:$N,MATCH($E508,'App Data Outliers'!$A:$A,0))</f>
        <v>4.6294175975068628</v>
      </c>
      <c r="BR508" s="269">
        <f>INDEX('App Data Outliers'!$S:$S,MATCH($E508,'App Data Outliers'!$A:$A,0))</f>
        <v>3.9162224934612029</v>
      </c>
      <c r="BS508" s="269">
        <f>INDEX('App Data Outliers'!$T:$T,MATCH($E508,'App Data Outliers'!$A:$A,0))</f>
        <v>1.1499528005502413</v>
      </c>
    </row>
    <row r="509" spans="1:71" s="204" customFormat="1" hidden="1">
      <c r="A509" s="241">
        <v>505</v>
      </c>
      <c r="B509" s="241" t="str">
        <f t="shared" si="91"/>
        <v>Residential - BHPSD - Residential Lighting &amp; Appliances</v>
      </c>
      <c r="C509" s="241" t="b">
        <f t="shared" si="92"/>
        <v>1</v>
      </c>
      <c r="D509" s="241" t="str">
        <f t="shared" si="93"/>
        <v>Residential - BHPSD - Residential Lighting &amp; Appliances_Residential Lighting &amp; Appliances :- LED :- Customer Incentives_LED</v>
      </c>
      <c r="E509" s="241" t="str">
        <f t="shared" si="94"/>
        <v>Residential_Residential Lighting_Lighting_LED</v>
      </c>
      <c r="F509" s="241" t="str">
        <f>INDEX('VDSM MAPPING'!E:E,MATCH($D509,'VDSM MAPPING'!$A:$A,0))</f>
        <v>Residential</v>
      </c>
      <c r="G509" s="241" t="str">
        <f>INDEX('VDSM MAPPING'!F:F,MATCH($D509,'VDSM MAPPING'!$A:$A,0))</f>
        <v>Residential Lighting</v>
      </c>
      <c r="H509" s="241" t="str">
        <f>INDEX('VDSM MAPPING'!G:G,MATCH($D509,'VDSM MAPPING'!$A:$A,0))</f>
        <v>Lighting</v>
      </c>
      <c r="I509" s="241" t="str">
        <f>INDEX('VDSM MAPPING'!H:H,MATCH($D509,'VDSM MAPPING'!$A:$A,0))</f>
        <v>LED</v>
      </c>
      <c r="J509" s="240">
        <f t="shared" si="95"/>
        <v>0.40336372907962731</v>
      </c>
      <c r="K509" s="240">
        <f t="shared" si="96"/>
        <v>-1.8228769845668278</v>
      </c>
      <c r="L509" s="240" t="b">
        <f t="shared" si="97"/>
        <v>0</v>
      </c>
      <c r="M509" s="240" t="b">
        <f t="shared" si="98"/>
        <v>0</v>
      </c>
      <c r="N509" s="204" t="s">
        <v>289</v>
      </c>
      <c r="O509" s="204" t="s">
        <v>943</v>
      </c>
      <c r="P509" s="350">
        <v>0</v>
      </c>
      <c r="Q509" s="204" t="s">
        <v>943</v>
      </c>
      <c r="R509" s="204" t="s">
        <v>942</v>
      </c>
      <c r="S509" s="204" t="s">
        <v>941</v>
      </c>
      <c r="T509" s="204" t="s">
        <v>940</v>
      </c>
      <c r="V509" s="204" t="s">
        <v>939</v>
      </c>
      <c r="W509" s="204" t="s">
        <v>329</v>
      </c>
      <c r="X509" s="204" t="s">
        <v>297</v>
      </c>
      <c r="Y509" s="204" t="s">
        <v>397</v>
      </c>
      <c r="Z509" s="204" t="s">
        <v>938</v>
      </c>
      <c r="AA509" s="204" t="s">
        <v>937</v>
      </c>
      <c r="AB509" s="204" t="s">
        <v>329</v>
      </c>
      <c r="AC509" s="204" t="s">
        <v>297</v>
      </c>
      <c r="AD509" s="204" t="s">
        <v>328</v>
      </c>
      <c r="AE509" s="204" t="s">
        <v>936</v>
      </c>
      <c r="AG509" s="204" t="s">
        <v>791</v>
      </c>
      <c r="AH509" s="204" t="s">
        <v>151</v>
      </c>
      <c r="AV509" s="204" t="s">
        <v>947</v>
      </c>
      <c r="AX509" s="204">
        <v>16</v>
      </c>
      <c r="AY509" s="204">
        <v>0</v>
      </c>
      <c r="AZ509" s="204">
        <v>6.4000000000000001E-2</v>
      </c>
      <c r="BB509" s="204">
        <v>540.48</v>
      </c>
      <c r="BH509" s="204">
        <v>0</v>
      </c>
      <c r="BI509" s="204">
        <v>29.12</v>
      </c>
      <c r="BJ509" s="204">
        <v>42968</v>
      </c>
      <c r="BK509" s="204">
        <v>42968.799432488398</v>
      </c>
      <c r="BL509" s="204" t="s">
        <v>293</v>
      </c>
      <c r="BM509" s="204" t="s">
        <v>946</v>
      </c>
      <c r="BN509" s="242">
        <f t="shared" si="99"/>
        <v>33.78</v>
      </c>
      <c r="BO509" s="269">
        <f t="shared" si="100"/>
        <v>1.82</v>
      </c>
      <c r="BP509" s="269">
        <f>INDEX('App Data Outliers'!$M:$M,MATCH($E509,'App Data Outliers'!$A:$A,0))</f>
        <v>31.912660854402784</v>
      </c>
      <c r="BQ509" s="269">
        <f>INDEX('App Data Outliers'!$N:$N,MATCH($E509,'App Data Outliers'!$A:$A,0))</f>
        <v>4.6294175975068628</v>
      </c>
      <c r="BR509" s="269">
        <f>INDEX('App Data Outliers'!$S:$S,MATCH($E509,'App Data Outliers'!$A:$A,0))</f>
        <v>3.9162224934612029</v>
      </c>
      <c r="BS509" s="269">
        <f>INDEX('App Data Outliers'!$T:$T,MATCH($E509,'App Data Outliers'!$A:$A,0))</f>
        <v>1.1499528005502413</v>
      </c>
    </row>
    <row r="510" spans="1:71" s="204" customFormat="1" hidden="1">
      <c r="A510" s="241">
        <v>506</v>
      </c>
      <c r="B510" s="241" t="str">
        <f t="shared" si="91"/>
        <v>Residential - BHPSD - Residential Lighting &amp; Appliances</v>
      </c>
      <c r="C510" s="241" t="b">
        <f t="shared" si="92"/>
        <v>1</v>
      </c>
      <c r="D510" s="241" t="str">
        <f t="shared" si="93"/>
        <v>Residential - BHPSD - Residential Lighting &amp; Appliances_Residential Lighting &amp; Appliances :- LED :- Customer Incentives_LED</v>
      </c>
      <c r="E510" s="241" t="str">
        <f t="shared" si="94"/>
        <v>Residential_Residential Lighting_Lighting_LED</v>
      </c>
      <c r="F510" s="241" t="str">
        <f>INDEX('VDSM MAPPING'!E:E,MATCH($D510,'VDSM MAPPING'!$A:$A,0))</f>
        <v>Residential</v>
      </c>
      <c r="G510" s="241" t="str">
        <f>INDEX('VDSM MAPPING'!F:F,MATCH($D510,'VDSM MAPPING'!$A:$A,0))</f>
        <v>Residential Lighting</v>
      </c>
      <c r="H510" s="241" t="str">
        <f>INDEX('VDSM MAPPING'!G:G,MATCH($D510,'VDSM MAPPING'!$A:$A,0))</f>
        <v>Lighting</v>
      </c>
      <c r="I510" s="241" t="str">
        <f>INDEX('VDSM MAPPING'!H:H,MATCH($D510,'VDSM MAPPING'!$A:$A,0))</f>
        <v>LED</v>
      </c>
      <c r="J510" s="240">
        <f t="shared" si="95"/>
        <v>0.40336372907962731</v>
      </c>
      <c r="K510" s="240">
        <f t="shared" si="96"/>
        <v>-0.84022795805086481</v>
      </c>
      <c r="L510" s="240" t="b">
        <f t="shared" si="97"/>
        <v>0</v>
      </c>
      <c r="M510" s="240" t="b">
        <f t="shared" si="98"/>
        <v>0</v>
      </c>
      <c r="N510" s="204" t="s">
        <v>289</v>
      </c>
      <c r="O510" s="204" t="s">
        <v>933</v>
      </c>
      <c r="P510" s="350">
        <v>1</v>
      </c>
      <c r="Q510" s="204" t="s">
        <v>933</v>
      </c>
      <c r="R510" s="204" t="s">
        <v>932</v>
      </c>
      <c r="S510" s="204" t="s">
        <v>931</v>
      </c>
      <c r="T510" s="204" t="s">
        <v>930</v>
      </c>
      <c r="V510" s="204" t="s">
        <v>929</v>
      </c>
      <c r="W510" s="204" t="s">
        <v>928</v>
      </c>
      <c r="X510" s="204" t="s">
        <v>297</v>
      </c>
      <c r="Y510" s="204" t="s">
        <v>412</v>
      </c>
      <c r="Z510" s="204" t="s">
        <v>601</v>
      </c>
      <c r="AA510" s="204" t="s">
        <v>600</v>
      </c>
      <c r="AB510" s="204" t="s">
        <v>329</v>
      </c>
      <c r="AC510" s="204" t="s">
        <v>297</v>
      </c>
      <c r="AD510" s="204" t="s">
        <v>599</v>
      </c>
      <c r="AE510" s="204" t="s">
        <v>598</v>
      </c>
      <c r="AG510" s="204" t="s">
        <v>791</v>
      </c>
      <c r="AH510" s="204" t="s">
        <v>151</v>
      </c>
      <c r="AX510" s="204">
        <v>5</v>
      </c>
      <c r="AY510" s="204">
        <v>0</v>
      </c>
      <c r="AZ510" s="204">
        <v>0.02</v>
      </c>
      <c r="BB510" s="204">
        <v>168.9</v>
      </c>
      <c r="BH510" s="204">
        <v>0</v>
      </c>
      <c r="BI510" s="204">
        <v>14.75</v>
      </c>
      <c r="BJ510" s="204">
        <v>42968</v>
      </c>
      <c r="BK510" s="204">
        <v>42968.812648923602</v>
      </c>
      <c r="BL510" s="204" t="s">
        <v>293</v>
      </c>
      <c r="BM510" s="204" t="s">
        <v>927</v>
      </c>
      <c r="BN510" s="242">
        <f t="shared" si="99"/>
        <v>33.78</v>
      </c>
      <c r="BO510" s="269">
        <f t="shared" si="100"/>
        <v>2.95</v>
      </c>
      <c r="BP510" s="269">
        <f>INDEX('App Data Outliers'!$M:$M,MATCH($E510,'App Data Outliers'!$A:$A,0))</f>
        <v>31.912660854402784</v>
      </c>
      <c r="BQ510" s="269">
        <f>INDEX('App Data Outliers'!$N:$N,MATCH($E510,'App Data Outliers'!$A:$A,0))</f>
        <v>4.6294175975068628</v>
      </c>
      <c r="BR510" s="269">
        <f>INDEX('App Data Outliers'!$S:$S,MATCH($E510,'App Data Outliers'!$A:$A,0))</f>
        <v>3.9162224934612029</v>
      </c>
      <c r="BS510" s="269">
        <f>INDEX('App Data Outliers'!$T:$T,MATCH($E510,'App Data Outliers'!$A:$A,0))</f>
        <v>1.1499528005502413</v>
      </c>
    </row>
    <row r="511" spans="1:71" s="204" customFormat="1" hidden="1">
      <c r="A511" s="241">
        <v>507</v>
      </c>
      <c r="B511" s="241" t="str">
        <f t="shared" si="91"/>
        <v>Residential - BHPSD - Residential Lighting &amp; Appliances</v>
      </c>
      <c r="C511" s="241" t="b">
        <f t="shared" si="92"/>
        <v>1</v>
      </c>
      <c r="D511" s="241" t="str">
        <f t="shared" si="93"/>
        <v>Residential - BHPSD - Residential Lighting &amp; Appliances_Residential Lighting &amp; Appliances :- LED :- Customer Incentives_LED</v>
      </c>
      <c r="E511" s="241" t="str">
        <f t="shared" si="94"/>
        <v>Residential_Residential Lighting_Lighting_LED</v>
      </c>
      <c r="F511" s="241" t="str">
        <f>INDEX('VDSM MAPPING'!E:E,MATCH($D511,'VDSM MAPPING'!$A:$A,0))</f>
        <v>Residential</v>
      </c>
      <c r="G511" s="241" t="str">
        <f>INDEX('VDSM MAPPING'!F:F,MATCH($D511,'VDSM MAPPING'!$A:$A,0))</f>
        <v>Residential Lighting</v>
      </c>
      <c r="H511" s="241" t="str">
        <f>INDEX('VDSM MAPPING'!G:G,MATCH($D511,'VDSM MAPPING'!$A:$A,0))</f>
        <v>Lighting</v>
      </c>
      <c r="I511" s="241" t="str">
        <f>INDEX('VDSM MAPPING'!H:H,MATCH($D511,'VDSM MAPPING'!$A:$A,0))</f>
        <v>LED</v>
      </c>
      <c r="J511" s="240">
        <f t="shared" si="95"/>
        <v>0.40336372907962731</v>
      </c>
      <c r="K511" s="240">
        <f t="shared" si="96"/>
        <v>-0.84022795805086481</v>
      </c>
      <c r="L511" s="240" t="b">
        <f t="shared" si="97"/>
        <v>0</v>
      </c>
      <c r="M511" s="240" t="b">
        <f t="shared" si="98"/>
        <v>0</v>
      </c>
      <c r="N511" s="204" t="s">
        <v>289</v>
      </c>
      <c r="O511" s="204" t="s">
        <v>925</v>
      </c>
      <c r="P511" s="350">
        <v>1</v>
      </c>
      <c r="Q511" s="204" t="s">
        <v>925</v>
      </c>
      <c r="R511" s="204" t="s">
        <v>924</v>
      </c>
      <c r="S511" s="204" t="s">
        <v>923</v>
      </c>
      <c r="T511" s="204" t="s">
        <v>922</v>
      </c>
      <c r="V511" s="204" t="s">
        <v>921</v>
      </c>
      <c r="W511" s="204" t="s">
        <v>413</v>
      </c>
      <c r="X511" s="204" t="s">
        <v>297</v>
      </c>
      <c r="Y511" s="204" t="s">
        <v>412</v>
      </c>
      <c r="Z511" s="204" t="s">
        <v>601</v>
      </c>
      <c r="AA511" s="204" t="s">
        <v>600</v>
      </c>
      <c r="AB511" s="204" t="s">
        <v>329</v>
      </c>
      <c r="AC511" s="204" t="s">
        <v>297</v>
      </c>
      <c r="AD511" s="204" t="s">
        <v>599</v>
      </c>
      <c r="AE511" s="204" t="s">
        <v>598</v>
      </c>
      <c r="AG511" s="204" t="s">
        <v>791</v>
      </c>
      <c r="AH511" s="204" t="s">
        <v>151</v>
      </c>
      <c r="AX511" s="204">
        <v>2</v>
      </c>
      <c r="AY511" s="204">
        <v>0</v>
      </c>
      <c r="AZ511" s="204">
        <v>8.0000000000000002E-3</v>
      </c>
      <c r="BB511" s="204">
        <v>67.56</v>
      </c>
      <c r="BH511" s="204">
        <v>0</v>
      </c>
      <c r="BI511" s="204">
        <v>5.9</v>
      </c>
      <c r="BJ511" s="204">
        <v>42968</v>
      </c>
      <c r="BK511" s="204">
        <v>42968.8143569444</v>
      </c>
      <c r="BL511" s="204" t="s">
        <v>293</v>
      </c>
      <c r="BM511" s="204" t="s">
        <v>920</v>
      </c>
      <c r="BN511" s="242">
        <f t="shared" si="99"/>
        <v>33.78</v>
      </c>
      <c r="BO511" s="269">
        <f t="shared" si="100"/>
        <v>2.95</v>
      </c>
      <c r="BP511" s="269">
        <f>INDEX('App Data Outliers'!$M:$M,MATCH($E511,'App Data Outliers'!$A:$A,0))</f>
        <v>31.912660854402784</v>
      </c>
      <c r="BQ511" s="269">
        <f>INDEX('App Data Outliers'!$N:$N,MATCH($E511,'App Data Outliers'!$A:$A,0))</f>
        <v>4.6294175975068628</v>
      </c>
      <c r="BR511" s="269">
        <f>INDEX('App Data Outliers'!$S:$S,MATCH($E511,'App Data Outliers'!$A:$A,0))</f>
        <v>3.9162224934612029</v>
      </c>
      <c r="BS511" s="269">
        <f>INDEX('App Data Outliers'!$T:$T,MATCH($E511,'App Data Outliers'!$A:$A,0))</f>
        <v>1.1499528005502413</v>
      </c>
    </row>
    <row r="512" spans="1:71" s="204" customFormat="1" hidden="1">
      <c r="A512" s="241">
        <v>508</v>
      </c>
      <c r="B512" s="241" t="str">
        <f t="shared" si="91"/>
        <v>Residential - BHPSD - Residential Lighting &amp; Appliances</v>
      </c>
      <c r="C512" s="241" t="b">
        <f t="shared" si="92"/>
        <v>1</v>
      </c>
      <c r="D512" s="241" t="str">
        <f t="shared" si="93"/>
        <v>Residential - BHPSD - Residential Lighting &amp; Appliances_Residential Lighting &amp; Appliances :- LED :- Customer Incentives_LED</v>
      </c>
      <c r="E512" s="241" t="str">
        <f t="shared" si="94"/>
        <v>Residential_Residential Lighting_Lighting_LED</v>
      </c>
      <c r="F512" s="241" t="str">
        <f>INDEX('VDSM MAPPING'!E:E,MATCH($D512,'VDSM MAPPING'!$A:$A,0))</f>
        <v>Residential</v>
      </c>
      <c r="G512" s="241" t="str">
        <f>INDEX('VDSM MAPPING'!F:F,MATCH($D512,'VDSM MAPPING'!$A:$A,0))</f>
        <v>Residential Lighting</v>
      </c>
      <c r="H512" s="241" t="str">
        <f>INDEX('VDSM MAPPING'!G:G,MATCH($D512,'VDSM MAPPING'!$A:$A,0))</f>
        <v>Lighting</v>
      </c>
      <c r="I512" s="241" t="str">
        <f>INDEX('VDSM MAPPING'!H:H,MATCH($D512,'VDSM MAPPING'!$A:$A,0))</f>
        <v>LED</v>
      </c>
      <c r="J512" s="240">
        <f t="shared" si="95"/>
        <v>-1.7748800321724714</v>
      </c>
      <c r="K512" s="240">
        <f t="shared" si="96"/>
        <v>-1.1880683214193473</v>
      </c>
      <c r="L512" s="240" t="b">
        <f t="shared" si="97"/>
        <v>0</v>
      </c>
      <c r="M512" s="240" t="b">
        <f t="shared" si="98"/>
        <v>0</v>
      </c>
      <c r="N512" s="204" t="s">
        <v>289</v>
      </c>
      <c r="O512" s="204" t="s">
        <v>925</v>
      </c>
      <c r="P512" s="350">
        <v>0</v>
      </c>
      <c r="Q512" s="204" t="s">
        <v>925</v>
      </c>
      <c r="R512" s="204" t="s">
        <v>924</v>
      </c>
      <c r="S512" s="204" t="s">
        <v>923</v>
      </c>
      <c r="T512" s="204" t="s">
        <v>922</v>
      </c>
      <c r="V512" s="204" t="s">
        <v>921</v>
      </c>
      <c r="W512" s="204" t="s">
        <v>413</v>
      </c>
      <c r="X512" s="204" t="s">
        <v>297</v>
      </c>
      <c r="Y512" s="204" t="s">
        <v>412</v>
      </c>
      <c r="Z512" s="204" t="s">
        <v>601</v>
      </c>
      <c r="AA512" s="204" t="s">
        <v>600</v>
      </c>
      <c r="AB512" s="204" t="s">
        <v>329</v>
      </c>
      <c r="AC512" s="204" t="s">
        <v>297</v>
      </c>
      <c r="AD512" s="204" t="s">
        <v>599</v>
      </c>
      <c r="AE512" s="204" t="s">
        <v>598</v>
      </c>
      <c r="AG512" s="204" t="s">
        <v>791</v>
      </c>
      <c r="AH512" s="204" t="s">
        <v>151</v>
      </c>
      <c r="AX512" s="204">
        <v>6</v>
      </c>
      <c r="AY512" s="204">
        <v>0</v>
      </c>
      <c r="AZ512" s="204">
        <v>1.6799999999999999E-2</v>
      </c>
      <c r="BB512" s="204">
        <v>142.17599999999999</v>
      </c>
      <c r="BH512" s="204">
        <v>0</v>
      </c>
      <c r="BI512" s="204">
        <v>15.3</v>
      </c>
      <c r="BJ512" s="204">
        <v>42968</v>
      </c>
      <c r="BK512" s="204">
        <v>42968.8143569444</v>
      </c>
      <c r="BL512" s="204" t="s">
        <v>293</v>
      </c>
      <c r="BM512" s="204" t="s">
        <v>926</v>
      </c>
      <c r="BN512" s="242">
        <f t="shared" si="99"/>
        <v>23.695999999999998</v>
      </c>
      <c r="BO512" s="269">
        <f t="shared" si="100"/>
        <v>2.5500000000000003</v>
      </c>
      <c r="BP512" s="269">
        <f>INDEX('App Data Outliers'!$M:$M,MATCH($E512,'App Data Outliers'!$A:$A,0))</f>
        <v>31.912660854402784</v>
      </c>
      <c r="BQ512" s="269">
        <f>INDEX('App Data Outliers'!$N:$N,MATCH($E512,'App Data Outliers'!$A:$A,0))</f>
        <v>4.6294175975068628</v>
      </c>
      <c r="BR512" s="269">
        <f>INDEX('App Data Outliers'!$S:$S,MATCH($E512,'App Data Outliers'!$A:$A,0))</f>
        <v>3.9162224934612029</v>
      </c>
      <c r="BS512" s="269">
        <f>INDEX('App Data Outliers'!$T:$T,MATCH($E512,'App Data Outliers'!$A:$A,0))</f>
        <v>1.1499528005502413</v>
      </c>
    </row>
    <row r="513" spans="1:71" s="204" customFormat="1" hidden="1">
      <c r="A513" s="241">
        <v>509</v>
      </c>
      <c r="B513" s="241" t="str">
        <f t="shared" si="91"/>
        <v>Residential - BHPSD - Residential Lighting &amp; Appliances</v>
      </c>
      <c r="C513" s="241" t="b">
        <f t="shared" si="92"/>
        <v>1</v>
      </c>
      <c r="D513" s="241" t="str">
        <f t="shared" si="93"/>
        <v>Residential - BHPSD - Residential Lighting &amp; Appliances_Residential Lighting &amp; Appliances :- LED :- Customer Incentives_LED</v>
      </c>
      <c r="E513" s="241" t="str">
        <f t="shared" si="94"/>
        <v>Residential_Residential Lighting_Lighting_LED</v>
      </c>
      <c r="F513" s="241" t="str">
        <f>INDEX('VDSM MAPPING'!E:E,MATCH($D513,'VDSM MAPPING'!$A:$A,0))</f>
        <v>Residential</v>
      </c>
      <c r="G513" s="241" t="str">
        <f>INDEX('VDSM MAPPING'!F:F,MATCH($D513,'VDSM MAPPING'!$A:$A,0))</f>
        <v>Residential Lighting</v>
      </c>
      <c r="H513" s="241" t="str">
        <f>INDEX('VDSM MAPPING'!G:G,MATCH($D513,'VDSM MAPPING'!$A:$A,0))</f>
        <v>Lighting</v>
      </c>
      <c r="I513" s="241" t="str">
        <f>INDEX('VDSM MAPPING'!H:H,MATCH($D513,'VDSM MAPPING'!$A:$A,0))</f>
        <v>LED</v>
      </c>
      <c r="J513" s="240">
        <f t="shared" si="95"/>
        <v>1.3834006137286521</v>
      </c>
      <c r="K513" s="240">
        <f t="shared" si="96"/>
        <v>0.94245390421260777</v>
      </c>
      <c r="L513" s="240" t="b">
        <f t="shared" si="97"/>
        <v>0</v>
      </c>
      <c r="M513" s="240" t="b">
        <f t="shared" si="98"/>
        <v>0</v>
      </c>
      <c r="N513" s="204" t="s">
        <v>289</v>
      </c>
      <c r="O513" s="204" t="s">
        <v>919</v>
      </c>
      <c r="P513" s="350">
        <v>1</v>
      </c>
      <c r="Q513" s="204" t="s">
        <v>919</v>
      </c>
      <c r="R513" s="204" t="s">
        <v>918</v>
      </c>
      <c r="S513" s="204" t="s">
        <v>917</v>
      </c>
      <c r="T513" s="204" t="s">
        <v>916</v>
      </c>
      <c r="V513" s="204" t="s">
        <v>915</v>
      </c>
      <c r="W513" s="204" t="s">
        <v>329</v>
      </c>
      <c r="X513" s="204" t="s">
        <v>297</v>
      </c>
      <c r="Y513" s="204" t="s">
        <v>397</v>
      </c>
      <c r="Z513" s="204" t="s">
        <v>914</v>
      </c>
      <c r="AA513" s="204" t="s">
        <v>913</v>
      </c>
      <c r="AB513" s="204" t="s">
        <v>329</v>
      </c>
      <c r="AC513" s="204" t="s">
        <v>297</v>
      </c>
      <c r="AD513" s="204" t="s">
        <v>397</v>
      </c>
      <c r="AE513" s="204" t="s">
        <v>912</v>
      </c>
      <c r="AG513" s="204" t="s">
        <v>791</v>
      </c>
      <c r="AH513" s="204" t="s">
        <v>151</v>
      </c>
      <c r="AV513" s="204" t="s">
        <v>911</v>
      </c>
      <c r="AX513" s="204">
        <v>5</v>
      </c>
      <c r="AY513" s="204">
        <v>0</v>
      </c>
      <c r="AZ513" s="204">
        <v>2.2499999999999999E-2</v>
      </c>
      <c r="BB513" s="204">
        <v>191.58500000000001</v>
      </c>
      <c r="BH513" s="204">
        <v>0</v>
      </c>
      <c r="BI513" s="204">
        <v>25</v>
      </c>
      <c r="BJ513" s="204">
        <v>42968</v>
      </c>
      <c r="BK513" s="204">
        <v>42968.821885451398</v>
      </c>
      <c r="BL513" s="204" t="s">
        <v>293</v>
      </c>
      <c r="BM513" s="204" t="s">
        <v>910</v>
      </c>
      <c r="BN513" s="242">
        <f t="shared" si="99"/>
        <v>38.317</v>
      </c>
      <c r="BO513" s="269">
        <f t="shared" si="100"/>
        <v>5</v>
      </c>
      <c r="BP513" s="269">
        <f>INDEX('App Data Outliers'!$M:$M,MATCH($E513,'App Data Outliers'!$A:$A,0))</f>
        <v>31.912660854402784</v>
      </c>
      <c r="BQ513" s="269">
        <f>INDEX('App Data Outliers'!$N:$N,MATCH($E513,'App Data Outliers'!$A:$A,0))</f>
        <v>4.6294175975068628</v>
      </c>
      <c r="BR513" s="269">
        <f>INDEX('App Data Outliers'!$S:$S,MATCH($E513,'App Data Outliers'!$A:$A,0))</f>
        <v>3.9162224934612029</v>
      </c>
      <c r="BS513" s="269">
        <f>INDEX('App Data Outliers'!$T:$T,MATCH($E513,'App Data Outliers'!$A:$A,0))</f>
        <v>1.1499528005502413</v>
      </c>
    </row>
    <row r="514" spans="1:71" s="204" customFormat="1" hidden="1">
      <c r="A514" s="241">
        <v>510</v>
      </c>
      <c r="B514" s="241" t="str">
        <f t="shared" si="91"/>
        <v>Residential - BHPSD - Residential Lighting &amp; Appliances</v>
      </c>
      <c r="C514" s="241" t="b">
        <f t="shared" si="92"/>
        <v>1</v>
      </c>
      <c r="D514" s="241" t="str">
        <f t="shared" si="93"/>
        <v>Residential - BHPSD - Residential Lighting &amp; Appliances_Residential Lighting &amp; Appliances :- LED :- Customer Incentives_LED</v>
      </c>
      <c r="E514" s="241" t="str">
        <f t="shared" si="94"/>
        <v>Residential_Residential Lighting_Lighting_LED</v>
      </c>
      <c r="F514" s="241" t="str">
        <f>INDEX('VDSM MAPPING'!E:E,MATCH($D514,'VDSM MAPPING'!$A:$A,0))</f>
        <v>Residential</v>
      </c>
      <c r="G514" s="241" t="str">
        <f>INDEX('VDSM MAPPING'!F:F,MATCH($D514,'VDSM MAPPING'!$A:$A,0))</f>
        <v>Residential Lighting</v>
      </c>
      <c r="H514" s="241" t="str">
        <f>INDEX('VDSM MAPPING'!G:G,MATCH($D514,'VDSM MAPPING'!$A:$A,0))</f>
        <v>Lighting</v>
      </c>
      <c r="I514" s="241" t="str">
        <f>INDEX('VDSM MAPPING'!H:H,MATCH($D514,'VDSM MAPPING'!$A:$A,0))</f>
        <v>LED</v>
      </c>
      <c r="J514" s="240">
        <f t="shared" si="95"/>
        <v>-1.6660110460884709</v>
      </c>
      <c r="K514" s="240">
        <f t="shared" si="96"/>
        <v>-1.8663570299878887</v>
      </c>
      <c r="L514" s="240" t="b">
        <f t="shared" si="97"/>
        <v>0</v>
      </c>
      <c r="M514" s="240" t="b">
        <f t="shared" si="98"/>
        <v>0</v>
      </c>
      <c r="N514" s="204" t="s">
        <v>289</v>
      </c>
      <c r="O514" s="204" t="s">
        <v>909</v>
      </c>
      <c r="P514" s="350">
        <v>1</v>
      </c>
      <c r="Q514" s="204" t="s">
        <v>909</v>
      </c>
      <c r="R514" s="204" t="s">
        <v>908</v>
      </c>
      <c r="S514" s="204" t="s">
        <v>907</v>
      </c>
      <c r="T514" s="204" t="s">
        <v>906</v>
      </c>
      <c r="V514" s="204" t="s">
        <v>905</v>
      </c>
      <c r="W514" s="204" t="s">
        <v>337</v>
      </c>
      <c r="X514" s="204" t="s">
        <v>297</v>
      </c>
      <c r="Y514" s="204" t="s">
        <v>336</v>
      </c>
      <c r="AA514" s="204" t="s">
        <v>904</v>
      </c>
      <c r="AB514" s="204" t="s">
        <v>337</v>
      </c>
      <c r="AC514" s="204" t="s">
        <v>297</v>
      </c>
      <c r="AD514" s="204" t="s">
        <v>336</v>
      </c>
      <c r="AG514" s="204" t="s">
        <v>791</v>
      </c>
      <c r="AH514" s="204" t="s">
        <v>151</v>
      </c>
      <c r="AV514" s="204" t="s">
        <v>903</v>
      </c>
      <c r="AX514" s="204">
        <v>6</v>
      </c>
      <c r="AY514" s="204">
        <v>0</v>
      </c>
      <c r="AZ514" s="204">
        <v>1.6799999999999999E-2</v>
      </c>
      <c r="BB514" s="204">
        <v>145.19999999999999</v>
      </c>
      <c r="BH514" s="204">
        <v>0</v>
      </c>
      <c r="BI514" s="204">
        <v>10.62</v>
      </c>
      <c r="BJ514" s="204">
        <v>42969</v>
      </c>
      <c r="BK514" s="204">
        <v>42969.619902048602</v>
      </c>
      <c r="BL514" s="204" t="s">
        <v>293</v>
      </c>
      <c r="BM514" s="204" t="s">
        <v>902</v>
      </c>
      <c r="BN514" s="242">
        <f t="shared" si="99"/>
        <v>24.2</v>
      </c>
      <c r="BO514" s="269">
        <f t="shared" si="100"/>
        <v>1.7699999999999998</v>
      </c>
      <c r="BP514" s="269">
        <f>INDEX('App Data Outliers'!$M:$M,MATCH($E514,'App Data Outliers'!$A:$A,0))</f>
        <v>31.912660854402784</v>
      </c>
      <c r="BQ514" s="269">
        <f>INDEX('App Data Outliers'!$N:$N,MATCH($E514,'App Data Outliers'!$A:$A,0))</f>
        <v>4.6294175975068628</v>
      </c>
      <c r="BR514" s="269">
        <f>INDEX('App Data Outliers'!$S:$S,MATCH($E514,'App Data Outliers'!$A:$A,0))</f>
        <v>3.9162224934612029</v>
      </c>
      <c r="BS514" s="269">
        <f>INDEX('App Data Outliers'!$T:$T,MATCH($E514,'App Data Outliers'!$A:$A,0))</f>
        <v>1.1499528005502413</v>
      </c>
    </row>
    <row r="515" spans="1:71" s="204" customFormat="1" hidden="1">
      <c r="A515" s="241">
        <v>511</v>
      </c>
      <c r="B515" s="241" t="str">
        <f t="shared" si="91"/>
        <v>Residential - BHPSD - Residential Lighting &amp; Appliances</v>
      </c>
      <c r="C515" s="241" t="b">
        <f t="shared" si="92"/>
        <v>1</v>
      </c>
      <c r="D515" s="241" t="str">
        <f t="shared" si="93"/>
        <v>Residential - BHPSD - Residential Lighting &amp; Appliances_Residential Lighting &amp; Appliances :- ES Star Fixture :- Customer Incentives_ENERGY STAR LED Fixture</v>
      </c>
      <c r="E515" s="241" t="str">
        <f t="shared" si="94"/>
        <v>Residential_Residential Lighting_Lighting_ENERGY STAR Fixture</v>
      </c>
      <c r="F515" s="241" t="str">
        <f>INDEX('VDSM MAPPING'!E:E,MATCH($D515,'VDSM MAPPING'!$A:$A,0))</f>
        <v>Residential</v>
      </c>
      <c r="G515" s="241" t="str">
        <f>INDEX('VDSM MAPPING'!F:F,MATCH($D515,'VDSM MAPPING'!$A:$A,0))</f>
        <v>Residential Lighting</v>
      </c>
      <c r="H515" s="241" t="str">
        <f>INDEX('VDSM MAPPING'!G:G,MATCH($D515,'VDSM MAPPING'!$A:$A,0))</f>
        <v>Lighting</v>
      </c>
      <c r="I515" s="241" t="str">
        <f>INDEX('VDSM MAPPING'!H:H,MATCH($D515,'VDSM MAPPING'!$A:$A,0))</f>
        <v>ENERGY STAR Fixture</v>
      </c>
      <c r="J515" s="240">
        <f t="shared" si="95"/>
        <v>5.1646827136104793E-2</v>
      </c>
      <c r="K515" s="240">
        <f t="shared" si="96"/>
        <v>0.4214787522569125</v>
      </c>
      <c r="L515" s="240" t="b">
        <f t="shared" si="97"/>
        <v>0</v>
      </c>
      <c r="M515" s="240" t="b">
        <f t="shared" si="98"/>
        <v>0</v>
      </c>
      <c r="N515" s="204" t="s">
        <v>289</v>
      </c>
      <c r="O515" s="204" t="s">
        <v>901</v>
      </c>
      <c r="P515" s="350">
        <v>1</v>
      </c>
      <c r="Q515" s="204" t="s">
        <v>901</v>
      </c>
      <c r="R515" s="204" t="s">
        <v>900</v>
      </c>
      <c r="S515" s="204" t="s">
        <v>899</v>
      </c>
      <c r="T515" s="204" t="s">
        <v>898</v>
      </c>
      <c r="U515" s="204" t="s">
        <v>897</v>
      </c>
      <c r="V515" s="204" t="s">
        <v>896</v>
      </c>
      <c r="W515" s="204" t="s">
        <v>329</v>
      </c>
      <c r="X515" s="204" t="s">
        <v>297</v>
      </c>
      <c r="Y515" s="204" t="s">
        <v>397</v>
      </c>
      <c r="Z515" s="204" t="s">
        <v>601</v>
      </c>
      <c r="AA515" s="204" t="s">
        <v>600</v>
      </c>
      <c r="AB515" s="204" t="s">
        <v>329</v>
      </c>
      <c r="AC515" s="204" t="s">
        <v>297</v>
      </c>
      <c r="AD515" s="204" t="s">
        <v>599</v>
      </c>
      <c r="AE515" s="204" t="s">
        <v>598</v>
      </c>
      <c r="AG515" s="204" t="s">
        <v>895</v>
      </c>
      <c r="AH515" s="204" t="s">
        <v>150</v>
      </c>
      <c r="AV515" s="204" t="s">
        <v>894</v>
      </c>
      <c r="AX515" s="204">
        <v>5</v>
      </c>
      <c r="AY515" s="204">
        <v>0</v>
      </c>
      <c r="AZ515" s="204">
        <v>2.1999999999999999E-2</v>
      </c>
      <c r="BB515" s="204">
        <v>189.065</v>
      </c>
      <c r="BH515" s="204">
        <v>0</v>
      </c>
      <c r="BI515" s="204">
        <v>50</v>
      </c>
      <c r="BJ515" s="204">
        <v>42970</v>
      </c>
      <c r="BK515" s="204">
        <v>42970.719258680598</v>
      </c>
      <c r="BL515" s="204" t="s">
        <v>293</v>
      </c>
      <c r="BM515" s="204" t="s">
        <v>893</v>
      </c>
      <c r="BN515" s="242">
        <f t="shared" si="99"/>
        <v>37.813000000000002</v>
      </c>
      <c r="BO515" s="269">
        <f t="shared" si="100"/>
        <v>10</v>
      </c>
      <c r="BP515" s="269">
        <f>INDEX('App Data Outliers'!$M:$M,MATCH($E515,'App Data Outliers'!$A:$A,0))</f>
        <v>35.519370843989762</v>
      </c>
      <c r="BQ515" s="269">
        <f>INDEX('App Data Outliers'!$N:$N,MATCH($E515,'App Data Outliers'!$A:$A,0))</f>
        <v>44.409875363027503</v>
      </c>
      <c r="BR515" s="269">
        <f>INDEX('App Data Outliers'!$S:$S,MATCH($E515,'App Data Outliers'!$A:$A,0))</f>
        <v>9.3048337595907924</v>
      </c>
      <c r="BS515" s="269">
        <f>INDEX('App Data Outliers'!$T:$T,MATCH($E515,'App Data Outliers'!$A:$A,0))</f>
        <v>1.6493506177636894</v>
      </c>
    </row>
    <row r="516" spans="1:71" s="204" customFormat="1" hidden="1">
      <c r="A516" s="241">
        <v>512</v>
      </c>
      <c r="B516" s="241" t="str">
        <f t="shared" si="91"/>
        <v>Residential - BHPSD - Residential Lighting &amp; Appliances</v>
      </c>
      <c r="C516" s="241" t="b">
        <f t="shared" si="92"/>
        <v>1</v>
      </c>
      <c r="D516" s="241" t="str">
        <f t="shared" si="93"/>
        <v>Residential - BHPSD - Residential Lighting &amp; Appliances_Residential Lighting &amp; Appliances :- LED :- Customer Incentives_LED</v>
      </c>
      <c r="E516" s="241" t="str">
        <f t="shared" si="94"/>
        <v>Residential_Residential Lighting_Lighting_LED</v>
      </c>
      <c r="F516" s="241" t="str">
        <f>INDEX('VDSM MAPPING'!E:E,MATCH($D516,'VDSM MAPPING'!$A:$A,0))</f>
        <v>Residential</v>
      </c>
      <c r="G516" s="241" t="str">
        <f>INDEX('VDSM MAPPING'!F:F,MATCH($D516,'VDSM MAPPING'!$A:$A,0))</f>
        <v>Residential Lighting</v>
      </c>
      <c r="H516" s="241" t="str">
        <f>INDEX('VDSM MAPPING'!G:G,MATCH($D516,'VDSM MAPPING'!$A:$A,0))</f>
        <v>Lighting</v>
      </c>
      <c r="I516" s="241" t="str">
        <f>INDEX('VDSM MAPPING'!H:H,MATCH($D516,'VDSM MAPPING'!$A:$A,0))</f>
        <v>LED</v>
      </c>
      <c r="J516" s="240">
        <f t="shared" si="95"/>
        <v>0.40336372907962731</v>
      </c>
      <c r="K516" s="240">
        <f t="shared" si="96"/>
        <v>-0.84022795805086481</v>
      </c>
      <c r="L516" s="240" t="b">
        <f t="shared" si="97"/>
        <v>0</v>
      </c>
      <c r="M516" s="240" t="b">
        <f t="shared" si="98"/>
        <v>0</v>
      </c>
      <c r="N516" s="204" t="s">
        <v>289</v>
      </c>
      <c r="O516" s="204" t="s">
        <v>890</v>
      </c>
      <c r="P516" s="350">
        <v>1</v>
      </c>
      <c r="Q516" s="204" t="s">
        <v>890</v>
      </c>
      <c r="R516" s="204" t="s">
        <v>889</v>
      </c>
      <c r="S516" s="204" t="s">
        <v>888</v>
      </c>
      <c r="T516" s="204" t="s">
        <v>887</v>
      </c>
      <c r="V516" s="204" t="s">
        <v>886</v>
      </c>
      <c r="W516" s="204" t="s">
        <v>329</v>
      </c>
      <c r="X516" s="204" t="s">
        <v>297</v>
      </c>
      <c r="Y516" s="204" t="s">
        <v>328</v>
      </c>
      <c r="Z516" s="204" t="s">
        <v>601</v>
      </c>
      <c r="AA516" s="204" t="s">
        <v>600</v>
      </c>
      <c r="AB516" s="204" t="s">
        <v>329</v>
      </c>
      <c r="AC516" s="204" t="s">
        <v>297</v>
      </c>
      <c r="AD516" s="204" t="s">
        <v>599</v>
      </c>
      <c r="AE516" s="204" t="s">
        <v>598</v>
      </c>
      <c r="AG516" s="204" t="s">
        <v>791</v>
      </c>
      <c r="AH516" s="204" t="s">
        <v>151</v>
      </c>
      <c r="AX516" s="204">
        <v>4</v>
      </c>
      <c r="AY516" s="204">
        <v>0</v>
      </c>
      <c r="AZ516" s="204">
        <v>1.6E-2</v>
      </c>
      <c r="BB516" s="204">
        <v>135.12</v>
      </c>
      <c r="BH516" s="204">
        <v>0</v>
      </c>
      <c r="BI516" s="204">
        <v>11.8</v>
      </c>
      <c r="BJ516" s="204">
        <v>42971</v>
      </c>
      <c r="BK516" s="204">
        <v>42971.450761608801</v>
      </c>
      <c r="BL516" s="204" t="s">
        <v>293</v>
      </c>
      <c r="BM516" s="204" t="s">
        <v>891</v>
      </c>
      <c r="BN516" s="242">
        <f t="shared" si="99"/>
        <v>33.78</v>
      </c>
      <c r="BO516" s="269">
        <f t="shared" si="100"/>
        <v>2.95</v>
      </c>
      <c r="BP516" s="269">
        <f>INDEX('App Data Outliers'!$M:$M,MATCH($E516,'App Data Outliers'!$A:$A,0))</f>
        <v>31.912660854402784</v>
      </c>
      <c r="BQ516" s="269">
        <f>INDEX('App Data Outliers'!$N:$N,MATCH($E516,'App Data Outliers'!$A:$A,0))</f>
        <v>4.6294175975068628</v>
      </c>
      <c r="BR516" s="269">
        <f>INDEX('App Data Outliers'!$S:$S,MATCH($E516,'App Data Outliers'!$A:$A,0))</f>
        <v>3.9162224934612029</v>
      </c>
      <c r="BS516" s="269">
        <f>INDEX('App Data Outliers'!$T:$T,MATCH($E516,'App Data Outliers'!$A:$A,0))</f>
        <v>1.1499528005502413</v>
      </c>
    </row>
    <row r="517" spans="1:71" s="204" customFormat="1" hidden="1">
      <c r="A517" s="241">
        <v>513</v>
      </c>
      <c r="B517" s="241" t="str">
        <f t="shared" ref="B517:B580" si="101">IF(N517="",B516,N517)</f>
        <v>Residential - BHPSD - Residential Lighting &amp; Appliances</v>
      </c>
      <c r="C517" s="241" t="b">
        <f t="shared" ref="C517:C580" si="102">(N517="")</f>
        <v>1</v>
      </c>
      <c r="D517" s="241" t="str">
        <f t="shared" ref="D517:D580" si="103">B517&amp;"_"&amp;AG517&amp;"_"&amp;AH517</f>
        <v>Residential - BHPSD - Residential Lighting &amp; Appliances_Residential Lighting &amp; Appliances :- LED :- Customer Incentives_LED</v>
      </c>
      <c r="E517" s="241" t="str">
        <f t="shared" ref="E517:E580" si="104">IFERROR(F517&amp;"_"&amp;G517&amp;"_"&amp;H517&amp;"_"&amp;I517,0)</f>
        <v>Residential_Residential Lighting_Lighting_LED</v>
      </c>
      <c r="F517" s="241" t="str">
        <f>INDEX('VDSM MAPPING'!E:E,MATCH($D517,'VDSM MAPPING'!$A:$A,0))</f>
        <v>Residential</v>
      </c>
      <c r="G517" s="241" t="str">
        <f>INDEX('VDSM MAPPING'!F:F,MATCH($D517,'VDSM MAPPING'!$A:$A,0))</f>
        <v>Residential Lighting</v>
      </c>
      <c r="H517" s="241" t="str">
        <f>INDEX('VDSM MAPPING'!G:G,MATCH($D517,'VDSM MAPPING'!$A:$A,0))</f>
        <v>Lighting</v>
      </c>
      <c r="I517" s="241" t="str">
        <f>INDEX('VDSM MAPPING'!H:H,MATCH($D517,'VDSM MAPPING'!$A:$A,0))</f>
        <v>LED</v>
      </c>
      <c r="J517" s="240">
        <f t="shared" si="95"/>
        <v>-1.7748800321724707</v>
      </c>
      <c r="K517" s="240">
        <f t="shared" si="96"/>
        <v>-1.1880683214193477</v>
      </c>
      <c r="L517" s="240" t="b">
        <f t="shared" si="97"/>
        <v>0</v>
      </c>
      <c r="M517" s="240" t="b">
        <f t="shared" si="98"/>
        <v>0</v>
      </c>
      <c r="N517" s="204" t="s">
        <v>289</v>
      </c>
      <c r="O517" s="204" t="s">
        <v>890</v>
      </c>
      <c r="P517" s="350">
        <v>0</v>
      </c>
      <c r="Q517" s="204" t="s">
        <v>890</v>
      </c>
      <c r="R517" s="204" t="s">
        <v>889</v>
      </c>
      <c r="S517" s="204" t="s">
        <v>888</v>
      </c>
      <c r="T517" s="204" t="s">
        <v>887</v>
      </c>
      <c r="V517" s="204" t="s">
        <v>886</v>
      </c>
      <c r="W517" s="204" t="s">
        <v>329</v>
      </c>
      <c r="X517" s="204" t="s">
        <v>297</v>
      </c>
      <c r="Y517" s="204" t="s">
        <v>328</v>
      </c>
      <c r="Z517" s="204" t="s">
        <v>601</v>
      </c>
      <c r="AA517" s="204" t="s">
        <v>600</v>
      </c>
      <c r="AB517" s="204" t="s">
        <v>329</v>
      </c>
      <c r="AC517" s="204" t="s">
        <v>297</v>
      </c>
      <c r="AD517" s="204" t="s">
        <v>599</v>
      </c>
      <c r="AE517" s="204" t="s">
        <v>598</v>
      </c>
      <c r="AG517" s="204" t="s">
        <v>791</v>
      </c>
      <c r="AH517" s="204" t="s">
        <v>151</v>
      </c>
      <c r="AX517" s="204">
        <v>2</v>
      </c>
      <c r="AY517" s="204">
        <v>0</v>
      </c>
      <c r="AZ517" s="204">
        <v>5.5999999999999999E-3</v>
      </c>
      <c r="BB517" s="204">
        <v>47.392000000000003</v>
      </c>
      <c r="BH517" s="204">
        <v>0</v>
      </c>
      <c r="BI517" s="204">
        <v>5.0999999999999996</v>
      </c>
      <c r="BJ517" s="204">
        <v>42971</v>
      </c>
      <c r="BK517" s="204">
        <v>42971.450761608801</v>
      </c>
      <c r="BL517" s="204" t="s">
        <v>293</v>
      </c>
      <c r="BM517" s="204" t="s">
        <v>892</v>
      </c>
      <c r="BN517" s="242">
        <f t="shared" si="99"/>
        <v>23.696000000000002</v>
      </c>
      <c r="BO517" s="269">
        <f t="shared" si="100"/>
        <v>2.5499999999999998</v>
      </c>
      <c r="BP517" s="269">
        <f>INDEX('App Data Outliers'!$M:$M,MATCH($E517,'App Data Outliers'!$A:$A,0))</f>
        <v>31.912660854402784</v>
      </c>
      <c r="BQ517" s="269">
        <f>INDEX('App Data Outliers'!$N:$N,MATCH($E517,'App Data Outliers'!$A:$A,0))</f>
        <v>4.6294175975068628</v>
      </c>
      <c r="BR517" s="269">
        <f>INDEX('App Data Outliers'!$S:$S,MATCH($E517,'App Data Outliers'!$A:$A,0))</f>
        <v>3.9162224934612029</v>
      </c>
      <c r="BS517" s="269">
        <f>INDEX('App Data Outliers'!$T:$T,MATCH($E517,'App Data Outliers'!$A:$A,0))</f>
        <v>1.1499528005502413</v>
      </c>
    </row>
    <row r="518" spans="1:71" s="204" customFormat="1" hidden="1">
      <c r="A518" s="241">
        <v>514</v>
      </c>
      <c r="B518" s="241" t="str">
        <f t="shared" si="101"/>
        <v>Residential - BHPSD - Residential Lighting &amp; Appliances</v>
      </c>
      <c r="C518" s="241" t="b">
        <f t="shared" si="102"/>
        <v>1</v>
      </c>
      <c r="D518" s="241" t="str">
        <f t="shared" si="103"/>
        <v>Residential - BHPSD - Residential Lighting &amp; Appliances_Residential Lighting &amp; Appliances :- LED :- Customer Incentives_LED</v>
      </c>
      <c r="E518" s="241" t="str">
        <f t="shared" si="104"/>
        <v>Residential_Residential Lighting_Lighting_LED</v>
      </c>
      <c r="F518" s="241" t="str">
        <f>INDEX('VDSM MAPPING'!E:E,MATCH($D518,'VDSM MAPPING'!$A:$A,0))</f>
        <v>Residential</v>
      </c>
      <c r="G518" s="241" t="str">
        <f>INDEX('VDSM MAPPING'!F:F,MATCH($D518,'VDSM MAPPING'!$A:$A,0))</f>
        <v>Residential Lighting</v>
      </c>
      <c r="H518" s="241" t="str">
        <f>INDEX('VDSM MAPPING'!G:G,MATCH($D518,'VDSM MAPPING'!$A:$A,0))</f>
        <v>Lighting</v>
      </c>
      <c r="I518" s="241" t="str">
        <f>INDEX('VDSM MAPPING'!H:H,MATCH($D518,'VDSM MAPPING'!$A:$A,0))</f>
        <v>LED</v>
      </c>
      <c r="J518" s="240">
        <f t="shared" ref="J518:J581" si="105">IFERROR(STANDARDIZE(BN518,BP518,BQ518),"")</f>
        <v>0.6211017012476282</v>
      </c>
      <c r="K518" s="240">
        <f t="shared" ref="K518:K581" si="106">IFERROR(STANDARDIZE($BO518,$BR518,$BS518),"")</f>
        <v>7.2852995791401517E-2</v>
      </c>
      <c r="L518" s="240" t="b">
        <f t="shared" ref="L518:L581" si="107">AND(ISNUMBER(J518),OR(J518&gt;=L$1,J518&lt;=-L$1))</f>
        <v>0</v>
      </c>
      <c r="M518" s="240" t="b">
        <f t="shared" ref="M518:M581" si="108">AND(ISNUMBER(K518),OR(K518&gt;=M$1,K518&lt;=-M$1))</f>
        <v>0</v>
      </c>
      <c r="N518" s="204" t="s">
        <v>289</v>
      </c>
      <c r="O518" s="204" t="s">
        <v>890</v>
      </c>
      <c r="P518" s="350">
        <v>0</v>
      </c>
      <c r="Q518" s="204" t="s">
        <v>890</v>
      </c>
      <c r="R518" s="204" t="s">
        <v>889</v>
      </c>
      <c r="S518" s="204" t="s">
        <v>888</v>
      </c>
      <c r="T518" s="204" t="s">
        <v>887</v>
      </c>
      <c r="V518" s="204" t="s">
        <v>886</v>
      </c>
      <c r="W518" s="204" t="s">
        <v>329</v>
      </c>
      <c r="X518" s="204" t="s">
        <v>297</v>
      </c>
      <c r="Y518" s="204" t="s">
        <v>328</v>
      </c>
      <c r="Z518" s="204" t="s">
        <v>601</v>
      </c>
      <c r="AA518" s="204" t="s">
        <v>600</v>
      </c>
      <c r="AB518" s="204" t="s">
        <v>329</v>
      </c>
      <c r="AC518" s="204" t="s">
        <v>297</v>
      </c>
      <c r="AD518" s="204" t="s">
        <v>599</v>
      </c>
      <c r="AE518" s="204" t="s">
        <v>598</v>
      </c>
      <c r="AG518" s="204" t="s">
        <v>791</v>
      </c>
      <c r="AH518" s="204" t="s">
        <v>151</v>
      </c>
      <c r="AX518" s="204">
        <v>12</v>
      </c>
      <c r="AY518" s="204">
        <v>0</v>
      </c>
      <c r="AZ518" s="204">
        <v>4.9200000000000001E-2</v>
      </c>
      <c r="BB518" s="204">
        <v>417.45600000000002</v>
      </c>
      <c r="BH518" s="204">
        <v>0</v>
      </c>
      <c r="BI518" s="204">
        <v>48</v>
      </c>
      <c r="BJ518" s="204">
        <v>42971</v>
      </c>
      <c r="BK518" s="204">
        <v>42971.450761608801</v>
      </c>
      <c r="BL518" s="204" t="s">
        <v>293</v>
      </c>
      <c r="BM518" s="204" t="s">
        <v>885</v>
      </c>
      <c r="BN518" s="242">
        <f t="shared" ref="BN518:BN581" si="109">IFERROR(BB518/$AX518,"")</f>
        <v>34.788000000000004</v>
      </c>
      <c r="BO518" s="269">
        <f t="shared" ref="BO518:BO581" si="110">BI518/$AX518</f>
        <v>4</v>
      </c>
      <c r="BP518" s="269">
        <f>INDEX('App Data Outliers'!$M:$M,MATCH($E518,'App Data Outliers'!$A:$A,0))</f>
        <v>31.912660854402784</v>
      </c>
      <c r="BQ518" s="269">
        <f>INDEX('App Data Outliers'!$N:$N,MATCH($E518,'App Data Outliers'!$A:$A,0))</f>
        <v>4.6294175975068628</v>
      </c>
      <c r="BR518" s="269">
        <f>INDEX('App Data Outliers'!$S:$S,MATCH($E518,'App Data Outliers'!$A:$A,0))</f>
        <v>3.9162224934612029</v>
      </c>
      <c r="BS518" s="269">
        <f>INDEX('App Data Outliers'!$T:$T,MATCH($E518,'App Data Outliers'!$A:$A,0))</f>
        <v>1.1499528005502413</v>
      </c>
    </row>
    <row r="519" spans="1:71" s="204" customFormat="1" hidden="1">
      <c r="A519" s="241">
        <v>515</v>
      </c>
      <c r="B519" s="241" t="str">
        <f t="shared" si="101"/>
        <v>Residential - BHPSD - Residential Lighting &amp; Appliances</v>
      </c>
      <c r="C519" s="241" t="b">
        <f t="shared" si="102"/>
        <v>1</v>
      </c>
      <c r="D519" s="241" t="str">
        <f t="shared" si="103"/>
        <v>Residential - BHPSD - Residential Lighting &amp; Appliances_Residential Lighting &amp; Appliances :- LED :- Customer Incentives_LED</v>
      </c>
      <c r="E519" s="241" t="str">
        <f t="shared" si="104"/>
        <v>Residential_Residential Lighting_Lighting_LED</v>
      </c>
      <c r="F519" s="241" t="str">
        <f>INDEX('VDSM MAPPING'!E:E,MATCH($D519,'VDSM MAPPING'!$A:$A,0))</f>
        <v>Residential</v>
      </c>
      <c r="G519" s="241" t="str">
        <f>INDEX('VDSM MAPPING'!F:F,MATCH($D519,'VDSM MAPPING'!$A:$A,0))</f>
        <v>Residential Lighting</v>
      </c>
      <c r="H519" s="241" t="str">
        <f>INDEX('VDSM MAPPING'!G:G,MATCH($D519,'VDSM MAPPING'!$A:$A,0))</f>
        <v>Lighting</v>
      </c>
      <c r="I519" s="241" t="str">
        <f>INDEX('VDSM MAPPING'!H:H,MATCH($D519,'VDSM MAPPING'!$A:$A,0))</f>
        <v>LED</v>
      </c>
      <c r="J519" s="240">
        <f t="shared" si="105"/>
        <v>0.51223271516362701</v>
      </c>
      <c r="K519" s="240">
        <f t="shared" si="106"/>
        <v>-2.109845284345826</v>
      </c>
      <c r="L519" s="240" t="b">
        <f t="shared" si="107"/>
        <v>0</v>
      </c>
      <c r="M519" s="240" t="b">
        <f t="shared" si="108"/>
        <v>1</v>
      </c>
      <c r="N519" s="204" t="s">
        <v>289</v>
      </c>
      <c r="O519" s="204" t="s">
        <v>882</v>
      </c>
      <c r="P519" s="350">
        <v>1</v>
      </c>
      <c r="Q519" s="204" t="s">
        <v>882</v>
      </c>
      <c r="R519" s="204" t="s">
        <v>881</v>
      </c>
      <c r="S519" s="204" t="s">
        <v>880</v>
      </c>
      <c r="T519" s="204" t="s">
        <v>879</v>
      </c>
      <c r="V519" s="204" t="s">
        <v>878</v>
      </c>
      <c r="W519" s="204" t="s">
        <v>329</v>
      </c>
      <c r="X519" s="204" t="s">
        <v>297</v>
      </c>
      <c r="Y519" s="204" t="s">
        <v>328</v>
      </c>
      <c r="Z519" s="204" t="s">
        <v>850</v>
      </c>
      <c r="AA519" s="204" t="s">
        <v>849</v>
      </c>
      <c r="AB519" s="204" t="s">
        <v>329</v>
      </c>
      <c r="AC519" s="204" t="s">
        <v>297</v>
      </c>
      <c r="AD519" s="204" t="s">
        <v>848</v>
      </c>
      <c r="AE519" s="204" t="s">
        <v>847</v>
      </c>
      <c r="AG519" s="204" t="s">
        <v>791</v>
      </c>
      <c r="AH519" s="204" t="s">
        <v>151</v>
      </c>
      <c r="AV519" s="204" t="s">
        <v>884</v>
      </c>
      <c r="AX519" s="204">
        <v>6</v>
      </c>
      <c r="AY519" s="204">
        <v>0</v>
      </c>
      <c r="AZ519" s="204">
        <v>2.4E-2</v>
      </c>
      <c r="BB519" s="204">
        <v>205.70400000000001</v>
      </c>
      <c r="BH519" s="204">
        <v>0</v>
      </c>
      <c r="BI519" s="204">
        <v>8.94</v>
      </c>
      <c r="BJ519" s="204">
        <v>42971</v>
      </c>
      <c r="BK519" s="204">
        <v>42971.557341747699</v>
      </c>
      <c r="BL519" s="204" t="s">
        <v>293</v>
      </c>
      <c r="BM519" s="204" t="s">
        <v>883</v>
      </c>
      <c r="BN519" s="242">
        <f t="shared" si="109"/>
        <v>34.283999999999999</v>
      </c>
      <c r="BO519" s="269">
        <f t="shared" si="110"/>
        <v>1.49</v>
      </c>
      <c r="BP519" s="269">
        <f>INDEX('App Data Outliers'!$M:$M,MATCH($E519,'App Data Outliers'!$A:$A,0))</f>
        <v>31.912660854402784</v>
      </c>
      <c r="BQ519" s="269">
        <f>INDEX('App Data Outliers'!$N:$N,MATCH($E519,'App Data Outliers'!$A:$A,0))</f>
        <v>4.6294175975068628</v>
      </c>
      <c r="BR519" s="269">
        <f>INDEX('App Data Outliers'!$S:$S,MATCH($E519,'App Data Outliers'!$A:$A,0))</f>
        <v>3.9162224934612029</v>
      </c>
      <c r="BS519" s="269">
        <f>INDEX('App Data Outliers'!$T:$T,MATCH($E519,'App Data Outliers'!$A:$A,0))</f>
        <v>1.1499528005502413</v>
      </c>
    </row>
    <row r="520" spans="1:71" s="204" customFormat="1" hidden="1">
      <c r="A520" s="241">
        <v>516</v>
      </c>
      <c r="B520" s="241" t="str">
        <f t="shared" si="101"/>
        <v>Residential - BHPSD - Residential Lighting &amp; Appliances</v>
      </c>
      <c r="C520" s="241" t="b">
        <f t="shared" si="102"/>
        <v>1</v>
      </c>
      <c r="D520" s="241" t="str">
        <f t="shared" si="103"/>
        <v>Residential - BHPSD - Residential Lighting &amp; Appliances_Residential Lighting &amp; Appliances :- LED :- Customer Incentives_LED</v>
      </c>
      <c r="E520" s="241" t="str">
        <f t="shared" si="104"/>
        <v>Residential_Residential Lighting_Lighting_LED</v>
      </c>
      <c r="F520" s="241" t="str">
        <f>INDEX('VDSM MAPPING'!E:E,MATCH($D520,'VDSM MAPPING'!$A:$A,0))</f>
        <v>Residential</v>
      </c>
      <c r="G520" s="241" t="str">
        <f>INDEX('VDSM MAPPING'!F:F,MATCH($D520,'VDSM MAPPING'!$A:$A,0))</f>
        <v>Residential Lighting</v>
      </c>
      <c r="H520" s="241" t="str">
        <f>INDEX('VDSM MAPPING'!G:G,MATCH($D520,'VDSM MAPPING'!$A:$A,0))</f>
        <v>Lighting</v>
      </c>
      <c r="I520" s="241" t="str">
        <f>INDEX('VDSM MAPPING'!H:H,MATCH($D520,'VDSM MAPPING'!$A:$A,0))</f>
        <v>LED</v>
      </c>
      <c r="J520" s="240">
        <f t="shared" si="105"/>
        <v>-1.7748800321724707</v>
      </c>
      <c r="K520" s="240">
        <f t="shared" si="106"/>
        <v>-1.675044830135223</v>
      </c>
      <c r="L520" s="240" t="b">
        <f t="shared" si="107"/>
        <v>0</v>
      </c>
      <c r="M520" s="240" t="b">
        <f t="shared" si="108"/>
        <v>0</v>
      </c>
      <c r="N520" s="204" t="s">
        <v>289</v>
      </c>
      <c r="O520" s="204" t="s">
        <v>882</v>
      </c>
      <c r="P520" s="350">
        <v>0</v>
      </c>
      <c r="Q520" s="204" t="s">
        <v>882</v>
      </c>
      <c r="R520" s="204" t="s">
        <v>881</v>
      </c>
      <c r="S520" s="204" t="s">
        <v>880</v>
      </c>
      <c r="T520" s="204" t="s">
        <v>879</v>
      </c>
      <c r="V520" s="204" t="s">
        <v>878</v>
      </c>
      <c r="W520" s="204" t="s">
        <v>329</v>
      </c>
      <c r="X520" s="204" t="s">
        <v>297</v>
      </c>
      <c r="Y520" s="204" t="s">
        <v>328</v>
      </c>
      <c r="Z520" s="204" t="s">
        <v>850</v>
      </c>
      <c r="AA520" s="204" t="s">
        <v>849</v>
      </c>
      <c r="AB520" s="204" t="s">
        <v>329</v>
      </c>
      <c r="AC520" s="204" t="s">
        <v>297</v>
      </c>
      <c r="AD520" s="204" t="s">
        <v>848</v>
      </c>
      <c r="AE520" s="204" t="s">
        <v>847</v>
      </c>
      <c r="AG520" s="204" t="s">
        <v>791</v>
      </c>
      <c r="AH520" s="204" t="s">
        <v>151</v>
      </c>
      <c r="AV520" s="204" t="s">
        <v>877</v>
      </c>
      <c r="AX520" s="204">
        <v>2</v>
      </c>
      <c r="AY520" s="204">
        <v>0</v>
      </c>
      <c r="AZ520" s="204">
        <v>5.5999999999999999E-3</v>
      </c>
      <c r="BB520" s="204">
        <v>47.392000000000003</v>
      </c>
      <c r="BH520" s="204">
        <v>0</v>
      </c>
      <c r="BI520" s="204">
        <v>3.98</v>
      </c>
      <c r="BJ520" s="204">
        <v>42971</v>
      </c>
      <c r="BK520" s="204">
        <v>42971.557341747699</v>
      </c>
      <c r="BL520" s="204" t="s">
        <v>293</v>
      </c>
      <c r="BM520" s="204" t="s">
        <v>876</v>
      </c>
      <c r="BN520" s="242">
        <f t="shared" si="109"/>
        <v>23.696000000000002</v>
      </c>
      <c r="BO520" s="269">
        <f t="shared" si="110"/>
        <v>1.99</v>
      </c>
      <c r="BP520" s="269">
        <f>INDEX('App Data Outliers'!$M:$M,MATCH($E520,'App Data Outliers'!$A:$A,0))</f>
        <v>31.912660854402784</v>
      </c>
      <c r="BQ520" s="269">
        <f>INDEX('App Data Outliers'!$N:$N,MATCH($E520,'App Data Outliers'!$A:$A,0))</f>
        <v>4.6294175975068628</v>
      </c>
      <c r="BR520" s="269">
        <f>INDEX('App Data Outliers'!$S:$S,MATCH($E520,'App Data Outliers'!$A:$A,0))</f>
        <v>3.9162224934612029</v>
      </c>
      <c r="BS520" s="269">
        <f>INDEX('App Data Outliers'!$T:$T,MATCH($E520,'App Data Outliers'!$A:$A,0))</f>
        <v>1.1499528005502413</v>
      </c>
    </row>
    <row r="521" spans="1:71" s="204" customFormat="1" hidden="1">
      <c r="A521" s="241">
        <v>517</v>
      </c>
      <c r="B521" s="241" t="str">
        <f t="shared" si="101"/>
        <v>Residential - BHPSD - Residential Lighting &amp; Appliances</v>
      </c>
      <c r="C521" s="241" t="b">
        <f t="shared" si="102"/>
        <v>1</v>
      </c>
      <c r="D521" s="241" t="str">
        <f t="shared" si="103"/>
        <v>Residential - BHPSD - Residential Lighting &amp; Appliances_Residential Lighting &amp; Appliances :- LED :- Customer Incentives_LED</v>
      </c>
      <c r="E521" s="241" t="str">
        <f t="shared" si="104"/>
        <v>Residential_Residential Lighting_Lighting_LED</v>
      </c>
      <c r="F521" s="241" t="str">
        <f>INDEX('VDSM MAPPING'!E:E,MATCH($D521,'VDSM MAPPING'!$A:$A,0))</f>
        <v>Residential</v>
      </c>
      <c r="G521" s="241" t="str">
        <f>INDEX('VDSM MAPPING'!F:F,MATCH($D521,'VDSM MAPPING'!$A:$A,0))</f>
        <v>Residential Lighting</v>
      </c>
      <c r="H521" s="241" t="str">
        <f>INDEX('VDSM MAPPING'!G:G,MATCH($D521,'VDSM MAPPING'!$A:$A,0))</f>
        <v>Lighting</v>
      </c>
      <c r="I521" s="241" t="str">
        <f>INDEX('VDSM MAPPING'!H:H,MATCH($D521,'VDSM MAPPING'!$A:$A,0))</f>
        <v>LED</v>
      </c>
      <c r="J521" s="240">
        <f t="shared" si="105"/>
        <v>0.40336372907962731</v>
      </c>
      <c r="K521" s="240">
        <f t="shared" si="106"/>
        <v>-1.5619967120404661</v>
      </c>
      <c r="L521" s="240" t="b">
        <f t="shared" si="107"/>
        <v>0</v>
      </c>
      <c r="M521" s="240" t="b">
        <f t="shared" si="108"/>
        <v>0</v>
      </c>
      <c r="N521" s="204" t="s">
        <v>289</v>
      </c>
      <c r="O521" s="204" t="s">
        <v>871</v>
      </c>
      <c r="P521" s="350">
        <v>1</v>
      </c>
      <c r="Q521" s="204" t="s">
        <v>871</v>
      </c>
      <c r="R521" s="204" t="s">
        <v>870</v>
      </c>
      <c r="S521" s="204" t="s">
        <v>869</v>
      </c>
      <c r="T521" s="204" t="s">
        <v>868</v>
      </c>
      <c r="V521" s="204" t="s">
        <v>867</v>
      </c>
      <c r="W521" s="204" t="s">
        <v>382</v>
      </c>
      <c r="X521" s="204" t="s">
        <v>297</v>
      </c>
      <c r="Y521" s="204" t="s">
        <v>381</v>
      </c>
      <c r="Z521" s="204" t="s">
        <v>289</v>
      </c>
      <c r="AA521" s="204" t="s">
        <v>866</v>
      </c>
      <c r="AB521" s="204" t="s">
        <v>337</v>
      </c>
      <c r="AC521" s="204" t="s">
        <v>297</v>
      </c>
      <c r="AD521" s="204" t="s">
        <v>336</v>
      </c>
      <c r="AG521" s="204" t="s">
        <v>791</v>
      </c>
      <c r="AH521" s="204" t="s">
        <v>151</v>
      </c>
      <c r="AV521" s="204" t="s">
        <v>875</v>
      </c>
      <c r="AX521" s="204">
        <v>16</v>
      </c>
      <c r="AY521" s="204">
        <v>0</v>
      </c>
      <c r="AZ521" s="204">
        <v>6.4000000000000001E-2</v>
      </c>
      <c r="BB521" s="204">
        <v>540.48</v>
      </c>
      <c r="BH521" s="204">
        <v>0</v>
      </c>
      <c r="BI521" s="204">
        <v>33.92</v>
      </c>
      <c r="BJ521" s="204">
        <v>42972</v>
      </c>
      <c r="BK521" s="204">
        <v>42972.534156713002</v>
      </c>
      <c r="BL521" s="204" t="s">
        <v>293</v>
      </c>
      <c r="BM521" s="204" t="s">
        <v>874</v>
      </c>
      <c r="BN521" s="242">
        <f t="shared" si="109"/>
        <v>33.78</v>
      </c>
      <c r="BO521" s="269">
        <f t="shared" si="110"/>
        <v>2.12</v>
      </c>
      <c r="BP521" s="269">
        <f>INDEX('App Data Outliers'!$M:$M,MATCH($E521,'App Data Outliers'!$A:$A,0))</f>
        <v>31.912660854402784</v>
      </c>
      <c r="BQ521" s="269">
        <f>INDEX('App Data Outliers'!$N:$N,MATCH($E521,'App Data Outliers'!$A:$A,0))</f>
        <v>4.6294175975068628</v>
      </c>
      <c r="BR521" s="269">
        <f>INDEX('App Data Outliers'!$S:$S,MATCH($E521,'App Data Outliers'!$A:$A,0))</f>
        <v>3.9162224934612029</v>
      </c>
      <c r="BS521" s="269">
        <f>INDEX('App Data Outliers'!$T:$T,MATCH($E521,'App Data Outliers'!$A:$A,0))</f>
        <v>1.1499528005502413</v>
      </c>
    </row>
    <row r="522" spans="1:71" s="204" customFormat="1" hidden="1">
      <c r="A522" s="241">
        <v>518</v>
      </c>
      <c r="B522" s="241" t="str">
        <f t="shared" si="101"/>
        <v>Residential - BHPSD - Residential Lighting &amp; Appliances</v>
      </c>
      <c r="C522" s="241" t="b">
        <f t="shared" si="102"/>
        <v>1</v>
      </c>
      <c r="D522" s="241" t="str">
        <f t="shared" si="103"/>
        <v>Residential - BHPSD - Residential Lighting &amp; Appliances_Residential Lighting &amp; Appliances :- LED :- Customer Incentives_LED</v>
      </c>
      <c r="E522" s="241" t="str">
        <f t="shared" si="104"/>
        <v>Residential_Residential Lighting_Lighting_LED</v>
      </c>
      <c r="F522" s="241" t="str">
        <f>INDEX('VDSM MAPPING'!E:E,MATCH($D522,'VDSM MAPPING'!$A:$A,0))</f>
        <v>Residential</v>
      </c>
      <c r="G522" s="241" t="str">
        <f>INDEX('VDSM MAPPING'!F:F,MATCH($D522,'VDSM MAPPING'!$A:$A,0))</f>
        <v>Residential Lighting</v>
      </c>
      <c r="H522" s="241" t="str">
        <f>INDEX('VDSM MAPPING'!G:G,MATCH($D522,'VDSM MAPPING'!$A:$A,0))</f>
        <v>Lighting</v>
      </c>
      <c r="I522" s="241" t="str">
        <f>INDEX('VDSM MAPPING'!H:H,MATCH($D522,'VDSM MAPPING'!$A:$A,0))</f>
        <v>LED</v>
      </c>
      <c r="J522" s="240">
        <f t="shared" si="105"/>
        <v>0.40336372907962731</v>
      </c>
      <c r="K522" s="240">
        <f t="shared" si="106"/>
        <v>-1.5619967120404661</v>
      </c>
      <c r="L522" s="240" t="b">
        <f t="shared" si="107"/>
        <v>0</v>
      </c>
      <c r="M522" s="240" t="b">
        <f t="shared" si="108"/>
        <v>0</v>
      </c>
      <c r="N522" s="204" t="s">
        <v>289</v>
      </c>
      <c r="O522" s="204" t="s">
        <v>871</v>
      </c>
      <c r="P522" s="350">
        <v>0</v>
      </c>
      <c r="Q522" s="204" t="s">
        <v>871</v>
      </c>
      <c r="R522" s="204" t="s">
        <v>870</v>
      </c>
      <c r="S522" s="204" t="s">
        <v>869</v>
      </c>
      <c r="T522" s="204" t="s">
        <v>868</v>
      </c>
      <c r="V522" s="204" t="s">
        <v>867</v>
      </c>
      <c r="W522" s="204" t="s">
        <v>382</v>
      </c>
      <c r="X522" s="204" t="s">
        <v>297</v>
      </c>
      <c r="Y522" s="204" t="s">
        <v>381</v>
      </c>
      <c r="Z522" s="204" t="s">
        <v>289</v>
      </c>
      <c r="AA522" s="204" t="s">
        <v>866</v>
      </c>
      <c r="AB522" s="204" t="s">
        <v>337</v>
      </c>
      <c r="AC522" s="204" t="s">
        <v>297</v>
      </c>
      <c r="AD522" s="204" t="s">
        <v>336</v>
      </c>
      <c r="AG522" s="204" t="s">
        <v>791</v>
      </c>
      <c r="AH522" s="204" t="s">
        <v>151</v>
      </c>
      <c r="AV522" s="204" t="s">
        <v>873</v>
      </c>
      <c r="AX522" s="204">
        <v>4</v>
      </c>
      <c r="AY522" s="204">
        <v>0</v>
      </c>
      <c r="AZ522" s="204">
        <v>1.6E-2</v>
      </c>
      <c r="BB522" s="204">
        <v>135.12</v>
      </c>
      <c r="BH522" s="204">
        <v>0</v>
      </c>
      <c r="BI522" s="204">
        <v>8.48</v>
      </c>
      <c r="BJ522" s="204">
        <v>42972</v>
      </c>
      <c r="BK522" s="204">
        <v>42972.534156713002</v>
      </c>
      <c r="BL522" s="204" t="s">
        <v>293</v>
      </c>
      <c r="BM522" s="204" t="s">
        <v>872</v>
      </c>
      <c r="BN522" s="242">
        <f t="shared" si="109"/>
        <v>33.78</v>
      </c>
      <c r="BO522" s="269">
        <f t="shared" si="110"/>
        <v>2.12</v>
      </c>
      <c r="BP522" s="269">
        <f>INDEX('App Data Outliers'!$M:$M,MATCH($E522,'App Data Outliers'!$A:$A,0))</f>
        <v>31.912660854402784</v>
      </c>
      <c r="BQ522" s="269">
        <f>INDEX('App Data Outliers'!$N:$N,MATCH($E522,'App Data Outliers'!$A:$A,0))</f>
        <v>4.6294175975068628</v>
      </c>
      <c r="BR522" s="269">
        <f>INDEX('App Data Outliers'!$S:$S,MATCH($E522,'App Data Outliers'!$A:$A,0))</f>
        <v>3.9162224934612029</v>
      </c>
      <c r="BS522" s="269">
        <f>INDEX('App Data Outliers'!$T:$T,MATCH($E522,'App Data Outliers'!$A:$A,0))</f>
        <v>1.1499528005502413</v>
      </c>
    </row>
    <row r="523" spans="1:71" s="204" customFormat="1" hidden="1">
      <c r="A523" s="241">
        <v>519</v>
      </c>
      <c r="B523" s="241" t="str">
        <f t="shared" si="101"/>
        <v>Residential - BHPSD - Residential Lighting &amp; Appliances</v>
      </c>
      <c r="C523" s="241" t="b">
        <f t="shared" si="102"/>
        <v>1</v>
      </c>
      <c r="D523" s="241" t="str">
        <f t="shared" si="103"/>
        <v>Residential - BHPSD - Residential Lighting &amp; Appliances_Residential Lighting &amp; Appliances :- LED :- Customer Incentives_LED</v>
      </c>
      <c r="E523" s="241" t="str">
        <f t="shared" si="104"/>
        <v>Residential_Residential Lighting_Lighting_LED</v>
      </c>
      <c r="F523" s="241" t="str">
        <f>INDEX('VDSM MAPPING'!E:E,MATCH($D523,'VDSM MAPPING'!$A:$A,0))</f>
        <v>Residential</v>
      </c>
      <c r="G523" s="241" t="str">
        <f>INDEX('VDSM MAPPING'!F:F,MATCH($D523,'VDSM MAPPING'!$A:$A,0))</f>
        <v>Residential Lighting</v>
      </c>
      <c r="H523" s="241" t="str">
        <f>INDEX('VDSM MAPPING'!G:G,MATCH($D523,'VDSM MAPPING'!$A:$A,0))</f>
        <v>Lighting</v>
      </c>
      <c r="I523" s="241" t="str">
        <f>INDEX('VDSM MAPPING'!H:H,MATCH($D523,'VDSM MAPPING'!$A:$A,0))</f>
        <v>LED</v>
      </c>
      <c r="J523" s="240">
        <f t="shared" si="105"/>
        <v>0.18540974701860313</v>
      </c>
      <c r="K523" s="240">
        <f t="shared" si="106"/>
        <v>-0.37064346750341348</v>
      </c>
      <c r="L523" s="240" t="b">
        <f t="shared" si="107"/>
        <v>0</v>
      </c>
      <c r="M523" s="240" t="b">
        <f t="shared" si="108"/>
        <v>0</v>
      </c>
      <c r="N523" s="204" t="s">
        <v>289</v>
      </c>
      <c r="O523" s="204" t="s">
        <v>871</v>
      </c>
      <c r="P523" s="350">
        <v>0</v>
      </c>
      <c r="Q523" s="204" t="s">
        <v>871</v>
      </c>
      <c r="R523" s="204" t="s">
        <v>870</v>
      </c>
      <c r="S523" s="204" t="s">
        <v>869</v>
      </c>
      <c r="T523" s="204" t="s">
        <v>868</v>
      </c>
      <c r="V523" s="204" t="s">
        <v>867</v>
      </c>
      <c r="W523" s="204" t="s">
        <v>382</v>
      </c>
      <c r="X523" s="204" t="s">
        <v>297</v>
      </c>
      <c r="Y523" s="204" t="s">
        <v>381</v>
      </c>
      <c r="Z523" s="204" t="s">
        <v>289</v>
      </c>
      <c r="AA523" s="204" t="s">
        <v>866</v>
      </c>
      <c r="AB523" s="204" t="s">
        <v>337</v>
      </c>
      <c r="AC523" s="204" t="s">
        <v>297</v>
      </c>
      <c r="AD523" s="204" t="s">
        <v>336</v>
      </c>
      <c r="AG523" s="204" t="s">
        <v>791</v>
      </c>
      <c r="AH523" s="204" t="s">
        <v>151</v>
      </c>
      <c r="AV523" s="204" t="s">
        <v>865</v>
      </c>
      <c r="AX523" s="204">
        <v>6</v>
      </c>
      <c r="AY523" s="204">
        <v>0</v>
      </c>
      <c r="AZ523" s="204">
        <v>2.3400000000000001E-2</v>
      </c>
      <c r="BB523" s="204">
        <v>196.626</v>
      </c>
      <c r="BH523" s="204">
        <v>0</v>
      </c>
      <c r="BI523" s="204">
        <v>20.94</v>
      </c>
      <c r="BJ523" s="204">
        <v>42972</v>
      </c>
      <c r="BK523" s="204">
        <v>42972.534156713002</v>
      </c>
      <c r="BL523" s="204" t="s">
        <v>293</v>
      </c>
      <c r="BM523" s="204" t="s">
        <v>864</v>
      </c>
      <c r="BN523" s="242">
        <f t="shared" si="109"/>
        <v>32.771000000000001</v>
      </c>
      <c r="BO523" s="243">
        <f t="shared" si="110"/>
        <v>3.49</v>
      </c>
      <c r="BP523" s="269">
        <f>INDEX('App Data Outliers'!$M:$M,MATCH($E523,'App Data Outliers'!$A:$A,0))</f>
        <v>31.912660854402784</v>
      </c>
      <c r="BQ523" s="243">
        <f>INDEX('App Data Outliers'!$N:$N,MATCH($E523,'App Data Outliers'!$A:$A,0))</f>
        <v>4.6294175975068628</v>
      </c>
      <c r="BR523" s="243">
        <f>INDEX('App Data Outliers'!$S:$S,MATCH($E523,'App Data Outliers'!$A:$A,0))</f>
        <v>3.9162224934612029</v>
      </c>
      <c r="BS523" s="243">
        <f>INDEX('App Data Outliers'!$T:$T,MATCH($E523,'App Data Outliers'!$A:$A,0))</f>
        <v>1.1499528005502413</v>
      </c>
    </row>
    <row r="524" spans="1:71" s="204" customFormat="1" hidden="1">
      <c r="A524" s="241">
        <v>520</v>
      </c>
      <c r="B524" s="241" t="str">
        <f t="shared" si="101"/>
        <v>Residential - BHPSD - Residential Lighting &amp; Appliances</v>
      </c>
      <c r="C524" s="241" t="b">
        <f t="shared" si="102"/>
        <v>1</v>
      </c>
      <c r="D524" s="241" t="str">
        <f t="shared" si="103"/>
        <v>Residential - BHPSD - Residential Lighting &amp; Appliances_Residential Lighting &amp; Appliances :- LED :- Customer Incentives_LED</v>
      </c>
      <c r="E524" s="241" t="str">
        <f t="shared" si="104"/>
        <v>Residential_Residential Lighting_Lighting_LED</v>
      </c>
      <c r="F524" s="241" t="str">
        <f>INDEX('VDSM MAPPING'!E:E,MATCH($D524,'VDSM MAPPING'!$A:$A,0))</f>
        <v>Residential</v>
      </c>
      <c r="G524" s="241" t="str">
        <f>INDEX('VDSM MAPPING'!F:F,MATCH($D524,'VDSM MAPPING'!$A:$A,0))</f>
        <v>Residential Lighting</v>
      </c>
      <c r="H524" s="241" t="str">
        <f>INDEX('VDSM MAPPING'!G:G,MATCH($D524,'VDSM MAPPING'!$A:$A,0))</f>
        <v>Lighting</v>
      </c>
      <c r="I524" s="241" t="str">
        <f>INDEX('VDSM MAPPING'!H:H,MATCH($D524,'VDSM MAPPING'!$A:$A,0))</f>
        <v>LED</v>
      </c>
      <c r="J524" s="240">
        <f t="shared" si="105"/>
        <v>7.6540760934603463E-2</v>
      </c>
      <c r="K524" s="240">
        <f t="shared" si="106"/>
        <v>-1.4489485939457094</v>
      </c>
      <c r="L524" s="240" t="b">
        <f t="shared" si="107"/>
        <v>0</v>
      </c>
      <c r="M524" s="240" t="b">
        <f t="shared" si="108"/>
        <v>0</v>
      </c>
      <c r="N524" s="204" t="s">
        <v>289</v>
      </c>
      <c r="O524" s="204" t="s">
        <v>855</v>
      </c>
      <c r="P524" s="350">
        <v>1</v>
      </c>
      <c r="Q524" s="204" t="s">
        <v>855</v>
      </c>
      <c r="R524" s="204" t="s">
        <v>854</v>
      </c>
      <c r="S524" s="204" t="s">
        <v>853</v>
      </c>
      <c r="T524" s="204" t="s">
        <v>852</v>
      </c>
      <c r="V524" s="204" t="s">
        <v>851</v>
      </c>
      <c r="W524" s="204" t="s">
        <v>337</v>
      </c>
      <c r="X524" s="204" t="s">
        <v>297</v>
      </c>
      <c r="Y524" s="204" t="s">
        <v>336</v>
      </c>
      <c r="Z524" s="204" t="s">
        <v>850</v>
      </c>
      <c r="AA524" s="204" t="s">
        <v>849</v>
      </c>
      <c r="AB524" s="204" t="s">
        <v>329</v>
      </c>
      <c r="AC524" s="204" t="s">
        <v>297</v>
      </c>
      <c r="AD524" s="204" t="s">
        <v>848</v>
      </c>
      <c r="AE524" s="204" t="s">
        <v>847</v>
      </c>
      <c r="AG524" s="204" t="s">
        <v>791</v>
      </c>
      <c r="AH524" s="204" t="s">
        <v>151</v>
      </c>
      <c r="AV524" s="204" t="s">
        <v>859</v>
      </c>
      <c r="AX524" s="204">
        <v>6</v>
      </c>
      <c r="AY524" s="204">
        <v>0</v>
      </c>
      <c r="AZ524" s="204">
        <v>2.2800000000000001E-2</v>
      </c>
      <c r="BB524" s="204">
        <v>193.602</v>
      </c>
      <c r="BH524" s="204">
        <v>0</v>
      </c>
      <c r="BI524" s="204">
        <v>13.5</v>
      </c>
      <c r="BJ524" s="204">
        <v>42972</v>
      </c>
      <c r="BK524" s="204">
        <v>42972.541581481499</v>
      </c>
      <c r="BL524" s="204" t="s">
        <v>293</v>
      </c>
      <c r="BM524" s="204" t="s">
        <v>858</v>
      </c>
      <c r="BN524" s="242">
        <f t="shared" si="109"/>
        <v>32.267000000000003</v>
      </c>
      <c r="BO524" s="269">
        <f t="shared" si="110"/>
        <v>2.25</v>
      </c>
      <c r="BP524" s="269">
        <f>INDEX('App Data Outliers'!$M:$M,MATCH($E524,'App Data Outliers'!$A:$A,0))</f>
        <v>31.912660854402784</v>
      </c>
      <c r="BQ524" s="269">
        <f>INDEX('App Data Outliers'!$N:$N,MATCH($E524,'App Data Outliers'!$A:$A,0))</f>
        <v>4.6294175975068628</v>
      </c>
      <c r="BR524" s="269">
        <f>INDEX('App Data Outliers'!$S:$S,MATCH($E524,'App Data Outliers'!$A:$A,0))</f>
        <v>3.9162224934612029</v>
      </c>
      <c r="BS524" s="269">
        <f>INDEX('App Data Outliers'!$T:$T,MATCH($E524,'App Data Outliers'!$A:$A,0))</f>
        <v>1.1499528005502413</v>
      </c>
    </row>
    <row r="525" spans="1:71" s="204" customFormat="1" hidden="1">
      <c r="A525" s="241">
        <v>521</v>
      </c>
      <c r="B525" s="241" t="str">
        <f t="shared" si="101"/>
        <v>Residential - BHPSD - Residential Lighting &amp; Appliances</v>
      </c>
      <c r="C525" s="241" t="b">
        <f t="shared" si="102"/>
        <v>1</v>
      </c>
      <c r="D525" s="241" t="str">
        <f t="shared" si="103"/>
        <v>Residential - BHPSD - Residential Lighting &amp; Appliances_Residential Lighting &amp; Appliances :- LED :- Customer Incentives_LED</v>
      </c>
      <c r="E525" s="241" t="str">
        <f t="shared" si="104"/>
        <v>Residential_Residential Lighting_Lighting_LED</v>
      </c>
      <c r="F525" s="241" t="str">
        <f>INDEX('VDSM MAPPING'!E:E,MATCH($D525,'VDSM MAPPING'!$A:$A,0))</f>
        <v>Residential</v>
      </c>
      <c r="G525" s="241" t="str">
        <f>INDEX('VDSM MAPPING'!F:F,MATCH($D525,'VDSM MAPPING'!$A:$A,0))</f>
        <v>Residential Lighting</v>
      </c>
      <c r="H525" s="241" t="str">
        <f>INDEX('VDSM MAPPING'!G:G,MATCH($D525,'VDSM MAPPING'!$A:$A,0))</f>
        <v>Lighting</v>
      </c>
      <c r="I525" s="241" t="str">
        <f>INDEX('VDSM MAPPING'!H:H,MATCH($D525,'VDSM MAPPING'!$A:$A,0))</f>
        <v>LED</v>
      </c>
      <c r="J525" s="240">
        <f t="shared" si="105"/>
        <v>0.51223271516362701</v>
      </c>
      <c r="K525" s="240">
        <f t="shared" si="106"/>
        <v>-1.4576446030299217</v>
      </c>
      <c r="L525" s="240" t="b">
        <f t="shared" si="107"/>
        <v>0</v>
      </c>
      <c r="M525" s="240" t="b">
        <f t="shared" si="108"/>
        <v>0</v>
      </c>
      <c r="N525" s="204" t="s">
        <v>289</v>
      </c>
      <c r="O525" s="204" t="s">
        <v>855</v>
      </c>
      <c r="P525" s="350">
        <v>0</v>
      </c>
      <c r="Q525" s="204" t="s">
        <v>855</v>
      </c>
      <c r="R525" s="204" t="s">
        <v>854</v>
      </c>
      <c r="S525" s="204" t="s">
        <v>853</v>
      </c>
      <c r="T525" s="204" t="s">
        <v>852</v>
      </c>
      <c r="V525" s="204" t="s">
        <v>851</v>
      </c>
      <c r="W525" s="204" t="s">
        <v>337</v>
      </c>
      <c r="X525" s="204" t="s">
        <v>297</v>
      </c>
      <c r="Y525" s="204" t="s">
        <v>336</v>
      </c>
      <c r="Z525" s="204" t="s">
        <v>850</v>
      </c>
      <c r="AA525" s="204" t="s">
        <v>849</v>
      </c>
      <c r="AB525" s="204" t="s">
        <v>329</v>
      </c>
      <c r="AC525" s="204" t="s">
        <v>297</v>
      </c>
      <c r="AD525" s="204" t="s">
        <v>848</v>
      </c>
      <c r="AE525" s="204" t="s">
        <v>847</v>
      </c>
      <c r="AG525" s="204" t="s">
        <v>791</v>
      </c>
      <c r="AH525" s="204" t="s">
        <v>151</v>
      </c>
      <c r="AV525" s="204" t="s">
        <v>861</v>
      </c>
      <c r="AX525" s="204">
        <v>10</v>
      </c>
      <c r="AY525" s="204">
        <v>0</v>
      </c>
      <c r="AZ525" s="204">
        <v>0.04</v>
      </c>
      <c r="BB525" s="204">
        <v>342.84</v>
      </c>
      <c r="BH525" s="204">
        <v>0</v>
      </c>
      <c r="BI525" s="204">
        <v>22.4</v>
      </c>
      <c r="BJ525" s="204">
        <v>42972</v>
      </c>
      <c r="BK525" s="204">
        <v>42972.541581481499</v>
      </c>
      <c r="BL525" s="204" t="s">
        <v>293</v>
      </c>
      <c r="BM525" s="204" t="s">
        <v>860</v>
      </c>
      <c r="BN525" s="242">
        <f t="shared" si="109"/>
        <v>34.283999999999999</v>
      </c>
      <c r="BO525" s="269">
        <f t="shared" si="110"/>
        <v>2.2399999999999998</v>
      </c>
      <c r="BP525" s="269">
        <f>INDEX('App Data Outliers'!$M:$M,MATCH($E525,'App Data Outliers'!$A:$A,0))</f>
        <v>31.912660854402784</v>
      </c>
      <c r="BQ525" s="269">
        <f>INDEX('App Data Outliers'!$N:$N,MATCH($E525,'App Data Outliers'!$A:$A,0))</f>
        <v>4.6294175975068628</v>
      </c>
      <c r="BR525" s="269">
        <f>INDEX('App Data Outliers'!$S:$S,MATCH($E525,'App Data Outliers'!$A:$A,0))</f>
        <v>3.9162224934612029</v>
      </c>
      <c r="BS525" s="269">
        <f>INDEX('App Data Outliers'!$T:$T,MATCH($E525,'App Data Outliers'!$A:$A,0))</f>
        <v>1.1499528005502413</v>
      </c>
    </row>
    <row r="526" spans="1:71" s="204" customFormat="1" hidden="1">
      <c r="A526" s="241">
        <v>522</v>
      </c>
      <c r="B526" s="241" t="str">
        <f t="shared" si="101"/>
        <v>Residential - BHPSD - Residential Lighting &amp; Appliances</v>
      </c>
      <c r="C526" s="241" t="b">
        <f t="shared" si="102"/>
        <v>1</v>
      </c>
      <c r="D526" s="241" t="str">
        <f t="shared" si="103"/>
        <v>Residential - BHPSD - Residential Lighting &amp; Appliances_Residential Lighting &amp; Appliances :- LED :- Customer Incentives_LED</v>
      </c>
      <c r="E526" s="241" t="str">
        <f t="shared" si="104"/>
        <v>Residential_Residential Lighting_Lighting_LED</v>
      </c>
      <c r="F526" s="241" t="str">
        <f>INDEX('VDSM MAPPING'!E:E,MATCH($D526,'VDSM MAPPING'!$A:$A,0))</f>
        <v>Residential</v>
      </c>
      <c r="G526" s="241" t="str">
        <f>INDEX('VDSM MAPPING'!F:F,MATCH($D526,'VDSM MAPPING'!$A:$A,0))</f>
        <v>Residential Lighting</v>
      </c>
      <c r="H526" s="241" t="str">
        <f>INDEX('VDSM MAPPING'!G:G,MATCH($D526,'VDSM MAPPING'!$A:$A,0))</f>
        <v>Lighting</v>
      </c>
      <c r="I526" s="241" t="str">
        <f>INDEX('VDSM MAPPING'!H:H,MATCH($D526,'VDSM MAPPING'!$A:$A,0))</f>
        <v>LED</v>
      </c>
      <c r="J526" s="240">
        <f t="shared" si="105"/>
        <v>-0.14119721123339737</v>
      </c>
      <c r="K526" s="240">
        <f t="shared" si="106"/>
        <v>-1.118500248745651</v>
      </c>
      <c r="L526" s="240" t="b">
        <f t="shared" si="107"/>
        <v>0</v>
      </c>
      <c r="M526" s="240" t="b">
        <f t="shared" si="108"/>
        <v>0</v>
      </c>
      <c r="N526" s="204" t="s">
        <v>289</v>
      </c>
      <c r="O526" s="204" t="s">
        <v>855</v>
      </c>
      <c r="P526" s="350">
        <v>0</v>
      </c>
      <c r="Q526" s="204" t="s">
        <v>855</v>
      </c>
      <c r="R526" s="204" t="s">
        <v>854</v>
      </c>
      <c r="S526" s="204" t="s">
        <v>853</v>
      </c>
      <c r="T526" s="204" t="s">
        <v>852</v>
      </c>
      <c r="V526" s="204" t="s">
        <v>851</v>
      </c>
      <c r="W526" s="204" t="s">
        <v>337</v>
      </c>
      <c r="X526" s="204" t="s">
        <v>297</v>
      </c>
      <c r="Y526" s="204" t="s">
        <v>336</v>
      </c>
      <c r="Z526" s="204" t="s">
        <v>850</v>
      </c>
      <c r="AA526" s="204" t="s">
        <v>849</v>
      </c>
      <c r="AB526" s="204" t="s">
        <v>329</v>
      </c>
      <c r="AC526" s="204" t="s">
        <v>297</v>
      </c>
      <c r="AD526" s="204" t="s">
        <v>848</v>
      </c>
      <c r="AE526" s="204" t="s">
        <v>847</v>
      </c>
      <c r="AG526" s="204" t="s">
        <v>791</v>
      </c>
      <c r="AH526" s="204" t="s">
        <v>151</v>
      </c>
      <c r="AV526" s="204" t="s">
        <v>846</v>
      </c>
      <c r="AX526" s="204">
        <v>4</v>
      </c>
      <c r="AY526" s="204">
        <v>0</v>
      </c>
      <c r="AZ526" s="204">
        <v>1.4800000000000001E-2</v>
      </c>
      <c r="BB526" s="204">
        <v>125.036</v>
      </c>
      <c r="BH526" s="204">
        <v>0</v>
      </c>
      <c r="BI526" s="204">
        <v>10.52</v>
      </c>
      <c r="BJ526" s="204">
        <v>42972</v>
      </c>
      <c r="BK526" s="204">
        <v>42972.541581481499</v>
      </c>
      <c r="BL526" s="204" t="s">
        <v>293</v>
      </c>
      <c r="BM526" s="204" t="s">
        <v>845</v>
      </c>
      <c r="BN526" s="242">
        <f t="shared" si="109"/>
        <v>31.259</v>
      </c>
      <c r="BO526" s="269">
        <f t="shared" si="110"/>
        <v>2.63</v>
      </c>
      <c r="BP526" s="269">
        <f>INDEX('App Data Outliers'!$M:$M,MATCH($E526,'App Data Outliers'!$A:$A,0))</f>
        <v>31.912660854402784</v>
      </c>
      <c r="BQ526" s="269">
        <f>INDEX('App Data Outliers'!$N:$N,MATCH($E526,'App Data Outliers'!$A:$A,0))</f>
        <v>4.6294175975068628</v>
      </c>
      <c r="BR526" s="269">
        <f>INDEX('App Data Outliers'!$S:$S,MATCH($E526,'App Data Outliers'!$A:$A,0))</f>
        <v>3.9162224934612029</v>
      </c>
      <c r="BS526" s="269">
        <f>INDEX('App Data Outliers'!$T:$T,MATCH($E526,'App Data Outliers'!$A:$A,0))</f>
        <v>1.1499528005502413</v>
      </c>
    </row>
    <row r="527" spans="1:71" s="204" customFormat="1" hidden="1">
      <c r="A527" s="241">
        <v>523</v>
      </c>
      <c r="B527" s="241" t="str">
        <f t="shared" si="101"/>
        <v>Residential - BHPSD - Residential Lighting &amp; Appliances</v>
      </c>
      <c r="C527" s="241" t="b">
        <f t="shared" si="102"/>
        <v>1</v>
      </c>
      <c r="D527" s="241" t="str">
        <f t="shared" si="103"/>
        <v>Residential - BHPSD - Residential Lighting &amp; Appliances_Residential Lighting &amp; Appliances :- LED :- Customer Incentives_LED</v>
      </c>
      <c r="E527" s="241" t="str">
        <f t="shared" si="104"/>
        <v>Residential_Residential Lighting_Lighting_LED</v>
      </c>
      <c r="F527" s="241" t="str">
        <f>INDEX('VDSM MAPPING'!E:E,MATCH($D527,'VDSM MAPPING'!$A:$A,0))</f>
        <v>Residential</v>
      </c>
      <c r="G527" s="241" t="str">
        <f>INDEX('VDSM MAPPING'!F:F,MATCH($D527,'VDSM MAPPING'!$A:$A,0))</f>
        <v>Residential Lighting</v>
      </c>
      <c r="H527" s="241" t="str">
        <f>INDEX('VDSM MAPPING'!G:G,MATCH($D527,'VDSM MAPPING'!$A:$A,0))</f>
        <v>Lighting</v>
      </c>
      <c r="I527" s="241" t="str">
        <f>INDEX('VDSM MAPPING'!H:H,MATCH($D527,'VDSM MAPPING'!$A:$A,0))</f>
        <v>LED</v>
      </c>
      <c r="J527" s="240">
        <f t="shared" si="105"/>
        <v>0.51223271516362701</v>
      </c>
      <c r="K527" s="240">
        <f t="shared" si="106"/>
        <v>-2.5363845299264276</v>
      </c>
      <c r="L527" s="240" t="b">
        <f t="shared" si="107"/>
        <v>0</v>
      </c>
      <c r="M527" s="240" t="b">
        <f t="shared" si="108"/>
        <v>1</v>
      </c>
      <c r="N527" s="204" t="s">
        <v>289</v>
      </c>
      <c r="O527" s="204" t="s">
        <v>855</v>
      </c>
      <c r="P527" s="350">
        <v>0</v>
      </c>
      <c r="Q527" s="204" t="s">
        <v>855</v>
      </c>
      <c r="R527" s="204" t="s">
        <v>854</v>
      </c>
      <c r="S527" s="204" t="s">
        <v>853</v>
      </c>
      <c r="T527" s="204" t="s">
        <v>852</v>
      </c>
      <c r="V527" s="204" t="s">
        <v>851</v>
      </c>
      <c r="W527" s="204" t="s">
        <v>337</v>
      </c>
      <c r="X527" s="204" t="s">
        <v>297</v>
      </c>
      <c r="Y527" s="204" t="s">
        <v>336</v>
      </c>
      <c r="Z527" s="204" t="s">
        <v>850</v>
      </c>
      <c r="AA527" s="204" t="s">
        <v>849</v>
      </c>
      <c r="AB527" s="204" t="s">
        <v>329</v>
      </c>
      <c r="AC527" s="204" t="s">
        <v>297</v>
      </c>
      <c r="AD527" s="204" t="s">
        <v>848</v>
      </c>
      <c r="AE527" s="204" t="s">
        <v>847</v>
      </c>
      <c r="AG527" s="204" t="s">
        <v>791</v>
      </c>
      <c r="AH527" s="204" t="s">
        <v>151</v>
      </c>
      <c r="AV527" s="204" t="s">
        <v>857</v>
      </c>
      <c r="AX527" s="204">
        <v>16</v>
      </c>
      <c r="AY527" s="204">
        <v>0</v>
      </c>
      <c r="AZ527" s="204">
        <v>6.4000000000000001E-2</v>
      </c>
      <c r="BB527" s="204">
        <v>548.54399999999998</v>
      </c>
      <c r="BH527" s="204">
        <v>0</v>
      </c>
      <c r="BI527" s="204">
        <v>15.992000000000001</v>
      </c>
      <c r="BJ527" s="204">
        <v>42972</v>
      </c>
      <c r="BK527" s="204">
        <v>42972.541581481499</v>
      </c>
      <c r="BL527" s="204" t="s">
        <v>293</v>
      </c>
      <c r="BM527" s="204" t="s">
        <v>856</v>
      </c>
      <c r="BN527" s="242">
        <f t="shared" si="109"/>
        <v>34.283999999999999</v>
      </c>
      <c r="BO527" s="269">
        <f t="shared" si="110"/>
        <v>0.99950000000000006</v>
      </c>
      <c r="BP527" s="269">
        <f>INDEX('App Data Outliers'!$M:$M,MATCH($E527,'App Data Outliers'!$A:$A,0))</f>
        <v>31.912660854402784</v>
      </c>
      <c r="BQ527" s="269">
        <f>INDEX('App Data Outliers'!$N:$N,MATCH($E527,'App Data Outliers'!$A:$A,0))</f>
        <v>4.6294175975068628</v>
      </c>
      <c r="BR527" s="269">
        <f>INDEX('App Data Outliers'!$S:$S,MATCH($E527,'App Data Outliers'!$A:$A,0))</f>
        <v>3.9162224934612029</v>
      </c>
      <c r="BS527" s="269">
        <f>INDEX('App Data Outliers'!$T:$T,MATCH($E527,'App Data Outliers'!$A:$A,0))</f>
        <v>1.1499528005502413</v>
      </c>
    </row>
    <row r="528" spans="1:71" s="204" customFormat="1" hidden="1">
      <c r="A528" s="241">
        <v>524</v>
      </c>
      <c r="B528" s="241" t="str">
        <f t="shared" si="101"/>
        <v>Residential - BHPSD - Residential Lighting &amp; Appliances</v>
      </c>
      <c r="C528" s="241" t="b">
        <f t="shared" si="102"/>
        <v>1</v>
      </c>
      <c r="D528" s="241" t="str">
        <f t="shared" si="103"/>
        <v>Residential - BHPSD - Residential Lighting &amp; Appliances_Residential Lighting &amp; Appliances :- LED :- Customer Incentives_LED</v>
      </c>
      <c r="E528" s="241" t="str">
        <f t="shared" si="104"/>
        <v>Residential_Residential Lighting_Lighting_LED</v>
      </c>
      <c r="F528" s="241" t="str">
        <f>INDEX('VDSM MAPPING'!E:E,MATCH($D528,'VDSM MAPPING'!$A:$A,0))</f>
        <v>Residential</v>
      </c>
      <c r="G528" s="241" t="str">
        <f>INDEX('VDSM MAPPING'!F:F,MATCH($D528,'VDSM MAPPING'!$A:$A,0))</f>
        <v>Residential Lighting</v>
      </c>
      <c r="H528" s="241" t="str">
        <f>INDEX('VDSM MAPPING'!G:G,MATCH($D528,'VDSM MAPPING'!$A:$A,0))</f>
        <v>Lighting</v>
      </c>
      <c r="I528" s="241" t="str">
        <f>INDEX('VDSM MAPPING'!H:H,MATCH($D528,'VDSM MAPPING'!$A:$A,0))</f>
        <v>LED</v>
      </c>
      <c r="J528" s="240">
        <f t="shared" si="105"/>
        <v>1.1656626415606512</v>
      </c>
      <c r="K528" s="240">
        <f t="shared" si="106"/>
        <v>-0.79674791262980471</v>
      </c>
      <c r="L528" s="240" t="b">
        <f t="shared" si="107"/>
        <v>0</v>
      </c>
      <c r="M528" s="240" t="b">
        <f t="shared" si="108"/>
        <v>0</v>
      </c>
      <c r="N528" s="204" t="s">
        <v>289</v>
      </c>
      <c r="O528" s="204" t="s">
        <v>855</v>
      </c>
      <c r="P528" s="350">
        <v>0</v>
      </c>
      <c r="Q528" s="204" t="s">
        <v>855</v>
      </c>
      <c r="R528" s="204" t="s">
        <v>854</v>
      </c>
      <c r="S528" s="204" t="s">
        <v>853</v>
      </c>
      <c r="T528" s="204" t="s">
        <v>852</v>
      </c>
      <c r="V528" s="204" t="s">
        <v>851</v>
      </c>
      <c r="W528" s="204" t="s">
        <v>337</v>
      </c>
      <c r="X528" s="204" t="s">
        <v>297</v>
      </c>
      <c r="Y528" s="204" t="s">
        <v>336</v>
      </c>
      <c r="Z528" s="204" t="s">
        <v>850</v>
      </c>
      <c r="AA528" s="204" t="s">
        <v>849</v>
      </c>
      <c r="AB528" s="204" t="s">
        <v>329</v>
      </c>
      <c r="AC528" s="204" t="s">
        <v>297</v>
      </c>
      <c r="AD528" s="204" t="s">
        <v>848</v>
      </c>
      <c r="AE528" s="204" t="s">
        <v>847</v>
      </c>
      <c r="AG528" s="204" t="s">
        <v>791</v>
      </c>
      <c r="AH528" s="204" t="s">
        <v>151</v>
      </c>
      <c r="AV528" s="204" t="s">
        <v>863</v>
      </c>
      <c r="AX528" s="204">
        <v>4</v>
      </c>
      <c r="AY528" s="204">
        <v>0</v>
      </c>
      <c r="AZ528" s="204">
        <v>1.7600000000000001E-2</v>
      </c>
      <c r="BB528" s="204">
        <v>149.23599999999999</v>
      </c>
      <c r="BH528" s="204">
        <v>0</v>
      </c>
      <c r="BI528" s="204">
        <v>12</v>
      </c>
      <c r="BJ528" s="204">
        <v>42972</v>
      </c>
      <c r="BK528" s="204">
        <v>42972.541581481499</v>
      </c>
      <c r="BL528" s="204" t="s">
        <v>293</v>
      </c>
      <c r="BM528" s="204" t="s">
        <v>862</v>
      </c>
      <c r="BN528" s="242">
        <f t="shared" si="109"/>
        <v>37.308999999999997</v>
      </c>
      <c r="BO528" s="269">
        <f t="shared" si="110"/>
        <v>3</v>
      </c>
      <c r="BP528" s="269">
        <f>INDEX('App Data Outliers'!$M:$M,MATCH($E528,'App Data Outliers'!$A:$A,0))</f>
        <v>31.912660854402784</v>
      </c>
      <c r="BQ528" s="269">
        <f>INDEX('App Data Outliers'!$N:$N,MATCH($E528,'App Data Outliers'!$A:$A,0))</f>
        <v>4.6294175975068628</v>
      </c>
      <c r="BR528" s="269">
        <f>INDEX('App Data Outliers'!$S:$S,MATCH($E528,'App Data Outliers'!$A:$A,0))</f>
        <v>3.9162224934612029</v>
      </c>
      <c r="BS528" s="269">
        <f>INDEX('App Data Outliers'!$T:$T,MATCH($E528,'App Data Outliers'!$A:$A,0))</f>
        <v>1.1499528005502413</v>
      </c>
    </row>
    <row r="529" spans="1:71" s="204" customFormat="1" hidden="1">
      <c r="A529" s="241">
        <v>525</v>
      </c>
      <c r="B529" s="241" t="str">
        <f t="shared" si="101"/>
        <v>Residential - BHPSD - Residential Lighting &amp; Appliances</v>
      </c>
      <c r="C529" s="241" t="b">
        <f t="shared" si="102"/>
        <v>1</v>
      </c>
      <c r="D529" s="241" t="str">
        <f t="shared" si="103"/>
        <v>Residential - BHPSD - Residential Lighting &amp; Appliances_Residential Lighting &amp; Appliances :- LED :- Customer Incentives_LED</v>
      </c>
      <c r="E529" s="241" t="str">
        <f t="shared" si="104"/>
        <v>Residential_Residential Lighting_Lighting_LED</v>
      </c>
      <c r="F529" s="241" t="str">
        <f>INDEX('VDSM MAPPING'!E:E,MATCH($D529,'VDSM MAPPING'!$A:$A,0))</f>
        <v>Residential</v>
      </c>
      <c r="G529" s="241" t="str">
        <f>INDEX('VDSM MAPPING'!F:F,MATCH($D529,'VDSM MAPPING'!$A:$A,0))</f>
        <v>Residential Lighting</v>
      </c>
      <c r="H529" s="241" t="str">
        <f>INDEX('VDSM MAPPING'!G:G,MATCH($D529,'VDSM MAPPING'!$A:$A,0))</f>
        <v>Lighting</v>
      </c>
      <c r="I529" s="241" t="str">
        <f>INDEX('VDSM MAPPING'!H:H,MATCH($D529,'VDSM MAPPING'!$A:$A,0))</f>
        <v>LED</v>
      </c>
      <c r="J529" s="240">
        <f t="shared" si="105"/>
        <v>-3.2328225149396955E-2</v>
      </c>
      <c r="K529" s="240">
        <f t="shared" si="106"/>
        <v>0.93375789512839591</v>
      </c>
      <c r="L529" s="240" t="b">
        <f t="shared" si="107"/>
        <v>0</v>
      </c>
      <c r="M529" s="240" t="b">
        <f t="shared" si="108"/>
        <v>0</v>
      </c>
      <c r="N529" s="204" t="s">
        <v>289</v>
      </c>
      <c r="O529" s="204" t="s">
        <v>842</v>
      </c>
      <c r="P529" s="350">
        <v>1</v>
      </c>
      <c r="Q529" s="204" t="s">
        <v>842</v>
      </c>
      <c r="R529" s="204" t="s">
        <v>841</v>
      </c>
      <c r="S529" s="204" t="s">
        <v>840</v>
      </c>
      <c r="T529" s="204" t="s">
        <v>839</v>
      </c>
      <c r="V529" s="204" t="s">
        <v>838</v>
      </c>
      <c r="W529" s="204" t="s">
        <v>329</v>
      </c>
      <c r="X529" s="204" t="s">
        <v>297</v>
      </c>
      <c r="Y529" s="204" t="s">
        <v>328</v>
      </c>
      <c r="Z529" s="204" t="s">
        <v>837</v>
      </c>
      <c r="AA529" s="204" t="s">
        <v>836</v>
      </c>
      <c r="AB529" s="204" t="s">
        <v>329</v>
      </c>
      <c r="AC529" s="204" t="s">
        <v>297</v>
      </c>
      <c r="AD529" s="204" t="s">
        <v>397</v>
      </c>
      <c r="AE529" s="204" t="s">
        <v>835</v>
      </c>
      <c r="AF529" s="204" t="s">
        <v>834</v>
      </c>
      <c r="AG529" s="204" t="s">
        <v>791</v>
      </c>
      <c r="AH529" s="204" t="s">
        <v>151</v>
      </c>
      <c r="AV529" s="204" t="s">
        <v>844</v>
      </c>
      <c r="AX529" s="204">
        <v>4</v>
      </c>
      <c r="AY529" s="204">
        <v>0</v>
      </c>
      <c r="AZ529" s="204">
        <v>1.4800000000000001E-2</v>
      </c>
      <c r="BB529" s="204">
        <v>127.05200000000001</v>
      </c>
      <c r="BH529" s="204">
        <v>0</v>
      </c>
      <c r="BI529" s="204">
        <v>19.96</v>
      </c>
      <c r="BJ529" s="204">
        <v>42972</v>
      </c>
      <c r="BK529" s="204">
        <v>42972.787207673602</v>
      </c>
      <c r="BL529" s="204" t="s">
        <v>293</v>
      </c>
      <c r="BM529" s="204" t="s">
        <v>843</v>
      </c>
      <c r="BN529" s="242">
        <f t="shared" si="109"/>
        <v>31.763000000000002</v>
      </c>
      <c r="BO529" s="269">
        <f t="shared" si="110"/>
        <v>4.99</v>
      </c>
      <c r="BP529" s="269">
        <f>INDEX('App Data Outliers'!$M:$M,MATCH($E529,'App Data Outliers'!$A:$A,0))</f>
        <v>31.912660854402784</v>
      </c>
      <c r="BQ529" s="269">
        <f>INDEX('App Data Outliers'!$N:$N,MATCH($E529,'App Data Outliers'!$A:$A,0))</f>
        <v>4.6294175975068628</v>
      </c>
      <c r="BR529" s="269">
        <f>INDEX('App Data Outliers'!$S:$S,MATCH($E529,'App Data Outliers'!$A:$A,0))</f>
        <v>3.9162224934612029</v>
      </c>
      <c r="BS529" s="269">
        <f>INDEX('App Data Outliers'!$T:$T,MATCH($E529,'App Data Outliers'!$A:$A,0))</f>
        <v>1.1499528005502413</v>
      </c>
    </row>
    <row r="530" spans="1:71" s="204" customFormat="1" hidden="1">
      <c r="A530" s="241">
        <v>526</v>
      </c>
      <c r="B530" s="241" t="str">
        <f t="shared" si="101"/>
        <v>Residential - BHPSD - Residential Lighting &amp; Appliances</v>
      </c>
      <c r="C530" s="241" t="b">
        <f t="shared" si="102"/>
        <v>1</v>
      </c>
      <c r="D530" s="241" t="str">
        <f t="shared" si="103"/>
        <v>Residential - BHPSD - Residential Lighting &amp; Appliances_Residential Lighting &amp; Appliances :- LED :- Customer Incentives_LED</v>
      </c>
      <c r="E530" s="241" t="str">
        <f t="shared" si="104"/>
        <v>Residential_Residential Lighting_Lighting_LED</v>
      </c>
      <c r="F530" s="241" t="str">
        <f>INDEX('VDSM MAPPING'!E:E,MATCH($D530,'VDSM MAPPING'!$A:$A,0))</f>
        <v>Residential</v>
      </c>
      <c r="G530" s="241" t="str">
        <f>INDEX('VDSM MAPPING'!F:F,MATCH($D530,'VDSM MAPPING'!$A:$A,0))</f>
        <v>Residential Lighting</v>
      </c>
      <c r="H530" s="241" t="str">
        <f>INDEX('VDSM MAPPING'!G:G,MATCH($D530,'VDSM MAPPING'!$A:$A,0))</f>
        <v>Lighting</v>
      </c>
      <c r="I530" s="241" t="str">
        <f>INDEX('VDSM MAPPING'!H:H,MATCH($D530,'VDSM MAPPING'!$A:$A,0))</f>
        <v>LED</v>
      </c>
      <c r="J530" s="240">
        <f t="shared" si="105"/>
        <v>0.40336372907962731</v>
      </c>
      <c r="K530" s="240">
        <f t="shared" si="106"/>
        <v>-0.45760355834553418</v>
      </c>
      <c r="L530" s="240" t="b">
        <f t="shared" si="107"/>
        <v>0</v>
      </c>
      <c r="M530" s="240" t="b">
        <f t="shared" si="108"/>
        <v>0</v>
      </c>
      <c r="N530" s="204" t="s">
        <v>289</v>
      </c>
      <c r="O530" s="204" t="s">
        <v>842</v>
      </c>
      <c r="P530" s="350">
        <v>0</v>
      </c>
      <c r="Q530" s="204" t="s">
        <v>842</v>
      </c>
      <c r="R530" s="204" t="s">
        <v>841</v>
      </c>
      <c r="S530" s="204" t="s">
        <v>840</v>
      </c>
      <c r="T530" s="204" t="s">
        <v>839</v>
      </c>
      <c r="V530" s="204" t="s">
        <v>838</v>
      </c>
      <c r="W530" s="204" t="s">
        <v>329</v>
      </c>
      <c r="X530" s="204" t="s">
        <v>297</v>
      </c>
      <c r="Y530" s="204" t="s">
        <v>328</v>
      </c>
      <c r="Z530" s="204" t="s">
        <v>837</v>
      </c>
      <c r="AA530" s="204" t="s">
        <v>836</v>
      </c>
      <c r="AB530" s="204" t="s">
        <v>329</v>
      </c>
      <c r="AC530" s="204" t="s">
        <v>297</v>
      </c>
      <c r="AD530" s="204" t="s">
        <v>397</v>
      </c>
      <c r="AE530" s="204" t="s">
        <v>835</v>
      </c>
      <c r="AF530" s="204" t="s">
        <v>834</v>
      </c>
      <c r="AG530" s="204" t="s">
        <v>791</v>
      </c>
      <c r="AH530" s="204" t="s">
        <v>151</v>
      </c>
      <c r="AV530" s="204" t="s">
        <v>833</v>
      </c>
      <c r="AX530" s="204">
        <v>4</v>
      </c>
      <c r="AY530" s="204">
        <v>0</v>
      </c>
      <c r="AZ530" s="204">
        <v>1.6E-2</v>
      </c>
      <c r="BB530" s="204">
        <v>135.12</v>
      </c>
      <c r="BH530" s="204">
        <v>0</v>
      </c>
      <c r="BI530" s="204">
        <v>13.56</v>
      </c>
      <c r="BJ530" s="204">
        <v>42972</v>
      </c>
      <c r="BK530" s="204">
        <v>42972.787207673602</v>
      </c>
      <c r="BL530" s="204" t="s">
        <v>293</v>
      </c>
      <c r="BM530" s="204" t="s">
        <v>832</v>
      </c>
      <c r="BN530" s="242">
        <f t="shared" si="109"/>
        <v>33.78</v>
      </c>
      <c r="BO530" s="269">
        <f t="shared" si="110"/>
        <v>3.39</v>
      </c>
      <c r="BP530" s="269">
        <f>INDEX('App Data Outliers'!$M:$M,MATCH($E530,'App Data Outliers'!$A:$A,0))</f>
        <v>31.912660854402784</v>
      </c>
      <c r="BQ530" s="269">
        <f>INDEX('App Data Outliers'!$N:$N,MATCH($E530,'App Data Outliers'!$A:$A,0))</f>
        <v>4.6294175975068628</v>
      </c>
      <c r="BR530" s="269">
        <f>INDEX('App Data Outliers'!$S:$S,MATCH($E530,'App Data Outliers'!$A:$A,0))</f>
        <v>3.9162224934612029</v>
      </c>
      <c r="BS530" s="269">
        <f>INDEX('App Data Outliers'!$T:$T,MATCH($E530,'App Data Outliers'!$A:$A,0))</f>
        <v>1.1499528005502413</v>
      </c>
    </row>
    <row r="531" spans="1:71" s="204" customFormat="1" hidden="1">
      <c r="A531" s="241">
        <v>527</v>
      </c>
      <c r="B531" s="241" t="str">
        <f t="shared" si="101"/>
        <v>Residential - BHPSD - Residential Lighting &amp; Appliances</v>
      </c>
      <c r="C531" s="241" t="b">
        <f t="shared" si="102"/>
        <v>1</v>
      </c>
      <c r="D531" s="241" t="str">
        <f t="shared" si="103"/>
        <v>Residential - BHPSD - Residential Lighting &amp; Appliances_Residential Lighting &amp; Appliances :- LED :- Customer Incentives_LED</v>
      </c>
      <c r="E531" s="241" t="str">
        <f t="shared" si="104"/>
        <v>Residential_Residential Lighting_Lighting_LED</v>
      </c>
      <c r="F531" s="241" t="str">
        <f>INDEX('VDSM MAPPING'!E:E,MATCH($D531,'VDSM MAPPING'!$A:$A,0))</f>
        <v>Residential</v>
      </c>
      <c r="G531" s="241" t="str">
        <f>INDEX('VDSM MAPPING'!F:F,MATCH($D531,'VDSM MAPPING'!$A:$A,0))</f>
        <v>Residential Lighting</v>
      </c>
      <c r="H531" s="241" t="str">
        <f>INDEX('VDSM MAPPING'!G:G,MATCH($D531,'VDSM MAPPING'!$A:$A,0))</f>
        <v>Lighting</v>
      </c>
      <c r="I531" s="241" t="str">
        <f>INDEX('VDSM MAPPING'!H:H,MATCH($D531,'VDSM MAPPING'!$A:$A,0))</f>
        <v>LED</v>
      </c>
      <c r="J531" s="240">
        <f t="shared" si="105"/>
        <v>0.40336372907962731</v>
      </c>
      <c r="K531" s="240">
        <f t="shared" si="106"/>
        <v>-0.84022795805086481</v>
      </c>
      <c r="L531" s="240" t="b">
        <f t="shared" si="107"/>
        <v>0</v>
      </c>
      <c r="M531" s="240" t="b">
        <f t="shared" si="108"/>
        <v>0</v>
      </c>
      <c r="N531" s="204" t="s">
        <v>289</v>
      </c>
      <c r="O531" s="204" t="s">
        <v>831</v>
      </c>
      <c r="P531" s="350">
        <v>1</v>
      </c>
      <c r="Q531" s="204" t="s">
        <v>831</v>
      </c>
      <c r="R531" s="204" t="s">
        <v>830</v>
      </c>
      <c r="S531" s="204" t="s">
        <v>829</v>
      </c>
      <c r="T531" s="204" t="s">
        <v>828</v>
      </c>
      <c r="V531" s="204" t="s">
        <v>827</v>
      </c>
      <c r="W531" s="204" t="s">
        <v>337</v>
      </c>
      <c r="X531" s="204" t="s">
        <v>297</v>
      </c>
      <c r="Y531" s="204" t="s">
        <v>336</v>
      </c>
      <c r="Z531" s="204" t="s">
        <v>601</v>
      </c>
      <c r="AA531" s="204" t="s">
        <v>600</v>
      </c>
      <c r="AB531" s="204" t="s">
        <v>329</v>
      </c>
      <c r="AC531" s="204" t="s">
        <v>297</v>
      </c>
      <c r="AD531" s="204" t="s">
        <v>599</v>
      </c>
      <c r="AE531" s="204" t="s">
        <v>598</v>
      </c>
      <c r="AG531" s="204" t="s">
        <v>791</v>
      </c>
      <c r="AH531" s="204" t="s">
        <v>151</v>
      </c>
      <c r="AX531" s="204">
        <v>10</v>
      </c>
      <c r="AY531" s="204">
        <v>0</v>
      </c>
      <c r="AZ531" s="204">
        <v>0.04</v>
      </c>
      <c r="BB531" s="204">
        <v>337.8</v>
      </c>
      <c r="BH531" s="204">
        <v>0</v>
      </c>
      <c r="BI531" s="204">
        <v>29.5</v>
      </c>
      <c r="BJ531" s="204">
        <v>42975</v>
      </c>
      <c r="BK531" s="204">
        <v>42975.577299305602</v>
      </c>
      <c r="BL531" s="204" t="s">
        <v>293</v>
      </c>
      <c r="BM531" s="204" t="s">
        <v>826</v>
      </c>
      <c r="BN531" s="242">
        <f t="shared" si="109"/>
        <v>33.78</v>
      </c>
      <c r="BO531" s="243">
        <f t="shared" si="110"/>
        <v>2.95</v>
      </c>
      <c r="BP531" s="269">
        <f>INDEX('App Data Outliers'!$M:$M,MATCH($E531,'App Data Outliers'!$A:$A,0))</f>
        <v>31.912660854402784</v>
      </c>
      <c r="BQ531" s="243">
        <f>INDEX('App Data Outliers'!$N:$N,MATCH($E531,'App Data Outliers'!$A:$A,0))</f>
        <v>4.6294175975068628</v>
      </c>
      <c r="BR531" s="243">
        <f>INDEX('App Data Outliers'!$S:$S,MATCH($E531,'App Data Outliers'!$A:$A,0))</f>
        <v>3.9162224934612029</v>
      </c>
      <c r="BS531" s="243">
        <f>INDEX('App Data Outliers'!$T:$T,MATCH($E531,'App Data Outliers'!$A:$A,0))</f>
        <v>1.1499528005502413</v>
      </c>
    </row>
    <row r="532" spans="1:71" s="204" customFormat="1" hidden="1">
      <c r="A532" s="241">
        <v>528</v>
      </c>
      <c r="B532" s="241" t="str">
        <f t="shared" si="101"/>
        <v>Residential - BHPSD - Residential Lighting &amp; Appliances</v>
      </c>
      <c r="C532" s="241" t="b">
        <f t="shared" si="102"/>
        <v>1</v>
      </c>
      <c r="D532" s="241" t="str">
        <f t="shared" si="103"/>
        <v>Residential - BHPSD - Residential Lighting &amp; Appliances_Residential Lighting &amp; Appliances :- LED :- Customer Incentives_LED</v>
      </c>
      <c r="E532" s="241" t="str">
        <f t="shared" si="104"/>
        <v>Residential_Residential Lighting_Lighting_LED</v>
      </c>
      <c r="F532" s="241" t="str">
        <f>INDEX('VDSM MAPPING'!E:E,MATCH($D532,'VDSM MAPPING'!$A:$A,0))</f>
        <v>Residential</v>
      </c>
      <c r="G532" s="241" t="str">
        <f>INDEX('VDSM MAPPING'!F:F,MATCH($D532,'VDSM MAPPING'!$A:$A,0))</f>
        <v>Residential Lighting</v>
      </c>
      <c r="H532" s="241" t="str">
        <f>INDEX('VDSM MAPPING'!G:G,MATCH($D532,'VDSM MAPPING'!$A:$A,0))</f>
        <v>Lighting</v>
      </c>
      <c r="I532" s="241" t="str">
        <f>INDEX('VDSM MAPPING'!H:H,MATCH($D532,'VDSM MAPPING'!$A:$A,0))</f>
        <v>LED</v>
      </c>
      <c r="J532" s="240">
        <f t="shared" si="105"/>
        <v>0.40336372907962731</v>
      </c>
      <c r="K532" s="240">
        <f t="shared" si="106"/>
        <v>7.2852995791401517E-2</v>
      </c>
      <c r="L532" s="240" t="b">
        <f t="shared" si="107"/>
        <v>0</v>
      </c>
      <c r="M532" s="240" t="b">
        <f t="shared" si="108"/>
        <v>0</v>
      </c>
      <c r="N532" s="204" t="s">
        <v>289</v>
      </c>
      <c r="O532" s="204" t="s">
        <v>823</v>
      </c>
      <c r="P532" s="350">
        <v>1</v>
      </c>
      <c r="Q532" s="204" t="s">
        <v>823</v>
      </c>
      <c r="R532" s="204" t="s">
        <v>822</v>
      </c>
      <c r="S532" s="204" t="s">
        <v>821</v>
      </c>
      <c r="T532" s="204" t="s">
        <v>820</v>
      </c>
      <c r="V532" s="204" t="s">
        <v>819</v>
      </c>
      <c r="W532" s="204" t="s">
        <v>329</v>
      </c>
      <c r="X532" s="204" t="s">
        <v>297</v>
      </c>
      <c r="Y532" s="204" t="s">
        <v>328</v>
      </c>
      <c r="Z532" s="204" t="s">
        <v>601</v>
      </c>
      <c r="AA532" s="204" t="s">
        <v>600</v>
      </c>
      <c r="AB532" s="204" t="s">
        <v>329</v>
      </c>
      <c r="AC532" s="204" t="s">
        <v>297</v>
      </c>
      <c r="AD532" s="204" t="s">
        <v>599</v>
      </c>
      <c r="AE532" s="204" t="s">
        <v>598</v>
      </c>
      <c r="AG532" s="204" t="s">
        <v>791</v>
      </c>
      <c r="AH532" s="204" t="s">
        <v>151</v>
      </c>
      <c r="AX532" s="204">
        <v>4</v>
      </c>
      <c r="AY532" s="204">
        <v>0</v>
      </c>
      <c r="AZ532" s="204">
        <v>1.6E-2</v>
      </c>
      <c r="BB532" s="204">
        <v>135.12</v>
      </c>
      <c r="BH532" s="204">
        <v>0</v>
      </c>
      <c r="BI532" s="204">
        <v>16</v>
      </c>
      <c r="BJ532" s="204">
        <v>42975</v>
      </c>
      <c r="BK532" s="204">
        <v>42975.578472569403</v>
      </c>
      <c r="BL532" s="204" t="s">
        <v>293</v>
      </c>
      <c r="BM532" s="204" t="s">
        <v>824</v>
      </c>
      <c r="BN532" s="242">
        <f t="shared" si="109"/>
        <v>33.78</v>
      </c>
      <c r="BO532" s="269">
        <f t="shared" si="110"/>
        <v>4</v>
      </c>
      <c r="BP532" s="269">
        <f>INDEX('App Data Outliers'!$M:$M,MATCH($E532,'App Data Outliers'!$A:$A,0))</f>
        <v>31.912660854402784</v>
      </c>
      <c r="BQ532" s="269">
        <f>INDEX('App Data Outliers'!$N:$N,MATCH($E532,'App Data Outliers'!$A:$A,0))</f>
        <v>4.6294175975068628</v>
      </c>
      <c r="BR532" s="269">
        <f>INDEX('App Data Outliers'!$S:$S,MATCH($E532,'App Data Outliers'!$A:$A,0))</f>
        <v>3.9162224934612029</v>
      </c>
      <c r="BS532" s="269">
        <f>INDEX('App Data Outliers'!$T:$T,MATCH($E532,'App Data Outliers'!$A:$A,0))</f>
        <v>1.1499528005502413</v>
      </c>
    </row>
    <row r="533" spans="1:71" s="204" customFormat="1" hidden="1">
      <c r="A533" s="241">
        <v>529</v>
      </c>
      <c r="B533" s="241" t="str">
        <f t="shared" si="101"/>
        <v>Residential - BHPSD - Residential Lighting &amp; Appliances</v>
      </c>
      <c r="C533" s="241" t="b">
        <f t="shared" si="102"/>
        <v>1</v>
      </c>
      <c r="D533" s="241" t="str">
        <f t="shared" si="103"/>
        <v>Residential - BHPSD - Residential Lighting &amp; Appliances_Residential Lighting &amp; Appliances :- LED :- Customer Incentives_LED</v>
      </c>
      <c r="E533" s="241" t="str">
        <f t="shared" si="104"/>
        <v>Residential_Residential Lighting_Lighting_LED</v>
      </c>
      <c r="F533" s="241" t="str">
        <f>INDEX('VDSM MAPPING'!E:E,MATCH($D533,'VDSM MAPPING'!$A:$A,0))</f>
        <v>Residential</v>
      </c>
      <c r="G533" s="241" t="str">
        <f>INDEX('VDSM MAPPING'!F:F,MATCH($D533,'VDSM MAPPING'!$A:$A,0))</f>
        <v>Residential Lighting</v>
      </c>
      <c r="H533" s="241" t="str">
        <f>INDEX('VDSM MAPPING'!G:G,MATCH($D533,'VDSM MAPPING'!$A:$A,0))</f>
        <v>Lighting</v>
      </c>
      <c r="I533" s="241" t="str">
        <f>INDEX('VDSM MAPPING'!H:H,MATCH($D533,'VDSM MAPPING'!$A:$A,0))</f>
        <v>LED</v>
      </c>
      <c r="J533" s="240">
        <f t="shared" si="105"/>
        <v>-1.7748800321724707</v>
      </c>
      <c r="K533" s="240">
        <f t="shared" si="106"/>
        <v>-1.1880683214193477</v>
      </c>
      <c r="L533" s="240" t="b">
        <f t="shared" si="107"/>
        <v>0</v>
      </c>
      <c r="M533" s="240" t="b">
        <f t="shared" si="108"/>
        <v>0</v>
      </c>
      <c r="N533" s="204" t="s">
        <v>289</v>
      </c>
      <c r="O533" s="204" t="s">
        <v>823</v>
      </c>
      <c r="P533" s="350">
        <v>0</v>
      </c>
      <c r="Q533" s="204" t="s">
        <v>823</v>
      </c>
      <c r="R533" s="204" t="s">
        <v>822</v>
      </c>
      <c r="S533" s="204" t="s">
        <v>821</v>
      </c>
      <c r="T533" s="204" t="s">
        <v>820</v>
      </c>
      <c r="V533" s="204" t="s">
        <v>819</v>
      </c>
      <c r="W533" s="204" t="s">
        <v>329</v>
      </c>
      <c r="X533" s="204" t="s">
        <v>297</v>
      </c>
      <c r="Y533" s="204" t="s">
        <v>328</v>
      </c>
      <c r="Z533" s="204" t="s">
        <v>601</v>
      </c>
      <c r="AA533" s="204" t="s">
        <v>600</v>
      </c>
      <c r="AB533" s="204" t="s">
        <v>329</v>
      </c>
      <c r="AC533" s="204" t="s">
        <v>297</v>
      </c>
      <c r="AD533" s="204" t="s">
        <v>599</v>
      </c>
      <c r="AE533" s="204" t="s">
        <v>598</v>
      </c>
      <c r="AG533" s="204" t="s">
        <v>791</v>
      </c>
      <c r="AH533" s="204" t="s">
        <v>151</v>
      </c>
      <c r="AX533" s="204">
        <v>1</v>
      </c>
      <c r="AY533" s="204">
        <v>0</v>
      </c>
      <c r="AZ533" s="204">
        <v>2.8E-3</v>
      </c>
      <c r="BB533" s="204">
        <v>23.696000000000002</v>
      </c>
      <c r="BH533" s="204">
        <v>0</v>
      </c>
      <c r="BI533" s="204">
        <v>2.5499999999999998</v>
      </c>
      <c r="BJ533" s="204">
        <v>42975</v>
      </c>
      <c r="BK533" s="204">
        <v>42975.578472569403</v>
      </c>
      <c r="BL533" s="204" t="s">
        <v>293</v>
      </c>
      <c r="BM533" s="204" t="s">
        <v>818</v>
      </c>
      <c r="BN533" s="242">
        <f t="shared" si="109"/>
        <v>23.696000000000002</v>
      </c>
      <c r="BO533" s="269">
        <f t="shared" si="110"/>
        <v>2.5499999999999998</v>
      </c>
      <c r="BP533" s="269">
        <f>INDEX('App Data Outliers'!$M:$M,MATCH($E533,'App Data Outliers'!$A:$A,0))</f>
        <v>31.912660854402784</v>
      </c>
      <c r="BQ533" s="269">
        <f>INDEX('App Data Outliers'!$N:$N,MATCH($E533,'App Data Outliers'!$A:$A,0))</f>
        <v>4.6294175975068628</v>
      </c>
      <c r="BR533" s="269">
        <f>INDEX('App Data Outliers'!$S:$S,MATCH($E533,'App Data Outliers'!$A:$A,0))</f>
        <v>3.9162224934612029</v>
      </c>
      <c r="BS533" s="269">
        <f>INDEX('App Data Outliers'!$T:$T,MATCH($E533,'App Data Outliers'!$A:$A,0))</f>
        <v>1.1499528005502413</v>
      </c>
    </row>
    <row r="534" spans="1:71" s="204" customFormat="1" hidden="1">
      <c r="A534" s="241">
        <v>530</v>
      </c>
      <c r="B534" s="241" t="str">
        <f t="shared" si="101"/>
        <v>Residential - BHPSD - Residential Lighting &amp; Appliances</v>
      </c>
      <c r="C534" s="241" t="b">
        <f t="shared" si="102"/>
        <v>1</v>
      </c>
      <c r="D534" s="241" t="str">
        <f t="shared" si="103"/>
        <v>Residential - BHPSD - Residential Lighting &amp; Appliances_Residential Lighting &amp; Appliances :- LED :- Customer Incentives_LED</v>
      </c>
      <c r="E534" s="241" t="str">
        <f t="shared" si="104"/>
        <v>Residential_Residential Lighting_Lighting_LED</v>
      </c>
      <c r="F534" s="241" t="str">
        <f>INDEX('VDSM MAPPING'!E:E,MATCH($D534,'VDSM MAPPING'!$A:$A,0))</f>
        <v>Residential</v>
      </c>
      <c r="G534" s="241" t="str">
        <f>INDEX('VDSM MAPPING'!F:F,MATCH($D534,'VDSM MAPPING'!$A:$A,0))</f>
        <v>Residential Lighting</v>
      </c>
      <c r="H534" s="241" t="str">
        <f>INDEX('VDSM MAPPING'!G:G,MATCH($D534,'VDSM MAPPING'!$A:$A,0))</f>
        <v>Lighting</v>
      </c>
      <c r="I534" s="241" t="str">
        <f>INDEX('VDSM MAPPING'!H:H,MATCH($D534,'VDSM MAPPING'!$A:$A,0))</f>
        <v>LED</v>
      </c>
      <c r="J534" s="240">
        <f t="shared" si="105"/>
        <v>0.40336372907962731</v>
      </c>
      <c r="K534" s="240">
        <f t="shared" si="106"/>
        <v>-0.84022795805086481</v>
      </c>
      <c r="L534" s="240" t="b">
        <f t="shared" si="107"/>
        <v>0</v>
      </c>
      <c r="M534" s="240" t="b">
        <f t="shared" si="108"/>
        <v>0</v>
      </c>
      <c r="N534" s="204" t="s">
        <v>289</v>
      </c>
      <c r="O534" s="204" t="s">
        <v>823</v>
      </c>
      <c r="P534" s="350">
        <v>0</v>
      </c>
      <c r="Q534" s="204" t="s">
        <v>823</v>
      </c>
      <c r="R534" s="204" t="s">
        <v>822</v>
      </c>
      <c r="S534" s="204" t="s">
        <v>821</v>
      </c>
      <c r="T534" s="204" t="s">
        <v>820</v>
      </c>
      <c r="V534" s="204" t="s">
        <v>819</v>
      </c>
      <c r="W534" s="204" t="s">
        <v>329</v>
      </c>
      <c r="X534" s="204" t="s">
        <v>297</v>
      </c>
      <c r="Y534" s="204" t="s">
        <v>328</v>
      </c>
      <c r="Z534" s="204" t="s">
        <v>601</v>
      </c>
      <c r="AA534" s="204" t="s">
        <v>600</v>
      </c>
      <c r="AB534" s="204" t="s">
        <v>329</v>
      </c>
      <c r="AC534" s="204" t="s">
        <v>297</v>
      </c>
      <c r="AD534" s="204" t="s">
        <v>599</v>
      </c>
      <c r="AE534" s="204" t="s">
        <v>598</v>
      </c>
      <c r="AG534" s="204" t="s">
        <v>791</v>
      </c>
      <c r="AH534" s="204" t="s">
        <v>151</v>
      </c>
      <c r="AX534" s="204">
        <v>1</v>
      </c>
      <c r="AY534" s="204">
        <v>0</v>
      </c>
      <c r="AZ534" s="204">
        <v>4.0000000000000001E-3</v>
      </c>
      <c r="BB534" s="204">
        <v>33.78</v>
      </c>
      <c r="BH534" s="204">
        <v>0</v>
      </c>
      <c r="BI534" s="204">
        <v>2.95</v>
      </c>
      <c r="BJ534" s="204">
        <v>42975</v>
      </c>
      <c r="BK534" s="204">
        <v>42975.578472569403</v>
      </c>
      <c r="BL534" s="204" t="s">
        <v>293</v>
      </c>
      <c r="BM534" s="204" t="s">
        <v>825</v>
      </c>
      <c r="BN534" s="242">
        <f t="shared" si="109"/>
        <v>33.78</v>
      </c>
      <c r="BO534" s="269">
        <f t="shared" si="110"/>
        <v>2.95</v>
      </c>
      <c r="BP534" s="269">
        <f>INDEX('App Data Outliers'!$M:$M,MATCH($E534,'App Data Outliers'!$A:$A,0))</f>
        <v>31.912660854402784</v>
      </c>
      <c r="BQ534" s="269">
        <f>INDEX('App Data Outliers'!$N:$N,MATCH($E534,'App Data Outliers'!$A:$A,0))</f>
        <v>4.6294175975068628</v>
      </c>
      <c r="BR534" s="269">
        <f>INDEX('App Data Outliers'!$S:$S,MATCH($E534,'App Data Outliers'!$A:$A,0))</f>
        <v>3.9162224934612029</v>
      </c>
      <c r="BS534" s="269">
        <f>INDEX('App Data Outliers'!$T:$T,MATCH($E534,'App Data Outliers'!$A:$A,0))</f>
        <v>1.1499528005502413</v>
      </c>
    </row>
    <row r="535" spans="1:71" s="204" customFormat="1" hidden="1">
      <c r="A535" s="241">
        <v>531</v>
      </c>
      <c r="B535" s="241" t="str">
        <f t="shared" si="101"/>
        <v>Residential - BHPSD - Residential Lighting &amp; Appliances</v>
      </c>
      <c r="C535" s="241" t="b">
        <f t="shared" si="102"/>
        <v>1</v>
      </c>
      <c r="D535" s="241" t="str">
        <f t="shared" si="103"/>
        <v>Residential - BHPSD - Residential Lighting &amp; Appliances_Residential Lighting &amp; Appliances :- LED :- Customer Incentives_LED</v>
      </c>
      <c r="E535" s="241" t="str">
        <f t="shared" si="104"/>
        <v>Residential_Residential Lighting_Lighting_LED</v>
      </c>
      <c r="F535" s="241" t="str">
        <f>INDEX('VDSM MAPPING'!E:E,MATCH($D535,'VDSM MAPPING'!$A:$A,0))</f>
        <v>Residential</v>
      </c>
      <c r="G535" s="241" t="str">
        <f>INDEX('VDSM MAPPING'!F:F,MATCH($D535,'VDSM MAPPING'!$A:$A,0))</f>
        <v>Residential Lighting</v>
      </c>
      <c r="H535" s="241" t="str">
        <f>INDEX('VDSM MAPPING'!G:G,MATCH($D535,'VDSM MAPPING'!$A:$A,0))</f>
        <v>Lighting</v>
      </c>
      <c r="I535" s="241" t="str">
        <f>INDEX('VDSM MAPPING'!H:H,MATCH($D535,'VDSM MAPPING'!$A:$A,0))</f>
        <v>LED</v>
      </c>
      <c r="J535" s="240">
        <f t="shared" si="105"/>
        <v>0.40336372907962731</v>
      </c>
      <c r="K535" s="240">
        <f t="shared" si="106"/>
        <v>-0.84022795805086525</v>
      </c>
      <c r="L535" s="240" t="b">
        <f t="shared" si="107"/>
        <v>0</v>
      </c>
      <c r="M535" s="240" t="b">
        <f t="shared" si="108"/>
        <v>0</v>
      </c>
      <c r="N535" s="204" t="s">
        <v>289</v>
      </c>
      <c r="O535" s="204" t="s">
        <v>816</v>
      </c>
      <c r="P535" s="350">
        <v>1</v>
      </c>
      <c r="Q535" s="204" t="s">
        <v>816</v>
      </c>
      <c r="R535" s="204" t="s">
        <v>815</v>
      </c>
      <c r="S535" s="204" t="s">
        <v>814</v>
      </c>
      <c r="T535" s="204" t="s">
        <v>813</v>
      </c>
      <c r="V535" s="204" t="s">
        <v>812</v>
      </c>
      <c r="W535" s="204" t="s">
        <v>413</v>
      </c>
      <c r="X535" s="204" t="s">
        <v>297</v>
      </c>
      <c r="Y535" s="204" t="s">
        <v>412</v>
      </c>
      <c r="Z535" s="204" t="s">
        <v>601</v>
      </c>
      <c r="AA535" s="204" t="s">
        <v>600</v>
      </c>
      <c r="AB535" s="204" t="s">
        <v>329</v>
      </c>
      <c r="AC535" s="204" t="s">
        <v>297</v>
      </c>
      <c r="AD535" s="204" t="s">
        <v>599</v>
      </c>
      <c r="AE535" s="204" t="s">
        <v>598</v>
      </c>
      <c r="AG535" s="204" t="s">
        <v>791</v>
      </c>
      <c r="AH535" s="204" t="s">
        <v>151</v>
      </c>
      <c r="AX535" s="204">
        <v>3</v>
      </c>
      <c r="AY535" s="204">
        <v>0</v>
      </c>
      <c r="AZ535" s="204">
        <v>1.2E-2</v>
      </c>
      <c r="BB535" s="204">
        <v>101.34</v>
      </c>
      <c r="BH535" s="204">
        <v>0</v>
      </c>
      <c r="BI535" s="204">
        <v>8.85</v>
      </c>
      <c r="BJ535" s="204">
        <v>42976</v>
      </c>
      <c r="BK535" s="204">
        <v>42976.530683252298</v>
      </c>
      <c r="BL535" s="204" t="s">
        <v>293</v>
      </c>
      <c r="BM535" s="204" t="s">
        <v>811</v>
      </c>
      <c r="BN535" s="242">
        <f t="shared" si="109"/>
        <v>33.78</v>
      </c>
      <c r="BO535" s="269">
        <f t="shared" si="110"/>
        <v>2.9499999999999997</v>
      </c>
      <c r="BP535" s="269">
        <f>INDEX('App Data Outliers'!$M:$M,MATCH($E535,'App Data Outliers'!$A:$A,0))</f>
        <v>31.912660854402784</v>
      </c>
      <c r="BQ535" s="269">
        <f>INDEX('App Data Outliers'!$N:$N,MATCH($E535,'App Data Outliers'!$A:$A,0))</f>
        <v>4.6294175975068628</v>
      </c>
      <c r="BR535" s="269">
        <f>INDEX('App Data Outliers'!$S:$S,MATCH($E535,'App Data Outliers'!$A:$A,0))</f>
        <v>3.9162224934612029</v>
      </c>
      <c r="BS535" s="269">
        <f>INDEX('App Data Outliers'!$T:$T,MATCH($E535,'App Data Outliers'!$A:$A,0))</f>
        <v>1.1499528005502413</v>
      </c>
    </row>
    <row r="536" spans="1:71" s="204" customFormat="1" hidden="1">
      <c r="A536" s="241">
        <v>532</v>
      </c>
      <c r="B536" s="241" t="str">
        <f t="shared" si="101"/>
        <v>Residential - BHPSD - Residential Lighting &amp; Appliances</v>
      </c>
      <c r="C536" s="241" t="b">
        <f t="shared" si="102"/>
        <v>1</v>
      </c>
      <c r="D536" s="241" t="str">
        <f t="shared" si="103"/>
        <v>Residential - BHPSD - Residential Lighting &amp; Appliances_Residential Lighting &amp; Appliances :- LED :- Customer Incentives_LED</v>
      </c>
      <c r="E536" s="241" t="str">
        <f t="shared" si="104"/>
        <v>Residential_Residential Lighting_Lighting_LED</v>
      </c>
      <c r="F536" s="241" t="str">
        <f>INDEX('VDSM MAPPING'!E:E,MATCH($D536,'VDSM MAPPING'!$A:$A,0))</f>
        <v>Residential</v>
      </c>
      <c r="G536" s="241" t="str">
        <f>INDEX('VDSM MAPPING'!F:F,MATCH($D536,'VDSM MAPPING'!$A:$A,0))</f>
        <v>Residential Lighting</v>
      </c>
      <c r="H536" s="241" t="str">
        <f>INDEX('VDSM MAPPING'!G:G,MATCH($D536,'VDSM MAPPING'!$A:$A,0))</f>
        <v>Lighting</v>
      </c>
      <c r="I536" s="241" t="str">
        <f>INDEX('VDSM MAPPING'!H:H,MATCH($D536,'VDSM MAPPING'!$A:$A,0))</f>
        <v>LED</v>
      </c>
      <c r="J536" s="240">
        <f t="shared" si="105"/>
        <v>-1.7748800321724714</v>
      </c>
      <c r="K536" s="240">
        <f t="shared" si="106"/>
        <v>-1.1880683214193473</v>
      </c>
      <c r="L536" s="240" t="b">
        <f t="shared" si="107"/>
        <v>0</v>
      </c>
      <c r="M536" s="240" t="b">
        <f t="shared" si="108"/>
        <v>0</v>
      </c>
      <c r="N536" s="204" t="s">
        <v>289</v>
      </c>
      <c r="O536" s="204" t="s">
        <v>816</v>
      </c>
      <c r="P536" s="350">
        <v>0</v>
      </c>
      <c r="Q536" s="204" t="s">
        <v>816</v>
      </c>
      <c r="R536" s="204" t="s">
        <v>815</v>
      </c>
      <c r="S536" s="204" t="s">
        <v>814</v>
      </c>
      <c r="T536" s="204" t="s">
        <v>813</v>
      </c>
      <c r="V536" s="204" t="s">
        <v>812</v>
      </c>
      <c r="W536" s="204" t="s">
        <v>413</v>
      </c>
      <c r="X536" s="204" t="s">
        <v>297</v>
      </c>
      <c r="Y536" s="204" t="s">
        <v>412</v>
      </c>
      <c r="Z536" s="204" t="s">
        <v>601</v>
      </c>
      <c r="AA536" s="204" t="s">
        <v>600</v>
      </c>
      <c r="AB536" s="204" t="s">
        <v>329</v>
      </c>
      <c r="AC536" s="204" t="s">
        <v>297</v>
      </c>
      <c r="AD536" s="204" t="s">
        <v>599</v>
      </c>
      <c r="AE536" s="204" t="s">
        <v>598</v>
      </c>
      <c r="AG536" s="204" t="s">
        <v>791</v>
      </c>
      <c r="AH536" s="204" t="s">
        <v>151</v>
      </c>
      <c r="AX536" s="204">
        <v>3</v>
      </c>
      <c r="AY536" s="204">
        <v>0</v>
      </c>
      <c r="AZ536" s="204">
        <v>8.3999999999999995E-3</v>
      </c>
      <c r="BB536" s="204">
        <v>71.087999999999994</v>
      </c>
      <c r="BH536" s="204">
        <v>0</v>
      </c>
      <c r="BI536" s="204">
        <v>7.65</v>
      </c>
      <c r="BJ536" s="204">
        <v>42976</v>
      </c>
      <c r="BK536" s="204">
        <v>42976.530683252298</v>
      </c>
      <c r="BL536" s="204" t="s">
        <v>293</v>
      </c>
      <c r="BM536" s="204" t="s">
        <v>817</v>
      </c>
      <c r="BN536" s="242">
        <f t="shared" si="109"/>
        <v>23.695999999999998</v>
      </c>
      <c r="BO536" s="269">
        <f t="shared" si="110"/>
        <v>2.5500000000000003</v>
      </c>
      <c r="BP536" s="269">
        <f>INDEX('App Data Outliers'!$M:$M,MATCH($E536,'App Data Outliers'!$A:$A,0))</f>
        <v>31.912660854402784</v>
      </c>
      <c r="BQ536" s="269">
        <f>INDEX('App Data Outliers'!$N:$N,MATCH($E536,'App Data Outliers'!$A:$A,0))</f>
        <v>4.6294175975068628</v>
      </c>
      <c r="BR536" s="269">
        <f>INDEX('App Data Outliers'!$S:$S,MATCH($E536,'App Data Outliers'!$A:$A,0))</f>
        <v>3.9162224934612029</v>
      </c>
      <c r="BS536" s="269">
        <f>INDEX('App Data Outliers'!$T:$T,MATCH($E536,'App Data Outliers'!$A:$A,0))</f>
        <v>1.1499528005502413</v>
      </c>
    </row>
    <row r="537" spans="1:71" s="204" customFormat="1" hidden="1">
      <c r="A537" s="241">
        <v>533</v>
      </c>
      <c r="B537" s="241" t="str">
        <f t="shared" si="101"/>
        <v>Residential - BHPSD - Residential Lighting &amp; Appliances</v>
      </c>
      <c r="C537" s="241" t="b">
        <f t="shared" si="102"/>
        <v>1</v>
      </c>
      <c r="D537" s="241" t="str">
        <f t="shared" si="103"/>
        <v>Residential - BHPSD - Residential Lighting &amp; Appliances_Residential Lighting &amp; Appliances :- LED :- Customer Incentives_LED</v>
      </c>
      <c r="E537" s="241" t="str">
        <f t="shared" si="104"/>
        <v>Residential_Residential Lighting_Lighting_LED</v>
      </c>
      <c r="F537" s="241" t="str">
        <f>INDEX('VDSM MAPPING'!E:E,MATCH($D537,'VDSM MAPPING'!$A:$A,0))</f>
        <v>Residential</v>
      </c>
      <c r="G537" s="241" t="str">
        <f>INDEX('VDSM MAPPING'!F:F,MATCH($D537,'VDSM MAPPING'!$A:$A,0))</f>
        <v>Residential Lighting</v>
      </c>
      <c r="H537" s="241" t="str">
        <f>INDEX('VDSM MAPPING'!G:G,MATCH($D537,'VDSM MAPPING'!$A:$A,0))</f>
        <v>Lighting</v>
      </c>
      <c r="I537" s="241" t="str">
        <f>INDEX('VDSM MAPPING'!H:H,MATCH($D537,'VDSM MAPPING'!$A:$A,0))</f>
        <v>LED</v>
      </c>
      <c r="J537" s="240">
        <f t="shared" si="105"/>
        <v>0.40336372907962731</v>
      </c>
      <c r="K537" s="240">
        <f t="shared" si="106"/>
        <v>-0.84022795805086481</v>
      </c>
      <c r="L537" s="240" t="b">
        <f t="shared" si="107"/>
        <v>0</v>
      </c>
      <c r="M537" s="240" t="b">
        <f t="shared" si="108"/>
        <v>0</v>
      </c>
      <c r="N537" s="204" t="s">
        <v>289</v>
      </c>
      <c r="O537" s="204" t="s">
        <v>809</v>
      </c>
      <c r="P537" s="350">
        <v>1</v>
      </c>
      <c r="Q537" s="204" t="s">
        <v>809</v>
      </c>
      <c r="R537" s="204" t="s">
        <v>808</v>
      </c>
      <c r="S537" s="204" t="s">
        <v>807</v>
      </c>
      <c r="T537" s="204" t="s">
        <v>806</v>
      </c>
      <c r="V537" s="204" t="s">
        <v>805</v>
      </c>
      <c r="W537" s="204" t="s">
        <v>329</v>
      </c>
      <c r="X537" s="204" t="s">
        <v>297</v>
      </c>
      <c r="Y537" s="204" t="s">
        <v>397</v>
      </c>
      <c r="Z537" s="204" t="s">
        <v>601</v>
      </c>
      <c r="AA537" s="204" t="s">
        <v>600</v>
      </c>
      <c r="AB537" s="204" t="s">
        <v>329</v>
      </c>
      <c r="AC537" s="204" t="s">
        <v>297</v>
      </c>
      <c r="AD537" s="204" t="s">
        <v>599</v>
      </c>
      <c r="AE537" s="204" t="s">
        <v>598</v>
      </c>
      <c r="AG537" s="204" t="s">
        <v>791</v>
      </c>
      <c r="AH537" s="204" t="s">
        <v>151</v>
      </c>
      <c r="AX537" s="204">
        <v>4</v>
      </c>
      <c r="AY537" s="204">
        <v>0</v>
      </c>
      <c r="AZ537" s="204">
        <v>1.6E-2</v>
      </c>
      <c r="BB537" s="204">
        <v>135.12</v>
      </c>
      <c r="BH537" s="204">
        <v>0</v>
      </c>
      <c r="BI537" s="204">
        <v>11.8</v>
      </c>
      <c r="BJ537" s="204">
        <v>42976</v>
      </c>
      <c r="BK537" s="204">
        <v>42976.532596643498</v>
      </c>
      <c r="BL537" s="204" t="s">
        <v>293</v>
      </c>
      <c r="BM537" s="204" t="s">
        <v>810</v>
      </c>
      <c r="BN537" s="242">
        <f t="shared" si="109"/>
        <v>33.78</v>
      </c>
      <c r="BO537" s="269">
        <f t="shared" si="110"/>
        <v>2.95</v>
      </c>
      <c r="BP537" s="269">
        <f>INDEX('App Data Outliers'!$M:$M,MATCH($E537,'App Data Outliers'!$A:$A,0))</f>
        <v>31.912660854402784</v>
      </c>
      <c r="BQ537" s="269">
        <f>INDEX('App Data Outliers'!$N:$N,MATCH($E537,'App Data Outliers'!$A:$A,0))</f>
        <v>4.6294175975068628</v>
      </c>
      <c r="BR537" s="269">
        <f>INDEX('App Data Outliers'!$S:$S,MATCH($E537,'App Data Outliers'!$A:$A,0))</f>
        <v>3.9162224934612029</v>
      </c>
      <c r="BS537" s="269">
        <f>INDEX('App Data Outliers'!$T:$T,MATCH($E537,'App Data Outliers'!$A:$A,0))</f>
        <v>1.1499528005502413</v>
      </c>
    </row>
    <row r="538" spans="1:71" s="204" customFormat="1" hidden="1">
      <c r="A538" s="241">
        <v>534</v>
      </c>
      <c r="B538" s="241" t="str">
        <f t="shared" si="101"/>
        <v>Residential - BHPSD - Residential Lighting &amp; Appliances</v>
      </c>
      <c r="C538" s="241" t="b">
        <f t="shared" si="102"/>
        <v>1</v>
      </c>
      <c r="D538" s="241" t="str">
        <f t="shared" si="103"/>
        <v>Residential - BHPSD - Residential Lighting &amp; Appliances_Residential Lighting &amp; Appliances :- LED :- Customer Incentives_LED</v>
      </c>
      <c r="E538" s="241" t="str">
        <f t="shared" si="104"/>
        <v>Residential_Residential Lighting_Lighting_LED</v>
      </c>
      <c r="F538" s="241" t="str">
        <f>INDEX('VDSM MAPPING'!E:E,MATCH($D538,'VDSM MAPPING'!$A:$A,0))</f>
        <v>Residential</v>
      </c>
      <c r="G538" s="241" t="str">
        <f>INDEX('VDSM MAPPING'!F:F,MATCH($D538,'VDSM MAPPING'!$A:$A,0))</f>
        <v>Residential Lighting</v>
      </c>
      <c r="H538" s="241" t="str">
        <f>INDEX('VDSM MAPPING'!G:G,MATCH($D538,'VDSM MAPPING'!$A:$A,0))</f>
        <v>Lighting</v>
      </c>
      <c r="I538" s="241" t="str">
        <f>INDEX('VDSM MAPPING'!H:H,MATCH($D538,'VDSM MAPPING'!$A:$A,0))</f>
        <v>LED</v>
      </c>
      <c r="J538" s="240">
        <f t="shared" si="105"/>
        <v>-1.7748800321724707</v>
      </c>
      <c r="K538" s="240">
        <f t="shared" si="106"/>
        <v>-1.1880683214193477</v>
      </c>
      <c r="L538" s="240" t="b">
        <f t="shared" si="107"/>
        <v>0</v>
      </c>
      <c r="M538" s="240" t="b">
        <f t="shared" si="108"/>
        <v>0</v>
      </c>
      <c r="N538" s="204" t="s">
        <v>289</v>
      </c>
      <c r="O538" s="204" t="s">
        <v>809</v>
      </c>
      <c r="P538" s="350">
        <v>0</v>
      </c>
      <c r="Q538" s="204" t="s">
        <v>809</v>
      </c>
      <c r="R538" s="204" t="s">
        <v>808</v>
      </c>
      <c r="S538" s="204" t="s">
        <v>807</v>
      </c>
      <c r="T538" s="204" t="s">
        <v>806</v>
      </c>
      <c r="V538" s="204" t="s">
        <v>805</v>
      </c>
      <c r="W538" s="204" t="s">
        <v>329</v>
      </c>
      <c r="X538" s="204" t="s">
        <v>297</v>
      </c>
      <c r="Y538" s="204" t="s">
        <v>397</v>
      </c>
      <c r="Z538" s="204" t="s">
        <v>601</v>
      </c>
      <c r="AA538" s="204" t="s">
        <v>600</v>
      </c>
      <c r="AB538" s="204" t="s">
        <v>329</v>
      </c>
      <c r="AC538" s="204" t="s">
        <v>297</v>
      </c>
      <c r="AD538" s="204" t="s">
        <v>599</v>
      </c>
      <c r="AE538" s="204" t="s">
        <v>598</v>
      </c>
      <c r="AG538" s="204" t="s">
        <v>791</v>
      </c>
      <c r="AH538" s="204" t="s">
        <v>151</v>
      </c>
      <c r="AX538" s="204">
        <v>2</v>
      </c>
      <c r="AY538" s="204">
        <v>0</v>
      </c>
      <c r="AZ538" s="204">
        <v>5.5999999999999999E-3</v>
      </c>
      <c r="BB538" s="204">
        <v>47.392000000000003</v>
      </c>
      <c r="BH538" s="204">
        <v>0</v>
      </c>
      <c r="BI538" s="204">
        <v>5.0999999999999996</v>
      </c>
      <c r="BJ538" s="204">
        <v>42976</v>
      </c>
      <c r="BK538" s="204">
        <v>42976.532596643498</v>
      </c>
      <c r="BL538" s="204" t="s">
        <v>293</v>
      </c>
      <c r="BM538" s="204" t="s">
        <v>804</v>
      </c>
      <c r="BN538" s="242">
        <f t="shared" si="109"/>
        <v>23.696000000000002</v>
      </c>
      <c r="BO538" s="269">
        <f t="shared" si="110"/>
        <v>2.5499999999999998</v>
      </c>
      <c r="BP538" s="269">
        <f>INDEX('App Data Outliers'!$M:$M,MATCH($E538,'App Data Outliers'!$A:$A,0))</f>
        <v>31.912660854402784</v>
      </c>
      <c r="BQ538" s="269">
        <f>INDEX('App Data Outliers'!$N:$N,MATCH($E538,'App Data Outliers'!$A:$A,0))</f>
        <v>4.6294175975068628</v>
      </c>
      <c r="BR538" s="269">
        <f>INDEX('App Data Outliers'!$S:$S,MATCH($E538,'App Data Outliers'!$A:$A,0))</f>
        <v>3.9162224934612029</v>
      </c>
      <c r="BS538" s="269">
        <f>INDEX('App Data Outliers'!$T:$T,MATCH($E538,'App Data Outliers'!$A:$A,0))</f>
        <v>1.1499528005502413</v>
      </c>
    </row>
    <row r="539" spans="1:71" s="204" customFormat="1" hidden="1">
      <c r="A539" s="241">
        <v>535</v>
      </c>
      <c r="B539" s="241" t="str">
        <f t="shared" si="101"/>
        <v>Residential - BHPSD - Residential Lighting &amp; Appliances</v>
      </c>
      <c r="C539" s="241" t="b">
        <f t="shared" si="102"/>
        <v>1</v>
      </c>
      <c r="D539" s="241" t="str">
        <f t="shared" si="103"/>
        <v>Residential - BHPSD - Residential Lighting &amp; Appliances_Residential Lighting &amp; Appliances :- LED :- Customer Incentives_LED</v>
      </c>
      <c r="E539" s="241" t="str">
        <f t="shared" si="104"/>
        <v>Residential_Residential Lighting_Lighting_LED</v>
      </c>
      <c r="F539" s="241" t="str">
        <f>INDEX('VDSM MAPPING'!E:E,MATCH($D539,'VDSM MAPPING'!$A:$A,0))</f>
        <v>Residential</v>
      </c>
      <c r="G539" s="241" t="str">
        <f>INDEX('VDSM MAPPING'!F:F,MATCH($D539,'VDSM MAPPING'!$A:$A,0))</f>
        <v>Residential Lighting</v>
      </c>
      <c r="H539" s="241" t="str">
        <f>INDEX('VDSM MAPPING'!G:G,MATCH($D539,'VDSM MAPPING'!$A:$A,0))</f>
        <v>Lighting</v>
      </c>
      <c r="I539" s="241" t="str">
        <f>INDEX('VDSM MAPPING'!H:H,MATCH($D539,'VDSM MAPPING'!$A:$A,0))</f>
        <v>LED</v>
      </c>
      <c r="J539" s="240">
        <f t="shared" si="105"/>
        <v>-1.7748800321724707</v>
      </c>
      <c r="K539" s="240">
        <f t="shared" si="106"/>
        <v>-1.1880683214193477</v>
      </c>
      <c r="L539" s="240" t="b">
        <f t="shared" si="107"/>
        <v>0</v>
      </c>
      <c r="M539" s="240" t="b">
        <f t="shared" si="108"/>
        <v>0</v>
      </c>
      <c r="N539" s="204" t="s">
        <v>289</v>
      </c>
      <c r="O539" s="204" t="s">
        <v>802</v>
      </c>
      <c r="P539" s="350">
        <v>1</v>
      </c>
      <c r="Q539" s="204" t="s">
        <v>802</v>
      </c>
      <c r="R539" s="204" t="s">
        <v>801</v>
      </c>
      <c r="S539" s="204" t="s">
        <v>800</v>
      </c>
      <c r="T539" s="204" t="s">
        <v>799</v>
      </c>
      <c r="V539" s="204" t="s">
        <v>798</v>
      </c>
      <c r="W539" s="204" t="s">
        <v>329</v>
      </c>
      <c r="X539" s="204" t="s">
        <v>297</v>
      </c>
      <c r="Y539" s="204" t="s">
        <v>397</v>
      </c>
      <c r="Z539" s="204" t="s">
        <v>601</v>
      </c>
      <c r="AA539" s="204" t="s">
        <v>600</v>
      </c>
      <c r="AB539" s="204" t="s">
        <v>329</v>
      </c>
      <c r="AC539" s="204" t="s">
        <v>297</v>
      </c>
      <c r="AD539" s="204" t="s">
        <v>599</v>
      </c>
      <c r="AE539" s="204" t="s">
        <v>598</v>
      </c>
      <c r="AG539" s="204" t="s">
        <v>791</v>
      </c>
      <c r="AH539" s="204" t="s">
        <v>151</v>
      </c>
      <c r="AX539" s="204">
        <v>4</v>
      </c>
      <c r="AY539" s="204">
        <v>0</v>
      </c>
      <c r="AZ539" s="204">
        <v>1.12E-2</v>
      </c>
      <c r="BB539" s="204">
        <v>94.784000000000006</v>
      </c>
      <c r="BH539" s="204">
        <v>0</v>
      </c>
      <c r="BI539" s="204">
        <v>10.199999999999999</v>
      </c>
      <c r="BJ539" s="204">
        <v>42977</v>
      </c>
      <c r="BK539" s="204">
        <v>42983.453410104201</v>
      </c>
      <c r="BL539" s="204" t="s">
        <v>293</v>
      </c>
      <c r="BM539" s="204" t="s">
        <v>803</v>
      </c>
      <c r="BN539" s="242">
        <f t="shared" si="109"/>
        <v>23.696000000000002</v>
      </c>
      <c r="BO539" s="269">
        <f t="shared" si="110"/>
        <v>2.5499999999999998</v>
      </c>
      <c r="BP539" s="269">
        <f>INDEX('App Data Outliers'!$M:$M,MATCH($E539,'App Data Outliers'!$A:$A,0))</f>
        <v>31.912660854402784</v>
      </c>
      <c r="BQ539" s="269">
        <f>INDEX('App Data Outliers'!$N:$N,MATCH($E539,'App Data Outliers'!$A:$A,0))</f>
        <v>4.6294175975068628</v>
      </c>
      <c r="BR539" s="269">
        <f>INDEX('App Data Outliers'!$S:$S,MATCH($E539,'App Data Outliers'!$A:$A,0))</f>
        <v>3.9162224934612029</v>
      </c>
      <c r="BS539" s="269">
        <f>INDEX('App Data Outliers'!$T:$T,MATCH($E539,'App Data Outliers'!$A:$A,0))</f>
        <v>1.1499528005502413</v>
      </c>
    </row>
    <row r="540" spans="1:71" s="204" customFormat="1" hidden="1">
      <c r="A540" s="241">
        <v>536</v>
      </c>
      <c r="B540" s="241" t="str">
        <f t="shared" si="101"/>
        <v>Residential - BHPSD - Residential Lighting &amp; Appliances</v>
      </c>
      <c r="C540" s="241" t="b">
        <f t="shared" si="102"/>
        <v>1</v>
      </c>
      <c r="D540" s="241" t="str">
        <f t="shared" si="103"/>
        <v>Residential - BHPSD - Residential Lighting &amp; Appliances_Residential Lighting &amp; Appliances :- LED :- Customer Incentives_LED</v>
      </c>
      <c r="E540" s="241" t="str">
        <f t="shared" si="104"/>
        <v>Residential_Residential Lighting_Lighting_LED</v>
      </c>
      <c r="F540" s="241" t="str">
        <f>INDEX('VDSM MAPPING'!E:E,MATCH($D540,'VDSM MAPPING'!$A:$A,0))</f>
        <v>Residential</v>
      </c>
      <c r="G540" s="241" t="str">
        <f>INDEX('VDSM MAPPING'!F:F,MATCH($D540,'VDSM MAPPING'!$A:$A,0))</f>
        <v>Residential Lighting</v>
      </c>
      <c r="H540" s="241" t="str">
        <f>INDEX('VDSM MAPPING'!G:G,MATCH($D540,'VDSM MAPPING'!$A:$A,0))</f>
        <v>Lighting</v>
      </c>
      <c r="I540" s="241" t="str">
        <f>INDEX('VDSM MAPPING'!H:H,MATCH($D540,'VDSM MAPPING'!$A:$A,0))</f>
        <v>LED</v>
      </c>
      <c r="J540" s="240">
        <f t="shared" si="105"/>
        <v>0.40336372907962731</v>
      </c>
      <c r="K540" s="240">
        <f t="shared" si="106"/>
        <v>-0.84022795805086481</v>
      </c>
      <c r="L540" s="240" t="b">
        <f t="shared" si="107"/>
        <v>0</v>
      </c>
      <c r="M540" s="240" t="b">
        <f t="shared" si="108"/>
        <v>0</v>
      </c>
      <c r="N540" s="204" t="s">
        <v>289</v>
      </c>
      <c r="O540" s="204" t="s">
        <v>802</v>
      </c>
      <c r="P540" s="350">
        <v>0</v>
      </c>
      <c r="Q540" s="204" t="s">
        <v>802</v>
      </c>
      <c r="R540" s="204" t="s">
        <v>801</v>
      </c>
      <c r="S540" s="204" t="s">
        <v>800</v>
      </c>
      <c r="T540" s="204" t="s">
        <v>799</v>
      </c>
      <c r="V540" s="204" t="s">
        <v>798</v>
      </c>
      <c r="W540" s="204" t="s">
        <v>329</v>
      </c>
      <c r="X540" s="204" t="s">
        <v>297</v>
      </c>
      <c r="Y540" s="204" t="s">
        <v>397</v>
      </c>
      <c r="Z540" s="204" t="s">
        <v>601</v>
      </c>
      <c r="AA540" s="204" t="s">
        <v>600</v>
      </c>
      <c r="AB540" s="204" t="s">
        <v>329</v>
      </c>
      <c r="AC540" s="204" t="s">
        <v>297</v>
      </c>
      <c r="AD540" s="204" t="s">
        <v>599</v>
      </c>
      <c r="AE540" s="204" t="s">
        <v>598</v>
      </c>
      <c r="AG540" s="204" t="s">
        <v>791</v>
      </c>
      <c r="AH540" s="204" t="s">
        <v>151</v>
      </c>
      <c r="AX540" s="204">
        <v>4</v>
      </c>
      <c r="AY540" s="204">
        <v>0</v>
      </c>
      <c r="AZ540" s="204">
        <v>1.6E-2</v>
      </c>
      <c r="BB540" s="204">
        <v>135.12</v>
      </c>
      <c r="BH540" s="204">
        <v>0</v>
      </c>
      <c r="BI540" s="204">
        <v>11.8</v>
      </c>
      <c r="BJ540" s="204">
        <v>42977</v>
      </c>
      <c r="BK540" s="204">
        <v>42983.453410104201</v>
      </c>
      <c r="BL540" s="204" t="s">
        <v>293</v>
      </c>
      <c r="BM540" s="204" t="s">
        <v>797</v>
      </c>
      <c r="BN540" s="242">
        <f t="shared" si="109"/>
        <v>33.78</v>
      </c>
      <c r="BO540" s="269">
        <f t="shared" si="110"/>
        <v>2.95</v>
      </c>
      <c r="BP540" s="269">
        <f>INDEX('App Data Outliers'!$M:$M,MATCH($E540,'App Data Outliers'!$A:$A,0))</f>
        <v>31.912660854402784</v>
      </c>
      <c r="BQ540" s="269">
        <f>INDEX('App Data Outliers'!$N:$N,MATCH($E540,'App Data Outliers'!$A:$A,0))</f>
        <v>4.6294175975068628</v>
      </c>
      <c r="BR540" s="269">
        <f>INDEX('App Data Outliers'!$S:$S,MATCH($E540,'App Data Outliers'!$A:$A,0))</f>
        <v>3.9162224934612029</v>
      </c>
      <c r="BS540" s="269">
        <f>INDEX('App Data Outliers'!$T:$T,MATCH($E540,'App Data Outliers'!$A:$A,0))</f>
        <v>1.1499528005502413</v>
      </c>
    </row>
    <row r="541" spans="1:71" s="204" customFormat="1" hidden="1">
      <c r="A541" s="241">
        <v>537</v>
      </c>
      <c r="B541" s="241" t="str">
        <f t="shared" si="101"/>
        <v>Residential - BHPSD - Residential Lighting &amp; Appliances</v>
      </c>
      <c r="C541" s="241" t="b">
        <f t="shared" si="102"/>
        <v>1</v>
      </c>
      <c r="D541" s="241" t="str">
        <f t="shared" si="103"/>
        <v>Residential - BHPSD - Residential Lighting &amp; Appliances_Residential Lighting &amp; Appliances :- LED :- Customer Incentives_LED</v>
      </c>
      <c r="E541" s="241" t="str">
        <f t="shared" si="104"/>
        <v>Residential_Residential Lighting_Lighting_LED</v>
      </c>
      <c r="F541" s="241" t="str">
        <f>INDEX('VDSM MAPPING'!E:E,MATCH($D541,'VDSM MAPPING'!$A:$A,0))</f>
        <v>Residential</v>
      </c>
      <c r="G541" s="241" t="str">
        <f>INDEX('VDSM MAPPING'!F:F,MATCH($D541,'VDSM MAPPING'!$A:$A,0))</f>
        <v>Residential Lighting</v>
      </c>
      <c r="H541" s="241" t="str">
        <f>INDEX('VDSM MAPPING'!G:G,MATCH($D541,'VDSM MAPPING'!$A:$A,0))</f>
        <v>Lighting</v>
      </c>
      <c r="I541" s="241" t="str">
        <f>INDEX('VDSM MAPPING'!H:H,MATCH($D541,'VDSM MAPPING'!$A:$A,0))</f>
        <v>LED</v>
      </c>
      <c r="J541" s="240">
        <f t="shared" si="105"/>
        <v>0.40336372907962731</v>
      </c>
      <c r="K541" s="240">
        <f t="shared" si="106"/>
        <v>-0.84022795805086481</v>
      </c>
      <c r="L541" s="240" t="b">
        <f t="shared" si="107"/>
        <v>0</v>
      </c>
      <c r="M541" s="240" t="b">
        <f t="shared" si="108"/>
        <v>0</v>
      </c>
      <c r="N541" s="204" t="s">
        <v>289</v>
      </c>
      <c r="O541" s="204" t="s">
        <v>796</v>
      </c>
      <c r="P541" s="350">
        <v>1</v>
      </c>
      <c r="Q541" s="204" t="s">
        <v>796</v>
      </c>
      <c r="R541" s="204" t="s">
        <v>795</v>
      </c>
      <c r="S541" s="204" t="s">
        <v>794</v>
      </c>
      <c r="T541" s="204" t="s">
        <v>793</v>
      </c>
      <c r="V541" s="204" t="s">
        <v>792</v>
      </c>
      <c r="W541" s="204" t="s">
        <v>329</v>
      </c>
      <c r="X541" s="204" t="s">
        <v>297</v>
      </c>
      <c r="Y541" s="204" t="s">
        <v>328</v>
      </c>
      <c r="Z541" s="204" t="s">
        <v>601</v>
      </c>
      <c r="AA541" s="204" t="s">
        <v>600</v>
      </c>
      <c r="AB541" s="204" t="s">
        <v>329</v>
      </c>
      <c r="AC541" s="204" t="s">
        <v>297</v>
      </c>
      <c r="AD541" s="204" t="s">
        <v>599</v>
      </c>
      <c r="AE541" s="204" t="s">
        <v>598</v>
      </c>
      <c r="AG541" s="204" t="s">
        <v>791</v>
      </c>
      <c r="AH541" s="204" t="s">
        <v>151</v>
      </c>
      <c r="AX541" s="204">
        <v>5</v>
      </c>
      <c r="AY541" s="204">
        <v>0</v>
      </c>
      <c r="AZ541" s="204">
        <v>0.02</v>
      </c>
      <c r="BB541" s="204">
        <v>168.9</v>
      </c>
      <c r="BH541" s="204">
        <v>0</v>
      </c>
      <c r="BI541" s="204">
        <v>14.75</v>
      </c>
      <c r="BJ541" s="204">
        <v>42976</v>
      </c>
      <c r="BK541" s="204">
        <v>42983.457309919002</v>
      </c>
      <c r="BL541" s="204" t="s">
        <v>293</v>
      </c>
      <c r="BM541" s="204" t="s">
        <v>790</v>
      </c>
      <c r="BN541" s="242">
        <f t="shared" si="109"/>
        <v>33.78</v>
      </c>
      <c r="BO541" s="269">
        <f t="shared" si="110"/>
        <v>2.95</v>
      </c>
      <c r="BP541" s="269">
        <f>INDEX('App Data Outliers'!$M:$M,MATCH($E541,'App Data Outliers'!$A:$A,0))</f>
        <v>31.912660854402784</v>
      </c>
      <c r="BQ541" s="269">
        <f>INDEX('App Data Outliers'!$N:$N,MATCH($E541,'App Data Outliers'!$A:$A,0))</f>
        <v>4.6294175975068628</v>
      </c>
      <c r="BR541" s="269">
        <f>INDEX('App Data Outliers'!$S:$S,MATCH($E541,'App Data Outliers'!$A:$A,0))</f>
        <v>3.9162224934612029</v>
      </c>
      <c r="BS541" s="269">
        <f>INDEX('App Data Outliers'!$T:$T,MATCH($E541,'App Data Outliers'!$A:$A,0))</f>
        <v>1.1499528005502413</v>
      </c>
    </row>
    <row r="542" spans="1:71" s="204" customFormat="1" hidden="1">
      <c r="A542" s="241">
        <v>538</v>
      </c>
      <c r="B542" s="241" t="str">
        <f t="shared" si="101"/>
        <v>Residential - BHPSD - Residential Online Audit</v>
      </c>
      <c r="C542" s="241" t="b">
        <f t="shared" si="102"/>
        <v>0</v>
      </c>
      <c r="D542" s="241" t="str">
        <f t="shared" si="103"/>
        <v>Residential - BHPSD - Residential Online Audit__</v>
      </c>
      <c r="E542" s="241">
        <f t="shared" si="104"/>
        <v>0</v>
      </c>
      <c r="F542" s="241" t="e">
        <f>INDEX('VDSM MAPPING'!E:E,MATCH($D542,'VDSM MAPPING'!$A:$A,0))</f>
        <v>#N/A</v>
      </c>
      <c r="G542" s="241" t="e">
        <f>INDEX('VDSM MAPPING'!F:F,MATCH($D542,'VDSM MAPPING'!$A:$A,0))</f>
        <v>#N/A</v>
      </c>
      <c r="H542" s="241" t="e">
        <f>INDEX('VDSM MAPPING'!G:G,MATCH($D542,'VDSM MAPPING'!$A:$A,0))</f>
        <v>#N/A</v>
      </c>
      <c r="I542" s="241" t="e">
        <f>INDEX('VDSM MAPPING'!H:H,MATCH($D542,'VDSM MAPPING'!$A:$A,0))</f>
        <v>#N/A</v>
      </c>
      <c r="J542" s="240" t="str">
        <f t="shared" si="105"/>
        <v/>
      </c>
      <c r="K542" s="240" t="str">
        <f t="shared" si="106"/>
        <v/>
      </c>
      <c r="L542" s="240" t="b">
        <f t="shared" si="107"/>
        <v>0</v>
      </c>
      <c r="M542" s="240" t="b">
        <f t="shared" si="108"/>
        <v>0</v>
      </c>
      <c r="N542" s="204" t="s">
        <v>789</v>
      </c>
      <c r="O542" s="204">
        <v>12</v>
      </c>
      <c r="P542" s="350">
        <v>1</v>
      </c>
      <c r="Q542" s="204" t="s">
        <v>289</v>
      </c>
      <c r="R542" s="204" t="s">
        <v>289</v>
      </c>
      <c r="S542" s="204" t="s">
        <v>289</v>
      </c>
      <c r="T542" s="204" t="s">
        <v>289</v>
      </c>
      <c r="U542" s="204" t="s">
        <v>289</v>
      </c>
      <c r="V542" s="204" t="s">
        <v>289</v>
      </c>
      <c r="W542" s="204" t="s">
        <v>289</v>
      </c>
      <c r="X542" s="204" t="s">
        <v>289</v>
      </c>
      <c r="Y542" s="204" t="s">
        <v>289</v>
      </c>
      <c r="Z542" s="204" t="s">
        <v>289</v>
      </c>
      <c r="AA542" s="204" t="s">
        <v>289</v>
      </c>
      <c r="AB542" s="204" t="s">
        <v>289</v>
      </c>
      <c r="AC542" s="204" t="s">
        <v>289</v>
      </c>
      <c r="AD542" s="204" t="s">
        <v>289</v>
      </c>
      <c r="AE542" s="204" t="s">
        <v>289</v>
      </c>
      <c r="AF542" s="204" t="s">
        <v>289</v>
      </c>
      <c r="AG542" s="204" t="s">
        <v>289</v>
      </c>
      <c r="AH542" s="204" t="s">
        <v>289</v>
      </c>
      <c r="AI542" s="204" t="s">
        <v>289</v>
      </c>
      <c r="AJ542" s="204" t="s">
        <v>289</v>
      </c>
      <c r="AK542" s="204" t="s">
        <v>289</v>
      </c>
      <c r="AL542" s="204" t="s">
        <v>289</v>
      </c>
      <c r="AM542" s="204" t="s">
        <v>289</v>
      </c>
      <c r="AN542" s="204" t="s">
        <v>289</v>
      </c>
      <c r="AO542" s="204" t="s">
        <v>289</v>
      </c>
      <c r="AP542" s="204" t="s">
        <v>289</v>
      </c>
      <c r="AQ542" s="204" t="s">
        <v>289</v>
      </c>
      <c r="AR542" s="204" t="s">
        <v>289</v>
      </c>
      <c r="AS542" s="204" t="s">
        <v>289</v>
      </c>
      <c r="AT542" s="204" t="s">
        <v>289</v>
      </c>
      <c r="AU542" s="204" t="s">
        <v>289</v>
      </c>
      <c r="AV542" s="204" t="s">
        <v>289</v>
      </c>
      <c r="AW542" s="204" t="s">
        <v>289</v>
      </c>
      <c r="AX542" s="204">
        <v>491</v>
      </c>
      <c r="AY542" s="204">
        <v>0</v>
      </c>
      <c r="AZ542" s="204">
        <v>10.802</v>
      </c>
      <c r="BB542" s="204">
        <v>102619</v>
      </c>
      <c r="BH542" s="204">
        <v>0</v>
      </c>
      <c r="BI542" s="204">
        <v>0</v>
      </c>
      <c r="BJ542" s="204" t="s">
        <v>289</v>
      </c>
      <c r="BM542" s="204" t="s">
        <v>289</v>
      </c>
      <c r="BN542" s="269">
        <f t="shared" si="109"/>
        <v>209</v>
      </c>
      <c r="BO542" s="269">
        <f t="shared" si="110"/>
        <v>0</v>
      </c>
      <c r="BP542" s="269" t="e">
        <f>INDEX('App Data Outliers'!$M:$M,MATCH($E542,'App Data Outliers'!$A:$A,0))</f>
        <v>#N/A</v>
      </c>
      <c r="BQ542" s="269" t="e">
        <f>INDEX('App Data Outliers'!$N:$N,MATCH($E542,'App Data Outliers'!$A:$A,0))</f>
        <v>#N/A</v>
      </c>
      <c r="BR542" s="269" t="e">
        <f>INDEX('App Data Outliers'!$S:$S,MATCH($E542,'App Data Outliers'!$A:$A,0))</f>
        <v>#N/A</v>
      </c>
      <c r="BS542" s="269" t="e">
        <f>INDEX('App Data Outliers'!$T:$T,MATCH($E542,'App Data Outliers'!$A:$A,0))</f>
        <v>#N/A</v>
      </c>
    </row>
    <row r="543" spans="1:71" s="204" customFormat="1" hidden="1">
      <c r="A543" s="241">
        <v>539</v>
      </c>
      <c r="B543" s="241" t="str">
        <f t="shared" si="101"/>
        <v>Residential - BHPSD - Residential Online Audit</v>
      </c>
      <c r="C543" s="241" t="b">
        <f t="shared" si="102"/>
        <v>1</v>
      </c>
      <c r="D543" s="241" t="str">
        <f t="shared" si="103"/>
        <v>Residential - BHPSD - Residential Online Audit_Residential Energy Evaluation_Online Evaluation</v>
      </c>
      <c r="E543" s="241" t="str">
        <f t="shared" si="104"/>
        <v>Residential_Residential Audit_Various_Residential Audit</v>
      </c>
      <c r="F543" s="241" t="str">
        <f>INDEX('VDSM MAPPING'!E:E,MATCH($D543,'VDSM MAPPING'!$A:$A,0))</f>
        <v>Residential</v>
      </c>
      <c r="G543" s="241" t="str">
        <f>INDEX('VDSM MAPPING'!F:F,MATCH($D543,'VDSM MAPPING'!$A:$A,0))</f>
        <v>Residential Audit</v>
      </c>
      <c r="H543" s="241" t="str">
        <f>INDEX('VDSM MAPPING'!G:G,MATCH($D543,'VDSM MAPPING'!$A:$A,0))</f>
        <v>Various</v>
      </c>
      <c r="I543" s="241" t="str">
        <f>INDEX('VDSM MAPPING'!H:H,MATCH($D543,'VDSM MAPPING'!$A:$A,0))</f>
        <v>Residential Audit</v>
      </c>
      <c r="J543" s="240" t="str">
        <f t="shared" si="105"/>
        <v/>
      </c>
      <c r="K543" s="240" t="str">
        <f t="shared" si="106"/>
        <v/>
      </c>
      <c r="L543" s="240" t="b">
        <f t="shared" si="107"/>
        <v>0</v>
      </c>
      <c r="M543" s="240" t="b">
        <f t="shared" si="108"/>
        <v>0</v>
      </c>
      <c r="N543" s="204" t="s">
        <v>289</v>
      </c>
      <c r="O543" s="204" t="s">
        <v>788</v>
      </c>
      <c r="P543" s="350">
        <v>1</v>
      </c>
      <c r="Q543" s="204" t="s">
        <v>788</v>
      </c>
      <c r="S543" s="204" t="s">
        <v>787</v>
      </c>
      <c r="T543" s="204" t="s">
        <v>786</v>
      </c>
      <c r="U543" s="204" t="s">
        <v>149</v>
      </c>
      <c r="V543" s="204" t="s">
        <v>763</v>
      </c>
      <c r="W543" s="204" t="s">
        <v>752</v>
      </c>
      <c r="X543" s="204" t="s">
        <v>297</v>
      </c>
      <c r="Y543" s="204" t="s">
        <v>328</v>
      </c>
      <c r="AG543" s="204" t="s">
        <v>750</v>
      </c>
      <c r="AH543" s="204" t="s">
        <v>749</v>
      </c>
      <c r="AX543" s="204">
        <v>211</v>
      </c>
      <c r="AY543" s="204">
        <v>0</v>
      </c>
      <c r="AZ543" s="204">
        <v>4.6420000000000003</v>
      </c>
      <c r="BB543" s="204">
        <v>44099</v>
      </c>
      <c r="BH543" s="204">
        <v>0</v>
      </c>
      <c r="BI543" s="204">
        <v>0</v>
      </c>
      <c r="BJ543" s="204">
        <v>42641</v>
      </c>
      <c r="BK543" s="204">
        <v>42643.6538484954</v>
      </c>
      <c r="BL543" s="204" t="s">
        <v>293</v>
      </c>
      <c r="BM543" s="204" t="s">
        <v>785</v>
      </c>
      <c r="BN543" s="269">
        <f t="shared" si="109"/>
        <v>209</v>
      </c>
      <c r="BO543" s="269">
        <f t="shared" si="110"/>
        <v>0</v>
      </c>
      <c r="BP543" s="269">
        <f>INDEX('App Data Outliers'!$M:$M,MATCH($E543,'App Data Outliers'!$A:$A,0))</f>
        <v>209</v>
      </c>
      <c r="BQ543" s="269">
        <f>INDEX('App Data Outliers'!$N:$N,MATCH($E543,'App Data Outliers'!$A:$A,0))</f>
        <v>0</v>
      </c>
      <c r="BR543" s="269">
        <f>INDEX('App Data Outliers'!$S:$S,MATCH($E543,'App Data Outliers'!$A:$A,0))</f>
        <v>0</v>
      </c>
      <c r="BS543" s="269">
        <f>INDEX('App Data Outliers'!$T:$T,MATCH($E543,'App Data Outliers'!$A:$A,0))</f>
        <v>0</v>
      </c>
    </row>
    <row r="544" spans="1:71" s="204" customFormat="1" hidden="1">
      <c r="A544" s="241">
        <v>540</v>
      </c>
      <c r="B544" s="241" t="str">
        <f t="shared" si="101"/>
        <v>Residential - BHPSD - Residential Online Audit</v>
      </c>
      <c r="C544" s="241" t="b">
        <f t="shared" si="102"/>
        <v>1</v>
      </c>
      <c r="D544" s="241" t="str">
        <f t="shared" si="103"/>
        <v>Residential - BHPSD - Residential Online Audit_Residential Energy Evaluation_Online Evaluation</v>
      </c>
      <c r="E544" s="241" t="str">
        <f t="shared" si="104"/>
        <v>Residential_Residential Audit_Various_Residential Audit</v>
      </c>
      <c r="F544" s="241" t="str">
        <f>INDEX('VDSM MAPPING'!E:E,MATCH($D544,'VDSM MAPPING'!$A:$A,0))</f>
        <v>Residential</v>
      </c>
      <c r="G544" s="241" t="str">
        <f>INDEX('VDSM MAPPING'!F:F,MATCH($D544,'VDSM MAPPING'!$A:$A,0))</f>
        <v>Residential Audit</v>
      </c>
      <c r="H544" s="241" t="str">
        <f>INDEX('VDSM MAPPING'!G:G,MATCH($D544,'VDSM MAPPING'!$A:$A,0))</f>
        <v>Various</v>
      </c>
      <c r="I544" s="241" t="str">
        <f>INDEX('VDSM MAPPING'!H:H,MATCH($D544,'VDSM MAPPING'!$A:$A,0))</f>
        <v>Residential Audit</v>
      </c>
      <c r="J544" s="240" t="str">
        <f t="shared" si="105"/>
        <v/>
      </c>
      <c r="K544" s="240" t="str">
        <f t="shared" si="106"/>
        <v/>
      </c>
      <c r="L544" s="240" t="b">
        <f t="shared" si="107"/>
        <v>0</v>
      </c>
      <c r="M544" s="240" t="b">
        <f t="shared" si="108"/>
        <v>0</v>
      </c>
      <c r="N544" s="204" t="s">
        <v>289</v>
      </c>
      <c r="O544" s="204" t="s">
        <v>784</v>
      </c>
      <c r="P544" s="350">
        <v>1</v>
      </c>
      <c r="Q544" s="204" t="s">
        <v>784</v>
      </c>
      <c r="R544" s="204" t="s">
        <v>756</v>
      </c>
      <c r="S544" s="204" t="s">
        <v>755</v>
      </c>
      <c r="T544" s="204" t="s">
        <v>754</v>
      </c>
      <c r="V544" s="204" t="s">
        <v>770</v>
      </c>
      <c r="W544" s="204" t="s">
        <v>783</v>
      </c>
      <c r="X544" s="204" t="s">
        <v>297</v>
      </c>
      <c r="Y544" s="204" t="s">
        <v>328</v>
      </c>
      <c r="AG544" s="204" t="s">
        <v>750</v>
      </c>
      <c r="AH544" s="204" t="s">
        <v>749</v>
      </c>
      <c r="AX544" s="204">
        <v>33</v>
      </c>
      <c r="AY544" s="204">
        <v>0</v>
      </c>
      <c r="AZ544" s="204">
        <v>0.72599999999999998</v>
      </c>
      <c r="BB544" s="204">
        <v>6897</v>
      </c>
      <c r="BH544" s="204">
        <v>0</v>
      </c>
      <c r="BI544" s="204">
        <v>0</v>
      </c>
      <c r="BJ544" s="204">
        <v>42669</v>
      </c>
      <c r="BK544" s="204">
        <v>42643.665785648103</v>
      </c>
      <c r="BL544" s="204" t="s">
        <v>293</v>
      </c>
      <c r="BM544" s="204" t="s">
        <v>782</v>
      </c>
      <c r="BN544" s="269">
        <f t="shared" si="109"/>
        <v>209</v>
      </c>
      <c r="BO544" s="269">
        <f t="shared" si="110"/>
        <v>0</v>
      </c>
      <c r="BP544" s="269">
        <f>INDEX('App Data Outliers'!$M:$M,MATCH($E544,'App Data Outliers'!$A:$A,0))</f>
        <v>209</v>
      </c>
      <c r="BQ544" s="269">
        <f>INDEX('App Data Outliers'!$N:$N,MATCH($E544,'App Data Outliers'!$A:$A,0))</f>
        <v>0</v>
      </c>
      <c r="BR544" s="269">
        <f>INDEX('App Data Outliers'!$S:$S,MATCH($E544,'App Data Outliers'!$A:$A,0))</f>
        <v>0</v>
      </c>
      <c r="BS544" s="269">
        <f>INDEX('App Data Outliers'!$T:$T,MATCH($E544,'App Data Outliers'!$A:$A,0))</f>
        <v>0</v>
      </c>
    </row>
    <row r="545" spans="1:71" s="204" customFormat="1" hidden="1">
      <c r="A545" s="241">
        <v>541</v>
      </c>
      <c r="B545" s="241" t="str">
        <f t="shared" si="101"/>
        <v>Residential - BHPSD - Residential Online Audit</v>
      </c>
      <c r="C545" s="241" t="b">
        <f t="shared" si="102"/>
        <v>1</v>
      </c>
      <c r="D545" s="241" t="str">
        <f t="shared" si="103"/>
        <v>Residential - BHPSD - Residential Online Audit_Residential Energy Evaluation_Online Evaluation</v>
      </c>
      <c r="E545" s="241" t="str">
        <f t="shared" si="104"/>
        <v>Residential_Residential Audit_Various_Residential Audit</v>
      </c>
      <c r="F545" s="241" t="str">
        <f>INDEX('VDSM MAPPING'!E:E,MATCH($D545,'VDSM MAPPING'!$A:$A,0))</f>
        <v>Residential</v>
      </c>
      <c r="G545" s="241" t="str">
        <f>INDEX('VDSM MAPPING'!F:F,MATCH($D545,'VDSM MAPPING'!$A:$A,0))</f>
        <v>Residential Audit</v>
      </c>
      <c r="H545" s="241" t="str">
        <f>INDEX('VDSM MAPPING'!G:G,MATCH($D545,'VDSM MAPPING'!$A:$A,0))</f>
        <v>Various</v>
      </c>
      <c r="I545" s="241" t="str">
        <f>INDEX('VDSM MAPPING'!H:H,MATCH($D545,'VDSM MAPPING'!$A:$A,0))</f>
        <v>Residential Audit</v>
      </c>
      <c r="J545" s="240" t="str">
        <f t="shared" si="105"/>
        <v/>
      </c>
      <c r="K545" s="240" t="str">
        <f t="shared" si="106"/>
        <v/>
      </c>
      <c r="L545" s="240" t="b">
        <f t="shared" si="107"/>
        <v>0</v>
      </c>
      <c r="M545" s="240" t="b">
        <f t="shared" si="108"/>
        <v>0</v>
      </c>
      <c r="N545" s="204" t="s">
        <v>289</v>
      </c>
      <c r="O545" s="204" t="s">
        <v>781</v>
      </c>
      <c r="P545" s="350">
        <v>1</v>
      </c>
      <c r="Q545" s="204" t="s">
        <v>781</v>
      </c>
      <c r="R545" s="204" t="s">
        <v>756</v>
      </c>
      <c r="S545" s="204" t="s">
        <v>755</v>
      </c>
      <c r="T545" s="204" t="s">
        <v>754</v>
      </c>
      <c r="V545" s="204" t="s">
        <v>780</v>
      </c>
      <c r="W545" s="204" t="s">
        <v>752</v>
      </c>
      <c r="X545" s="204" t="s">
        <v>297</v>
      </c>
      <c r="Y545" s="204" t="s">
        <v>328</v>
      </c>
      <c r="AG545" s="204" t="s">
        <v>750</v>
      </c>
      <c r="AH545" s="204" t="s">
        <v>749</v>
      </c>
      <c r="AX545" s="204">
        <v>41</v>
      </c>
      <c r="AY545" s="204">
        <v>0</v>
      </c>
      <c r="AZ545" s="204">
        <v>0.90200000000000002</v>
      </c>
      <c r="BB545" s="204">
        <v>8569</v>
      </c>
      <c r="BH545" s="204">
        <v>0</v>
      </c>
      <c r="BI545" s="204">
        <v>0</v>
      </c>
      <c r="BJ545" s="204">
        <v>42702</v>
      </c>
      <c r="BK545" s="204">
        <v>42643.667205937498</v>
      </c>
      <c r="BL545" s="204" t="s">
        <v>293</v>
      </c>
      <c r="BM545" s="204" t="s">
        <v>779</v>
      </c>
      <c r="BN545" s="269">
        <f t="shared" si="109"/>
        <v>209</v>
      </c>
      <c r="BO545" s="269">
        <f t="shared" si="110"/>
        <v>0</v>
      </c>
      <c r="BP545" s="269">
        <f>INDEX('App Data Outliers'!$M:$M,MATCH($E545,'App Data Outliers'!$A:$A,0))</f>
        <v>209</v>
      </c>
      <c r="BQ545" s="269">
        <f>INDEX('App Data Outliers'!$N:$N,MATCH($E545,'App Data Outliers'!$A:$A,0))</f>
        <v>0</v>
      </c>
      <c r="BR545" s="269">
        <f>INDEX('App Data Outliers'!$S:$S,MATCH($E545,'App Data Outliers'!$A:$A,0))</f>
        <v>0</v>
      </c>
      <c r="BS545" s="269">
        <f>INDEX('App Data Outliers'!$T:$T,MATCH($E545,'App Data Outliers'!$A:$A,0))</f>
        <v>0</v>
      </c>
    </row>
    <row r="546" spans="1:71" s="204" customFormat="1" hidden="1">
      <c r="A546" s="241">
        <v>542</v>
      </c>
      <c r="B546" s="241" t="str">
        <f t="shared" si="101"/>
        <v>Residential - BHPSD - Residential Online Audit</v>
      </c>
      <c r="C546" s="241" t="b">
        <f t="shared" si="102"/>
        <v>1</v>
      </c>
      <c r="D546" s="241" t="str">
        <f t="shared" si="103"/>
        <v>Residential - BHPSD - Residential Online Audit_Residential Energy Evaluation_Online Evaluation</v>
      </c>
      <c r="E546" s="241" t="str">
        <f t="shared" si="104"/>
        <v>Residential_Residential Audit_Various_Residential Audit</v>
      </c>
      <c r="F546" s="241" t="str">
        <f>INDEX('VDSM MAPPING'!E:E,MATCH($D546,'VDSM MAPPING'!$A:$A,0))</f>
        <v>Residential</v>
      </c>
      <c r="G546" s="241" t="str">
        <f>INDEX('VDSM MAPPING'!F:F,MATCH($D546,'VDSM MAPPING'!$A:$A,0))</f>
        <v>Residential Audit</v>
      </c>
      <c r="H546" s="241" t="str">
        <f>INDEX('VDSM MAPPING'!G:G,MATCH($D546,'VDSM MAPPING'!$A:$A,0))</f>
        <v>Various</v>
      </c>
      <c r="I546" s="241" t="str">
        <f>INDEX('VDSM MAPPING'!H:H,MATCH($D546,'VDSM MAPPING'!$A:$A,0))</f>
        <v>Residential Audit</v>
      </c>
      <c r="J546" s="240" t="str">
        <f t="shared" si="105"/>
        <v/>
      </c>
      <c r="K546" s="240" t="str">
        <f t="shared" si="106"/>
        <v/>
      </c>
      <c r="L546" s="240" t="b">
        <f t="shared" si="107"/>
        <v>0</v>
      </c>
      <c r="M546" s="240" t="b">
        <f t="shared" si="108"/>
        <v>0</v>
      </c>
      <c r="N546" s="204" t="s">
        <v>289</v>
      </c>
      <c r="O546" s="204" t="s">
        <v>778</v>
      </c>
      <c r="P546" s="350">
        <v>1</v>
      </c>
      <c r="Q546" s="204" t="s">
        <v>778</v>
      </c>
      <c r="R546" s="204" t="s">
        <v>756</v>
      </c>
      <c r="S546" s="204" t="s">
        <v>755</v>
      </c>
      <c r="T546" s="204" t="s">
        <v>754</v>
      </c>
      <c r="V546" s="204" t="s">
        <v>777</v>
      </c>
      <c r="W546" s="204" t="s">
        <v>329</v>
      </c>
      <c r="X546" s="204" t="s">
        <v>297</v>
      </c>
      <c r="Y546" s="204" t="s">
        <v>328</v>
      </c>
      <c r="AG546" s="204" t="s">
        <v>750</v>
      </c>
      <c r="AH546" s="204" t="s">
        <v>749</v>
      </c>
      <c r="AX546" s="204">
        <v>17</v>
      </c>
      <c r="AY546" s="204">
        <v>0</v>
      </c>
      <c r="AZ546" s="204">
        <v>0.374</v>
      </c>
      <c r="BB546" s="204">
        <v>3553</v>
      </c>
      <c r="BH546" s="204">
        <v>0</v>
      </c>
      <c r="BI546" s="204">
        <v>0</v>
      </c>
      <c r="BJ546" s="204">
        <v>42731</v>
      </c>
      <c r="BK546" s="204">
        <v>42702.682953240699</v>
      </c>
      <c r="BL546" s="204" t="s">
        <v>293</v>
      </c>
      <c r="BM546" s="204" t="s">
        <v>776</v>
      </c>
      <c r="BN546" s="269">
        <f t="shared" si="109"/>
        <v>209</v>
      </c>
      <c r="BO546" s="269">
        <f t="shared" si="110"/>
        <v>0</v>
      </c>
      <c r="BP546" s="269">
        <f>INDEX('App Data Outliers'!$M:$M,MATCH($E546,'App Data Outliers'!$A:$A,0))</f>
        <v>209</v>
      </c>
      <c r="BQ546" s="269">
        <f>INDEX('App Data Outliers'!$N:$N,MATCH($E546,'App Data Outliers'!$A:$A,0))</f>
        <v>0</v>
      </c>
      <c r="BR546" s="269">
        <f>INDEX('App Data Outliers'!$S:$S,MATCH($E546,'App Data Outliers'!$A:$A,0))</f>
        <v>0</v>
      </c>
      <c r="BS546" s="269">
        <f>INDEX('App Data Outliers'!$T:$T,MATCH($E546,'App Data Outliers'!$A:$A,0))</f>
        <v>0</v>
      </c>
    </row>
    <row r="547" spans="1:71" s="204" customFormat="1" hidden="1">
      <c r="A547" s="241">
        <v>543</v>
      </c>
      <c r="B547" s="241" t="str">
        <f t="shared" si="101"/>
        <v>Residential - BHPSD - Residential Online Audit</v>
      </c>
      <c r="C547" s="241" t="b">
        <f t="shared" si="102"/>
        <v>1</v>
      </c>
      <c r="D547" s="241" t="str">
        <f t="shared" si="103"/>
        <v>Residential - BHPSD - Residential Online Audit_Residential Energy Evaluation_Online Evaluation</v>
      </c>
      <c r="E547" s="241" t="str">
        <f t="shared" si="104"/>
        <v>Residential_Residential Audit_Various_Residential Audit</v>
      </c>
      <c r="F547" s="241" t="str">
        <f>INDEX('VDSM MAPPING'!E:E,MATCH($D547,'VDSM MAPPING'!$A:$A,0))</f>
        <v>Residential</v>
      </c>
      <c r="G547" s="241" t="str">
        <f>INDEX('VDSM MAPPING'!F:F,MATCH($D547,'VDSM MAPPING'!$A:$A,0))</f>
        <v>Residential Audit</v>
      </c>
      <c r="H547" s="241" t="str">
        <f>INDEX('VDSM MAPPING'!G:G,MATCH($D547,'VDSM MAPPING'!$A:$A,0))</f>
        <v>Various</v>
      </c>
      <c r="I547" s="241" t="str">
        <f>INDEX('VDSM MAPPING'!H:H,MATCH($D547,'VDSM MAPPING'!$A:$A,0))</f>
        <v>Residential Audit</v>
      </c>
      <c r="J547" s="240" t="str">
        <f t="shared" si="105"/>
        <v/>
      </c>
      <c r="K547" s="240" t="str">
        <f t="shared" si="106"/>
        <v/>
      </c>
      <c r="L547" s="240" t="b">
        <f t="shared" si="107"/>
        <v>0</v>
      </c>
      <c r="M547" s="240" t="b">
        <f t="shared" si="108"/>
        <v>0</v>
      </c>
      <c r="N547" s="204" t="s">
        <v>289</v>
      </c>
      <c r="O547" s="204" t="s">
        <v>775</v>
      </c>
      <c r="P547" s="350">
        <v>1</v>
      </c>
      <c r="Q547" s="204" t="s">
        <v>775</v>
      </c>
      <c r="R547" s="204" t="s">
        <v>756</v>
      </c>
      <c r="S547" s="204" t="s">
        <v>755</v>
      </c>
      <c r="T547" s="204" t="s">
        <v>754</v>
      </c>
      <c r="V547" s="204" t="s">
        <v>763</v>
      </c>
      <c r="W547" s="204" t="s">
        <v>752</v>
      </c>
      <c r="X547" s="204" t="s">
        <v>297</v>
      </c>
      <c r="Y547" s="204" t="s">
        <v>328</v>
      </c>
      <c r="AG547" s="204" t="s">
        <v>750</v>
      </c>
      <c r="AH547" s="204" t="s">
        <v>749</v>
      </c>
      <c r="AX547" s="204">
        <v>35</v>
      </c>
      <c r="AY547" s="204">
        <v>0</v>
      </c>
      <c r="AZ547" s="204">
        <v>0.77</v>
      </c>
      <c r="BB547" s="204">
        <v>7315</v>
      </c>
      <c r="BH547" s="204">
        <v>0</v>
      </c>
      <c r="BI547" s="204">
        <v>0</v>
      </c>
      <c r="BJ547" s="204">
        <v>42759</v>
      </c>
      <c r="BK547" s="204">
        <v>42702.7160105324</v>
      </c>
      <c r="BL547" s="204" t="s">
        <v>293</v>
      </c>
      <c r="BM547" s="204" t="s">
        <v>774</v>
      </c>
      <c r="BN547" s="269">
        <f t="shared" si="109"/>
        <v>209</v>
      </c>
      <c r="BO547" s="269">
        <f t="shared" si="110"/>
        <v>0</v>
      </c>
      <c r="BP547" s="269">
        <f>INDEX('App Data Outliers'!$M:$M,MATCH($E547,'App Data Outliers'!$A:$A,0))</f>
        <v>209</v>
      </c>
      <c r="BQ547" s="269">
        <f>INDEX('App Data Outliers'!$N:$N,MATCH($E547,'App Data Outliers'!$A:$A,0))</f>
        <v>0</v>
      </c>
      <c r="BR547" s="269">
        <f>INDEX('App Data Outliers'!$S:$S,MATCH($E547,'App Data Outliers'!$A:$A,0))</f>
        <v>0</v>
      </c>
      <c r="BS547" s="269">
        <f>INDEX('App Data Outliers'!$T:$T,MATCH($E547,'App Data Outliers'!$A:$A,0))</f>
        <v>0</v>
      </c>
    </row>
    <row r="548" spans="1:71" s="204" customFormat="1" hidden="1">
      <c r="A548" s="241">
        <v>544</v>
      </c>
      <c r="B548" s="241" t="str">
        <f t="shared" si="101"/>
        <v>Residential - BHPSD - Residential Online Audit</v>
      </c>
      <c r="C548" s="241" t="b">
        <f t="shared" si="102"/>
        <v>1</v>
      </c>
      <c r="D548" s="241" t="str">
        <f t="shared" si="103"/>
        <v>Residential - BHPSD - Residential Online Audit_Residential Energy Evaluation_Online Evaluation</v>
      </c>
      <c r="E548" s="241" t="str">
        <f t="shared" si="104"/>
        <v>Residential_Residential Audit_Various_Residential Audit</v>
      </c>
      <c r="F548" s="241" t="str">
        <f>INDEX('VDSM MAPPING'!E:E,MATCH($D548,'VDSM MAPPING'!$A:$A,0))</f>
        <v>Residential</v>
      </c>
      <c r="G548" s="241" t="str">
        <f>INDEX('VDSM MAPPING'!F:F,MATCH($D548,'VDSM MAPPING'!$A:$A,0))</f>
        <v>Residential Audit</v>
      </c>
      <c r="H548" s="241" t="str">
        <f>INDEX('VDSM MAPPING'!G:G,MATCH($D548,'VDSM MAPPING'!$A:$A,0))</f>
        <v>Various</v>
      </c>
      <c r="I548" s="241" t="str">
        <f>INDEX('VDSM MAPPING'!H:H,MATCH($D548,'VDSM MAPPING'!$A:$A,0))</f>
        <v>Residential Audit</v>
      </c>
      <c r="J548" s="240" t="str">
        <f t="shared" si="105"/>
        <v/>
      </c>
      <c r="K548" s="240" t="str">
        <f t="shared" si="106"/>
        <v/>
      </c>
      <c r="L548" s="240" t="b">
        <f t="shared" si="107"/>
        <v>0</v>
      </c>
      <c r="M548" s="240" t="b">
        <f t="shared" si="108"/>
        <v>0</v>
      </c>
      <c r="N548" s="204" t="s">
        <v>289</v>
      </c>
      <c r="O548" s="204" t="s">
        <v>773</v>
      </c>
      <c r="P548" s="350">
        <v>1</v>
      </c>
      <c r="Q548" s="204" t="s">
        <v>773</v>
      </c>
      <c r="R548" s="204" t="s">
        <v>756</v>
      </c>
      <c r="S548" s="204" t="s">
        <v>755</v>
      </c>
      <c r="T548" s="204" t="s">
        <v>754</v>
      </c>
      <c r="V548" s="204" t="s">
        <v>770</v>
      </c>
      <c r="W548" s="204" t="s">
        <v>752</v>
      </c>
      <c r="X548" s="204" t="s">
        <v>297</v>
      </c>
      <c r="Y548" s="204" t="s">
        <v>328</v>
      </c>
      <c r="AG548" s="204" t="s">
        <v>750</v>
      </c>
      <c r="AH548" s="204" t="s">
        <v>749</v>
      </c>
      <c r="AX548" s="204">
        <v>29</v>
      </c>
      <c r="AY548" s="204">
        <v>0</v>
      </c>
      <c r="AZ548" s="204">
        <v>0.63800000000000001</v>
      </c>
      <c r="BB548" s="204">
        <v>6061</v>
      </c>
      <c r="BH548" s="204">
        <v>0</v>
      </c>
      <c r="BI548" s="204">
        <v>0</v>
      </c>
      <c r="BJ548" s="204">
        <v>42787</v>
      </c>
      <c r="BK548" s="204">
        <v>42702.716987419</v>
      </c>
      <c r="BL548" s="204" t="s">
        <v>293</v>
      </c>
      <c r="BM548" s="204" t="s">
        <v>772</v>
      </c>
      <c r="BN548" s="269">
        <f t="shared" si="109"/>
        <v>209</v>
      </c>
      <c r="BO548" s="269">
        <f t="shared" si="110"/>
        <v>0</v>
      </c>
      <c r="BP548" s="269">
        <f>INDEX('App Data Outliers'!$M:$M,MATCH($E548,'App Data Outliers'!$A:$A,0))</f>
        <v>209</v>
      </c>
      <c r="BQ548" s="269">
        <f>INDEX('App Data Outliers'!$N:$N,MATCH($E548,'App Data Outliers'!$A:$A,0))</f>
        <v>0</v>
      </c>
      <c r="BR548" s="269">
        <f>INDEX('App Data Outliers'!$S:$S,MATCH($E548,'App Data Outliers'!$A:$A,0))</f>
        <v>0</v>
      </c>
      <c r="BS548" s="269">
        <f>INDEX('App Data Outliers'!$T:$T,MATCH($E548,'App Data Outliers'!$A:$A,0))</f>
        <v>0</v>
      </c>
    </row>
    <row r="549" spans="1:71" s="204" customFormat="1" hidden="1">
      <c r="A549" s="241">
        <v>545</v>
      </c>
      <c r="B549" s="241" t="str">
        <f t="shared" si="101"/>
        <v>Residential - BHPSD - Residential Online Audit</v>
      </c>
      <c r="C549" s="241" t="b">
        <f t="shared" si="102"/>
        <v>1</v>
      </c>
      <c r="D549" s="241" t="str">
        <f t="shared" si="103"/>
        <v>Residential - BHPSD - Residential Online Audit_Residential Energy Evaluation_Online Evaluation</v>
      </c>
      <c r="E549" s="241" t="str">
        <f t="shared" si="104"/>
        <v>Residential_Residential Audit_Various_Residential Audit</v>
      </c>
      <c r="F549" s="241" t="str">
        <f>INDEX('VDSM MAPPING'!E:E,MATCH($D549,'VDSM MAPPING'!$A:$A,0))</f>
        <v>Residential</v>
      </c>
      <c r="G549" s="241" t="str">
        <f>INDEX('VDSM MAPPING'!F:F,MATCH($D549,'VDSM MAPPING'!$A:$A,0))</f>
        <v>Residential Audit</v>
      </c>
      <c r="H549" s="241" t="str">
        <f>INDEX('VDSM MAPPING'!G:G,MATCH($D549,'VDSM MAPPING'!$A:$A,0))</f>
        <v>Various</v>
      </c>
      <c r="I549" s="241" t="str">
        <f>INDEX('VDSM MAPPING'!H:H,MATCH($D549,'VDSM MAPPING'!$A:$A,0))</f>
        <v>Residential Audit</v>
      </c>
      <c r="J549" s="240" t="str">
        <f t="shared" si="105"/>
        <v/>
      </c>
      <c r="K549" s="240" t="str">
        <f t="shared" si="106"/>
        <v/>
      </c>
      <c r="L549" s="240" t="b">
        <f t="shared" si="107"/>
        <v>0</v>
      </c>
      <c r="M549" s="240" t="b">
        <f t="shared" si="108"/>
        <v>0</v>
      </c>
      <c r="N549" s="204" t="s">
        <v>289</v>
      </c>
      <c r="O549" s="204" t="s">
        <v>771</v>
      </c>
      <c r="P549" s="350">
        <v>1</v>
      </c>
      <c r="Q549" s="204" t="s">
        <v>771</v>
      </c>
      <c r="R549" s="204" t="s">
        <v>756</v>
      </c>
      <c r="S549" s="204" t="s">
        <v>755</v>
      </c>
      <c r="T549" s="204" t="s">
        <v>754</v>
      </c>
      <c r="V549" s="204" t="s">
        <v>770</v>
      </c>
      <c r="W549" s="204" t="s">
        <v>752</v>
      </c>
      <c r="X549" s="204" t="s">
        <v>297</v>
      </c>
      <c r="Y549" s="204" t="s">
        <v>328</v>
      </c>
      <c r="AG549" s="204" t="s">
        <v>750</v>
      </c>
      <c r="AH549" s="204" t="s">
        <v>749</v>
      </c>
      <c r="AX549" s="204">
        <v>27</v>
      </c>
      <c r="AY549" s="204">
        <v>0</v>
      </c>
      <c r="AZ549" s="204">
        <v>0.59399999999999997</v>
      </c>
      <c r="BB549" s="204">
        <v>5643</v>
      </c>
      <c r="BH549" s="204">
        <v>0</v>
      </c>
      <c r="BI549" s="204">
        <v>0</v>
      </c>
      <c r="BJ549" s="204">
        <v>42800</v>
      </c>
      <c r="BK549" s="204">
        <v>42775.661667673601</v>
      </c>
      <c r="BL549" s="204" t="s">
        <v>293</v>
      </c>
      <c r="BM549" s="204" t="s">
        <v>769</v>
      </c>
      <c r="BN549" s="269">
        <f t="shared" si="109"/>
        <v>209</v>
      </c>
      <c r="BO549" s="269">
        <f t="shared" si="110"/>
        <v>0</v>
      </c>
      <c r="BP549" s="269">
        <f>INDEX('App Data Outliers'!$M:$M,MATCH($E549,'App Data Outliers'!$A:$A,0))</f>
        <v>209</v>
      </c>
      <c r="BQ549" s="269">
        <f>INDEX('App Data Outliers'!$N:$N,MATCH($E549,'App Data Outliers'!$A:$A,0))</f>
        <v>0</v>
      </c>
      <c r="BR549" s="269">
        <f>INDEX('App Data Outliers'!$S:$S,MATCH($E549,'App Data Outliers'!$A:$A,0))</f>
        <v>0</v>
      </c>
      <c r="BS549" s="269">
        <f>INDEX('App Data Outliers'!$T:$T,MATCH($E549,'App Data Outliers'!$A:$A,0))</f>
        <v>0</v>
      </c>
    </row>
    <row r="550" spans="1:71" s="204" customFormat="1" hidden="1">
      <c r="A550" s="241">
        <v>546</v>
      </c>
      <c r="B550" s="241" t="str">
        <f t="shared" si="101"/>
        <v>Residential - BHPSD - Residential Online Audit</v>
      </c>
      <c r="C550" s="241" t="b">
        <f t="shared" si="102"/>
        <v>1</v>
      </c>
      <c r="D550" s="241" t="str">
        <f t="shared" si="103"/>
        <v>Residential - BHPSD - Residential Online Audit_Residential Energy Evaluation_Online Evaluation</v>
      </c>
      <c r="E550" s="241" t="str">
        <f t="shared" si="104"/>
        <v>Residential_Residential Audit_Various_Residential Audit</v>
      </c>
      <c r="F550" s="241" t="str">
        <f>INDEX('VDSM MAPPING'!E:E,MATCH($D550,'VDSM MAPPING'!$A:$A,0))</f>
        <v>Residential</v>
      </c>
      <c r="G550" s="241" t="str">
        <f>INDEX('VDSM MAPPING'!F:F,MATCH($D550,'VDSM MAPPING'!$A:$A,0))</f>
        <v>Residential Audit</v>
      </c>
      <c r="H550" s="241" t="str">
        <f>INDEX('VDSM MAPPING'!G:G,MATCH($D550,'VDSM MAPPING'!$A:$A,0))</f>
        <v>Various</v>
      </c>
      <c r="I550" s="241" t="str">
        <f>INDEX('VDSM MAPPING'!H:H,MATCH($D550,'VDSM MAPPING'!$A:$A,0))</f>
        <v>Residential Audit</v>
      </c>
      <c r="J550" s="240" t="str">
        <f t="shared" si="105"/>
        <v/>
      </c>
      <c r="K550" s="240" t="str">
        <f t="shared" si="106"/>
        <v/>
      </c>
      <c r="L550" s="240" t="b">
        <f t="shared" si="107"/>
        <v>0</v>
      </c>
      <c r="M550" s="240" t="b">
        <f t="shared" si="108"/>
        <v>0</v>
      </c>
      <c r="N550" s="204" t="s">
        <v>289</v>
      </c>
      <c r="O550" s="204" t="s">
        <v>768</v>
      </c>
      <c r="P550" s="350">
        <v>1</v>
      </c>
      <c r="Q550" s="204" t="s">
        <v>768</v>
      </c>
      <c r="R550" s="204" t="s">
        <v>756</v>
      </c>
      <c r="S550" s="204" t="s">
        <v>755</v>
      </c>
      <c r="T550" s="204" t="s">
        <v>754</v>
      </c>
      <c r="V550" s="204" t="s">
        <v>763</v>
      </c>
      <c r="W550" s="204" t="s">
        <v>752</v>
      </c>
      <c r="X550" s="204" t="s">
        <v>297</v>
      </c>
      <c r="Y550" s="204" t="s">
        <v>328</v>
      </c>
      <c r="AG550" s="204" t="s">
        <v>750</v>
      </c>
      <c r="AH550" s="204" t="s">
        <v>749</v>
      </c>
      <c r="AX550" s="204">
        <v>13</v>
      </c>
      <c r="AY550" s="204">
        <v>0</v>
      </c>
      <c r="AZ550" s="204">
        <v>0.28599999999999998</v>
      </c>
      <c r="BB550" s="204">
        <v>2717</v>
      </c>
      <c r="BH550" s="204">
        <v>0</v>
      </c>
      <c r="BI550" s="204">
        <v>0</v>
      </c>
      <c r="BJ550" s="204">
        <v>42844</v>
      </c>
      <c r="BK550" s="204">
        <v>42775.666023495403</v>
      </c>
      <c r="BL550" s="204" t="s">
        <v>293</v>
      </c>
      <c r="BM550" s="204" t="s">
        <v>767</v>
      </c>
      <c r="BN550" s="269">
        <f t="shared" si="109"/>
        <v>209</v>
      </c>
      <c r="BO550" s="269">
        <f t="shared" si="110"/>
        <v>0</v>
      </c>
      <c r="BP550" s="269">
        <f>INDEX('App Data Outliers'!$M:$M,MATCH($E550,'App Data Outliers'!$A:$A,0))</f>
        <v>209</v>
      </c>
      <c r="BQ550" s="269">
        <f>INDEX('App Data Outliers'!$N:$N,MATCH($E550,'App Data Outliers'!$A:$A,0))</f>
        <v>0</v>
      </c>
      <c r="BR550" s="269">
        <f>INDEX('App Data Outliers'!$S:$S,MATCH($E550,'App Data Outliers'!$A:$A,0))</f>
        <v>0</v>
      </c>
      <c r="BS550" s="269">
        <f>INDEX('App Data Outliers'!$T:$T,MATCH($E550,'App Data Outliers'!$A:$A,0))</f>
        <v>0</v>
      </c>
    </row>
    <row r="551" spans="1:71" s="204" customFormat="1" hidden="1">
      <c r="A551" s="241">
        <v>547</v>
      </c>
      <c r="B551" s="241" t="str">
        <f t="shared" si="101"/>
        <v>Residential - BHPSD - Residential Online Audit</v>
      </c>
      <c r="C551" s="241" t="b">
        <f t="shared" si="102"/>
        <v>1</v>
      </c>
      <c r="D551" s="241" t="str">
        <f t="shared" si="103"/>
        <v>Residential - BHPSD - Residential Online Audit_Residential Energy Evaluation_Online Evaluation</v>
      </c>
      <c r="E551" s="241" t="str">
        <f t="shared" si="104"/>
        <v>Residential_Residential Audit_Various_Residential Audit</v>
      </c>
      <c r="F551" s="241" t="str">
        <f>INDEX('VDSM MAPPING'!E:E,MATCH($D551,'VDSM MAPPING'!$A:$A,0))</f>
        <v>Residential</v>
      </c>
      <c r="G551" s="241" t="str">
        <f>INDEX('VDSM MAPPING'!F:F,MATCH($D551,'VDSM MAPPING'!$A:$A,0))</f>
        <v>Residential Audit</v>
      </c>
      <c r="H551" s="241" t="str">
        <f>INDEX('VDSM MAPPING'!G:G,MATCH($D551,'VDSM MAPPING'!$A:$A,0))</f>
        <v>Various</v>
      </c>
      <c r="I551" s="241" t="str">
        <f>INDEX('VDSM MAPPING'!H:H,MATCH($D551,'VDSM MAPPING'!$A:$A,0))</f>
        <v>Residential Audit</v>
      </c>
      <c r="J551" s="240" t="str">
        <f t="shared" si="105"/>
        <v/>
      </c>
      <c r="K551" s="240" t="str">
        <f t="shared" si="106"/>
        <v/>
      </c>
      <c r="L551" s="240" t="b">
        <f t="shared" si="107"/>
        <v>0</v>
      </c>
      <c r="M551" s="240" t="b">
        <f t="shared" si="108"/>
        <v>0</v>
      </c>
      <c r="N551" s="204" t="s">
        <v>289</v>
      </c>
      <c r="O551" s="204" t="s">
        <v>766</v>
      </c>
      <c r="P551" s="350">
        <v>1</v>
      </c>
      <c r="Q551" s="204" t="s">
        <v>766</v>
      </c>
      <c r="R551" s="204" t="s">
        <v>756</v>
      </c>
      <c r="S551" s="204" t="s">
        <v>755</v>
      </c>
      <c r="T551" s="204" t="s">
        <v>754</v>
      </c>
      <c r="V551" s="204" t="s">
        <v>763</v>
      </c>
      <c r="W551" s="204" t="s">
        <v>752</v>
      </c>
      <c r="X551" s="204" t="s">
        <v>297</v>
      </c>
      <c r="Y551" s="204" t="s">
        <v>328</v>
      </c>
      <c r="AG551" s="204" t="s">
        <v>750</v>
      </c>
      <c r="AH551" s="204" t="s">
        <v>749</v>
      </c>
      <c r="AX551" s="204">
        <v>23</v>
      </c>
      <c r="AY551" s="204">
        <v>0</v>
      </c>
      <c r="AZ551" s="204">
        <v>0.50600000000000001</v>
      </c>
      <c r="BB551" s="204">
        <v>4807</v>
      </c>
      <c r="BH551" s="204">
        <v>0</v>
      </c>
      <c r="BI551" s="204">
        <v>0</v>
      </c>
      <c r="BJ551" s="204">
        <v>42880</v>
      </c>
      <c r="BK551" s="204">
        <v>42775.666610567103</v>
      </c>
      <c r="BL551" s="204" t="s">
        <v>293</v>
      </c>
      <c r="BM551" s="204" t="s">
        <v>765</v>
      </c>
      <c r="BN551" s="269">
        <f t="shared" si="109"/>
        <v>209</v>
      </c>
      <c r="BO551" s="269">
        <f t="shared" si="110"/>
        <v>0</v>
      </c>
      <c r="BP551" s="269">
        <f>INDEX('App Data Outliers'!$M:$M,MATCH($E551,'App Data Outliers'!$A:$A,0))</f>
        <v>209</v>
      </c>
      <c r="BQ551" s="269">
        <f>INDEX('App Data Outliers'!$N:$N,MATCH($E551,'App Data Outliers'!$A:$A,0))</f>
        <v>0</v>
      </c>
      <c r="BR551" s="269">
        <f>INDEX('App Data Outliers'!$S:$S,MATCH($E551,'App Data Outliers'!$A:$A,0))</f>
        <v>0</v>
      </c>
      <c r="BS551" s="269">
        <f>INDEX('App Data Outliers'!$T:$T,MATCH($E551,'App Data Outliers'!$A:$A,0))</f>
        <v>0</v>
      </c>
    </row>
    <row r="552" spans="1:71" s="204" customFormat="1" hidden="1">
      <c r="A552" s="241">
        <v>548</v>
      </c>
      <c r="B552" s="241" t="str">
        <f t="shared" si="101"/>
        <v>Residential - BHPSD - Residential Online Audit</v>
      </c>
      <c r="C552" s="241" t="b">
        <f t="shared" si="102"/>
        <v>1</v>
      </c>
      <c r="D552" s="241" t="str">
        <f t="shared" si="103"/>
        <v>Residential - BHPSD - Residential Online Audit_Residential Energy Evaluation_Online Evaluation</v>
      </c>
      <c r="E552" s="241" t="str">
        <f t="shared" si="104"/>
        <v>Residential_Residential Audit_Various_Residential Audit</v>
      </c>
      <c r="F552" s="241" t="str">
        <f>INDEX('VDSM MAPPING'!E:E,MATCH($D552,'VDSM MAPPING'!$A:$A,0))</f>
        <v>Residential</v>
      </c>
      <c r="G552" s="241" t="str">
        <f>INDEX('VDSM MAPPING'!F:F,MATCH($D552,'VDSM MAPPING'!$A:$A,0))</f>
        <v>Residential Audit</v>
      </c>
      <c r="H552" s="241" t="str">
        <f>INDEX('VDSM MAPPING'!G:G,MATCH($D552,'VDSM MAPPING'!$A:$A,0))</f>
        <v>Various</v>
      </c>
      <c r="I552" s="241" t="str">
        <f>INDEX('VDSM MAPPING'!H:H,MATCH($D552,'VDSM MAPPING'!$A:$A,0))</f>
        <v>Residential Audit</v>
      </c>
      <c r="J552" s="240" t="str">
        <f t="shared" si="105"/>
        <v/>
      </c>
      <c r="K552" s="240" t="str">
        <f t="shared" si="106"/>
        <v/>
      </c>
      <c r="L552" s="240" t="b">
        <f t="shared" si="107"/>
        <v>0</v>
      </c>
      <c r="M552" s="240" t="b">
        <f t="shared" si="108"/>
        <v>0</v>
      </c>
      <c r="N552" s="204" t="s">
        <v>289</v>
      </c>
      <c r="O552" s="204" t="s">
        <v>764</v>
      </c>
      <c r="P552" s="350">
        <v>1</v>
      </c>
      <c r="Q552" s="204" t="s">
        <v>764</v>
      </c>
      <c r="R552" s="204" t="s">
        <v>756</v>
      </c>
      <c r="S552" s="204" t="s">
        <v>755</v>
      </c>
      <c r="T552" s="204" t="s">
        <v>754</v>
      </c>
      <c r="V552" s="204" t="s">
        <v>763</v>
      </c>
      <c r="W552" s="204" t="s">
        <v>759</v>
      </c>
      <c r="X552" s="204" t="s">
        <v>297</v>
      </c>
      <c r="Y552" s="204" t="s">
        <v>328</v>
      </c>
      <c r="AG552" s="204" t="s">
        <v>750</v>
      </c>
      <c r="AH552" s="204" t="s">
        <v>749</v>
      </c>
      <c r="AX552" s="204">
        <v>16</v>
      </c>
      <c r="AY552" s="204">
        <v>0</v>
      </c>
      <c r="AZ552" s="204">
        <v>0.35199999999999998</v>
      </c>
      <c r="BB552" s="204">
        <v>3344</v>
      </c>
      <c r="BH552" s="204">
        <v>0</v>
      </c>
      <c r="BI552" s="204">
        <v>0</v>
      </c>
      <c r="BJ552" s="204">
        <v>42901</v>
      </c>
      <c r="BK552" s="204">
        <v>42775.667385648201</v>
      </c>
      <c r="BL552" s="204" t="s">
        <v>293</v>
      </c>
      <c r="BM552" s="204" t="s">
        <v>762</v>
      </c>
      <c r="BN552" s="269">
        <f t="shared" si="109"/>
        <v>209</v>
      </c>
      <c r="BO552" s="269">
        <f t="shared" si="110"/>
        <v>0</v>
      </c>
      <c r="BP552" s="269">
        <f>INDEX('App Data Outliers'!$M:$M,MATCH($E552,'App Data Outliers'!$A:$A,0))</f>
        <v>209</v>
      </c>
      <c r="BQ552" s="269">
        <f>INDEX('App Data Outliers'!$N:$N,MATCH($E552,'App Data Outliers'!$A:$A,0))</f>
        <v>0</v>
      </c>
      <c r="BR552" s="269">
        <f>INDEX('App Data Outliers'!$S:$S,MATCH($E552,'App Data Outliers'!$A:$A,0))</f>
        <v>0</v>
      </c>
      <c r="BS552" s="269">
        <f>INDEX('App Data Outliers'!$T:$T,MATCH($E552,'App Data Outliers'!$A:$A,0))</f>
        <v>0</v>
      </c>
    </row>
    <row r="553" spans="1:71" s="204" customFormat="1" hidden="1">
      <c r="A553" s="241">
        <v>549</v>
      </c>
      <c r="B553" s="241" t="str">
        <f t="shared" si="101"/>
        <v>Residential - BHPSD - Residential Online Audit</v>
      </c>
      <c r="C553" s="241" t="b">
        <f t="shared" si="102"/>
        <v>1</v>
      </c>
      <c r="D553" s="241" t="str">
        <f t="shared" si="103"/>
        <v>Residential - BHPSD - Residential Online Audit_Residential Energy Evaluation_Online Evaluation</v>
      </c>
      <c r="E553" s="241" t="str">
        <f t="shared" si="104"/>
        <v>Residential_Residential Audit_Various_Residential Audit</v>
      </c>
      <c r="F553" s="241" t="str">
        <f>INDEX('VDSM MAPPING'!E:E,MATCH($D553,'VDSM MAPPING'!$A:$A,0))</f>
        <v>Residential</v>
      </c>
      <c r="G553" s="241" t="str">
        <f>INDEX('VDSM MAPPING'!F:F,MATCH($D553,'VDSM MAPPING'!$A:$A,0))</f>
        <v>Residential Audit</v>
      </c>
      <c r="H553" s="241" t="str">
        <f>INDEX('VDSM MAPPING'!G:G,MATCH($D553,'VDSM MAPPING'!$A:$A,0))</f>
        <v>Various</v>
      </c>
      <c r="I553" s="241" t="str">
        <f>INDEX('VDSM MAPPING'!H:H,MATCH($D553,'VDSM MAPPING'!$A:$A,0))</f>
        <v>Residential Audit</v>
      </c>
      <c r="J553" s="240" t="str">
        <f t="shared" si="105"/>
        <v/>
      </c>
      <c r="K553" s="240" t="str">
        <f t="shared" si="106"/>
        <v/>
      </c>
      <c r="L553" s="240" t="b">
        <f t="shared" si="107"/>
        <v>0</v>
      </c>
      <c r="M553" s="240" t="b">
        <f t="shared" si="108"/>
        <v>0</v>
      </c>
      <c r="N553" s="204" t="s">
        <v>289</v>
      </c>
      <c r="O553" s="204" t="s">
        <v>761</v>
      </c>
      <c r="P553" s="350">
        <v>1</v>
      </c>
      <c r="Q553" s="204" t="s">
        <v>761</v>
      </c>
      <c r="R553" s="204" t="s">
        <v>756</v>
      </c>
      <c r="S553" s="204" t="s">
        <v>755</v>
      </c>
      <c r="T553" s="204" t="s">
        <v>754</v>
      </c>
      <c r="V553" s="204" t="s">
        <v>760</v>
      </c>
      <c r="W553" s="204" t="s">
        <v>759</v>
      </c>
      <c r="X553" s="204" t="s">
        <v>297</v>
      </c>
      <c r="Y553" s="204" t="s">
        <v>328</v>
      </c>
      <c r="AG553" s="204" t="s">
        <v>750</v>
      </c>
      <c r="AH553" s="204" t="s">
        <v>749</v>
      </c>
      <c r="AX553" s="204">
        <v>26</v>
      </c>
      <c r="AY553" s="204">
        <v>0</v>
      </c>
      <c r="AZ553" s="204">
        <v>0.57199999999999995</v>
      </c>
      <c r="BB553" s="204">
        <v>5434</v>
      </c>
      <c r="BH553" s="204">
        <v>0</v>
      </c>
      <c r="BI553" s="204">
        <v>0</v>
      </c>
      <c r="BJ553" s="204">
        <v>42936</v>
      </c>
      <c r="BK553" s="204">
        <v>42775.668760729197</v>
      </c>
      <c r="BL553" s="204" t="s">
        <v>293</v>
      </c>
      <c r="BM553" s="204" t="s">
        <v>758</v>
      </c>
      <c r="BN553" s="269">
        <f t="shared" si="109"/>
        <v>209</v>
      </c>
      <c r="BO553" s="269">
        <f t="shared" si="110"/>
        <v>0</v>
      </c>
      <c r="BP553" s="269">
        <f>INDEX('App Data Outliers'!$M:$M,MATCH($E553,'App Data Outliers'!$A:$A,0))</f>
        <v>209</v>
      </c>
      <c r="BQ553" s="269">
        <f>INDEX('App Data Outliers'!$N:$N,MATCH($E553,'App Data Outliers'!$A:$A,0))</f>
        <v>0</v>
      </c>
      <c r="BR553" s="269">
        <f>INDEX('App Data Outliers'!$S:$S,MATCH($E553,'App Data Outliers'!$A:$A,0))</f>
        <v>0</v>
      </c>
      <c r="BS553" s="269">
        <f>INDEX('App Data Outliers'!$T:$T,MATCH($E553,'App Data Outliers'!$A:$A,0))</f>
        <v>0</v>
      </c>
    </row>
    <row r="554" spans="1:71" s="204" customFormat="1" hidden="1">
      <c r="A554" s="241">
        <v>550</v>
      </c>
      <c r="B554" s="241" t="str">
        <f t="shared" si="101"/>
        <v>Residential - BHPSD - Residential Online Audit</v>
      </c>
      <c r="C554" s="241" t="b">
        <f t="shared" si="102"/>
        <v>1</v>
      </c>
      <c r="D554" s="241" t="str">
        <f t="shared" si="103"/>
        <v>Residential - BHPSD - Residential Online Audit_Residential Energy Evaluation_Online Evaluation</v>
      </c>
      <c r="E554" s="241" t="str">
        <f t="shared" si="104"/>
        <v>Residential_Residential Audit_Various_Residential Audit</v>
      </c>
      <c r="F554" s="241" t="str">
        <f>INDEX('VDSM MAPPING'!E:E,MATCH($D554,'VDSM MAPPING'!$A:$A,0))</f>
        <v>Residential</v>
      </c>
      <c r="G554" s="241" t="str">
        <f>INDEX('VDSM MAPPING'!F:F,MATCH($D554,'VDSM MAPPING'!$A:$A,0))</f>
        <v>Residential Audit</v>
      </c>
      <c r="H554" s="241" t="str">
        <f>INDEX('VDSM MAPPING'!G:G,MATCH($D554,'VDSM MAPPING'!$A:$A,0))</f>
        <v>Various</v>
      </c>
      <c r="I554" s="241" t="str">
        <f>INDEX('VDSM MAPPING'!H:H,MATCH($D554,'VDSM MAPPING'!$A:$A,0))</f>
        <v>Residential Audit</v>
      </c>
      <c r="J554" s="240" t="str">
        <f t="shared" si="105"/>
        <v/>
      </c>
      <c r="K554" s="240" t="str">
        <f t="shared" si="106"/>
        <v/>
      </c>
      <c r="L554" s="240" t="b">
        <f t="shared" si="107"/>
        <v>0</v>
      </c>
      <c r="M554" s="240" t="b">
        <f t="shared" si="108"/>
        <v>0</v>
      </c>
      <c r="N554" s="204" t="s">
        <v>289</v>
      </c>
      <c r="O554" s="204" t="s">
        <v>757</v>
      </c>
      <c r="P554" s="350">
        <v>1</v>
      </c>
      <c r="Q554" s="204" t="s">
        <v>757</v>
      </c>
      <c r="R554" s="204" t="s">
        <v>756</v>
      </c>
      <c r="S554" s="204" t="s">
        <v>755</v>
      </c>
      <c r="T554" s="204" t="s">
        <v>754</v>
      </c>
      <c r="V554" s="204" t="s">
        <v>753</v>
      </c>
      <c r="W554" s="204" t="s">
        <v>752</v>
      </c>
      <c r="X554" s="204" t="s">
        <v>297</v>
      </c>
      <c r="Y554" s="204" t="s">
        <v>328</v>
      </c>
      <c r="AG554" s="204" t="s">
        <v>750</v>
      </c>
      <c r="AH554" s="204" t="s">
        <v>749</v>
      </c>
      <c r="AX554" s="204">
        <v>20</v>
      </c>
      <c r="AY554" s="204">
        <v>0</v>
      </c>
      <c r="AZ554" s="204">
        <v>0.44</v>
      </c>
      <c r="BB554" s="204">
        <v>4180</v>
      </c>
      <c r="BH554" s="204">
        <v>0</v>
      </c>
      <c r="BI554" s="204">
        <v>0</v>
      </c>
      <c r="BJ554" s="204">
        <v>42775</v>
      </c>
      <c r="BK554" s="204">
        <v>42775.6694263889</v>
      </c>
      <c r="BL554" s="204" t="s">
        <v>293</v>
      </c>
      <c r="BM554" s="204" t="s">
        <v>751</v>
      </c>
      <c r="BN554" s="269">
        <f t="shared" si="109"/>
        <v>209</v>
      </c>
      <c r="BO554" s="269">
        <f t="shared" si="110"/>
        <v>0</v>
      </c>
      <c r="BP554" s="269">
        <f>INDEX('App Data Outliers'!$M:$M,MATCH($E554,'App Data Outliers'!$A:$A,0))</f>
        <v>209</v>
      </c>
      <c r="BQ554" s="269">
        <f>INDEX('App Data Outliers'!$N:$N,MATCH($E554,'App Data Outliers'!$A:$A,0))</f>
        <v>0</v>
      </c>
      <c r="BR554" s="269">
        <f>INDEX('App Data Outliers'!$S:$S,MATCH($E554,'App Data Outliers'!$A:$A,0))</f>
        <v>0</v>
      </c>
      <c r="BS554" s="269">
        <f>INDEX('App Data Outliers'!$T:$T,MATCH($E554,'App Data Outliers'!$A:$A,0))</f>
        <v>0</v>
      </c>
    </row>
    <row r="555" spans="1:71" s="204" customFormat="1" hidden="1">
      <c r="A555" s="241">
        <v>551</v>
      </c>
      <c r="B555" s="241" t="str">
        <f t="shared" si="101"/>
        <v>Special - BHPSD - School Based Energy Education</v>
      </c>
      <c r="C555" s="241" t="b">
        <f t="shared" si="102"/>
        <v>0</v>
      </c>
      <c r="D555" s="241" t="str">
        <f t="shared" si="103"/>
        <v>Special - BHPSD - School Based Energy Education__</v>
      </c>
      <c r="E555" s="241">
        <f t="shared" si="104"/>
        <v>0</v>
      </c>
      <c r="F555" s="241" t="e">
        <f>INDEX('VDSM MAPPING'!E:E,MATCH($D555,'VDSM MAPPING'!$A:$A,0))</f>
        <v>#N/A</v>
      </c>
      <c r="G555" s="241" t="e">
        <f>INDEX('VDSM MAPPING'!F:F,MATCH($D555,'VDSM MAPPING'!$A:$A,0))</f>
        <v>#N/A</v>
      </c>
      <c r="H555" s="241" t="e">
        <f>INDEX('VDSM MAPPING'!G:G,MATCH($D555,'VDSM MAPPING'!$A:$A,0))</f>
        <v>#N/A</v>
      </c>
      <c r="I555" s="241" t="e">
        <f>INDEX('VDSM MAPPING'!H:H,MATCH($D555,'VDSM MAPPING'!$A:$A,0))</f>
        <v>#N/A</v>
      </c>
      <c r="J555" s="240" t="str">
        <f t="shared" si="105"/>
        <v/>
      </c>
      <c r="K555" s="240" t="str">
        <f t="shared" si="106"/>
        <v/>
      </c>
      <c r="L555" s="240" t="b">
        <f t="shared" si="107"/>
        <v>0</v>
      </c>
      <c r="M555" s="240" t="b">
        <f t="shared" si="108"/>
        <v>0</v>
      </c>
      <c r="N555" s="204" t="s">
        <v>748</v>
      </c>
      <c r="O555" s="204">
        <v>20</v>
      </c>
      <c r="P555" s="350">
        <v>1</v>
      </c>
      <c r="Q555" s="204" t="s">
        <v>289</v>
      </c>
      <c r="R555" s="204" t="s">
        <v>289</v>
      </c>
      <c r="S555" s="204" t="s">
        <v>289</v>
      </c>
      <c r="T555" s="204" t="s">
        <v>289</v>
      </c>
      <c r="U555" s="204" t="s">
        <v>289</v>
      </c>
      <c r="V555" s="204" t="s">
        <v>289</v>
      </c>
      <c r="W555" s="204" t="s">
        <v>289</v>
      </c>
      <c r="X555" s="204" t="s">
        <v>289</v>
      </c>
      <c r="Y555" s="204" t="s">
        <v>289</v>
      </c>
      <c r="Z555" s="204" t="s">
        <v>289</v>
      </c>
      <c r="AA555" s="204" t="s">
        <v>289</v>
      </c>
      <c r="AB555" s="204" t="s">
        <v>289</v>
      </c>
      <c r="AC555" s="204" t="s">
        <v>289</v>
      </c>
      <c r="AD555" s="204" t="s">
        <v>289</v>
      </c>
      <c r="AE555" s="204" t="s">
        <v>289</v>
      </c>
      <c r="AF555" s="204" t="s">
        <v>289</v>
      </c>
      <c r="AG555" s="204" t="s">
        <v>289</v>
      </c>
      <c r="AH555" s="204" t="s">
        <v>289</v>
      </c>
      <c r="AI555" s="204" t="s">
        <v>289</v>
      </c>
      <c r="AJ555" s="204" t="s">
        <v>289</v>
      </c>
      <c r="AK555" s="204" t="s">
        <v>289</v>
      </c>
      <c r="AL555" s="204" t="s">
        <v>289</v>
      </c>
      <c r="AM555" s="204" t="s">
        <v>289</v>
      </c>
      <c r="AN555" s="204" t="s">
        <v>289</v>
      </c>
      <c r="AO555" s="204" t="s">
        <v>289</v>
      </c>
      <c r="AP555" s="204" t="s">
        <v>289</v>
      </c>
      <c r="AQ555" s="204" t="s">
        <v>289</v>
      </c>
      <c r="AR555" s="204" t="s">
        <v>289</v>
      </c>
      <c r="AS555" s="204" t="s">
        <v>289</v>
      </c>
      <c r="AT555" s="204" t="s">
        <v>289</v>
      </c>
      <c r="AU555" s="204" t="s">
        <v>289</v>
      </c>
      <c r="AV555" s="204" t="s">
        <v>289</v>
      </c>
      <c r="AW555" s="204" t="s">
        <v>289</v>
      </c>
      <c r="AX555" s="204">
        <v>1202</v>
      </c>
      <c r="AY555" s="204">
        <v>0</v>
      </c>
      <c r="AZ555" s="204">
        <v>48.08</v>
      </c>
      <c r="BB555" s="204">
        <v>477194</v>
      </c>
      <c r="BH555" s="204">
        <v>0</v>
      </c>
      <c r="BI555" s="204">
        <v>0</v>
      </c>
      <c r="BJ555" s="204" t="s">
        <v>289</v>
      </c>
      <c r="BM555" s="204" t="s">
        <v>289</v>
      </c>
      <c r="BN555" s="269">
        <f t="shared" si="109"/>
        <v>397</v>
      </c>
      <c r="BO555" s="269">
        <f t="shared" si="110"/>
        <v>0</v>
      </c>
      <c r="BP555" s="269" t="e">
        <f>INDEX('App Data Outliers'!$M:$M,MATCH($E555,'App Data Outliers'!$A:$A,0))</f>
        <v>#N/A</v>
      </c>
      <c r="BQ555" s="269" t="e">
        <f>INDEX('App Data Outliers'!$N:$N,MATCH($E555,'App Data Outliers'!$A:$A,0))</f>
        <v>#N/A</v>
      </c>
      <c r="BR555" s="269" t="e">
        <f>INDEX('App Data Outliers'!$S:$S,MATCH($E555,'App Data Outliers'!$A:$A,0))</f>
        <v>#N/A</v>
      </c>
      <c r="BS555" s="269" t="e">
        <f>INDEX('App Data Outliers'!$T:$T,MATCH($E555,'App Data Outliers'!$A:$A,0))</f>
        <v>#N/A</v>
      </c>
    </row>
    <row r="556" spans="1:71" s="204" customFormat="1" hidden="1">
      <c r="A556" s="241">
        <v>552</v>
      </c>
      <c r="B556" s="241" t="str">
        <f t="shared" si="101"/>
        <v>Special - BHPSD - School Based Energy Education</v>
      </c>
      <c r="C556" s="241" t="b">
        <f t="shared" si="102"/>
        <v>1</v>
      </c>
      <c r="D556" s="241" t="str">
        <f t="shared" si="103"/>
        <v>Special - BHPSD - School Based Energy Education_School Based Education_School Based Energy Education</v>
      </c>
      <c r="E556" s="241" t="str">
        <f t="shared" si="104"/>
        <v>Residential_School-Based Education_Various_EE Kit/Education Materials</v>
      </c>
      <c r="F556" s="241" t="str">
        <f>INDEX('VDSM MAPPING'!E:E,MATCH($D556,'VDSM MAPPING'!$A:$A,0))</f>
        <v>Residential</v>
      </c>
      <c r="G556" s="241" t="str">
        <f>INDEX('VDSM MAPPING'!F:F,MATCH($D556,'VDSM MAPPING'!$A:$A,0))</f>
        <v>School-Based Education</v>
      </c>
      <c r="H556" s="241" t="str">
        <f>INDEX('VDSM MAPPING'!G:G,MATCH($D556,'VDSM MAPPING'!$A:$A,0))</f>
        <v>Various</v>
      </c>
      <c r="I556" s="241" t="str">
        <f>INDEX('VDSM MAPPING'!H:H,MATCH($D556,'VDSM MAPPING'!$A:$A,0))</f>
        <v>EE Kit/Education Materials</v>
      </c>
      <c r="J556" s="240" t="str">
        <f t="shared" si="105"/>
        <v/>
      </c>
      <c r="K556" s="240" t="str">
        <f t="shared" si="106"/>
        <v/>
      </c>
      <c r="L556" s="240" t="b">
        <f t="shared" si="107"/>
        <v>0</v>
      </c>
      <c r="M556" s="240" t="b">
        <f t="shared" si="108"/>
        <v>0</v>
      </c>
      <c r="N556" s="204" t="s">
        <v>289</v>
      </c>
      <c r="O556" s="204" t="s">
        <v>747</v>
      </c>
      <c r="P556" s="350">
        <v>1</v>
      </c>
      <c r="Q556" s="204" t="s">
        <v>747</v>
      </c>
      <c r="R556" s="204" t="s">
        <v>746</v>
      </c>
      <c r="S556" s="204" t="s">
        <v>648</v>
      </c>
      <c r="T556" s="204" t="s">
        <v>648</v>
      </c>
      <c r="U556" s="204" t="s">
        <v>648</v>
      </c>
      <c r="V556" s="204" t="s">
        <v>745</v>
      </c>
      <c r="W556" s="204" t="s">
        <v>329</v>
      </c>
      <c r="X556" s="204" t="s">
        <v>297</v>
      </c>
      <c r="Y556" s="204" t="s">
        <v>397</v>
      </c>
      <c r="Z556" s="204" t="s">
        <v>601</v>
      </c>
      <c r="AA556" s="204" t="s">
        <v>600</v>
      </c>
      <c r="AB556" s="204" t="s">
        <v>329</v>
      </c>
      <c r="AC556" s="204" t="s">
        <v>297</v>
      </c>
      <c r="AD556" s="204" t="s">
        <v>599</v>
      </c>
      <c r="AE556" s="204" t="s">
        <v>598</v>
      </c>
      <c r="AG556" s="204" t="s">
        <v>645</v>
      </c>
      <c r="AH556" s="204" t="s">
        <v>146</v>
      </c>
      <c r="AX556" s="204">
        <v>83</v>
      </c>
      <c r="AY556" s="204">
        <v>0</v>
      </c>
      <c r="AZ556" s="204">
        <v>3.32</v>
      </c>
      <c r="BB556" s="204">
        <v>32951</v>
      </c>
      <c r="BH556" s="204">
        <v>0</v>
      </c>
      <c r="BI556" s="204">
        <v>0</v>
      </c>
      <c r="BJ556" s="204">
        <v>42804</v>
      </c>
      <c r="BK556" s="204">
        <v>42804.622698263898</v>
      </c>
      <c r="BL556" s="204" t="s">
        <v>293</v>
      </c>
      <c r="BM556" s="204" t="s">
        <v>744</v>
      </c>
      <c r="BN556" s="269">
        <f t="shared" si="109"/>
        <v>397</v>
      </c>
      <c r="BO556" s="269">
        <f t="shared" si="110"/>
        <v>0</v>
      </c>
      <c r="BP556" s="269">
        <f>INDEX('App Data Outliers'!$M:$M,MATCH($E556,'App Data Outliers'!$A:$A,0))</f>
        <v>397</v>
      </c>
      <c r="BQ556" s="269">
        <f>INDEX('App Data Outliers'!$N:$N,MATCH($E556,'App Data Outliers'!$A:$A,0))</f>
        <v>0</v>
      </c>
      <c r="BR556" s="269">
        <f>INDEX('App Data Outliers'!$S:$S,MATCH($E556,'App Data Outliers'!$A:$A,0))</f>
        <v>0</v>
      </c>
      <c r="BS556" s="269">
        <f>INDEX('App Data Outliers'!$T:$T,MATCH($E556,'App Data Outliers'!$A:$A,0))</f>
        <v>0</v>
      </c>
    </row>
    <row r="557" spans="1:71" s="204" customFormat="1" hidden="1">
      <c r="A557" s="241">
        <v>553</v>
      </c>
      <c r="B557" s="241" t="str">
        <f t="shared" si="101"/>
        <v>Special - BHPSD - School Based Energy Education</v>
      </c>
      <c r="C557" s="241" t="b">
        <f t="shared" si="102"/>
        <v>1</v>
      </c>
      <c r="D557" s="241" t="str">
        <f t="shared" si="103"/>
        <v>Special - BHPSD - School Based Energy Education_School Based Education_School Based Energy Education</v>
      </c>
      <c r="E557" s="241" t="str">
        <f t="shared" si="104"/>
        <v>Residential_School-Based Education_Various_EE Kit/Education Materials</v>
      </c>
      <c r="F557" s="241" t="str">
        <f>INDEX('VDSM MAPPING'!E:E,MATCH($D557,'VDSM MAPPING'!$A:$A,0))</f>
        <v>Residential</v>
      </c>
      <c r="G557" s="241" t="str">
        <f>INDEX('VDSM MAPPING'!F:F,MATCH($D557,'VDSM MAPPING'!$A:$A,0))</f>
        <v>School-Based Education</v>
      </c>
      <c r="H557" s="241" t="str">
        <f>INDEX('VDSM MAPPING'!G:G,MATCH($D557,'VDSM MAPPING'!$A:$A,0))</f>
        <v>Various</v>
      </c>
      <c r="I557" s="241" t="str">
        <f>INDEX('VDSM MAPPING'!H:H,MATCH($D557,'VDSM MAPPING'!$A:$A,0))</f>
        <v>EE Kit/Education Materials</v>
      </c>
      <c r="J557" s="240" t="str">
        <f t="shared" si="105"/>
        <v/>
      </c>
      <c r="K557" s="240" t="str">
        <f t="shared" si="106"/>
        <v/>
      </c>
      <c r="L557" s="240" t="b">
        <f t="shared" si="107"/>
        <v>0</v>
      </c>
      <c r="M557" s="240" t="b">
        <f t="shared" si="108"/>
        <v>0</v>
      </c>
      <c r="N557" s="204" t="s">
        <v>289</v>
      </c>
      <c r="O557" s="204" t="s">
        <v>743</v>
      </c>
      <c r="P557" s="350">
        <v>1</v>
      </c>
      <c r="Q557" s="204" t="s">
        <v>743</v>
      </c>
      <c r="R557" s="204" t="s">
        <v>742</v>
      </c>
      <c r="S557" s="204" t="s">
        <v>741</v>
      </c>
      <c r="T557" s="204" t="s">
        <v>741</v>
      </c>
      <c r="U557" s="204" t="s">
        <v>741</v>
      </c>
      <c r="V557" s="204" t="s">
        <v>740</v>
      </c>
      <c r="W557" s="204" t="s">
        <v>739</v>
      </c>
      <c r="X557" s="204" t="s">
        <v>297</v>
      </c>
      <c r="Y557" s="204" t="s">
        <v>738</v>
      </c>
      <c r="Z557" s="204" t="s">
        <v>601</v>
      </c>
      <c r="AA557" s="204" t="s">
        <v>600</v>
      </c>
      <c r="AB557" s="204" t="s">
        <v>329</v>
      </c>
      <c r="AC557" s="204" t="s">
        <v>297</v>
      </c>
      <c r="AD557" s="204" t="s">
        <v>599</v>
      </c>
      <c r="AE557" s="204" t="s">
        <v>598</v>
      </c>
      <c r="AG557" s="204" t="s">
        <v>645</v>
      </c>
      <c r="AH557" s="204" t="s">
        <v>146</v>
      </c>
      <c r="AX557" s="204">
        <v>25</v>
      </c>
      <c r="AY557" s="204">
        <v>0</v>
      </c>
      <c r="AZ557" s="204">
        <v>1</v>
      </c>
      <c r="BB557" s="204">
        <v>9925</v>
      </c>
      <c r="BH557" s="204">
        <v>0</v>
      </c>
      <c r="BI557" s="204">
        <v>0</v>
      </c>
      <c r="BJ557" s="204">
        <v>42804</v>
      </c>
      <c r="BK557" s="204">
        <v>42804.6244997338</v>
      </c>
      <c r="BL557" s="204" t="s">
        <v>293</v>
      </c>
      <c r="BM557" s="204" t="s">
        <v>737</v>
      </c>
      <c r="BN557" s="269">
        <f t="shared" si="109"/>
        <v>397</v>
      </c>
      <c r="BO557" s="269">
        <f t="shared" si="110"/>
        <v>0</v>
      </c>
      <c r="BP557" s="269">
        <f>INDEX('App Data Outliers'!$M:$M,MATCH($E557,'App Data Outliers'!$A:$A,0))</f>
        <v>397</v>
      </c>
      <c r="BQ557" s="269">
        <f>INDEX('App Data Outliers'!$N:$N,MATCH($E557,'App Data Outliers'!$A:$A,0))</f>
        <v>0</v>
      </c>
      <c r="BR557" s="269">
        <f>INDEX('App Data Outliers'!$S:$S,MATCH($E557,'App Data Outliers'!$A:$A,0))</f>
        <v>0</v>
      </c>
      <c r="BS557" s="269">
        <f>INDEX('App Data Outliers'!$T:$T,MATCH($E557,'App Data Outliers'!$A:$A,0))</f>
        <v>0</v>
      </c>
    </row>
    <row r="558" spans="1:71" s="204" customFormat="1" hidden="1">
      <c r="A558" s="241">
        <v>554</v>
      </c>
      <c r="B558" s="241" t="str">
        <f t="shared" si="101"/>
        <v>Special - BHPSD - School Based Energy Education</v>
      </c>
      <c r="C558" s="241" t="b">
        <f t="shared" si="102"/>
        <v>1</v>
      </c>
      <c r="D558" s="241" t="str">
        <f t="shared" si="103"/>
        <v>Special - BHPSD - School Based Energy Education_School Based Education_School Based Energy Education</v>
      </c>
      <c r="E558" s="241" t="str">
        <f t="shared" si="104"/>
        <v>Residential_School-Based Education_Various_EE Kit/Education Materials</v>
      </c>
      <c r="F558" s="241" t="str">
        <f>INDEX('VDSM MAPPING'!E:E,MATCH($D558,'VDSM MAPPING'!$A:$A,0))</f>
        <v>Residential</v>
      </c>
      <c r="G558" s="241" t="str">
        <f>INDEX('VDSM MAPPING'!F:F,MATCH($D558,'VDSM MAPPING'!$A:$A,0))</f>
        <v>School-Based Education</v>
      </c>
      <c r="H558" s="241" t="str">
        <f>INDEX('VDSM MAPPING'!G:G,MATCH($D558,'VDSM MAPPING'!$A:$A,0))</f>
        <v>Various</v>
      </c>
      <c r="I558" s="241" t="str">
        <f>INDEX('VDSM MAPPING'!H:H,MATCH($D558,'VDSM MAPPING'!$A:$A,0))</f>
        <v>EE Kit/Education Materials</v>
      </c>
      <c r="J558" s="240" t="str">
        <f t="shared" si="105"/>
        <v/>
      </c>
      <c r="K558" s="240" t="str">
        <f t="shared" si="106"/>
        <v/>
      </c>
      <c r="L558" s="240" t="b">
        <f t="shared" si="107"/>
        <v>0</v>
      </c>
      <c r="M558" s="240" t="b">
        <f t="shared" si="108"/>
        <v>0</v>
      </c>
      <c r="N558" s="204" t="s">
        <v>289</v>
      </c>
      <c r="O558" s="204" t="s">
        <v>736</v>
      </c>
      <c r="P558" s="350">
        <v>1</v>
      </c>
      <c r="Q558" s="204" t="s">
        <v>736</v>
      </c>
      <c r="R558" s="204" t="s">
        <v>691</v>
      </c>
      <c r="S558" s="204" t="s">
        <v>689</v>
      </c>
      <c r="T558" s="204" t="s">
        <v>689</v>
      </c>
      <c r="U558" s="204" t="s">
        <v>689</v>
      </c>
      <c r="V558" s="204" t="s">
        <v>688</v>
      </c>
      <c r="W558" s="204" t="s">
        <v>329</v>
      </c>
      <c r="X558" s="204" t="s">
        <v>297</v>
      </c>
      <c r="Y558" s="204" t="s">
        <v>328</v>
      </c>
      <c r="Z558" s="204" t="s">
        <v>601</v>
      </c>
      <c r="AA558" s="204" t="s">
        <v>600</v>
      </c>
      <c r="AB558" s="204" t="s">
        <v>329</v>
      </c>
      <c r="AC558" s="204" t="s">
        <v>297</v>
      </c>
      <c r="AD558" s="204" t="s">
        <v>599</v>
      </c>
      <c r="AE558" s="204" t="s">
        <v>598</v>
      </c>
      <c r="AG558" s="204" t="s">
        <v>645</v>
      </c>
      <c r="AH558" s="204" t="s">
        <v>146</v>
      </c>
      <c r="AX558" s="204">
        <v>20</v>
      </c>
      <c r="AY558" s="204">
        <v>0</v>
      </c>
      <c r="AZ558" s="204">
        <v>0.8</v>
      </c>
      <c r="BB558" s="204">
        <v>7940</v>
      </c>
      <c r="BH558" s="204">
        <v>0</v>
      </c>
      <c r="BI558" s="204">
        <v>0</v>
      </c>
      <c r="BJ558" s="204">
        <v>42804</v>
      </c>
      <c r="BK558" s="204">
        <v>42804.627474189801</v>
      </c>
      <c r="BL558" s="204" t="s">
        <v>293</v>
      </c>
      <c r="BM558" s="204" t="s">
        <v>735</v>
      </c>
      <c r="BN558" s="269">
        <f t="shared" si="109"/>
        <v>397</v>
      </c>
      <c r="BO558" s="269">
        <f t="shared" si="110"/>
        <v>0</v>
      </c>
      <c r="BP558" s="269">
        <f>INDEX('App Data Outliers'!$M:$M,MATCH($E558,'App Data Outliers'!$A:$A,0))</f>
        <v>397</v>
      </c>
      <c r="BQ558" s="269">
        <f>INDEX('App Data Outliers'!$N:$N,MATCH($E558,'App Data Outliers'!$A:$A,0))</f>
        <v>0</v>
      </c>
      <c r="BR558" s="269">
        <f>INDEX('App Data Outliers'!$S:$S,MATCH($E558,'App Data Outliers'!$A:$A,0))</f>
        <v>0</v>
      </c>
      <c r="BS558" s="269">
        <f>INDEX('App Data Outliers'!$T:$T,MATCH($E558,'App Data Outliers'!$A:$A,0))</f>
        <v>0</v>
      </c>
    </row>
    <row r="559" spans="1:71" s="204" customFormat="1" hidden="1">
      <c r="A559" s="241">
        <v>555</v>
      </c>
      <c r="B559" s="241" t="str">
        <f t="shared" si="101"/>
        <v>Special - BHPSD - School Based Energy Education</v>
      </c>
      <c r="C559" s="241" t="b">
        <f t="shared" si="102"/>
        <v>1</v>
      </c>
      <c r="D559" s="241" t="str">
        <f t="shared" si="103"/>
        <v>Special - BHPSD - School Based Energy Education_School Based Education_School Based Energy Education</v>
      </c>
      <c r="E559" s="241" t="str">
        <f t="shared" si="104"/>
        <v>Residential_School-Based Education_Various_EE Kit/Education Materials</v>
      </c>
      <c r="F559" s="241" t="str">
        <f>INDEX('VDSM MAPPING'!E:E,MATCH($D559,'VDSM MAPPING'!$A:$A,0))</f>
        <v>Residential</v>
      </c>
      <c r="G559" s="241" t="str">
        <f>INDEX('VDSM MAPPING'!F:F,MATCH($D559,'VDSM MAPPING'!$A:$A,0))</f>
        <v>School-Based Education</v>
      </c>
      <c r="H559" s="241" t="str">
        <f>INDEX('VDSM MAPPING'!G:G,MATCH($D559,'VDSM MAPPING'!$A:$A,0))</f>
        <v>Various</v>
      </c>
      <c r="I559" s="241" t="str">
        <f>INDEX('VDSM MAPPING'!H:H,MATCH($D559,'VDSM MAPPING'!$A:$A,0))</f>
        <v>EE Kit/Education Materials</v>
      </c>
      <c r="J559" s="240" t="str">
        <f t="shared" si="105"/>
        <v/>
      </c>
      <c r="K559" s="240" t="str">
        <f t="shared" si="106"/>
        <v/>
      </c>
      <c r="L559" s="240" t="b">
        <f t="shared" si="107"/>
        <v>0</v>
      </c>
      <c r="M559" s="240" t="b">
        <f t="shared" si="108"/>
        <v>0</v>
      </c>
      <c r="N559" s="204" t="s">
        <v>289</v>
      </c>
      <c r="O559" s="204" t="s">
        <v>734</v>
      </c>
      <c r="P559" s="350">
        <v>1</v>
      </c>
      <c r="Q559" s="204" t="s">
        <v>734</v>
      </c>
      <c r="R559" s="204" t="s">
        <v>733</v>
      </c>
      <c r="S559" s="204" t="s">
        <v>732</v>
      </c>
      <c r="T559" s="204" t="s">
        <v>732</v>
      </c>
      <c r="U559" s="204" t="s">
        <v>732</v>
      </c>
      <c r="V559" s="204" t="s">
        <v>731</v>
      </c>
      <c r="W559" s="204" t="s">
        <v>730</v>
      </c>
      <c r="X559" s="204" t="s">
        <v>297</v>
      </c>
      <c r="Y559" s="204" t="s">
        <v>729</v>
      </c>
      <c r="Z559" s="204" t="s">
        <v>601</v>
      </c>
      <c r="AA559" s="204" t="s">
        <v>600</v>
      </c>
      <c r="AB559" s="204" t="s">
        <v>329</v>
      </c>
      <c r="AC559" s="204" t="s">
        <v>297</v>
      </c>
      <c r="AD559" s="204" t="s">
        <v>599</v>
      </c>
      <c r="AE559" s="204" t="s">
        <v>598</v>
      </c>
      <c r="AG559" s="204" t="s">
        <v>645</v>
      </c>
      <c r="AH559" s="204" t="s">
        <v>146</v>
      </c>
      <c r="AX559" s="204">
        <v>16</v>
      </c>
      <c r="AY559" s="204">
        <v>0</v>
      </c>
      <c r="AZ559" s="204">
        <v>0.64</v>
      </c>
      <c r="BB559" s="204">
        <v>6352</v>
      </c>
      <c r="BH559" s="204">
        <v>0</v>
      </c>
      <c r="BI559" s="204">
        <v>0</v>
      </c>
      <c r="BJ559" s="204">
        <v>42804</v>
      </c>
      <c r="BK559" s="204">
        <v>42804.631206168997</v>
      </c>
      <c r="BL559" s="204" t="s">
        <v>293</v>
      </c>
      <c r="BM559" s="204" t="s">
        <v>728</v>
      </c>
      <c r="BN559" s="269">
        <f t="shared" si="109"/>
        <v>397</v>
      </c>
      <c r="BO559" s="269">
        <f t="shared" si="110"/>
        <v>0</v>
      </c>
      <c r="BP559" s="269">
        <f>INDEX('App Data Outliers'!$M:$M,MATCH($E559,'App Data Outliers'!$A:$A,0))</f>
        <v>397</v>
      </c>
      <c r="BQ559" s="269">
        <f>INDEX('App Data Outliers'!$N:$N,MATCH($E559,'App Data Outliers'!$A:$A,0))</f>
        <v>0</v>
      </c>
      <c r="BR559" s="269">
        <f>INDEX('App Data Outliers'!$S:$S,MATCH($E559,'App Data Outliers'!$A:$A,0))</f>
        <v>0</v>
      </c>
      <c r="BS559" s="269">
        <f>INDEX('App Data Outliers'!$T:$T,MATCH($E559,'App Data Outliers'!$A:$A,0))</f>
        <v>0</v>
      </c>
    </row>
    <row r="560" spans="1:71" s="204" customFormat="1" hidden="1">
      <c r="A560" s="241">
        <v>556</v>
      </c>
      <c r="B560" s="241" t="str">
        <f t="shared" si="101"/>
        <v>Special - BHPSD - School Based Energy Education</v>
      </c>
      <c r="C560" s="241" t="b">
        <f t="shared" si="102"/>
        <v>1</v>
      </c>
      <c r="D560" s="241" t="str">
        <f t="shared" si="103"/>
        <v>Special - BHPSD - School Based Energy Education_School Based Education_School Based Energy Education</v>
      </c>
      <c r="E560" s="241" t="str">
        <f t="shared" si="104"/>
        <v>Residential_School-Based Education_Various_EE Kit/Education Materials</v>
      </c>
      <c r="F560" s="241" t="str">
        <f>INDEX('VDSM MAPPING'!E:E,MATCH($D560,'VDSM MAPPING'!$A:$A,0))</f>
        <v>Residential</v>
      </c>
      <c r="G560" s="241" t="str">
        <f>INDEX('VDSM MAPPING'!F:F,MATCH($D560,'VDSM MAPPING'!$A:$A,0))</f>
        <v>School-Based Education</v>
      </c>
      <c r="H560" s="241" t="str">
        <f>INDEX('VDSM MAPPING'!G:G,MATCH($D560,'VDSM MAPPING'!$A:$A,0))</f>
        <v>Various</v>
      </c>
      <c r="I560" s="241" t="str">
        <f>INDEX('VDSM MAPPING'!H:H,MATCH($D560,'VDSM MAPPING'!$A:$A,0))</f>
        <v>EE Kit/Education Materials</v>
      </c>
      <c r="J560" s="240" t="str">
        <f t="shared" si="105"/>
        <v/>
      </c>
      <c r="K560" s="240" t="str">
        <f t="shared" si="106"/>
        <v/>
      </c>
      <c r="L560" s="240" t="b">
        <f t="shared" si="107"/>
        <v>0</v>
      </c>
      <c r="M560" s="240" t="b">
        <f t="shared" si="108"/>
        <v>0</v>
      </c>
      <c r="N560" s="204" t="s">
        <v>289</v>
      </c>
      <c r="O560" s="204" t="s">
        <v>727</v>
      </c>
      <c r="P560" s="350">
        <v>1</v>
      </c>
      <c r="Q560" s="204" t="s">
        <v>727</v>
      </c>
      <c r="R560" s="204" t="s">
        <v>726</v>
      </c>
      <c r="S560" s="204" t="s">
        <v>648</v>
      </c>
      <c r="T560" s="204" t="s">
        <v>648</v>
      </c>
      <c r="U560" s="204" t="s">
        <v>648</v>
      </c>
      <c r="V560" s="204" t="s">
        <v>725</v>
      </c>
      <c r="W560" s="204" t="s">
        <v>329</v>
      </c>
      <c r="X560" s="204" t="s">
        <v>297</v>
      </c>
      <c r="Y560" s="204" t="s">
        <v>328</v>
      </c>
      <c r="Z560" s="204" t="s">
        <v>601</v>
      </c>
      <c r="AA560" s="204" t="s">
        <v>600</v>
      </c>
      <c r="AB560" s="204" t="s">
        <v>329</v>
      </c>
      <c r="AC560" s="204" t="s">
        <v>297</v>
      </c>
      <c r="AD560" s="204" t="s">
        <v>599</v>
      </c>
      <c r="AE560" s="204" t="s">
        <v>598</v>
      </c>
      <c r="AG560" s="204" t="s">
        <v>645</v>
      </c>
      <c r="AH560" s="204" t="s">
        <v>146</v>
      </c>
      <c r="AX560" s="204">
        <v>78</v>
      </c>
      <c r="AY560" s="204">
        <v>0</v>
      </c>
      <c r="AZ560" s="204">
        <v>3.12</v>
      </c>
      <c r="BB560" s="204">
        <v>30966</v>
      </c>
      <c r="BH560" s="204">
        <v>0</v>
      </c>
      <c r="BI560" s="204">
        <v>0</v>
      </c>
      <c r="BJ560" s="204">
        <v>42804</v>
      </c>
      <c r="BK560" s="204">
        <v>42804.633571874998</v>
      </c>
      <c r="BL560" s="204" t="s">
        <v>293</v>
      </c>
      <c r="BM560" s="204" t="s">
        <v>724</v>
      </c>
      <c r="BN560" s="269">
        <f t="shared" si="109"/>
        <v>397</v>
      </c>
      <c r="BO560" s="269">
        <f t="shared" si="110"/>
        <v>0</v>
      </c>
      <c r="BP560" s="269">
        <f>INDEX('App Data Outliers'!$M:$M,MATCH($E560,'App Data Outliers'!$A:$A,0))</f>
        <v>397</v>
      </c>
      <c r="BQ560" s="269">
        <f>INDEX('App Data Outliers'!$N:$N,MATCH($E560,'App Data Outliers'!$A:$A,0))</f>
        <v>0</v>
      </c>
      <c r="BR560" s="269">
        <f>INDEX('App Data Outliers'!$S:$S,MATCH($E560,'App Data Outliers'!$A:$A,0))</f>
        <v>0</v>
      </c>
      <c r="BS560" s="269">
        <f>INDEX('App Data Outliers'!$T:$T,MATCH($E560,'App Data Outliers'!$A:$A,0))</f>
        <v>0</v>
      </c>
    </row>
    <row r="561" spans="1:71" s="204" customFormat="1" hidden="1">
      <c r="A561" s="241">
        <v>557</v>
      </c>
      <c r="B561" s="241" t="str">
        <f t="shared" si="101"/>
        <v>Special - BHPSD - School Based Energy Education</v>
      </c>
      <c r="C561" s="241" t="b">
        <f t="shared" si="102"/>
        <v>1</v>
      </c>
      <c r="D561" s="241" t="str">
        <f t="shared" si="103"/>
        <v>Special - BHPSD - School Based Energy Education_School Based Education_School Based Energy Education</v>
      </c>
      <c r="E561" s="241" t="str">
        <f t="shared" si="104"/>
        <v>Residential_School-Based Education_Various_EE Kit/Education Materials</v>
      </c>
      <c r="F561" s="241" t="str">
        <f>INDEX('VDSM MAPPING'!E:E,MATCH($D561,'VDSM MAPPING'!$A:$A,0))</f>
        <v>Residential</v>
      </c>
      <c r="G561" s="241" t="str">
        <f>INDEX('VDSM MAPPING'!F:F,MATCH($D561,'VDSM MAPPING'!$A:$A,0))</f>
        <v>School-Based Education</v>
      </c>
      <c r="H561" s="241" t="str">
        <f>INDEX('VDSM MAPPING'!G:G,MATCH($D561,'VDSM MAPPING'!$A:$A,0))</f>
        <v>Various</v>
      </c>
      <c r="I561" s="241" t="str">
        <f>INDEX('VDSM MAPPING'!H:H,MATCH($D561,'VDSM MAPPING'!$A:$A,0))</f>
        <v>EE Kit/Education Materials</v>
      </c>
      <c r="J561" s="240" t="str">
        <f t="shared" si="105"/>
        <v/>
      </c>
      <c r="K561" s="240" t="str">
        <f t="shared" si="106"/>
        <v/>
      </c>
      <c r="L561" s="240" t="b">
        <f t="shared" si="107"/>
        <v>0</v>
      </c>
      <c r="M561" s="240" t="b">
        <f t="shared" si="108"/>
        <v>0</v>
      </c>
      <c r="N561" s="204" t="s">
        <v>289</v>
      </c>
      <c r="O561" s="204" t="s">
        <v>723</v>
      </c>
      <c r="P561" s="350">
        <v>1</v>
      </c>
      <c r="Q561" s="204" t="s">
        <v>723</v>
      </c>
      <c r="R561" s="204" t="s">
        <v>722</v>
      </c>
      <c r="S561" s="204" t="s">
        <v>721</v>
      </c>
      <c r="T561" s="204" t="s">
        <v>720</v>
      </c>
      <c r="U561" s="204" t="s">
        <v>658</v>
      </c>
      <c r="V561" s="204" t="s">
        <v>719</v>
      </c>
      <c r="W561" s="204" t="s">
        <v>298</v>
      </c>
      <c r="X561" s="204" t="s">
        <v>297</v>
      </c>
      <c r="Y561" s="204" t="s">
        <v>296</v>
      </c>
      <c r="Z561" s="204" t="s">
        <v>601</v>
      </c>
      <c r="AA561" s="204" t="s">
        <v>600</v>
      </c>
      <c r="AB561" s="204" t="s">
        <v>329</v>
      </c>
      <c r="AC561" s="204" t="s">
        <v>297</v>
      </c>
      <c r="AD561" s="204" t="s">
        <v>599</v>
      </c>
      <c r="AE561" s="204" t="s">
        <v>598</v>
      </c>
      <c r="AG561" s="204" t="s">
        <v>645</v>
      </c>
      <c r="AH561" s="204" t="s">
        <v>146</v>
      </c>
      <c r="AX561" s="204">
        <v>84</v>
      </c>
      <c r="AY561" s="204">
        <v>0</v>
      </c>
      <c r="AZ561" s="204">
        <v>3.36</v>
      </c>
      <c r="BB561" s="204">
        <v>33348</v>
      </c>
      <c r="BH561" s="204">
        <v>0</v>
      </c>
      <c r="BI561" s="204">
        <v>0</v>
      </c>
      <c r="BJ561" s="204">
        <v>42804</v>
      </c>
      <c r="BK561" s="204">
        <v>42804.6360208681</v>
      </c>
      <c r="BL561" s="204" t="s">
        <v>293</v>
      </c>
      <c r="BM561" s="204" t="s">
        <v>718</v>
      </c>
      <c r="BN561" s="269">
        <f t="shared" si="109"/>
        <v>397</v>
      </c>
      <c r="BO561" s="269">
        <f t="shared" si="110"/>
        <v>0</v>
      </c>
      <c r="BP561" s="269">
        <f>INDEX('App Data Outliers'!$M:$M,MATCH($E561,'App Data Outliers'!$A:$A,0))</f>
        <v>397</v>
      </c>
      <c r="BQ561" s="269">
        <f>INDEX('App Data Outliers'!$N:$N,MATCH($E561,'App Data Outliers'!$A:$A,0))</f>
        <v>0</v>
      </c>
      <c r="BR561" s="269">
        <f>INDEX('App Data Outliers'!$S:$S,MATCH($E561,'App Data Outliers'!$A:$A,0))</f>
        <v>0</v>
      </c>
      <c r="BS561" s="269">
        <f>INDEX('App Data Outliers'!$T:$T,MATCH($E561,'App Data Outliers'!$A:$A,0))</f>
        <v>0</v>
      </c>
    </row>
    <row r="562" spans="1:71" s="204" customFormat="1" hidden="1">
      <c r="A562" s="241">
        <v>558</v>
      </c>
      <c r="B562" s="241" t="str">
        <f t="shared" si="101"/>
        <v>Special - BHPSD - School Based Energy Education</v>
      </c>
      <c r="C562" s="241" t="b">
        <f t="shared" si="102"/>
        <v>1</v>
      </c>
      <c r="D562" s="241" t="str">
        <f t="shared" si="103"/>
        <v>Special - BHPSD - School Based Energy Education_School Based Education_School Based Energy Education</v>
      </c>
      <c r="E562" s="241" t="str">
        <f t="shared" si="104"/>
        <v>Residential_School-Based Education_Various_EE Kit/Education Materials</v>
      </c>
      <c r="F562" s="241" t="str">
        <f>INDEX('VDSM MAPPING'!E:E,MATCH($D562,'VDSM MAPPING'!$A:$A,0))</f>
        <v>Residential</v>
      </c>
      <c r="G562" s="241" t="str">
        <f>INDEX('VDSM MAPPING'!F:F,MATCH($D562,'VDSM MAPPING'!$A:$A,0))</f>
        <v>School-Based Education</v>
      </c>
      <c r="H562" s="241" t="str">
        <f>INDEX('VDSM MAPPING'!G:G,MATCH($D562,'VDSM MAPPING'!$A:$A,0))</f>
        <v>Various</v>
      </c>
      <c r="I562" s="241" t="str">
        <f>INDEX('VDSM MAPPING'!H:H,MATCH($D562,'VDSM MAPPING'!$A:$A,0))</f>
        <v>EE Kit/Education Materials</v>
      </c>
      <c r="J562" s="240" t="str">
        <f t="shared" si="105"/>
        <v/>
      </c>
      <c r="K562" s="240" t="str">
        <f t="shared" si="106"/>
        <v/>
      </c>
      <c r="L562" s="240" t="b">
        <f t="shared" si="107"/>
        <v>0</v>
      </c>
      <c r="M562" s="240" t="b">
        <f t="shared" si="108"/>
        <v>0</v>
      </c>
      <c r="N562" s="204" t="s">
        <v>289</v>
      </c>
      <c r="O562" s="204" t="s">
        <v>717</v>
      </c>
      <c r="P562" s="350">
        <v>1</v>
      </c>
      <c r="Q562" s="204" t="s">
        <v>717</v>
      </c>
      <c r="R562" s="204" t="s">
        <v>716</v>
      </c>
      <c r="S562" s="204" t="s">
        <v>715</v>
      </c>
      <c r="T562" s="204" t="s">
        <v>714</v>
      </c>
      <c r="U562" s="204" t="s">
        <v>714</v>
      </c>
      <c r="V562" s="204" t="s">
        <v>713</v>
      </c>
      <c r="W562" s="204" t="s">
        <v>329</v>
      </c>
      <c r="X562" s="204" t="s">
        <v>297</v>
      </c>
      <c r="Y562" s="204" t="s">
        <v>397</v>
      </c>
      <c r="Z562" s="204" t="s">
        <v>601</v>
      </c>
      <c r="AA562" s="204" t="s">
        <v>600</v>
      </c>
      <c r="AB562" s="204" t="s">
        <v>329</v>
      </c>
      <c r="AC562" s="204" t="s">
        <v>297</v>
      </c>
      <c r="AD562" s="204" t="s">
        <v>599</v>
      </c>
      <c r="AE562" s="204" t="s">
        <v>598</v>
      </c>
      <c r="AG562" s="204" t="s">
        <v>645</v>
      </c>
      <c r="AH562" s="204" t="s">
        <v>146</v>
      </c>
      <c r="AX562" s="204">
        <v>20</v>
      </c>
      <c r="AY562" s="204">
        <v>0</v>
      </c>
      <c r="AZ562" s="204">
        <v>0.8</v>
      </c>
      <c r="BB562" s="204">
        <v>7940</v>
      </c>
      <c r="BH562" s="204">
        <v>0</v>
      </c>
      <c r="BI562" s="204">
        <v>0</v>
      </c>
      <c r="BJ562" s="204">
        <v>42804</v>
      </c>
      <c r="BK562" s="204">
        <v>42804.639085185197</v>
      </c>
      <c r="BL562" s="204" t="s">
        <v>293</v>
      </c>
      <c r="BM562" s="204" t="s">
        <v>712</v>
      </c>
      <c r="BN562" s="269">
        <f t="shared" si="109"/>
        <v>397</v>
      </c>
      <c r="BO562" s="269">
        <f t="shared" si="110"/>
        <v>0</v>
      </c>
      <c r="BP562" s="269">
        <f>INDEX('App Data Outliers'!$M:$M,MATCH($E562,'App Data Outliers'!$A:$A,0))</f>
        <v>397</v>
      </c>
      <c r="BQ562" s="269">
        <f>INDEX('App Data Outliers'!$N:$N,MATCH($E562,'App Data Outliers'!$A:$A,0))</f>
        <v>0</v>
      </c>
      <c r="BR562" s="269">
        <f>INDEX('App Data Outliers'!$S:$S,MATCH($E562,'App Data Outliers'!$A:$A,0))</f>
        <v>0</v>
      </c>
      <c r="BS562" s="269">
        <f>INDEX('App Data Outliers'!$T:$T,MATCH($E562,'App Data Outliers'!$A:$A,0))</f>
        <v>0</v>
      </c>
    </row>
    <row r="563" spans="1:71" s="204" customFormat="1" hidden="1">
      <c r="A563" s="241">
        <v>559</v>
      </c>
      <c r="B563" s="241" t="str">
        <f t="shared" si="101"/>
        <v>Special - BHPSD - School Based Energy Education</v>
      </c>
      <c r="C563" s="241" t="b">
        <f t="shared" si="102"/>
        <v>1</v>
      </c>
      <c r="D563" s="241" t="str">
        <f t="shared" si="103"/>
        <v>Special - BHPSD - School Based Energy Education_School Based Education_School Based Energy Education</v>
      </c>
      <c r="E563" s="241" t="str">
        <f t="shared" si="104"/>
        <v>Residential_School-Based Education_Various_EE Kit/Education Materials</v>
      </c>
      <c r="F563" s="241" t="str">
        <f>INDEX('VDSM MAPPING'!E:E,MATCH($D563,'VDSM MAPPING'!$A:$A,0))</f>
        <v>Residential</v>
      </c>
      <c r="G563" s="241" t="str">
        <f>INDEX('VDSM MAPPING'!F:F,MATCH($D563,'VDSM MAPPING'!$A:$A,0))</f>
        <v>School-Based Education</v>
      </c>
      <c r="H563" s="241" t="str">
        <f>INDEX('VDSM MAPPING'!G:G,MATCH($D563,'VDSM MAPPING'!$A:$A,0))</f>
        <v>Various</v>
      </c>
      <c r="I563" s="241" t="str">
        <f>INDEX('VDSM MAPPING'!H:H,MATCH($D563,'VDSM MAPPING'!$A:$A,0))</f>
        <v>EE Kit/Education Materials</v>
      </c>
      <c r="J563" s="240" t="str">
        <f t="shared" si="105"/>
        <v/>
      </c>
      <c r="K563" s="240" t="str">
        <f t="shared" si="106"/>
        <v/>
      </c>
      <c r="L563" s="240" t="b">
        <f t="shared" si="107"/>
        <v>0</v>
      </c>
      <c r="M563" s="240" t="b">
        <f t="shared" si="108"/>
        <v>0</v>
      </c>
      <c r="N563" s="204" t="s">
        <v>289</v>
      </c>
      <c r="O563" s="204" t="s">
        <v>711</v>
      </c>
      <c r="P563" s="350">
        <v>1</v>
      </c>
      <c r="Q563" s="204" t="s">
        <v>711</v>
      </c>
      <c r="R563" s="204" t="s">
        <v>660</v>
      </c>
      <c r="S563" s="204" t="s">
        <v>710</v>
      </c>
      <c r="T563" s="204" t="s">
        <v>658</v>
      </c>
      <c r="U563" s="204" t="s">
        <v>658</v>
      </c>
      <c r="V563" s="204" t="s">
        <v>657</v>
      </c>
      <c r="W563" s="204" t="s">
        <v>531</v>
      </c>
      <c r="X563" s="204" t="s">
        <v>297</v>
      </c>
      <c r="Y563" s="204" t="s">
        <v>530</v>
      </c>
      <c r="Z563" s="204" t="s">
        <v>601</v>
      </c>
      <c r="AA563" s="204" t="s">
        <v>600</v>
      </c>
      <c r="AB563" s="204" t="s">
        <v>329</v>
      </c>
      <c r="AC563" s="204" t="s">
        <v>297</v>
      </c>
      <c r="AD563" s="204" t="s">
        <v>599</v>
      </c>
      <c r="AE563" s="204" t="s">
        <v>598</v>
      </c>
      <c r="AG563" s="204" t="s">
        <v>645</v>
      </c>
      <c r="AH563" s="204" t="s">
        <v>146</v>
      </c>
      <c r="AX563" s="204">
        <v>102</v>
      </c>
      <c r="AY563" s="204">
        <v>0</v>
      </c>
      <c r="AZ563" s="204">
        <v>4.08</v>
      </c>
      <c r="BB563" s="204">
        <v>40494</v>
      </c>
      <c r="BH563" s="204">
        <v>0</v>
      </c>
      <c r="BI563" s="204">
        <v>0</v>
      </c>
      <c r="BJ563" s="204">
        <v>42804</v>
      </c>
      <c r="BK563" s="204">
        <v>42804.6410861111</v>
      </c>
      <c r="BL563" s="204" t="s">
        <v>293</v>
      </c>
      <c r="BM563" s="204" t="s">
        <v>709</v>
      </c>
      <c r="BN563" s="269">
        <f t="shared" si="109"/>
        <v>397</v>
      </c>
      <c r="BO563" s="269">
        <f t="shared" si="110"/>
        <v>0</v>
      </c>
      <c r="BP563" s="269">
        <f>INDEX('App Data Outliers'!$M:$M,MATCH($E563,'App Data Outliers'!$A:$A,0))</f>
        <v>397</v>
      </c>
      <c r="BQ563" s="269">
        <f>INDEX('App Data Outliers'!$N:$N,MATCH($E563,'App Data Outliers'!$A:$A,0))</f>
        <v>0</v>
      </c>
      <c r="BR563" s="269">
        <f>INDEX('App Data Outliers'!$S:$S,MATCH($E563,'App Data Outliers'!$A:$A,0))</f>
        <v>0</v>
      </c>
      <c r="BS563" s="269">
        <f>INDEX('App Data Outliers'!$T:$T,MATCH($E563,'App Data Outliers'!$A:$A,0))</f>
        <v>0</v>
      </c>
    </row>
    <row r="564" spans="1:71" s="204" customFormat="1" hidden="1">
      <c r="A564" s="241">
        <v>560</v>
      </c>
      <c r="B564" s="241" t="str">
        <f t="shared" si="101"/>
        <v>Special - BHPSD - School Based Energy Education</v>
      </c>
      <c r="C564" s="241" t="b">
        <f t="shared" si="102"/>
        <v>1</v>
      </c>
      <c r="D564" s="241" t="str">
        <f t="shared" si="103"/>
        <v>Special - BHPSD - School Based Energy Education_School Based Education_School Based Energy Education</v>
      </c>
      <c r="E564" s="241" t="str">
        <f t="shared" si="104"/>
        <v>Residential_School-Based Education_Various_EE Kit/Education Materials</v>
      </c>
      <c r="F564" s="241" t="str">
        <f>INDEX('VDSM MAPPING'!E:E,MATCH($D564,'VDSM MAPPING'!$A:$A,0))</f>
        <v>Residential</v>
      </c>
      <c r="G564" s="241" t="str">
        <f>INDEX('VDSM MAPPING'!F:F,MATCH($D564,'VDSM MAPPING'!$A:$A,0))</f>
        <v>School-Based Education</v>
      </c>
      <c r="H564" s="241" t="str">
        <f>INDEX('VDSM MAPPING'!G:G,MATCH($D564,'VDSM MAPPING'!$A:$A,0))</f>
        <v>Various</v>
      </c>
      <c r="I564" s="241" t="str">
        <f>INDEX('VDSM MAPPING'!H:H,MATCH($D564,'VDSM MAPPING'!$A:$A,0))</f>
        <v>EE Kit/Education Materials</v>
      </c>
      <c r="J564" s="240" t="str">
        <f t="shared" si="105"/>
        <v/>
      </c>
      <c r="K564" s="240" t="str">
        <f t="shared" si="106"/>
        <v/>
      </c>
      <c r="L564" s="240" t="b">
        <f t="shared" si="107"/>
        <v>0</v>
      </c>
      <c r="M564" s="240" t="b">
        <f t="shared" si="108"/>
        <v>0</v>
      </c>
      <c r="N564" s="204" t="s">
        <v>289</v>
      </c>
      <c r="O564" s="204" t="s">
        <v>708</v>
      </c>
      <c r="P564" s="350">
        <v>1</v>
      </c>
      <c r="Q564" s="204" t="s">
        <v>708</v>
      </c>
      <c r="R564" s="204" t="s">
        <v>707</v>
      </c>
      <c r="S564" s="204" t="s">
        <v>706</v>
      </c>
      <c r="T564" s="204" t="s">
        <v>706</v>
      </c>
      <c r="U564" s="204" t="s">
        <v>706</v>
      </c>
      <c r="V564" s="204" t="s">
        <v>705</v>
      </c>
      <c r="W564" s="204" t="s">
        <v>308</v>
      </c>
      <c r="X564" s="204" t="s">
        <v>297</v>
      </c>
      <c r="Y564" s="204" t="s">
        <v>307</v>
      </c>
      <c r="Z564" s="204" t="s">
        <v>601</v>
      </c>
      <c r="AA564" s="204" t="s">
        <v>600</v>
      </c>
      <c r="AB564" s="204" t="s">
        <v>329</v>
      </c>
      <c r="AC564" s="204" t="s">
        <v>297</v>
      </c>
      <c r="AD564" s="204" t="s">
        <v>599</v>
      </c>
      <c r="AE564" s="204" t="s">
        <v>598</v>
      </c>
      <c r="AG564" s="204" t="s">
        <v>645</v>
      </c>
      <c r="AH564" s="204" t="s">
        <v>146</v>
      </c>
      <c r="AX564" s="204">
        <v>43</v>
      </c>
      <c r="AY564" s="204">
        <v>0</v>
      </c>
      <c r="AZ564" s="204">
        <v>1.72</v>
      </c>
      <c r="BB564" s="204">
        <v>17071</v>
      </c>
      <c r="BH564" s="204">
        <v>0</v>
      </c>
      <c r="BI564" s="204">
        <v>0</v>
      </c>
      <c r="BJ564" s="204">
        <v>42804</v>
      </c>
      <c r="BK564" s="204">
        <v>42804.645049537001</v>
      </c>
      <c r="BL564" s="204" t="s">
        <v>293</v>
      </c>
      <c r="BM564" s="204" t="s">
        <v>704</v>
      </c>
      <c r="BN564" s="269">
        <f t="shared" si="109"/>
        <v>397</v>
      </c>
      <c r="BO564" s="269">
        <f t="shared" si="110"/>
        <v>0</v>
      </c>
      <c r="BP564" s="269">
        <f>INDEX('App Data Outliers'!$M:$M,MATCH($E564,'App Data Outliers'!$A:$A,0))</f>
        <v>397</v>
      </c>
      <c r="BQ564" s="269">
        <f>INDEX('App Data Outliers'!$N:$N,MATCH($E564,'App Data Outliers'!$A:$A,0))</f>
        <v>0</v>
      </c>
      <c r="BR564" s="269">
        <f>INDEX('App Data Outliers'!$S:$S,MATCH($E564,'App Data Outliers'!$A:$A,0))</f>
        <v>0</v>
      </c>
      <c r="BS564" s="269">
        <f>INDEX('App Data Outliers'!$T:$T,MATCH($E564,'App Data Outliers'!$A:$A,0))</f>
        <v>0</v>
      </c>
    </row>
    <row r="565" spans="1:71" s="204" customFormat="1" hidden="1">
      <c r="A565" s="241">
        <v>561</v>
      </c>
      <c r="B565" s="241" t="str">
        <f t="shared" si="101"/>
        <v>Special - BHPSD - School Based Energy Education</v>
      </c>
      <c r="C565" s="241" t="b">
        <f t="shared" si="102"/>
        <v>1</v>
      </c>
      <c r="D565" s="241" t="str">
        <f t="shared" si="103"/>
        <v>Special - BHPSD - School Based Energy Education_School Based Education_School Based Energy Education</v>
      </c>
      <c r="E565" s="241" t="str">
        <f t="shared" si="104"/>
        <v>Residential_School-Based Education_Various_EE Kit/Education Materials</v>
      </c>
      <c r="F565" s="241" t="str">
        <f>INDEX('VDSM MAPPING'!E:E,MATCH($D565,'VDSM MAPPING'!$A:$A,0))</f>
        <v>Residential</v>
      </c>
      <c r="G565" s="241" t="str">
        <f>INDEX('VDSM MAPPING'!F:F,MATCH($D565,'VDSM MAPPING'!$A:$A,0))</f>
        <v>School-Based Education</v>
      </c>
      <c r="H565" s="241" t="str">
        <f>INDEX('VDSM MAPPING'!G:G,MATCH($D565,'VDSM MAPPING'!$A:$A,0))</f>
        <v>Various</v>
      </c>
      <c r="I565" s="241" t="str">
        <f>INDEX('VDSM MAPPING'!H:H,MATCH($D565,'VDSM MAPPING'!$A:$A,0))</f>
        <v>EE Kit/Education Materials</v>
      </c>
      <c r="J565" s="240" t="str">
        <f t="shared" si="105"/>
        <v/>
      </c>
      <c r="K565" s="240" t="str">
        <f t="shared" si="106"/>
        <v/>
      </c>
      <c r="L565" s="240" t="b">
        <f t="shared" si="107"/>
        <v>0</v>
      </c>
      <c r="M565" s="240" t="b">
        <f t="shared" si="108"/>
        <v>0</v>
      </c>
      <c r="N565" s="204" t="s">
        <v>289</v>
      </c>
      <c r="O565" s="204" t="s">
        <v>703</v>
      </c>
      <c r="P565" s="350">
        <v>1</v>
      </c>
      <c r="Q565" s="204" t="s">
        <v>703</v>
      </c>
      <c r="R565" s="204" t="s">
        <v>702</v>
      </c>
      <c r="S565" s="204" t="s">
        <v>701</v>
      </c>
      <c r="T565" s="204" t="s">
        <v>701</v>
      </c>
      <c r="U565" s="204" t="s">
        <v>701</v>
      </c>
      <c r="V565" s="204" t="s">
        <v>700</v>
      </c>
      <c r="W565" s="204" t="s">
        <v>471</v>
      </c>
      <c r="X565" s="204" t="s">
        <v>297</v>
      </c>
      <c r="Y565" s="204" t="s">
        <v>470</v>
      </c>
      <c r="Z565" s="204" t="s">
        <v>601</v>
      </c>
      <c r="AA565" s="204" t="s">
        <v>600</v>
      </c>
      <c r="AB565" s="204" t="s">
        <v>329</v>
      </c>
      <c r="AC565" s="204" t="s">
        <v>297</v>
      </c>
      <c r="AD565" s="204" t="s">
        <v>599</v>
      </c>
      <c r="AE565" s="204" t="s">
        <v>598</v>
      </c>
      <c r="AG565" s="204" t="s">
        <v>645</v>
      </c>
      <c r="AH565" s="204" t="s">
        <v>146</v>
      </c>
      <c r="AX565" s="204">
        <v>237</v>
      </c>
      <c r="AY565" s="204">
        <v>0</v>
      </c>
      <c r="AZ565" s="204">
        <v>9.48</v>
      </c>
      <c r="BB565" s="204">
        <v>94089</v>
      </c>
      <c r="BH565" s="204">
        <v>0</v>
      </c>
      <c r="BI565" s="204">
        <v>0</v>
      </c>
      <c r="BJ565" s="204">
        <v>42804</v>
      </c>
      <c r="BK565" s="204">
        <v>42804.649298067103</v>
      </c>
      <c r="BL565" s="204" t="s">
        <v>293</v>
      </c>
      <c r="BM565" s="204" t="s">
        <v>699</v>
      </c>
      <c r="BN565" s="269">
        <f t="shared" si="109"/>
        <v>397</v>
      </c>
      <c r="BO565" s="269">
        <f t="shared" si="110"/>
        <v>0</v>
      </c>
      <c r="BP565" s="269">
        <f>INDEX('App Data Outliers'!$M:$M,MATCH($E565,'App Data Outliers'!$A:$A,0))</f>
        <v>397</v>
      </c>
      <c r="BQ565" s="269">
        <f>INDEX('App Data Outliers'!$N:$N,MATCH($E565,'App Data Outliers'!$A:$A,0))</f>
        <v>0</v>
      </c>
      <c r="BR565" s="269">
        <f>INDEX('App Data Outliers'!$S:$S,MATCH($E565,'App Data Outliers'!$A:$A,0))</f>
        <v>0</v>
      </c>
      <c r="BS565" s="269">
        <f>INDEX('App Data Outliers'!$T:$T,MATCH($E565,'App Data Outliers'!$A:$A,0))</f>
        <v>0</v>
      </c>
    </row>
    <row r="566" spans="1:71" s="204" customFormat="1" hidden="1">
      <c r="A566" s="241">
        <v>562</v>
      </c>
      <c r="B566" s="241" t="str">
        <f t="shared" si="101"/>
        <v>Special - BHPSD - School Based Energy Education</v>
      </c>
      <c r="C566" s="241" t="b">
        <f t="shared" si="102"/>
        <v>1</v>
      </c>
      <c r="D566" s="241" t="str">
        <f t="shared" si="103"/>
        <v>Special - BHPSD - School Based Energy Education_School Based Education_School Based Energy Education</v>
      </c>
      <c r="E566" s="241" t="str">
        <f t="shared" si="104"/>
        <v>Residential_School-Based Education_Various_EE Kit/Education Materials</v>
      </c>
      <c r="F566" s="241" t="str">
        <f>INDEX('VDSM MAPPING'!E:E,MATCH($D566,'VDSM MAPPING'!$A:$A,0))</f>
        <v>Residential</v>
      </c>
      <c r="G566" s="241" t="str">
        <f>INDEX('VDSM MAPPING'!F:F,MATCH($D566,'VDSM MAPPING'!$A:$A,0))</f>
        <v>School-Based Education</v>
      </c>
      <c r="H566" s="241" t="str">
        <f>INDEX('VDSM MAPPING'!G:G,MATCH($D566,'VDSM MAPPING'!$A:$A,0))</f>
        <v>Various</v>
      </c>
      <c r="I566" s="241" t="str">
        <f>INDEX('VDSM MAPPING'!H:H,MATCH($D566,'VDSM MAPPING'!$A:$A,0))</f>
        <v>EE Kit/Education Materials</v>
      </c>
      <c r="J566" s="240" t="str">
        <f t="shared" si="105"/>
        <v/>
      </c>
      <c r="K566" s="240" t="str">
        <f t="shared" si="106"/>
        <v/>
      </c>
      <c r="L566" s="240" t="b">
        <f t="shared" si="107"/>
        <v>0</v>
      </c>
      <c r="M566" s="240" t="b">
        <f t="shared" si="108"/>
        <v>0</v>
      </c>
      <c r="N566" s="204" t="s">
        <v>289</v>
      </c>
      <c r="O566" s="204" t="s">
        <v>698</v>
      </c>
      <c r="P566" s="350">
        <v>1</v>
      </c>
      <c r="Q566" s="204" t="s">
        <v>698</v>
      </c>
      <c r="R566" s="204" t="s">
        <v>697</v>
      </c>
      <c r="S566" s="204" t="s">
        <v>320</v>
      </c>
      <c r="T566" s="204" t="s">
        <v>696</v>
      </c>
      <c r="U566" s="204" t="s">
        <v>695</v>
      </c>
      <c r="V566" s="204" t="s">
        <v>694</v>
      </c>
      <c r="W566" s="204" t="s">
        <v>320</v>
      </c>
      <c r="X566" s="204" t="s">
        <v>297</v>
      </c>
      <c r="Y566" s="204" t="s">
        <v>319</v>
      </c>
      <c r="Z566" s="204" t="s">
        <v>601</v>
      </c>
      <c r="AA566" s="204" t="s">
        <v>600</v>
      </c>
      <c r="AB566" s="204" t="s">
        <v>329</v>
      </c>
      <c r="AC566" s="204" t="s">
        <v>297</v>
      </c>
      <c r="AD566" s="204" t="s">
        <v>599</v>
      </c>
      <c r="AE566" s="204" t="s">
        <v>598</v>
      </c>
      <c r="AG566" s="204" t="s">
        <v>645</v>
      </c>
      <c r="AH566" s="204" t="s">
        <v>146</v>
      </c>
      <c r="AX566" s="204">
        <v>68</v>
      </c>
      <c r="AY566" s="204">
        <v>0</v>
      </c>
      <c r="AZ566" s="204">
        <v>2.72</v>
      </c>
      <c r="BB566" s="204">
        <v>26996</v>
      </c>
      <c r="BH566" s="204">
        <v>0</v>
      </c>
      <c r="BI566" s="204">
        <v>0</v>
      </c>
      <c r="BJ566" s="204">
        <v>42804</v>
      </c>
      <c r="BK566" s="204">
        <v>42804.652416203702</v>
      </c>
      <c r="BL566" s="204" t="s">
        <v>293</v>
      </c>
      <c r="BM566" s="204" t="s">
        <v>693</v>
      </c>
      <c r="BN566" s="269">
        <f t="shared" si="109"/>
        <v>397</v>
      </c>
      <c r="BO566" s="269">
        <f t="shared" si="110"/>
        <v>0</v>
      </c>
      <c r="BP566" s="269">
        <f>INDEX('App Data Outliers'!$M:$M,MATCH($E566,'App Data Outliers'!$A:$A,0))</f>
        <v>397</v>
      </c>
      <c r="BQ566" s="269">
        <f>INDEX('App Data Outliers'!$N:$N,MATCH($E566,'App Data Outliers'!$A:$A,0))</f>
        <v>0</v>
      </c>
      <c r="BR566" s="269">
        <f>INDEX('App Data Outliers'!$S:$S,MATCH($E566,'App Data Outliers'!$A:$A,0))</f>
        <v>0</v>
      </c>
      <c r="BS566" s="269">
        <f>INDEX('App Data Outliers'!$T:$T,MATCH($E566,'App Data Outliers'!$A:$A,0))</f>
        <v>0</v>
      </c>
    </row>
    <row r="567" spans="1:71" s="204" customFormat="1" hidden="1">
      <c r="A567" s="241">
        <v>563</v>
      </c>
      <c r="B567" s="241" t="str">
        <f t="shared" si="101"/>
        <v>Special - BHPSD - School Based Energy Education</v>
      </c>
      <c r="C567" s="241" t="b">
        <f t="shared" si="102"/>
        <v>1</v>
      </c>
      <c r="D567" s="241" t="str">
        <f t="shared" si="103"/>
        <v>Special - BHPSD - School Based Energy Education_School Based Education_School Based Energy Education</v>
      </c>
      <c r="E567" s="241" t="str">
        <f t="shared" si="104"/>
        <v>Residential_School-Based Education_Various_EE Kit/Education Materials</v>
      </c>
      <c r="F567" s="241" t="str">
        <f>INDEX('VDSM MAPPING'!E:E,MATCH($D567,'VDSM MAPPING'!$A:$A,0))</f>
        <v>Residential</v>
      </c>
      <c r="G567" s="241" t="str">
        <f>INDEX('VDSM MAPPING'!F:F,MATCH($D567,'VDSM MAPPING'!$A:$A,0))</f>
        <v>School-Based Education</v>
      </c>
      <c r="H567" s="241" t="str">
        <f>INDEX('VDSM MAPPING'!G:G,MATCH($D567,'VDSM MAPPING'!$A:$A,0))</f>
        <v>Various</v>
      </c>
      <c r="I567" s="241" t="str">
        <f>INDEX('VDSM MAPPING'!H:H,MATCH($D567,'VDSM MAPPING'!$A:$A,0))</f>
        <v>EE Kit/Education Materials</v>
      </c>
      <c r="J567" s="240" t="str">
        <f t="shared" si="105"/>
        <v/>
      </c>
      <c r="K567" s="240" t="str">
        <f t="shared" si="106"/>
        <v/>
      </c>
      <c r="L567" s="240" t="b">
        <f t="shared" si="107"/>
        <v>0</v>
      </c>
      <c r="M567" s="240" t="b">
        <f t="shared" si="108"/>
        <v>0</v>
      </c>
      <c r="N567" s="204" t="s">
        <v>289</v>
      </c>
      <c r="O567" s="204" t="s">
        <v>692</v>
      </c>
      <c r="P567" s="350">
        <v>1</v>
      </c>
      <c r="Q567" s="204" t="s">
        <v>692</v>
      </c>
      <c r="R567" s="204" t="s">
        <v>691</v>
      </c>
      <c r="S567" s="204" t="s">
        <v>690</v>
      </c>
      <c r="T567" s="204" t="s">
        <v>689</v>
      </c>
      <c r="U567" s="204" t="s">
        <v>689</v>
      </c>
      <c r="V567" s="204" t="s">
        <v>688</v>
      </c>
      <c r="W567" s="204" t="s">
        <v>329</v>
      </c>
      <c r="X567" s="204" t="s">
        <v>297</v>
      </c>
      <c r="Y567" s="204" t="s">
        <v>328</v>
      </c>
      <c r="Z567" s="204" t="s">
        <v>601</v>
      </c>
      <c r="AA567" s="204" t="s">
        <v>600</v>
      </c>
      <c r="AB567" s="204" t="s">
        <v>329</v>
      </c>
      <c r="AC567" s="204" t="s">
        <v>297</v>
      </c>
      <c r="AD567" s="204" t="s">
        <v>599</v>
      </c>
      <c r="AE567" s="204" t="s">
        <v>598</v>
      </c>
      <c r="AG567" s="204" t="s">
        <v>645</v>
      </c>
      <c r="AH567" s="204" t="s">
        <v>146</v>
      </c>
      <c r="AX567" s="204">
        <v>21</v>
      </c>
      <c r="AY567" s="204">
        <v>0</v>
      </c>
      <c r="AZ567" s="204">
        <v>0.84</v>
      </c>
      <c r="BB567" s="204">
        <v>8337</v>
      </c>
      <c r="BH567" s="204">
        <v>0</v>
      </c>
      <c r="BI567" s="204">
        <v>0</v>
      </c>
      <c r="BJ567" s="204">
        <v>42804</v>
      </c>
      <c r="BK567" s="204">
        <v>42804.6542392708</v>
      </c>
      <c r="BL567" s="204" t="s">
        <v>293</v>
      </c>
      <c r="BM567" s="204" t="s">
        <v>687</v>
      </c>
      <c r="BN567" s="269">
        <f t="shared" si="109"/>
        <v>397</v>
      </c>
      <c r="BO567" s="269">
        <f t="shared" si="110"/>
        <v>0</v>
      </c>
      <c r="BP567" s="269">
        <f>INDEX('App Data Outliers'!$M:$M,MATCH($E567,'App Data Outliers'!$A:$A,0))</f>
        <v>397</v>
      </c>
      <c r="BQ567" s="269">
        <f>INDEX('App Data Outliers'!$N:$N,MATCH($E567,'App Data Outliers'!$A:$A,0))</f>
        <v>0</v>
      </c>
      <c r="BR567" s="269">
        <f>INDEX('App Data Outliers'!$S:$S,MATCH($E567,'App Data Outliers'!$A:$A,0))</f>
        <v>0</v>
      </c>
      <c r="BS567" s="269">
        <f>INDEX('App Data Outliers'!$T:$T,MATCH($E567,'App Data Outliers'!$A:$A,0))</f>
        <v>0</v>
      </c>
    </row>
    <row r="568" spans="1:71" s="204" customFormat="1" hidden="1">
      <c r="A568" s="241">
        <v>564</v>
      </c>
      <c r="B568" s="241" t="str">
        <f t="shared" si="101"/>
        <v>Special - BHPSD - School Based Energy Education</v>
      </c>
      <c r="C568" s="241" t="b">
        <f t="shared" si="102"/>
        <v>1</v>
      </c>
      <c r="D568" s="241" t="str">
        <f t="shared" si="103"/>
        <v>Special - BHPSD - School Based Energy Education_School Based Education_School Based Energy Education</v>
      </c>
      <c r="E568" s="241" t="str">
        <f t="shared" si="104"/>
        <v>Residential_School-Based Education_Various_EE Kit/Education Materials</v>
      </c>
      <c r="F568" s="241" t="str">
        <f>INDEX('VDSM MAPPING'!E:E,MATCH($D568,'VDSM MAPPING'!$A:$A,0))</f>
        <v>Residential</v>
      </c>
      <c r="G568" s="241" t="str">
        <f>INDEX('VDSM MAPPING'!F:F,MATCH($D568,'VDSM MAPPING'!$A:$A,0))</f>
        <v>School-Based Education</v>
      </c>
      <c r="H568" s="241" t="str">
        <f>INDEX('VDSM MAPPING'!G:G,MATCH($D568,'VDSM MAPPING'!$A:$A,0))</f>
        <v>Various</v>
      </c>
      <c r="I568" s="241" t="str">
        <f>INDEX('VDSM MAPPING'!H:H,MATCH($D568,'VDSM MAPPING'!$A:$A,0))</f>
        <v>EE Kit/Education Materials</v>
      </c>
      <c r="J568" s="240" t="str">
        <f t="shared" si="105"/>
        <v/>
      </c>
      <c r="K568" s="240" t="str">
        <f t="shared" si="106"/>
        <v/>
      </c>
      <c r="L568" s="240" t="b">
        <f t="shared" si="107"/>
        <v>0</v>
      </c>
      <c r="M568" s="240" t="b">
        <f t="shared" si="108"/>
        <v>0</v>
      </c>
      <c r="N568" s="204" t="s">
        <v>289</v>
      </c>
      <c r="O568" s="204" t="s">
        <v>686</v>
      </c>
      <c r="P568" s="350">
        <v>1</v>
      </c>
      <c r="Q568" s="204" t="s">
        <v>686</v>
      </c>
      <c r="R568" s="204" t="s">
        <v>685</v>
      </c>
      <c r="S568" s="204" t="s">
        <v>684</v>
      </c>
      <c r="T568" s="204" t="s">
        <v>684</v>
      </c>
      <c r="U568" s="204" t="s">
        <v>684</v>
      </c>
      <c r="V568" s="204" t="s">
        <v>683</v>
      </c>
      <c r="W568" s="204" t="s">
        <v>329</v>
      </c>
      <c r="X568" s="204" t="s">
        <v>297</v>
      </c>
      <c r="Y568" s="204" t="s">
        <v>397</v>
      </c>
      <c r="Z568" s="204" t="s">
        <v>601</v>
      </c>
      <c r="AA568" s="204" t="s">
        <v>600</v>
      </c>
      <c r="AB568" s="204" t="s">
        <v>329</v>
      </c>
      <c r="AC568" s="204" t="s">
        <v>297</v>
      </c>
      <c r="AD568" s="204" t="s">
        <v>599</v>
      </c>
      <c r="AE568" s="204" t="s">
        <v>598</v>
      </c>
      <c r="AG568" s="204" t="s">
        <v>645</v>
      </c>
      <c r="AH568" s="204" t="s">
        <v>146</v>
      </c>
      <c r="AX568" s="204">
        <v>11</v>
      </c>
      <c r="AY568" s="204">
        <v>0</v>
      </c>
      <c r="AZ568" s="204">
        <v>0.44</v>
      </c>
      <c r="BB568" s="204">
        <v>4367</v>
      </c>
      <c r="BH568" s="204">
        <v>0</v>
      </c>
      <c r="BI568" s="204">
        <v>0</v>
      </c>
      <c r="BJ568" s="204">
        <v>42804</v>
      </c>
      <c r="BK568" s="204">
        <v>42804.657562268498</v>
      </c>
      <c r="BL568" s="204" t="s">
        <v>293</v>
      </c>
      <c r="BM568" s="204" t="s">
        <v>682</v>
      </c>
      <c r="BN568" s="269">
        <f t="shared" si="109"/>
        <v>397</v>
      </c>
      <c r="BO568" s="269">
        <f t="shared" si="110"/>
        <v>0</v>
      </c>
      <c r="BP568" s="269">
        <f>INDEX('App Data Outliers'!$M:$M,MATCH($E568,'App Data Outliers'!$A:$A,0))</f>
        <v>397</v>
      </c>
      <c r="BQ568" s="269">
        <f>INDEX('App Data Outliers'!$N:$N,MATCH($E568,'App Data Outliers'!$A:$A,0))</f>
        <v>0</v>
      </c>
      <c r="BR568" s="269">
        <f>INDEX('App Data Outliers'!$S:$S,MATCH($E568,'App Data Outliers'!$A:$A,0))</f>
        <v>0</v>
      </c>
      <c r="BS568" s="269">
        <f>INDEX('App Data Outliers'!$T:$T,MATCH($E568,'App Data Outliers'!$A:$A,0))</f>
        <v>0</v>
      </c>
    </row>
    <row r="569" spans="1:71" s="204" customFormat="1" hidden="1">
      <c r="A569" s="241">
        <v>565</v>
      </c>
      <c r="B569" s="241" t="str">
        <f t="shared" si="101"/>
        <v>Special - BHPSD - School Based Energy Education</v>
      </c>
      <c r="C569" s="241" t="b">
        <f t="shared" si="102"/>
        <v>1</v>
      </c>
      <c r="D569" s="241" t="str">
        <f t="shared" si="103"/>
        <v>Special - BHPSD - School Based Energy Education_School Based Education_School Based Energy Education</v>
      </c>
      <c r="E569" s="241" t="str">
        <f t="shared" si="104"/>
        <v>Residential_School-Based Education_Various_EE Kit/Education Materials</v>
      </c>
      <c r="F569" s="241" t="str">
        <f>INDEX('VDSM MAPPING'!E:E,MATCH($D569,'VDSM MAPPING'!$A:$A,0))</f>
        <v>Residential</v>
      </c>
      <c r="G569" s="241" t="str">
        <f>INDEX('VDSM MAPPING'!F:F,MATCH($D569,'VDSM MAPPING'!$A:$A,0))</f>
        <v>School-Based Education</v>
      </c>
      <c r="H569" s="241" t="str">
        <f>INDEX('VDSM MAPPING'!G:G,MATCH($D569,'VDSM MAPPING'!$A:$A,0))</f>
        <v>Various</v>
      </c>
      <c r="I569" s="241" t="str">
        <f>INDEX('VDSM MAPPING'!H:H,MATCH($D569,'VDSM MAPPING'!$A:$A,0))</f>
        <v>EE Kit/Education Materials</v>
      </c>
      <c r="J569" s="240" t="str">
        <f t="shared" si="105"/>
        <v/>
      </c>
      <c r="K569" s="240" t="str">
        <f t="shared" si="106"/>
        <v/>
      </c>
      <c r="L569" s="240" t="b">
        <f t="shared" si="107"/>
        <v>0</v>
      </c>
      <c r="M569" s="240" t="b">
        <f t="shared" si="108"/>
        <v>0</v>
      </c>
      <c r="N569" s="204" t="s">
        <v>289</v>
      </c>
      <c r="O569" s="204" t="s">
        <v>681</v>
      </c>
      <c r="P569" s="350">
        <v>1</v>
      </c>
      <c r="Q569" s="204" t="s">
        <v>681</v>
      </c>
      <c r="R569" s="204" t="s">
        <v>680</v>
      </c>
      <c r="S569" s="204" t="s">
        <v>679</v>
      </c>
      <c r="T569" s="204" t="s">
        <v>679</v>
      </c>
      <c r="U569" s="204" t="s">
        <v>679</v>
      </c>
      <c r="V569" s="204" t="s">
        <v>678</v>
      </c>
      <c r="W569" s="204" t="s">
        <v>329</v>
      </c>
      <c r="X569" s="204" t="s">
        <v>297</v>
      </c>
      <c r="Y569" s="204" t="s">
        <v>328</v>
      </c>
      <c r="Z569" s="204" t="s">
        <v>601</v>
      </c>
      <c r="AA569" s="204" t="s">
        <v>600</v>
      </c>
      <c r="AB569" s="204" t="s">
        <v>329</v>
      </c>
      <c r="AC569" s="204" t="s">
        <v>297</v>
      </c>
      <c r="AD569" s="204" t="s">
        <v>599</v>
      </c>
      <c r="AE569" s="204" t="s">
        <v>598</v>
      </c>
      <c r="AG569" s="204" t="s">
        <v>645</v>
      </c>
      <c r="AH569" s="204" t="s">
        <v>146</v>
      </c>
      <c r="AX569" s="204">
        <v>2</v>
      </c>
      <c r="AY569" s="204">
        <v>0</v>
      </c>
      <c r="AZ569" s="204">
        <v>0.08</v>
      </c>
      <c r="BB569" s="204">
        <v>794</v>
      </c>
      <c r="BH569" s="204">
        <v>0</v>
      </c>
      <c r="BI569" s="204">
        <v>0</v>
      </c>
      <c r="BJ569" s="204">
        <v>42804</v>
      </c>
      <c r="BK569" s="204">
        <v>42804.659286342598</v>
      </c>
      <c r="BL569" s="204" t="s">
        <v>293</v>
      </c>
      <c r="BM569" s="204" t="s">
        <v>677</v>
      </c>
      <c r="BN569" s="269">
        <f t="shared" si="109"/>
        <v>397</v>
      </c>
      <c r="BO569" s="269">
        <f t="shared" si="110"/>
        <v>0</v>
      </c>
      <c r="BP569" s="269">
        <f>INDEX('App Data Outliers'!$M:$M,MATCH($E569,'App Data Outliers'!$A:$A,0))</f>
        <v>397</v>
      </c>
      <c r="BQ569" s="269">
        <f>INDEX('App Data Outliers'!$N:$N,MATCH($E569,'App Data Outliers'!$A:$A,0))</f>
        <v>0</v>
      </c>
      <c r="BR569" s="269">
        <f>INDEX('App Data Outliers'!$S:$S,MATCH($E569,'App Data Outliers'!$A:$A,0))</f>
        <v>0</v>
      </c>
      <c r="BS569" s="269">
        <f>INDEX('App Data Outliers'!$T:$T,MATCH($E569,'App Data Outliers'!$A:$A,0))</f>
        <v>0</v>
      </c>
    </row>
    <row r="570" spans="1:71" s="204" customFormat="1" hidden="1">
      <c r="A570" s="241">
        <v>566</v>
      </c>
      <c r="B570" s="241" t="str">
        <f t="shared" si="101"/>
        <v>Special - BHPSD - School Based Energy Education</v>
      </c>
      <c r="C570" s="241" t="b">
        <f t="shared" si="102"/>
        <v>1</v>
      </c>
      <c r="D570" s="241" t="str">
        <f t="shared" si="103"/>
        <v>Special - BHPSD - School Based Energy Education_School Based Education_School Based Energy Education</v>
      </c>
      <c r="E570" s="241" t="str">
        <f t="shared" si="104"/>
        <v>Residential_School-Based Education_Various_EE Kit/Education Materials</v>
      </c>
      <c r="F570" s="241" t="str">
        <f>INDEX('VDSM MAPPING'!E:E,MATCH($D570,'VDSM MAPPING'!$A:$A,0))</f>
        <v>Residential</v>
      </c>
      <c r="G570" s="241" t="str">
        <f>INDEX('VDSM MAPPING'!F:F,MATCH($D570,'VDSM MAPPING'!$A:$A,0))</f>
        <v>School-Based Education</v>
      </c>
      <c r="H570" s="241" t="str">
        <f>INDEX('VDSM MAPPING'!G:G,MATCH($D570,'VDSM MAPPING'!$A:$A,0))</f>
        <v>Various</v>
      </c>
      <c r="I570" s="241" t="str">
        <f>INDEX('VDSM MAPPING'!H:H,MATCH($D570,'VDSM MAPPING'!$A:$A,0))</f>
        <v>EE Kit/Education Materials</v>
      </c>
      <c r="J570" s="240" t="str">
        <f t="shared" si="105"/>
        <v/>
      </c>
      <c r="K570" s="240" t="str">
        <f t="shared" si="106"/>
        <v/>
      </c>
      <c r="L570" s="240" t="b">
        <f t="shared" si="107"/>
        <v>0</v>
      </c>
      <c r="M570" s="240" t="b">
        <f t="shared" si="108"/>
        <v>0</v>
      </c>
      <c r="N570" s="204" t="s">
        <v>289</v>
      </c>
      <c r="O570" s="204" t="s">
        <v>676</v>
      </c>
      <c r="P570" s="350">
        <v>1</v>
      </c>
      <c r="Q570" s="204" t="s">
        <v>676</v>
      </c>
      <c r="R570" s="204" t="s">
        <v>675</v>
      </c>
      <c r="S570" s="204" t="s">
        <v>674</v>
      </c>
      <c r="T570" s="204" t="s">
        <v>648</v>
      </c>
      <c r="U570" s="204" t="s">
        <v>648</v>
      </c>
      <c r="V570" s="204" t="s">
        <v>673</v>
      </c>
      <c r="W570" s="204" t="s">
        <v>413</v>
      </c>
      <c r="X570" s="204" t="s">
        <v>297</v>
      </c>
      <c r="Y570" s="204" t="s">
        <v>412</v>
      </c>
      <c r="Z570" s="204" t="s">
        <v>601</v>
      </c>
      <c r="AA570" s="204" t="s">
        <v>600</v>
      </c>
      <c r="AB570" s="204" t="s">
        <v>329</v>
      </c>
      <c r="AC570" s="204" t="s">
        <v>297</v>
      </c>
      <c r="AD570" s="204" t="s">
        <v>599</v>
      </c>
      <c r="AE570" s="204" t="s">
        <v>598</v>
      </c>
      <c r="AG570" s="204" t="s">
        <v>645</v>
      </c>
      <c r="AH570" s="204" t="s">
        <v>146</v>
      </c>
      <c r="AX570" s="204">
        <v>70</v>
      </c>
      <c r="AY570" s="204">
        <v>0</v>
      </c>
      <c r="AZ570" s="204">
        <v>2.8</v>
      </c>
      <c r="BB570" s="204">
        <v>27790</v>
      </c>
      <c r="BH570" s="204">
        <v>0</v>
      </c>
      <c r="BI570" s="204">
        <v>0</v>
      </c>
      <c r="BJ570" s="204">
        <v>42804</v>
      </c>
      <c r="BK570" s="204">
        <v>42804.660429629599</v>
      </c>
      <c r="BL570" s="204" t="s">
        <v>293</v>
      </c>
      <c r="BM570" s="204" t="s">
        <v>672</v>
      </c>
      <c r="BN570" s="269">
        <f t="shared" si="109"/>
        <v>397</v>
      </c>
      <c r="BO570" s="269">
        <f t="shared" si="110"/>
        <v>0</v>
      </c>
      <c r="BP570" s="269">
        <f>INDEX('App Data Outliers'!$M:$M,MATCH($E570,'App Data Outliers'!$A:$A,0))</f>
        <v>397</v>
      </c>
      <c r="BQ570" s="269">
        <f>INDEX('App Data Outliers'!$N:$N,MATCH($E570,'App Data Outliers'!$A:$A,0))</f>
        <v>0</v>
      </c>
      <c r="BR570" s="269">
        <f>INDEX('App Data Outliers'!$S:$S,MATCH($E570,'App Data Outliers'!$A:$A,0))</f>
        <v>0</v>
      </c>
      <c r="BS570" s="269">
        <f>INDEX('App Data Outliers'!$T:$T,MATCH($E570,'App Data Outliers'!$A:$A,0))</f>
        <v>0</v>
      </c>
    </row>
    <row r="571" spans="1:71" s="204" customFormat="1" hidden="1">
      <c r="A571" s="241">
        <v>567</v>
      </c>
      <c r="B571" s="241" t="str">
        <f t="shared" si="101"/>
        <v>Special - BHPSD - School Based Energy Education</v>
      </c>
      <c r="C571" s="241" t="b">
        <f t="shared" si="102"/>
        <v>1</v>
      </c>
      <c r="D571" s="241" t="str">
        <f t="shared" si="103"/>
        <v>Special - BHPSD - School Based Energy Education_School Based Education_School Based Energy Education</v>
      </c>
      <c r="E571" s="241" t="str">
        <f t="shared" si="104"/>
        <v>Residential_School-Based Education_Various_EE Kit/Education Materials</v>
      </c>
      <c r="F571" s="241" t="str">
        <f>INDEX('VDSM MAPPING'!E:E,MATCH($D571,'VDSM MAPPING'!$A:$A,0))</f>
        <v>Residential</v>
      </c>
      <c r="G571" s="241" t="str">
        <f>INDEX('VDSM MAPPING'!F:F,MATCH($D571,'VDSM MAPPING'!$A:$A,0))</f>
        <v>School-Based Education</v>
      </c>
      <c r="H571" s="241" t="str">
        <f>INDEX('VDSM MAPPING'!G:G,MATCH($D571,'VDSM MAPPING'!$A:$A,0))</f>
        <v>Various</v>
      </c>
      <c r="I571" s="241" t="str">
        <f>INDEX('VDSM MAPPING'!H:H,MATCH($D571,'VDSM MAPPING'!$A:$A,0))</f>
        <v>EE Kit/Education Materials</v>
      </c>
      <c r="J571" s="240" t="str">
        <f t="shared" si="105"/>
        <v/>
      </c>
      <c r="K571" s="240" t="str">
        <f t="shared" si="106"/>
        <v/>
      </c>
      <c r="L571" s="240" t="b">
        <f t="shared" si="107"/>
        <v>0</v>
      </c>
      <c r="M571" s="240" t="b">
        <f t="shared" si="108"/>
        <v>0</v>
      </c>
      <c r="N571" s="204" t="s">
        <v>289</v>
      </c>
      <c r="O571" s="204" t="s">
        <v>671</v>
      </c>
      <c r="P571" s="350">
        <v>1</v>
      </c>
      <c r="Q571" s="204" t="s">
        <v>671</v>
      </c>
      <c r="R571" s="204" t="s">
        <v>670</v>
      </c>
      <c r="S571" s="204" t="s">
        <v>669</v>
      </c>
      <c r="T571" s="204" t="s">
        <v>648</v>
      </c>
      <c r="U571" s="204" t="s">
        <v>648</v>
      </c>
      <c r="V571" s="204" t="s">
        <v>668</v>
      </c>
      <c r="W571" s="204" t="s">
        <v>329</v>
      </c>
      <c r="X571" s="204" t="s">
        <v>297</v>
      </c>
      <c r="Y571" s="204" t="s">
        <v>397</v>
      </c>
      <c r="Z571" s="204" t="s">
        <v>601</v>
      </c>
      <c r="AA571" s="204" t="s">
        <v>600</v>
      </c>
      <c r="AB571" s="204" t="s">
        <v>329</v>
      </c>
      <c r="AC571" s="204" t="s">
        <v>297</v>
      </c>
      <c r="AD571" s="204" t="s">
        <v>599</v>
      </c>
      <c r="AE571" s="204" t="s">
        <v>598</v>
      </c>
      <c r="AG571" s="204" t="s">
        <v>645</v>
      </c>
      <c r="AH571" s="204" t="s">
        <v>146</v>
      </c>
      <c r="AX571" s="204">
        <v>69</v>
      </c>
      <c r="AY571" s="204">
        <v>0</v>
      </c>
      <c r="AZ571" s="204">
        <v>2.76</v>
      </c>
      <c r="BB571" s="204">
        <v>27393</v>
      </c>
      <c r="BH571" s="204">
        <v>0</v>
      </c>
      <c r="BI571" s="204">
        <v>0</v>
      </c>
      <c r="BJ571" s="204">
        <v>42804</v>
      </c>
      <c r="BK571" s="204">
        <v>42804.661982175901</v>
      </c>
      <c r="BL571" s="204" t="s">
        <v>293</v>
      </c>
      <c r="BM571" s="204" t="s">
        <v>667</v>
      </c>
      <c r="BN571" s="269">
        <f t="shared" si="109"/>
        <v>397</v>
      </c>
      <c r="BO571" s="269">
        <f t="shared" si="110"/>
        <v>0</v>
      </c>
      <c r="BP571" s="269">
        <f>INDEX('App Data Outliers'!$M:$M,MATCH($E571,'App Data Outliers'!$A:$A,0))</f>
        <v>397</v>
      </c>
      <c r="BQ571" s="269">
        <f>INDEX('App Data Outliers'!$N:$N,MATCH($E571,'App Data Outliers'!$A:$A,0))</f>
        <v>0</v>
      </c>
      <c r="BR571" s="269">
        <f>INDEX('App Data Outliers'!$S:$S,MATCH($E571,'App Data Outliers'!$A:$A,0))</f>
        <v>0</v>
      </c>
      <c r="BS571" s="269">
        <f>INDEX('App Data Outliers'!$T:$T,MATCH($E571,'App Data Outliers'!$A:$A,0))</f>
        <v>0</v>
      </c>
    </row>
    <row r="572" spans="1:71" s="204" customFormat="1" hidden="1">
      <c r="A572" s="241">
        <v>568</v>
      </c>
      <c r="B572" s="241" t="str">
        <f t="shared" si="101"/>
        <v>Special - BHPSD - School Based Energy Education</v>
      </c>
      <c r="C572" s="241" t="b">
        <f t="shared" si="102"/>
        <v>1</v>
      </c>
      <c r="D572" s="241" t="str">
        <f t="shared" si="103"/>
        <v>Special - BHPSD - School Based Energy Education_School Based Education_School Based Energy Education</v>
      </c>
      <c r="E572" s="241" t="str">
        <f t="shared" si="104"/>
        <v>Residential_School-Based Education_Various_EE Kit/Education Materials</v>
      </c>
      <c r="F572" s="241" t="str">
        <f>INDEX('VDSM MAPPING'!E:E,MATCH($D572,'VDSM MAPPING'!$A:$A,0))</f>
        <v>Residential</v>
      </c>
      <c r="G572" s="241" t="str">
        <f>INDEX('VDSM MAPPING'!F:F,MATCH($D572,'VDSM MAPPING'!$A:$A,0))</f>
        <v>School-Based Education</v>
      </c>
      <c r="H572" s="241" t="str">
        <f>INDEX('VDSM MAPPING'!G:G,MATCH($D572,'VDSM MAPPING'!$A:$A,0))</f>
        <v>Various</v>
      </c>
      <c r="I572" s="241" t="str">
        <f>INDEX('VDSM MAPPING'!H:H,MATCH($D572,'VDSM MAPPING'!$A:$A,0))</f>
        <v>EE Kit/Education Materials</v>
      </c>
      <c r="J572" s="240" t="str">
        <f t="shared" si="105"/>
        <v/>
      </c>
      <c r="K572" s="240" t="str">
        <f t="shared" si="106"/>
        <v/>
      </c>
      <c r="L572" s="240" t="b">
        <f t="shared" si="107"/>
        <v>0</v>
      </c>
      <c r="M572" s="240" t="b">
        <f t="shared" si="108"/>
        <v>0</v>
      </c>
      <c r="N572" s="204" t="s">
        <v>289</v>
      </c>
      <c r="O572" s="204" t="s">
        <v>666</v>
      </c>
      <c r="P572" s="350">
        <v>1</v>
      </c>
      <c r="Q572" s="204" t="s">
        <v>666</v>
      </c>
      <c r="R572" s="204" t="s">
        <v>665</v>
      </c>
      <c r="S572" s="204" t="s">
        <v>664</v>
      </c>
      <c r="T572" s="204" t="s">
        <v>648</v>
      </c>
      <c r="U572" s="204" t="s">
        <v>648</v>
      </c>
      <c r="V572" s="204" t="s">
        <v>663</v>
      </c>
      <c r="W572" s="204" t="s">
        <v>329</v>
      </c>
      <c r="X572" s="204" t="s">
        <v>297</v>
      </c>
      <c r="Y572" s="204" t="s">
        <v>397</v>
      </c>
      <c r="Z572" s="204" t="s">
        <v>601</v>
      </c>
      <c r="AA572" s="204" t="s">
        <v>600</v>
      </c>
      <c r="AB572" s="204" t="s">
        <v>329</v>
      </c>
      <c r="AC572" s="204" t="s">
        <v>297</v>
      </c>
      <c r="AD572" s="204" t="s">
        <v>599</v>
      </c>
      <c r="AE572" s="204" t="s">
        <v>598</v>
      </c>
      <c r="AG572" s="204" t="s">
        <v>645</v>
      </c>
      <c r="AH572" s="204" t="s">
        <v>146</v>
      </c>
      <c r="AX572" s="204">
        <v>57</v>
      </c>
      <c r="AY572" s="204">
        <v>0</v>
      </c>
      <c r="AZ572" s="204">
        <v>2.2799999999999998</v>
      </c>
      <c r="BB572" s="204">
        <v>22629</v>
      </c>
      <c r="BH572" s="204">
        <v>0</v>
      </c>
      <c r="BI572" s="204">
        <v>0</v>
      </c>
      <c r="BJ572" s="204">
        <v>42804</v>
      </c>
      <c r="BK572" s="204">
        <v>42804.664031250002</v>
      </c>
      <c r="BL572" s="204" t="s">
        <v>293</v>
      </c>
      <c r="BM572" s="204" t="s">
        <v>662</v>
      </c>
      <c r="BN572" s="269">
        <f t="shared" si="109"/>
        <v>397</v>
      </c>
      <c r="BO572" s="269">
        <f t="shared" si="110"/>
        <v>0</v>
      </c>
      <c r="BP572" s="269">
        <f>INDEX('App Data Outliers'!$M:$M,MATCH($E572,'App Data Outliers'!$A:$A,0))</f>
        <v>397</v>
      </c>
      <c r="BQ572" s="269">
        <f>INDEX('App Data Outliers'!$N:$N,MATCH($E572,'App Data Outliers'!$A:$A,0))</f>
        <v>0</v>
      </c>
      <c r="BR572" s="269">
        <f>INDEX('App Data Outliers'!$S:$S,MATCH($E572,'App Data Outliers'!$A:$A,0))</f>
        <v>0</v>
      </c>
      <c r="BS572" s="269">
        <f>INDEX('App Data Outliers'!$T:$T,MATCH($E572,'App Data Outliers'!$A:$A,0))</f>
        <v>0</v>
      </c>
    </row>
    <row r="573" spans="1:71" s="204" customFormat="1" hidden="1">
      <c r="A573" s="241">
        <v>569</v>
      </c>
      <c r="B573" s="241" t="str">
        <f t="shared" si="101"/>
        <v>Special - BHPSD - School Based Energy Education</v>
      </c>
      <c r="C573" s="241" t="b">
        <f t="shared" si="102"/>
        <v>1</v>
      </c>
      <c r="D573" s="241" t="str">
        <f t="shared" si="103"/>
        <v>Special - BHPSD - School Based Energy Education_School Based Education_School Based Energy Education</v>
      </c>
      <c r="E573" s="241" t="str">
        <f t="shared" si="104"/>
        <v>Residential_School-Based Education_Various_EE Kit/Education Materials</v>
      </c>
      <c r="F573" s="241" t="str">
        <f>INDEX('VDSM MAPPING'!E:E,MATCH($D573,'VDSM MAPPING'!$A:$A,0))</f>
        <v>Residential</v>
      </c>
      <c r="G573" s="241" t="str">
        <f>INDEX('VDSM MAPPING'!F:F,MATCH($D573,'VDSM MAPPING'!$A:$A,0))</f>
        <v>School-Based Education</v>
      </c>
      <c r="H573" s="241" t="str">
        <f>INDEX('VDSM MAPPING'!G:G,MATCH($D573,'VDSM MAPPING'!$A:$A,0))</f>
        <v>Various</v>
      </c>
      <c r="I573" s="241" t="str">
        <f>INDEX('VDSM MAPPING'!H:H,MATCH($D573,'VDSM MAPPING'!$A:$A,0))</f>
        <v>EE Kit/Education Materials</v>
      </c>
      <c r="J573" s="240" t="str">
        <f t="shared" si="105"/>
        <v/>
      </c>
      <c r="K573" s="240" t="str">
        <f t="shared" si="106"/>
        <v/>
      </c>
      <c r="L573" s="240" t="b">
        <f t="shared" si="107"/>
        <v>0</v>
      </c>
      <c r="M573" s="240" t="b">
        <f t="shared" si="108"/>
        <v>0</v>
      </c>
      <c r="N573" s="204" t="s">
        <v>289</v>
      </c>
      <c r="O573" s="204" t="s">
        <v>661</v>
      </c>
      <c r="P573" s="350">
        <v>1</v>
      </c>
      <c r="Q573" s="204" t="s">
        <v>661</v>
      </c>
      <c r="R573" s="204" t="s">
        <v>660</v>
      </c>
      <c r="S573" s="204" t="s">
        <v>659</v>
      </c>
      <c r="T573" s="204" t="s">
        <v>658</v>
      </c>
      <c r="U573" s="204" t="s">
        <v>658</v>
      </c>
      <c r="V573" s="204" t="s">
        <v>657</v>
      </c>
      <c r="W573" s="204" t="s">
        <v>531</v>
      </c>
      <c r="X573" s="204" t="s">
        <v>297</v>
      </c>
      <c r="Y573" s="204" t="s">
        <v>530</v>
      </c>
      <c r="Z573" s="204" t="s">
        <v>601</v>
      </c>
      <c r="AA573" s="204" t="s">
        <v>600</v>
      </c>
      <c r="AB573" s="204" t="s">
        <v>329</v>
      </c>
      <c r="AC573" s="204" t="s">
        <v>297</v>
      </c>
      <c r="AD573" s="204" t="s">
        <v>599</v>
      </c>
      <c r="AE573" s="204" t="s">
        <v>598</v>
      </c>
      <c r="AG573" s="204" t="s">
        <v>645</v>
      </c>
      <c r="AH573" s="204" t="s">
        <v>146</v>
      </c>
      <c r="AX573" s="204">
        <v>59</v>
      </c>
      <c r="AY573" s="204">
        <v>0</v>
      </c>
      <c r="AZ573" s="204">
        <v>2.36</v>
      </c>
      <c r="BB573" s="204">
        <v>23423</v>
      </c>
      <c r="BH573" s="204">
        <v>0</v>
      </c>
      <c r="BI573" s="204">
        <v>0</v>
      </c>
      <c r="BJ573" s="204">
        <v>42804</v>
      </c>
      <c r="BK573" s="204">
        <v>42804.665459606498</v>
      </c>
      <c r="BL573" s="204" t="s">
        <v>293</v>
      </c>
      <c r="BM573" s="204" t="s">
        <v>656</v>
      </c>
      <c r="BN573" s="269">
        <f t="shared" si="109"/>
        <v>397</v>
      </c>
      <c r="BO573" s="269">
        <f t="shared" si="110"/>
        <v>0</v>
      </c>
      <c r="BP573" s="269">
        <f>INDEX('App Data Outliers'!$M:$M,MATCH($E573,'App Data Outliers'!$A:$A,0))</f>
        <v>397</v>
      </c>
      <c r="BQ573" s="269">
        <f>INDEX('App Data Outliers'!$N:$N,MATCH($E573,'App Data Outliers'!$A:$A,0))</f>
        <v>0</v>
      </c>
      <c r="BR573" s="269">
        <f>INDEX('App Data Outliers'!$S:$S,MATCH($E573,'App Data Outliers'!$A:$A,0))</f>
        <v>0</v>
      </c>
      <c r="BS573" s="269">
        <f>INDEX('App Data Outliers'!$T:$T,MATCH($E573,'App Data Outliers'!$A:$A,0))</f>
        <v>0</v>
      </c>
    </row>
    <row r="574" spans="1:71" s="204" customFormat="1" hidden="1">
      <c r="A574" s="241">
        <v>570</v>
      </c>
      <c r="B574" s="241" t="str">
        <f t="shared" si="101"/>
        <v>Special - BHPSD - School Based Energy Education</v>
      </c>
      <c r="C574" s="241" t="b">
        <f t="shared" si="102"/>
        <v>1</v>
      </c>
      <c r="D574" s="241" t="str">
        <f t="shared" si="103"/>
        <v>Special - BHPSD - School Based Energy Education_School Based Education_School Based Energy Education</v>
      </c>
      <c r="E574" s="241" t="str">
        <f t="shared" si="104"/>
        <v>Residential_School-Based Education_Various_EE Kit/Education Materials</v>
      </c>
      <c r="F574" s="241" t="str">
        <f>INDEX('VDSM MAPPING'!E:E,MATCH($D574,'VDSM MAPPING'!$A:$A,0))</f>
        <v>Residential</v>
      </c>
      <c r="G574" s="241" t="str">
        <f>INDEX('VDSM MAPPING'!F:F,MATCH($D574,'VDSM MAPPING'!$A:$A,0))</f>
        <v>School-Based Education</v>
      </c>
      <c r="H574" s="241" t="str">
        <f>INDEX('VDSM MAPPING'!G:G,MATCH($D574,'VDSM MAPPING'!$A:$A,0))</f>
        <v>Various</v>
      </c>
      <c r="I574" s="241" t="str">
        <f>INDEX('VDSM MAPPING'!H:H,MATCH($D574,'VDSM MAPPING'!$A:$A,0))</f>
        <v>EE Kit/Education Materials</v>
      </c>
      <c r="J574" s="240" t="str">
        <f t="shared" si="105"/>
        <v/>
      </c>
      <c r="K574" s="240" t="str">
        <f t="shared" si="106"/>
        <v/>
      </c>
      <c r="L574" s="240" t="b">
        <f t="shared" si="107"/>
        <v>0</v>
      </c>
      <c r="M574" s="240" t="b">
        <f t="shared" si="108"/>
        <v>0</v>
      </c>
      <c r="N574" s="204" t="s">
        <v>289</v>
      </c>
      <c r="O574" s="204" t="s">
        <v>655</v>
      </c>
      <c r="P574" s="350">
        <v>1</v>
      </c>
      <c r="Q574" s="204" t="s">
        <v>655</v>
      </c>
      <c r="R574" s="204" t="s">
        <v>654</v>
      </c>
      <c r="S574" s="204" t="s">
        <v>653</v>
      </c>
      <c r="T574" s="204" t="s">
        <v>653</v>
      </c>
      <c r="U574" s="204" t="s">
        <v>653</v>
      </c>
      <c r="V574" s="204" t="s">
        <v>652</v>
      </c>
      <c r="W574" s="204" t="s">
        <v>345</v>
      </c>
      <c r="X574" s="204" t="s">
        <v>297</v>
      </c>
      <c r="Y574" s="204" t="s">
        <v>344</v>
      </c>
      <c r="Z574" s="204" t="s">
        <v>601</v>
      </c>
      <c r="AA574" s="204" t="s">
        <v>600</v>
      </c>
      <c r="AB574" s="204" t="s">
        <v>329</v>
      </c>
      <c r="AC574" s="204" t="s">
        <v>297</v>
      </c>
      <c r="AD574" s="204" t="s">
        <v>599</v>
      </c>
      <c r="AE574" s="204" t="s">
        <v>598</v>
      </c>
      <c r="AG574" s="204" t="s">
        <v>645</v>
      </c>
      <c r="AH574" s="204" t="s">
        <v>146</v>
      </c>
      <c r="AX574" s="204">
        <v>58</v>
      </c>
      <c r="AY574" s="204">
        <v>0</v>
      </c>
      <c r="AZ574" s="204">
        <v>2.3199999999999998</v>
      </c>
      <c r="BB574" s="204">
        <v>23026</v>
      </c>
      <c r="BH574" s="204">
        <v>0</v>
      </c>
      <c r="BI574" s="204">
        <v>0</v>
      </c>
      <c r="BJ574" s="204">
        <v>42837</v>
      </c>
      <c r="BK574" s="204">
        <v>42837.682094363401</v>
      </c>
      <c r="BL574" s="204" t="s">
        <v>293</v>
      </c>
      <c r="BM574" s="204" t="s">
        <v>651</v>
      </c>
      <c r="BN574" s="269">
        <f t="shared" si="109"/>
        <v>397</v>
      </c>
      <c r="BO574" s="269">
        <f t="shared" si="110"/>
        <v>0</v>
      </c>
      <c r="BP574" s="269">
        <f>INDEX('App Data Outliers'!$M:$M,MATCH($E574,'App Data Outliers'!$A:$A,0))</f>
        <v>397</v>
      </c>
      <c r="BQ574" s="269">
        <f>INDEX('App Data Outliers'!$N:$N,MATCH($E574,'App Data Outliers'!$A:$A,0))</f>
        <v>0</v>
      </c>
      <c r="BR574" s="269">
        <f>INDEX('App Data Outliers'!$S:$S,MATCH($E574,'App Data Outliers'!$A:$A,0))</f>
        <v>0</v>
      </c>
      <c r="BS574" s="269">
        <f>INDEX('App Data Outliers'!$T:$T,MATCH($E574,'App Data Outliers'!$A:$A,0))</f>
        <v>0</v>
      </c>
    </row>
    <row r="575" spans="1:71" s="204" customFormat="1" hidden="1">
      <c r="A575" s="241">
        <v>571</v>
      </c>
      <c r="B575" s="241" t="str">
        <f t="shared" si="101"/>
        <v>Special - BHPSD - School Based Energy Education</v>
      </c>
      <c r="C575" s="241" t="b">
        <f t="shared" si="102"/>
        <v>1</v>
      </c>
      <c r="D575" s="241" t="str">
        <f t="shared" si="103"/>
        <v>Special - BHPSD - School Based Energy Education_School Based Education_School Based Energy Education</v>
      </c>
      <c r="E575" s="241" t="str">
        <f t="shared" si="104"/>
        <v>Residential_School-Based Education_Various_EE Kit/Education Materials</v>
      </c>
      <c r="F575" s="241" t="str">
        <f>INDEX('VDSM MAPPING'!E:E,MATCH($D575,'VDSM MAPPING'!$A:$A,0))</f>
        <v>Residential</v>
      </c>
      <c r="G575" s="241" t="str">
        <f>INDEX('VDSM MAPPING'!F:F,MATCH($D575,'VDSM MAPPING'!$A:$A,0))</f>
        <v>School-Based Education</v>
      </c>
      <c r="H575" s="241" t="str">
        <f>INDEX('VDSM MAPPING'!G:G,MATCH($D575,'VDSM MAPPING'!$A:$A,0))</f>
        <v>Various</v>
      </c>
      <c r="I575" s="241" t="str">
        <f>INDEX('VDSM MAPPING'!H:H,MATCH($D575,'VDSM MAPPING'!$A:$A,0))</f>
        <v>EE Kit/Education Materials</v>
      </c>
      <c r="J575" s="240" t="str">
        <f t="shared" si="105"/>
        <v/>
      </c>
      <c r="K575" s="240" t="str">
        <f t="shared" si="106"/>
        <v/>
      </c>
      <c r="L575" s="240" t="b">
        <f t="shared" si="107"/>
        <v>0</v>
      </c>
      <c r="M575" s="240" t="b">
        <f t="shared" si="108"/>
        <v>0</v>
      </c>
      <c r="N575" s="204" t="s">
        <v>289</v>
      </c>
      <c r="O575" s="204" t="s">
        <v>650</v>
      </c>
      <c r="P575" s="350">
        <v>1</v>
      </c>
      <c r="Q575" s="204" t="s">
        <v>650</v>
      </c>
      <c r="R575" s="204" t="s">
        <v>649</v>
      </c>
      <c r="S575" s="204" t="s">
        <v>647</v>
      </c>
      <c r="T575" s="204" t="s">
        <v>648</v>
      </c>
      <c r="U575" s="204" t="s">
        <v>647</v>
      </c>
      <c r="V575" s="204" t="s">
        <v>646</v>
      </c>
      <c r="W575" s="204" t="s">
        <v>329</v>
      </c>
      <c r="X575" s="204" t="s">
        <v>297</v>
      </c>
      <c r="Y575" s="204" t="s">
        <v>328</v>
      </c>
      <c r="Z575" s="204" t="s">
        <v>601</v>
      </c>
      <c r="AA575" s="204" t="s">
        <v>600</v>
      </c>
      <c r="AB575" s="204" t="s">
        <v>329</v>
      </c>
      <c r="AC575" s="204" t="s">
        <v>297</v>
      </c>
      <c r="AD575" s="204" t="s">
        <v>599</v>
      </c>
      <c r="AE575" s="204" t="s">
        <v>598</v>
      </c>
      <c r="AG575" s="204" t="s">
        <v>645</v>
      </c>
      <c r="AH575" s="204" t="s">
        <v>146</v>
      </c>
      <c r="AX575" s="204">
        <v>79</v>
      </c>
      <c r="AY575" s="204">
        <v>0</v>
      </c>
      <c r="AZ575" s="204">
        <v>3.16</v>
      </c>
      <c r="BB575" s="204">
        <v>31363</v>
      </c>
      <c r="BH575" s="204">
        <v>0</v>
      </c>
      <c r="BI575" s="204">
        <v>0</v>
      </c>
      <c r="BJ575" s="204">
        <v>42863</v>
      </c>
      <c r="BK575" s="204">
        <v>42863.725444479198</v>
      </c>
      <c r="BL575" s="204" t="s">
        <v>293</v>
      </c>
      <c r="BM575" s="204" t="s">
        <v>644</v>
      </c>
      <c r="BN575" s="269">
        <f t="shared" si="109"/>
        <v>397</v>
      </c>
      <c r="BO575" s="269">
        <f t="shared" si="110"/>
        <v>0</v>
      </c>
      <c r="BP575" s="269">
        <f>INDEX('App Data Outliers'!$M:$M,MATCH($E575,'App Data Outliers'!$A:$A,0))</f>
        <v>397</v>
      </c>
      <c r="BQ575" s="269">
        <f>INDEX('App Data Outliers'!$N:$N,MATCH($E575,'App Data Outliers'!$A:$A,0))</f>
        <v>0</v>
      </c>
      <c r="BR575" s="269">
        <f>INDEX('App Data Outliers'!$S:$S,MATCH($E575,'App Data Outliers'!$A:$A,0))</f>
        <v>0</v>
      </c>
      <c r="BS575" s="269">
        <f>INDEX('App Data Outliers'!$T:$T,MATCH($E575,'App Data Outliers'!$A:$A,0))</f>
        <v>0</v>
      </c>
    </row>
    <row r="576" spans="1:71" s="204" customFormat="1" hidden="1">
      <c r="A576" s="241">
        <v>572</v>
      </c>
      <c r="B576" s="241" t="str">
        <f t="shared" si="101"/>
        <v>Special - BHPSD - Weatherization Team</v>
      </c>
      <c r="C576" s="241" t="b">
        <f t="shared" si="102"/>
        <v>0</v>
      </c>
      <c r="D576" s="241" t="str">
        <f t="shared" si="103"/>
        <v>Special - BHPSD - Weatherization Team__</v>
      </c>
      <c r="E576" s="241">
        <f t="shared" si="104"/>
        <v>0</v>
      </c>
      <c r="F576" s="241" t="e">
        <f>INDEX('VDSM MAPPING'!E:E,MATCH($D576,'VDSM MAPPING'!$A:$A,0))</f>
        <v>#N/A</v>
      </c>
      <c r="G576" s="241" t="e">
        <f>INDEX('VDSM MAPPING'!F:F,MATCH($D576,'VDSM MAPPING'!$A:$A,0))</f>
        <v>#N/A</v>
      </c>
      <c r="H576" s="241" t="e">
        <f>INDEX('VDSM MAPPING'!G:G,MATCH($D576,'VDSM MAPPING'!$A:$A,0))</f>
        <v>#N/A</v>
      </c>
      <c r="I576" s="241" t="e">
        <f>INDEX('VDSM MAPPING'!H:H,MATCH($D576,'VDSM MAPPING'!$A:$A,0))</f>
        <v>#N/A</v>
      </c>
      <c r="J576" s="240" t="str">
        <f t="shared" si="105"/>
        <v/>
      </c>
      <c r="K576" s="240" t="str">
        <f t="shared" si="106"/>
        <v/>
      </c>
      <c r="L576" s="240" t="b">
        <f t="shared" si="107"/>
        <v>0</v>
      </c>
      <c r="M576" s="240" t="b">
        <f t="shared" si="108"/>
        <v>0</v>
      </c>
      <c r="N576" s="204" t="s">
        <v>643</v>
      </c>
      <c r="O576" s="204">
        <v>6</v>
      </c>
      <c r="P576" s="350">
        <v>1</v>
      </c>
      <c r="Q576" s="204" t="s">
        <v>289</v>
      </c>
      <c r="R576" s="204" t="s">
        <v>289</v>
      </c>
      <c r="S576" s="204" t="s">
        <v>289</v>
      </c>
      <c r="T576" s="204" t="s">
        <v>289</v>
      </c>
      <c r="U576" s="204" t="s">
        <v>289</v>
      </c>
      <c r="V576" s="204" t="s">
        <v>289</v>
      </c>
      <c r="W576" s="204" t="s">
        <v>289</v>
      </c>
      <c r="X576" s="204" t="s">
        <v>289</v>
      </c>
      <c r="Y576" s="204" t="s">
        <v>289</v>
      </c>
      <c r="Z576" s="204" t="s">
        <v>289</v>
      </c>
      <c r="AA576" s="204" t="s">
        <v>289</v>
      </c>
      <c r="AB576" s="204" t="s">
        <v>289</v>
      </c>
      <c r="AC576" s="204" t="s">
        <v>289</v>
      </c>
      <c r="AD576" s="204" t="s">
        <v>289</v>
      </c>
      <c r="AE576" s="204" t="s">
        <v>289</v>
      </c>
      <c r="AF576" s="204" t="s">
        <v>289</v>
      </c>
      <c r="AG576" s="204" t="s">
        <v>289</v>
      </c>
      <c r="AH576" s="204" t="s">
        <v>289</v>
      </c>
      <c r="AI576" s="204" t="s">
        <v>289</v>
      </c>
      <c r="AJ576" s="204" t="s">
        <v>289</v>
      </c>
      <c r="AK576" s="204" t="s">
        <v>289</v>
      </c>
      <c r="AL576" s="204" t="s">
        <v>289</v>
      </c>
      <c r="AM576" s="204" t="s">
        <v>289</v>
      </c>
      <c r="AN576" s="204" t="s">
        <v>289</v>
      </c>
      <c r="AO576" s="204" t="s">
        <v>289</v>
      </c>
      <c r="AP576" s="204" t="s">
        <v>289</v>
      </c>
      <c r="AQ576" s="204" t="s">
        <v>289</v>
      </c>
      <c r="AR576" s="204" t="s">
        <v>289</v>
      </c>
      <c r="AS576" s="204" t="s">
        <v>289</v>
      </c>
      <c r="AT576" s="204" t="s">
        <v>289</v>
      </c>
      <c r="AU576" s="204" t="s">
        <v>289</v>
      </c>
      <c r="AV576" s="204" t="s">
        <v>289</v>
      </c>
      <c r="AW576" s="204" t="s">
        <v>289</v>
      </c>
      <c r="AX576" s="204">
        <v>12</v>
      </c>
      <c r="AY576" s="204">
        <v>0</v>
      </c>
      <c r="AZ576" s="204">
        <v>1.194</v>
      </c>
      <c r="BB576" s="204">
        <v>7692</v>
      </c>
      <c r="BH576" s="204">
        <v>0</v>
      </c>
      <c r="BI576" s="204">
        <v>0</v>
      </c>
      <c r="BJ576" s="204" t="s">
        <v>289</v>
      </c>
      <c r="BM576" s="204" t="s">
        <v>289</v>
      </c>
      <c r="BN576" s="269">
        <f t="shared" si="109"/>
        <v>641</v>
      </c>
      <c r="BO576" s="269">
        <f t="shared" si="110"/>
        <v>0</v>
      </c>
      <c r="BP576" s="269" t="e">
        <f>INDEX('App Data Outliers'!$M:$M,MATCH($E576,'App Data Outliers'!$A:$A,0))</f>
        <v>#N/A</v>
      </c>
      <c r="BQ576" s="269" t="e">
        <f>INDEX('App Data Outliers'!$N:$N,MATCH($E576,'App Data Outliers'!$A:$A,0))</f>
        <v>#N/A</v>
      </c>
      <c r="BR576" s="269" t="e">
        <f>INDEX('App Data Outliers'!$S:$S,MATCH($E576,'App Data Outliers'!$A:$A,0))</f>
        <v>#N/A</v>
      </c>
      <c r="BS576" s="269" t="e">
        <f>INDEX('App Data Outliers'!$T:$T,MATCH($E576,'App Data Outliers'!$A:$A,0))</f>
        <v>#N/A</v>
      </c>
    </row>
    <row r="577" spans="1:71" s="204" customFormat="1" hidden="1">
      <c r="A577" s="241">
        <v>573</v>
      </c>
      <c r="B577" s="241" t="str">
        <f t="shared" si="101"/>
        <v>Special - BHPSD - Weatherization Team</v>
      </c>
      <c r="C577" s="241" t="b">
        <f t="shared" si="102"/>
        <v>1</v>
      </c>
      <c r="D577" s="241" t="str">
        <f t="shared" si="103"/>
        <v>Special - BHPSD - Weatherization Team_Weatherization_Residential EE Kit</v>
      </c>
      <c r="E577" s="241" t="str">
        <f t="shared" si="104"/>
        <v>Residential_Weatherization_Various_Residential Kit</v>
      </c>
      <c r="F577" s="241" t="str">
        <f>INDEX('VDSM MAPPING'!E:E,MATCH($D577,'VDSM MAPPING'!$A:$A,0))</f>
        <v>Residential</v>
      </c>
      <c r="G577" s="241" t="str">
        <f>INDEX('VDSM MAPPING'!F:F,MATCH($D577,'VDSM MAPPING'!$A:$A,0))</f>
        <v>Weatherization</v>
      </c>
      <c r="H577" s="241" t="str">
        <f>INDEX('VDSM MAPPING'!G:G,MATCH($D577,'VDSM MAPPING'!$A:$A,0))</f>
        <v>Various</v>
      </c>
      <c r="I577" s="241" t="str">
        <f>INDEX('VDSM MAPPING'!H:H,MATCH($D577,'VDSM MAPPING'!$A:$A,0))</f>
        <v>Residential Kit</v>
      </c>
      <c r="J577" s="240" t="str">
        <f t="shared" si="105"/>
        <v/>
      </c>
      <c r="K577" s="240" t="str">
        <f t="shared" si="106"/>
        <v/>
      </c>
      <c r="L577" s="240" t="b">
        <f t="shared" si="107"/>
        <v>0</v>
      </c>
      <c r="M577" s="240" t="b">
        <f t="shared" si="108"/>
        <v>0</v>
      </c>
      <c r="N577" s="204" t="s">
        <v>289</v>
      </c>
      <c r="O577" s="204" t="s">
        <v>641</v>
      </c>
      <c r="P577" s="350">
        <v>1</v>
      </c>
      <c r="Q577" s="204" t="s">
        <v>641</v>
      </c>
      <c r="R577" s="204" t="s">
        <v>640</v>
      </c>
      <c r="S577" s="204" t="s">
        <v>639</v>
      </c>
      <c r="T577" s="204" t="s">
        <v>638</v>
      </c>
      <c r="V577" s="204" t="s">
        <v>637</v>
      </c>
      <c r="W577" s="204" t="s">
        <v>329</v>
      </c>
      <c r="X577" s="204" t="s">
        <v>297</v>
      </c>
      <c r="Y577" s="204" t="s">
        <v>397</v>
      </c>
      <c r="Z577" s="204" t="s">
        <v>601</v>
      </c>
      <c r="AA577" s="204" t="s">
        <v>600</v>
      </c>
      <c r="AB577" s="204" t="s">
        <v>329</v>
      </c>
      <c r="AC577" s="204" t="s">
        <v>297</v>
      </c>
      <c r="AD577" s="204" t="s">
        <v>599</v>
      </c>
      <c r="AE577" s="204" t="s">
        <v>598</v>
      </c>
      <c r="AG577" s="204" t="s">
        <v>83</v>
      </c>
      <c r="AH577" s="204" t="s">
        <v>305</v>
      </c>
      <c r="AX577" s="204">
        <v>1</v>
      </c>
      <c r="AY577" s="204">
        <v>0</v>
      </c>
      <c r="AZ577" s="204">
        <v>4.3999999999999997E-2</v>
      </c>
      <c r="BB577" s="204">
        <v>417</v>
      </c>
      <c r="BH577" s="204">
        <v>0</v>
      </c>
      <c r="BI577" s="204">
        <v>0</v>
      </c>
      <c r="BJ577" s="204">
        <v>42702</v>
      </c>
      <c r="BK577" s="204">
        <v>42702.468356747697</v>
      </c>
      <c r="BL577" s="204" t="s">
        <v>293</v>
      </c>
      <c r="BM577" s="204" t="s">
        <v>642</v>
      </c>
      <c r="BN577" s="269">
        <f t="shared" si="109"/>
        <v>417</v>
      </c>
      <c r="BO577" s="269">
        <f t="shared" si="110"/>
        <v>0</v>
      </c>
      <c r="BP577" s="269">
        <f>INDEX('App Data Outliers'!$M:$M,MATCH($E577,'App Data Outliers'!$A:$A,0))</f>
        <v>417</v>
      </c>
      <c r="BQ577" s="269">
        <f>INDEX('App Data Outliers'!$N:$N,MATCH($E577,'App Data Outliers'!$A:$A,0))</f>
        <v>0</v>
      </c>
      <c r="BR577" s="269">
        <f>INDEX('App Data Outliers'!$S:$S,MATCH($E577,'App Data Outliers'!$A:$A,0))</f>
        <v>0</v>
      </c>
      <c r="BS577" s="269">
        <f>INDEX('App Data Outliers'!$T:$T,MATCH($E577,'App Data Outliers'!$A:$A,0))</f>
        <v>0</v>
      </c>
    </row>
    <row r="578" spans="1:71" s="204" customFormat="1" hidden="1">
      <c r="A578" s="241">
        <v>574</v>
      </c>
      <c r="B578" s="241" t="str">
        <f t="shared" si="101"/>
        <v>Special - BHPSD - Weatherization Team</v>
      </c>
      <c r="C578" s="241" t="b">
        <f t="shared" si="102"/>
        <v>1</v>
      </c>
      <c r="D578" s="241" t="str">
        <f t="shared" si="103"/>
        <v>Special - BHPSD - Weatherization Team_Weatherization_Recommended Audit Measures</v>
      </c>
      <c r="E578" s="241" t="str">
        <f t="shared" si="104"/>
        <v>Residential_Weatherization_Various_Measures</v>
      </c>
      <c r="F578" s="241" t="str">
        <f>INDEX('VDSM MAPPING'!E:E,MATCH($D578,'VDSM MAPPING'!$A:$A,0))</f>
        <v>Residential</v>
      </c>
      <c r="G578" s="241" t="str">
        <f>INDEX('VDSM MAPPING'!F:F,MATCH($D578,'VDSM MAPPING'!$A:$A,0))</f>
        <v>Weatherization</v>
      </c>
      <c r="H578" s="241" t="str">
        <f>INDEX('VDSM MAPPING'!G:G,MATCH($D578,'VDSM MAPPING'!$A:$A,0))</f>
        <v>Various</v>
      </c>
      <c r="I578" s="241" t="str">
        <f>INDEX('VDSM MAPPING'!H:H,MATCH($D578,'VDSM MAPPING'!$A:$A,0))</f>
        <v>Measures</v>
      </c>
      <c r="J578" s="240" t="str">
        <f t="shared" si="105"/>
        <v/>
      </c>
      <c r="K578" s="240" t="str">
        <f t="shared" si="106"/>
        <v/>
      </c>
      <c r="L578" s="240" t="b">
        <f t="shared" si="107"/>
        <v>0</v>
      </c>
      <c r="M578" s="240" t="b">
        <f t="shared" si="108"/>
        <v>0</v>
      </c>
      <c r="N578" s="204" t="s">
        <v>289</v>
      </c>
      <c r="O578" s="204" t="s">
        <v>641</v>
      </c>
      <c r="P578" s="350">
        <v>0</v>
      </c>
      <c r="Q578" s="204" t="s">
        <v>641</v>
      </c>
      <c r="R578" s="204" t="s">
        <v>640</v>
      </c>
      <c r="S578" s="204" t="s">
        <v>639</v>
      </c>
      <c r="T578" s="204" t="s">
        <v>638</v>
      </c>
      <c r="V578" s="204" t="s">
        <v>637</v>
      </c>
      <c r="W578" s="204" t="s">
        <v>329</v>
      </c>
      <c r="X578" s="204" t="s">
        <v>297</v>
      </c>
      <c r="Y578" s="204" t="s">
        <v>397</v>
      </c>
      <c r="Z578" s="204" t="s">
        <v>601</v>
      </c>
      <c r="AA578" s="204" t="s">
        <v>600</v>
      </c>
      <c r="AB578" s="204" t="s">
        <v>329</v>
      </c>
      <c r="AC578" s="204" t="s">
        <v>297</v>
      </c>
      <c r="AD578" s="204" t="s">
        <v>599</v>
      </c>
      <c r="AE578" s="204" t="s">
        <v>598</v>
      </c>
      <c r="AG578" s="204" t="s">
        <v>83</v>
      </c>
      <c r="AH578" s="204" t="s">
        <v>153</v>
      </c>
      <c r="AX578" s="204">
        <v>1</v>
      </c>
      <c r="AY578" s="204">
        <v>0</v>
      </c>
      <c r="AZ578" s="204">
        <v>0.155</v>
      </c>
      <c r="BB578" s="204">
        <v>865</v>
      </c>
      <c r="BH578" s="204">
        <v>0</v>
      </c>
      <c r="BI578" s="204">
        <v>0</v>
      </c>
      <c r="BJ578" s="204">
        <v>42702</v>
      </c>
      <c r="BK578" s="204">
        <v>42702.468356747697</v>
      </c>
      <c r="BL578" s="204" t="s">
        <v>293</v>
      </c>
      <c r="BM578" s="204" t="s">
        <v>636</v>
      </c>
      <c r="BN578" s="269">
        <f t="shared" si="109"/>
        <v>865</v>
      </c>
      <c r="BO578" s="269">
        <f t="shared" si="110"/>
        <v>0</v>
      </c>
      <c r="BP578" s="269">
        <f>INDEX('App Data Outliers'!$M:$M,MATCH($E578,'App Data Outliers'!$A:$A,0))</f>
        <v>865</v>
      </c>
      <c r="BQ578" s="269">
        <f>INDEX('App Data Outliers'!$N:$N,MATCH($E578,'App Data Outliers'!$A:$A,0))</f>
        <v>0</v>
      </c>
      <c r="BR578" s="269">
        <f>INDEX('App Data Outliers'!$S:$S,MATCH($E578,'App Data Outliers'!$A:$A,0))</f>
        <v>0</v>
      </c>
      <c r="BS578" s="269">
        <f>INDEX('App Data Outliers'!$T:$T,MATCH($E578,'App Data Outliers'!$A:$A,0))</f>
        <v>0</v>
      </c>
    </row>
    <row r="579" spans="1:71" s="204" customFormat="1" hidden="1">
      <c r="A579" s="241">
        <v>575</v>
      </c>
      <c r="B579" s="241" t="str">
        <f t="shared" si="101"/>
        <v>Special - BHPSD - Weatherization Team</v>
      </c>
      <c r="C579" s="241" t="b">
        <f t="shared" si="102"/>
        <v>1</v>
      </c>
      <c r="D579" s="241" t="str">
        <f t="shared" si="103"/>
        <v>Special - BHPSD - Weatherization Team_Weatherization_Residential EE Kit</v>
      </c>
      <c r="E579" s="241" t="str">
        <f t="shared" si="104"/>
        <v>Residential_Weatherization_Various_Residential Kit</v>
      </c>
      <c r="F579" s="241" t="str">
        <f>INDEX('VDSM MAPPING'!E:E,MATCH($D579,'VDSM MAPPING'!$A:$A,0))</f>
        <v>Residential</v>
      </c>
      <c r="G579" s="241" t="str">
        <f>INDEX('VDSM MAPPING'!F:F,MATCH($D579,'VDSM MAPPING'!$A:$A,0))</f>
        <v>Weatherization</v>
      </c>
      <c r="H579" s="241" t="str">
        <f>INDEX('VDSM MAPPING'!G:G,MATCH($D579,'VDSM MAPPING'!$A:$A,0))</f>
        <v>Various</v>
      </c>
      <c r="I579" s="241" t="str">
        <f>INDEX('VDSM MAPPING'!H:H,MATCH($D579,'VDSM MAPPING'!$A:$A,0))</f>
        <v>Residential Kit</v>
      </c>
      <c r="J579" s="240" t="str">
        <f t="shared" si="105"/>
        <v/>
      </c>
      <c r="K579" s="240" t="str">
        <f t="shared" si="106"/>
        <v/>
      </c>
      <c r="L579" s="240" t="b">
        <f t="shared" si="107"/>
        <v>0</v>
      </c>
      <c r="M579" s="240" t="b">
        <f t="shared" si="108"/>
        <v>0</v>
      </c>
      <c r="N579" s="204" t="s">
        <v>289</v>
      </c>
      <c r="O579" s="204" t="s">
        <v>634</v>
      </c>
      <c r="P579" s="350">
        <v>1</v>
      </c>
      <c r="Q579" s="204" t="s">
        <v>634</v>
      </c>
      <c r="R579" s="204" t="s">
        <v>633</v>
      </c>
      <c r="S579" s="204" t="s">
        <v>632</v>
      </c>
      <c r="T579" s="204" t="s">
        <v>631</v>
      </c>
      <c r="V579" s="204" t="s">
        <v>630</v>
      </c>
      <c r="W579" s="204" t="s">
        <v>329</v>
      </c>
      <c r="X579" s="204" t="s">
        <v>297</v>
      </c>
      <c r="Y579" s="204" t="s">
        <v>397</v>
      </c>
      <c r="Z579" s="204" t="s">
        <v>601</v>
      </c>
      <c r="AA579" s="204" t="s">
        <v>600</v>
      </c>
      <c r="AB579" s="204" t="s">
        <v>329</v>
      </c>
      <c r="AC579" s="204" t="s">
        <v>297</v>
      </c>
      <c r="AD579" s="204" t="s">
        <v>599</v>
      </c>
      <c r="AE579" s="204" t="s">
        <v>598</v>
      </c>
      <c r="AG579" s="204" t="s">
        <v>83</v>
      </c>
      <c r="AH579" s="204" t="s">
        <v>305</v>
      </c>
      <c r="AX579" s="204">
        <v>1</v>
      </c>
      <c r="AY579" s="204">
        <v>0</v>
      </c>
      <c r="AZ579" s="204">
        <v>4.3999999999999997E-2</v>
      </c>
      <c r="BB579" s="204">
        <v>417</v>
      </c>
      <c r="BH579" s="204">
        <v>0</v>
      </c>
      <c r="BI579" s="204">
        <v>0</v>
      </c>
      <c r="BJ579" s="204">
        <v>42702</v>
      </c>
      <c r="BK579" s="204">
        <v>42702.469788888899</v>
      </c>
      <c r="BL579" s="204" t="s">
        <v>293</v>
      </c>
      <c r="BM579" s="204" t="s">
        <v>629</v>
      </c>
      <c r="BN579" s="269">
        <f t="shared" si="109"/>
        <v>417</v>
      </c>
      <c r="BO579" s="269">
        <f t="shared" si="110"/>
        <v>0</v>
      </c>
      <c r="BP579" s="269">
        <f>INDEX('App Data Outliers'!$M:$M,MATCH($E579,'App Data Outliers'!$A:$A,0))</f>
        <v>417</v>
      </c>
      <c r="BQ579" s="269">
        <f>INDEX('App Data Outliers'!$N:$N,MATCH($E579,'App Data Outliers'!$A:$A,0))</f>
        <v>0</v>
      </c>
      <c r="BR579" s="269">
        <f>INDEX('App Data Outliers'!$S:$S,MATCH($E579,'App Data Outliers'!$A:$A,0))</f>
        <v>0</v>
      </c>
      <c r="BS579" s="269">
        <f>INDEX('App Data Outliers'!$T:$T,MATCH($E579,'App Data Outliers'!$A:$A,0))</f>
        <v>0</v>
      </c>
    </row>
    <row r="580" spans="1:71" s="204" customFormat="1" hidden="1">
      <c r="A580" s="241">
        <v>576</v>
      </c>
      <c r="B580" s="241" t="str">
        <f t="shared" si="101"/>
        <v>Special - BHPSD - Weatherization Team</v>
      </c>
      <c r="C580" s="241" t="b">
        <f t="shared" si="102"/>
        <v>1</v>
      </c>
      <c r="D580" s="241" t="str">
        <f t="shared" si="103"/>
        <v>Special - BHPSD - Weatherization Team_Weatherization_Recommended Audit Measures</v>
      </c>
      <c r="E580" s="241" t="str">
        <f t="shared" si="104"/>
        <v>Residential_Weatherization_Various_Measures</v>
      </c>
      <c r="F580" s="241" t="str">
        <f>INDEX('VDSM MAPPING'!E:E,MATCH($D580,'VDSM MAPPING'!$A:$A,0))</f>
        <v>Residential</v>
      </c>
      <c r="G580" s="241" t="str">
        <f>INDEX('VDSM MAPPING'!F:F,MATCH($D580,'VDSM MAPPING'!$A:$A,0))</f>
        <v>Weatherization</v>
      </c>
      <c r="H580" s="241" t="str">
        <f>INDEX('VDSM MAPPING'!G:G,MATCH($D580,'VDSM MAPPING'!$A:$A,0))</f>
        <v>Various</v>
      </c>
      <c r="I580" s="241" t="str">
        <f>INDEX('VDSM MAPPING'!H:H,MATCH($D580,'VDSM MAPPING'!$A:$A,0))</f>
        <v>Measures</v>
      </c>
      <c r="J580" s="240" t="str">
        <f t="shared" si="105"/>
        <v/>
      </c>
      <c r="K580" s="240" t="str">
        <f t="shared" si="106"/>
        <v/>
      </c>
      <c r="L580" s="240" t="b">
        <f t="shared" si="107"/>
        <v>0</v>
      </c>
      <c r="M580" s="240" t="b">
        <f t="shared" si="108"/>
        <v>0</v>
      </c>
      <c r="N580" s="204" t="s">
        <v>289</v>
      </c>
      <c r="O580" s="204" t="s">
        <v>634</v>
      </c>
      <c r="P580" s="350">
        <v>0</v>
      </c>
      <c r="Q580" s="204" t="s">
        <v>634</v>
      </c>
      <c r="R580" s="204" t="s">
        <v>633</v>
      </c>
      <c r="S580" s="204" t="s">
        <v>632</v>
      </c>
      <c r="T580" s="204" t="s">
        <v>631</v>
      </c>
      <c r="V580" s="204" t="s">
        <v>630</v>
      </c>
      <c r="W580" s="204" t="s">
        <v>329</v>
      </c>
      <c r="X580" s="204" t="s">
        <v>297</v>
      </c>
      <c r="Y580" s="204" t="s">
        <v>397</v>
      </c>
      <c r="Z580" s="204" t="s">
        <v>601</v>
      </c>
      <c r="AA580" s="204" t="s">
        <v>600</v>
      </c>
      <c r="AB580" s="204" t="s">
        <v>329</v>
      </c>
      <c r="AC580" s="204" t="s">
        <v>297</v>
      </c>
      <c r="AD580" s="204" t="s">
        <v>599</v>
      </c>
      <c r="AE580" s="204" t="s">
        <v>598</v>
      </c>
      <c r="AG580" s="204" t="s">
        <v>83</v>
      </c>
      <c r="AH580" s="204" t="s">
        <v>153</v>
      </c>
      <c r="AX580" s="204">
        <v>1</v>
      </c>
      <c r="AY580" s="204">
        <v>0</v>
      </c>
      <c r="AZ580" s="204">
        <v>0.155</v>
      </c>
      <c r="BB580" s="204">
        <v>865</v>
      </c>
      <c r="BH580" s="204">
        <v>0</v>
      </c>
      <c r="BI580" s="204">
        <v>0</v>
      </c>
      <c r="BJ580" s="204">
        <v>42702</v>
      </c>
      <c r="BK580" s="204">
        <v>42702.469788888899</v>
      </c>
      <c r="BL580" s="204" t="s">
        <v>293</v>
      </c>
      <c r="BM580" s="204" t="s">
        <v>635</v>
      </c>
      <c r="BN580" s="269">
        <f t="shared" si="109"/>
        <v>865</v>
      </c>
      <c r="BO580" s="269">
        <f t="shared" si="110"/>
        <v>0</v>
      </c>
      <c r="BP580" s="269">
        <f>INDEX('App Data Outliers'!$M:$M,MATCH($E580,'App Data Outliers'!$A:$A,0))</f>
        <v>865</v>
      </c>
      <c r="BQ580" s="269">
        <f>INDEX('App Data Outliers'!$N:$N,MATCH($E580,'App Data Outliers'!$A:$A,0))</f>
        <v>0</v>
      </c>
      <c r="BR580" s="269">
        <f>INDEX('App Data Outliers'!$S:$S,MATCH($E580,'App Data Outliers'!$A:$A,0))</f>
        <v>0</v>
      </c>
      <c r="BS580" s="269">
        <f>INDEX('App Data Outliers'!$T:$T,MATCH($E580,'App Data Outliers'!$A:$A,0))</f>
        <v>0</v>
      </c>
    </row>
    <row r="581" spans="1:71" s="204" customFormat="1" hidden="1">
      <c r="A581" s="241">
        <v>577</v>
      </c>
      <c r="B581" s="241" t="str">
        <f t="shared" ref="B581:B644" si="111">IF(N581="",B580,N581)</f>
        <v>Special - BHPSD - Weatherization Team</v>
      </c>
      <c r="C581" s="241" t="b">
        <f t="shared" ref="C581:C644" si="112">(N581="")</f>
        <v>1</v>
      </c>
      <c r="D581" s="241" t="str">
        <f t="shared" ref="D581:D644" si="113">B581&amp;"_"&amp;AG581&amp;"_"&amp;AH581</f>
        <v>Special - BHPSD - Weatherization Team_Weatherization_Residential EE Kit</v>
      </c>
      <c r="E581" s="241" t="str">
        <f t="shared" ref="E581:E644" si="114">IFERROR(F581&amp;"_"&amp;G581&amp;"_"&amp;H581&amp;"_"&amp;I581,0)</f>
        <v>Residential_Weatherization_Various_Residential Kit</v>
      </c>
      <c r="F581" s="241" t="str">
        <f>INDEX('VDSM MAPPING'!E:E,MATCH($D581,'VDSM MAPPING'!$A:$A,0))</f>
        <v>Residential</v>
      </c>
      <c r="G581" s="241" t="str">
        <f>INDEX('VDSM MAPPING'!F:F,MATCH($D581,'VDSM MAPPING'!$A:$A,0))</f>
        <v>Weatherization</v>
      </c>
      <c r="H581" s="241" t="str">
        <f>INDEX('VDSM MAPPING'!G:G,MATCH($D581,'VDSM MAPPING'!$A:$A,0))</f>
        <v>Various</v>
      </c>
      <c r="I581" s="241" t="str">
        <f>INDEX('VDSM MAPPING'!H:H,MATCH($D581,'VDSM MAPPING'!$A:$A,0))</f>
        <v>Residential Kit</v>
      </c>
      <c r="J581" s="240" t="str">
        <f t="shared" si="105"/>
        <v/>
      </c>
      <c r="K581" s="240" t="str">
        <f t="shared" si="106"/>
        <v/>
      </c>
      <c r="L581" s="240" t="b">
        <f t="shared" si="107"/>
        <v>0</v>
      </c>
      <c r="M581" s="240" t="b">
        <f t="shared" si="108"/>
        <v>0</v>
      </c>
      <c r="N581" s="204" t="s">
        <v>289</v>
      </c>
      <c r="O581" s="204" t="s">
        <v>627</v>
      </c>
      <c r="P581" s="350">
        <v>1</v>
      </c>
      <c r="Q581" s="204" t="s">
        <v>627</v>
      </c>
      <c r="R581" s="204" t="s">
        <v>626</v>
      </c>
      <c r="S581" s="204" t="s">
        <v>625</v>
      </c>
      <c r="T581" s="204" t="s">
        <v>624</v>
      </c>
      <c r="V581" s="204" t="s">
        <v>623</v>
      </c>
      <c r="W581" s="204" t="s">
        <v>531</v>
      </c>
      <c r="X581" s="204" t="s">
        <v>297</v>
      </c>
      <c r="Y581" s="204" t="s">
        <v>530</v>
      </c>
      <c r="Z581" s="204" t="s">
        <v>601</v>
      </c>
      <c r="AA581" s="204" t="s">
        <v>600</v>
      </c>
      <c r="AB581" s="204" t="s">
        <v>329</v>
      </c>
      <c r="AC581" s="204" t="s">
        <v>297</v>
      </c>
      <c r="AD581" s="204" t="s">
        <v>599</v>
      </c>
      <c r="AE581" s="204" t="s">
        <v>598</v>
      </c>
      <c r="AG581" s="204" t="s">
        <v>83</v>
      </c>
      <c r="AH581" s="204" t="s">
        <v>305</v>
      </c>
      <c r="AX581" s="204">
        <v>1</v>
      </c>
      <c r="AY581" s="204">
        <v>0</v>
      </c>
      <c r="AZ581" s="204">
        <v>4.3999999999999997E-2</v>
      </c>
      <c r="BB581" s="204">
        <v>417</v>
      </c>
      <c r="BH581" s="204">
        <v>0</v>
      </c>
      <c r="BI581" s="204">
        <v>0</v>
      </c>
      <c r="BJ581" s="204">
        <v>42702</v>
      </c>
      <c r="BK581" s="204">
        <v>42702.733003819398</v>
      </c>
      <c r="BL581" s="204" t="s">
        <v>293</v>
      </c>
      <c r="BM581" s="204" t="s">
        <v>628</v>
      </c>
      <c r="BN581" s="269">
        <f t="shared" si="109"/>
        <v>417</v>
      </c>
      <c r="BO581" s="269">
        <f t="shared" si="110"/>
        <v>0</v>
      </c>
      <c r="BP581" s="269">
        <f>INDEX('App Data Outliers'!$M:$M,MATCH($E581,'App Data Outliers'!$A:$A,0))</f>
        <v>417</v>
      </c>
      <c r="BQ581" s="269">
        <f>INDEX('App Data Outliers'!$N:$N,MATCH($E581,'App Data Outliers'!$A:$A,0))</f>
        <v>0</v>
      </c>
      <c r="BR581" s="269">
        <f>INDEX('App Data Outliers'!$S:$S,MATCH($E581,'App Data Outliers'!$A:$A,0))</f>
        <v>0</v>
      </c>
      <c r="BS581" s="269">
        <f>INDEX('App Data Outliers'!$T:$T,MATCH($E581,'App Data Outliers'!$A:$A,0))</f>
        <v>0</v>
      </c>
    </row>
    <row r="582" spans="1:71" s="204" customFormat="1" hidden="1">
      <c r="A582" s="241">
        <v>578</v>
      </c>
      <c r="B582" s="241" t="str">
        <f t="shared" si="111"/>
        <v>Special - BHPSD - Weatherization Team</v>
      </c>
      <c r="C582" s="241" t="b">
        <f t="shared" si="112"/>
        <v>1</v>
      </c>
      <c r="D582" s="241" t="str">
        <f t="shared" si="113"/>
        <v>Special - BHPSD - Weatherization Team_Weatherization_Recommended Audit Measures</v>
      </c>
      <c r="E582" s="241" t="str">
        <f t="shared" si="114"/>
        <v>Residential_Weatherization_Various_Measures</v>
      </c>
      <c r="F582" s="241" t="str">
        <f>INDEX('VDSM MAPPING'!E:E,MATCH($D582,'VDSM MAPPING'!$A:$A,0))</f>
        <v>Residential</v>
      </c>
      <c r="G582" s="241" t="str">
        <f>INDEX('VDSM MAPPING'!F:F,MATCH($D582,'VDSM MAPPING'!$A:$A,0))</f>
        <v>Weatherization</v>
      </c>
      <c r="H582" s="241" t="str">
        <f>INDEX('VDSM MAPPING'!G:G,MATCH($D582,'VDSM MAPPING'!$A:$A,0))</f>
        <v>Various</v>
      </c>
      <c r="I582" s="241" t="str">
        <f>INDEX('VDSM MAPPING'!H:H,MATCH($D582,'VDSM MAPPING'!$A:$A,0))</f>
        <v>Measures</v>
      </c>
      <c r="J582" s="240" t="str">
        <f t="shared" ref="J582:J645" si="115">IFERROR(STANDARDIZE(BN582,BP582,BQ582),"")</f>
        <v/>
      </c>
      <c r="K582" s="240" t="str">
        <f t="shared" ref="K582:K645" si="116">IFERROR(STANDARDIZE($BO582,$BR582,$BS582),"")</f>
        <v/>
      </c>
      <c r="L582" s="240" t="b">
        <f t="shared" ref="L582:L645" si="117">AND(ISNUMBER(J582),OR(J582&gt;=L$1,J582&lt;=-L$1))</f>
        <v>0</v>
      </c>
      <c r="M582" s="240" t="b">
        <f t="shared" ref="M582:M645" si="118">AND(ISNUMBER(K582),OR(K582&gt;=M$1,K582&lt;=-M$1))</f>
        <v>0</v>
      </c>
      <c r="N582" s="204" t="s">
        <v>289</v>
      </c>
      <c r="O582" s="204" t="s">
        <v>627</v>
      </c>
      <c r="P582" s="350">
        <v>0</v>
      </c>
      <c r="Q582" s="204" t="s">
        <v>627</v>
      </c>
      <c r="R582" s="204" t="s">
        <v>626</v>
      </c>
      <c r="S582" s="204" t="s">
        <v>625</v>
      </c>
      <c r="T582" s="204" t="s">
        <v>624</v>
      </c>
      <c r="V582" s="204" t="s">
        <v>623</v>
      </c>
      <c r="W582" s="204" t="s">
        <v>531</v>
      </c>
      <c r="X582" s="204" t="s">
        <v>297</v>
      </c>
      <c r="Y582" s="204" t="s">
        <v>530</v>
      </c>
      <c r="Z582" s="204" t="s">
        <v>601</v>
      </c>
      <c r="AA582" s="204" t="s">
        <v>600</v>
      </c>
      <c r="AB582" s="204" t="s">
        <v>329</v>
      </c>
      <c r="AC582" s="204" t="s">
        <v>297</v>
      </c>
      <c r="AD582" s="204" t="s">
        <v>599</v>
      </c>
      <c r="AE582" s="204" t="s">
        <v>598</v>
      </c>
      <c r="AG582" s="204" t="s">
        <v>83</v>
      </c>
      <c r="AH582" s="204" t="s">
        <v>153</v>
      </c>
      <c r="AX582" s="204">
        <v>1</v>
      </c>
      <c r="AY582" s="204">
        <v>0</v>
      </c>
      <c r="AZ582" s="204">
        <v>0.155</v>
      </c>
      <c r="BB582" s="204">
        <v>865</v>
      </c>
      <c r="BH582" s="204">
        <v>0</v>
      </c>
      <c r="BI582" s="204">
        <v>0</v>
      </c>
      <c r="BJ582" s="204">
        <v>42702</v>
      </c>
      <c r="BK582" s="204">
        <v>42702.733003819398</v>
      </c>
      <c r="BL582" s="204" t="s">
        <v>293</v>
      </c>
      <c r="BM582" s="204" t="s">
        <v>622</v>
      </c>
      <c r="BN582" s="269">
        <f t="shared" ref="BN582:BN645" si="119">IFERROR(BB582/$AX582,"")</f>
        <v>865</v>
      </c>
      <c r="BO582" s="269">
        <f t="shared" ref="BO582:BO645" si="120">BI582/$AX582</f>
        <v>0</v>
      </c>
      <c r="BP582" s="269">
        <f>INDEX('App Data Outliers'!$M:$M,MATCH($E582,'App Data Outliers'!$A:$A,0))</f>
        <v>865</v>
      </c>
      <c r="BQ582" s="269">
        <f>INDEX('App Data Outliers'!$N:$N,MATCH($E582,'App Data Outliers'!$A:$A,0))</f>
        <v>0</v>
      </c>
      <c r="BR582" s="269">
        <f>INDEX('App Data Outliers'!$S:$S,MATCH($E582,'App Data Outliers'!$A:$A,0))</f>
        <v>0</v>
      </c>
      <c r="BS582" s="269">
        <f>INDEX('App Data Outliers'!$T:$T,MATCH($E582,'App Data Outliers'!$A:$A,0))</f>
        <v>0</v>
      </c>
    </row>
    <row r="583" spans="1:71" s="204" customFormat="1" hidden="1">
      <c r="A583" s="241">
        <v>579</v>
      </c>
      <c r="B583" s="241" t="str">
        <f t="shared" si="111"/>
        <v>Special - BHPSD - Weatherization Team</v>
      </c>
      <c r="C583" s="241" t="b">
        <f t="shared" si="112"/>
        <v>1</v>
      </c>
      <c r="D583" s="241" t="str">
        <f t="shared" si="113"/>
        <v>Special - BHPSD - Weatherization Team_Weatherization_Residential EE Kit</v>
      </c>
      <c r="E583" s="241" t="str">
        <f t="shared" si="114"/>
        <v>Residential_Weatherization_Various_Residential Kit</v>
      </c>
      <c r="F583" s="241" t="str">
        <f>INDEX('VDSM MAPPING'!E:E,MATCH($D583,'VDSM MAPPING'!$A:$A,0))</f>
        <v>Residential</v>
      </c>
      <c r="G583" s="241" t="str">
        <f>INDEX('VDSM MAPPING'!F:F,MATCH($D583,'VDSM MAPPING'!$A:$A,0))</f>
        <v>Weatherization</v>
      </c>
      <c r="H583" s="241" t="str">
        <f>INDEX('VDSM MAPPING'!G:G,MATCH($D583,'VDSM MAPPING'!$A:$A,0))</f>
        <v>Various</v>
      </c>
      <c r="I583" s="241" t="str">
        <f>INDEX('VDSM MAPPING'!H:H,MATCH($D583,'VDSM MAPPING'!$A:$A,0))</f>
        <v>Residential Kit</v>
      </c>
      <c r="J583" s="240" t="str">
        <f t="shared" si="115"/>
        <v/>
      </c>
      <c r="K583" s="240" t="str">
        <f t="shared" si="116"/>
        <v/>
      </c>
      <c r="L583" s="240" t="b">
        <f t="shared" si="117"/>
        <v>0</v>
      </c>
      <c r="M583" s="240" t="b">
        <f t="shared" si="118"/>
        <v>0</v>
      </c>
      <c r="N583" s="204" t="s">
        <v>289</v>
      </c>
      <c r="O583" s="204" t="s">
        <v>620</v>
      </c>
      <c r="P583" s="350">
        <v>1</v>
      </c>
      <c r="Q583" s="204" t="s">
        <v>620</v>
      </c>
      <c r="R583" s="204" t="s">
        <v>619</v>
      </c>
      <c r="S583" s="204" t="s">
        <v>618</v>
      </c>
      <c r="T583" s="204" t="s">
        <v>617</v>
      </c>
      <c r="V583" s="204" t="s">
        <v>616</v>
      </c>
      <c r="W583" s="204" t="s">
        <v>329</v>
      </c>
      <c r="X583" s="204" t="s">
        <v>297</v>
      </c>
      <c r="Y583" s="204" t="s">
        <v>397</v>
      </c>
      <c r="Z583" s="204" t="s">
        <v>601</v>
      </c>
      <c r="AA583" s="204" t="s">
        <v>600</v>
      </c>
      <c r="AB583" s="204" t="s">
        <v>329</v>
      </c>
      <c r="AC583" s="204" t="s">
        <v>297</v>
      </c>
      <c r="AD583" s="204" t="s">
        <v>599</v>
      </c>
      <c r="AE583" s="204" t="s">
        <v>598</v>
      </c>
      <c r="AG583" s="204" t="s">
        <v>83</v>
      </c>
      <c r="AH583" s="204" t="s">
        <v>305</v>
      </c>
      <c r="AX583" s="204">
        <v>1</v>
      </c>
      <c r="AY583" s="204">
        <v>0</v>
      </c>
      <c r="AZ583" s="204">
        <v>4.3999999999999997E-2</v>
      </c>
      <c r="BB583" s="204">
        <v>417</v>
      </c>
      <c r="BH583" s="204">
        <v>0</v>
      </c>
      <c r="BI583" s="204">
        <v>0</v>
      </c>
      <c r="BJ583" s="204">
        <v>42702</v>
      </c>
      <c r="BK583" s="204">
        <v>42702.734074571803</v>
      </c>
      <c r="BL583" s="204" t="s">
        <v>293</v>
      </c>
      <c r="BM583" s="204" t="s">
        <v>615</v>
      </c>
      <c r="BN583" s="269">
        <f t="shared" si="119"/>
        <v>417</v>
      </c>
      <c r="BO583" s="269">
        <f t="shared" si="120"/>
        <v>0</v>
      </c>
      <c r="BP583" s="269">
        <f>INDEX('App Data Outliers'!$M:$M,MATCH($E583,'App Data Outliers'!$A:$A,0))</f>
        <v>417</v>
      </c>
      <c r="BQ583" s="269">
        <f>INDEX('App Data Outliers'!$N:$N,MATCH($E583,'App Data Outliers'!$A:$A,0))</f>
        <v>0</v>
      </c>
      <c r="BR583" s="269">
        <f>INDEX('App Data Outliers'!$S:$S,MATCH($E583,'App Data Outliers'!$A:$A,0))</f>
        <v>0</v>
      </c>
      <c r="BS583" s="269">
        <f>INDEX('App Data Outliers'!$T:$T,MATCH($E583,'App Data Outliers'!$A:$A,0))</f>
        <v>0</v>
      </c>
    </row>
    <row r="584" spans="1:71" s="204" customFormat="1" hidden="1">
      <c r="A584" s="241">
        <v>580</v>
      </c>
      <c r="B584" s="241" t="str">
        <f t="shared" si="111"/>
        <v>Special - BHPSD - Weatherization Team</v>
      </c>
      <c r="C584" s="241" t="b">
        <f t="shared" si="112"/>
        <v>1</v>
      </c>
      <c r="D584" s="241" t="str">
        <f t="shared" si="113"/>
        <v>Special - BHPSD - Weatherization Team_Weatherization_Recommended Audit Measures</v>
      </c>
      <c r="E584" s="241" t="str">
        <f t="shared" si="114"/>
        <v>Residential_Weatherization_Various_Measures</v>
      </c>
      <c r="F584" s="241" t="str">
        <f>INDEX('VDSM MAPPING'!E:E,MATCH($D584,'VDSM MAPPING'!$A:$A,0))</f>
        <v>Residential</v>
      </c>
      <c r="G584" s="241" t="str">
        <f>INDEX('VDSM MAPPING'!F:F,MATCH($D584,'VDSM MAPPING'!$A:$A,0))</f>
        <v>Weatherization</v>
      </c>
      <c r="H584" s="241" t="str">
        <f>INDEX('VDSM MAPPING'!G:G,MATCH($D584,'VDSM MAPPING'!$A:$A,0))</f>
        <v>Various</v>
      </c>
      <c r="I584" s="241" t="str">
        <f>INDEX('VDSM MAPPING'!H:H,MATCH($D584,'VDSM MAPPING'!$A:$A,0))</f>
        <v>Measures</v>
      </c>
      <c r="J584" s="240" t="str">
        <f t="shared" si="115"/>
        <v/>
      </c>
      <c r="K584" s="240" t="str">
        <f t="shared" si="116"/>
        <v/>
      </c>
      <c r="L584" s="240" t="b">
        <f t="shared" si="117"/>
        <v>0</v>
      </c>
      <c r="M584" s="240" t="b">
        <f t="shared" si="118"/>
        <v>0</v>
      </c>
      <c r="N584" s="204" t="s">
        <v>289</v>
      </c>
      <c r="O584" s="204" t="s">
        <v>620</v>
      </c>
      <c r="P584" s="350">
        <v>0</v>
      </c>
      <c r="Q584" s="204" t="s">
        <v>620</v>
      </c>
      <c r="R584" s="204" t="s">
        <v>619</v>
      </c>
      <c r="S584" s="204" t="s">
        <v>618</v>
      </c>
      <c r="T584" s="204" t="s">
        <v>617</v>
      </c>
      <c r="V584" s="204" t="s">
        <v>616</v>
      </c>
      <c r="W584" s="204" t="s">
        <v>329</v>
      </c>
      <c r="X584" s="204" t="s">
        <v>297</v>
      </c>
      <c r="Y584" s="204" t="s">
        <v>397</v>
      </c>
      <c r="Z584" s="204" t="s">
        <v>601</v>
      </c>
      <c r="AA584" s="204" t="s">
        <v>600</v>
      </c>
      <c r="AB584" s="204" t="s">
        <v>329</v>
      </c>
      <c r="AC584" s="204" t="s">
        <v>297</v>
      </c>
      <c r="AD584" s="204" t="s">
        <v>599</v>
      </c>
      <c r="AE584" s="204" t="s">
        <v>598</v>
      </c>
      <c r="AG584" s="204" t="s">
        <v>83</v>
      </c>
      <c r="AH584" s="204" t="s">
        <v>153</v>
      </c>
      <c r="AX584" s="204">
        <v>1</v>
      </c>
      <c r="AY584" s="204">
        <v>0</v>
      </c>
      <c r="AZ584" s="204">
        <v>0.155</v>
      </c>
      <c r="BB584" s="204">
        <v>865</v>
      </c>
      <c r="BH584" s="204">
        <v>0</v>
      </c>
      <c r="BI584" s="204">
        <v>0</v>
      </c>
      <c r="BJ584" s="204">
        <v>42702</v>
      </c>
      <c r="BK584" s="204">
        <v>42702.734074571803</v>
      </c>
      <c r="BL584" s="204" t="s">
        <v>293</v>
      </c>
      <c r="BM584" s="204" t="s">
        <v>621</v>
      </c>
      <c r="BN584" s="269">
        <f t="shared" si="119"/>
        <v>865</v>
      </c>
      <c r="BO584" s="269">
        <f t="shared" si="120"/>
        <v>0</v>
      </c>
      <c r="BP584" s="269">
        <f>INDEX('App Data Outliers'!$M:$M,MATCH($E584,'App Data Outliers'!$A:$A,0))</f>
        <v>865</v>
      </c>
      <c r="BQ584" s="269">
        <f>INDEX('App Data Outliers'!$N:$N,MATCH($E584,'App Data Outliers'!$A:$A,0))</f>
        <v>0</v>
      </c>
      <c r="BR584" s="269">
        <f>INDEX('App Data Outliers'!$S:$S,MATCH($E584,'App Data Outliers'!$A:$A,0))</f>
        <v>0</v>
      </c>
      <c r="BS584" s="269">
        <f>INDEX('App Data Outliers'!$T:$T,MATCH($E584,'App Data Outliers'!$A:$A,0))</f>
        <v>0</v>
      </c>
    </row>
    <row r="585" spans="1:71" s="204" customFormat="1" hidden="1">
      <c r="A585" s="241">
        <v>581</v>
      </c>
      <c r="B585" s="241" t="str">
        <f t="shared" si="111"/>
        <v>Special - BHPSD - Weatherization Team</v>
      </c>
      <c r="C585" s="241" t="b">
        <f t="shared" si="112"/>
        <v>1</v>
      </c>
      <c r="D585" s="241" t="str">
        <f t="shared" si="113"/>
        <v>Special - BHPSD - Weatherization Team_Weatherization_Residential EE Kit</v>
      </c>
      <c r="E585" s="241" t="str">
        <f t="shared" si="114"/>
        <v>Residential_Weatherization_Various_Residential Kit</v>
      </c>
      <c r="F585" s="241" t="str">
        <f>INDEX('VDSM MAPPING'!E:E,MATCH($D585,'VDSM MAPPING'!$A:$A,0))</f>
        <v>Residential</v>
      </c>
      <c r="G585" s="241" t="str">
        <f>INDEX('VDSM MAPPING'!F:F,MATCH($D585,'VDSM MAPPING'!$A:$A,0))</f>
        <v>Weatherization</v>
      </c>
      <c r="H585" s="241" t="str">
        <f>INDEX('VDSM MAPPING'!G:G,MATCH($D585,'VDSM MAPPING'!$A:$A,0))</f>
        <v>Various</v>
      </c>
      <c r="I585" s="241" t="str">
        <f>INDEX('VDSM MAPPING'!H:H,MATCH($D585,'VDSM MAPPING'!$A:$A,0))</f>
        <v>Residential Kit</v>
      </c>
      <c r="J585" s="240" t="str">
        <f t="shared" si="115"/>
        <v/>
      </c>
      <c r="K585" s="240" t="str">
        <f t="shared" si="116"/>
        <v/>
      </c>
      <c r="L585" s="240" t="b">
        <f t="shared" si="117"/>
        <v>0</v>
      </c>
      <c r="M585" s="240" t="b">
        <f t="shared" si="118"/>
        <v>0</v>
      </c>
      <c r="N585" s="204" t="s">
        <v>289</v>
      </c>
      <c r="O585" s="204" t="s">
        <v>613</v>
      </c>
      <c r="P585" s="350">
        <v>1</v>
      </c>
      <c r="Q585" s="204" t="s">
        <v>613</v>
      </c>
      <c r="R585" s="204" t="s">
        <v>612</v>
      </c>
      <c r="S585" s="204" t="s">
        <v>611</v>
      </c>
      <c r="T585" s="204" t="s">
        <v>610</v>
      </c>
      <c r="V585" s="204" t="s">
        <v>609</v>
      </c>
      <c r="W585" s="204" t="s">
        <v>531</v>
      </c>
      <c r="X585" s="204" t="s">
        <v>297</v>
      </c>
      <c r="Y585" s="204" t="s">
        <v>530</v>
      </c>
      <c r="Z585" s="204" t="s">
        <v>601</v>
      </c>
      <c r="AA585" s="204" t="s">
        <v>600</v>
      </c>
      <c r="AB585" s="204" t="s">
        <v>329</v>
      </c>
      <c r="AC585" s="204" t="s">
        <v>297</v>
      </c>
      <c r="AD585" s="204" t="s">
        <v>599</v>
      </c>
      <c r="AE585" s="204" t="s">
        <v>598</v>
      </c>
      <c r="AG585" s="204" t="s">
        <v>83</v>
      </c>
      <c r="AH585" s="204" t="s">
        <v>305</v>
      </c>
      <c r="AX585" s="204">
        <v>1</v>
      </c>
      <c r="AY585" s="204">
        <v>0</v>
      </c>
      <c r="AZ585" s="204">
        <v>4.3999999999999997E-2</v>
      </c>
      <c r="BB585" s="204">
        <v>417</v>
      </c>
      <c r="BH585" s="204">
        <v>0</v>
      </c>
      <c r="BI585" s="204">
        <v>0</v>
      </c>
      <c r="BJ585" s="204">
        <v>42702</v>
      </c>
      <c r="BK585" s="204">
        <v>42702.778251620402</v>
      </c>
      <c r="BL585" s="204" t="s">
        <v>293</v>
      </c>
      <c r="BM585" s="204" t="s">
        <v>614</v>
      </c>
      <c r="BN585" s="269">
        <f t="shared" si="119"/>
        <v>417</v>
      </c>
      <c r="BO585" s="269">
        <f t="shared" si="120"/>
        <v>0</v>
      </c>
      <c r="BP585" s="269">
        <f>INDEX('App Data Outliers'!$M:$M,MATCH($E585,'App Data Outliers'!$A:$A,0))</f>
        <v>417</v>
      </c>
      <c r="BQ585" s="269">
        <f>INDEX('App Data Outliers'!$N:$N,MATCH($E585,'App Data Outliers'!$A:$A,0))</f>
        <v>0</v>
      </c>
      <c r="BR585" s="269">
        <f>INDEX('App Data Outliers'!$S:$S,MATCH($E585,'App Data Outliers'!$A:$A,0))</f>
        <v>0</v>
      </c>
      <c r="BS585" s="269">
        <f>INDEX('App Data Outliers'!$T:$T,MATCH($E585,'App Data Outliers'!$A:$A,0))</f>
        <v>0</v>
      </c>
    </row>
    <row r="586" spans="1:71" s="204" customFormat="1" hidden="1">
      <c r="A586" s="241">
        <v>582</v>
      </c>
      <c r="B586" s="241" t="str">
        <f t="shared" si="111"/>
        <v>Special - BHPSD - Weatherization Team</v>
      </c>
      <c r="C586" s="241" t="b">
        <f t="shared" si="112"/>
        <v>1</v>
      </c>
      <c r="D586" s="241" t="str">
        <f t="shared" si="113"/>
        <v>Special - BHPSD - Weatherization Team_Weatherization_Recommended Audit Measures</v>
      </c>
      <c r="E586" s="241" t="str">
        <f t="shared" si="114"/>
        <v>Residential_Weatherization_Various_Measures</v>
      </c>
      <c r="F586" s="241" t="str">
        <f>INDEX('VDSM MAPPING'!E:E,MATCH($D586,'VDSM MAPPING'!$A:$A,0))</f>
        <v>Residential</v>
      </c>
      <c r="G586" s="241" t="str">
        <f>INDEX('VDSM MAPPING'!F:F,MATCH($D586,'VDSM MAPPING'!$A:$A,0))</f>
        <v>Weatherization</v>
      </c>
      <c r="H586" s="241" t="str">
        <f>INDEX('VDSM MAPPING'!G:G,MATCH($D586,'VDSM MAPPING'!$A:$A,0))</f>
        <v>Various</v>
      </c>
      <c r="I586" s="241" t="str">
        <f>INDEX('VDSM MAPPING'!H:H,MATCH($D586,'VDSM MAPPING'!$A:$A,0))</f>
        <v>Measures</v>
      </c>
      <c r="J586" s="240" t="str">
        <f t="shared" si="115"/>
        <v/>
      </c>
      <c r="K586" s="240" t="str">
        <f t="shared" si="116"/>
        <v/>
      </c>
      <c r="L586" s="240" t="b">
        <f t="shared" si="117"/>
        <v>0</v>
      </c>
      <c r="M586" s="240" t="b">
        <f t="shared" si="118"/>
        <v>0</v>
      </c>
      <c r="N586" s="204" t="s">
        <v>289</v>
      </c>
      <c r="O586" s="204" t="s">
        <v>613</v>
      </c>
      <c r="P586" s="350">
        <v>0</v>
      </c>
      <c r="Q586" s="204" t="s">
        <v>613</v>
      </c>
      <c r="R586" s="204" t="s">
        <v>612</v>
      </c>
      <c r="S586" s="204" t="s">
        <v>611</v>
      </c>
      <c r="T586" s="204" t="s">
        <v>610</v>
      </c>
      <c r="V586" s="204" t="s">
        <v>609</v>
      </c>
      <c r="W586" s="204" t="s">
        <v>531</v>
      </c>
      <c r="X586" s="204" t="s">
        <v>297</v>
      </c>
      <c r="Y586" s="204" t="s">
        <v>530</v>
      </c>
      <c r="Z586" s="204" t="s">
        <v>601</v>
      </c>
      <c r="AA586" s="204" t="s">
        <v>600</v>
      </c>
      <c r="AB586" s="204" t="s">
        <v>329</v>
      </c>
      <c r="AC586" s="204" t="s">
        <v>297</v>
      </c>
      <c r="AD586" s="204" t="s">
        <v>599</v>
      </c>
      <c r="AE586" s="204" t="s">
        <v>598</v>
      </c>
      <c r="AG586" s="204" t="s">
        <v>83</v>
      </c>
      <c r="AH586" s="204" t="s">
        <v>153</v>
      </c>
      <c r="AX586" s="204">
        <v>1</v>
      </c>
      <c r="AY586" s="204">
        <v>0</v>
      </c>
      <c r="AZ586" s="204">
        <v>0.155</v>
      </c>
      <c r="BB586" s="204">
        <v>865</v>
      </c>
      <c r="BH586" s="204">
        <v>0</v>
      </c>
      <c r="BI586" s="204">
        <v>0</v>
      </c>
      <c r="BJ586" s="204">
        <v>42702</v>
      </c>
      <c r="BK586" s="204">
        <v>42702.778251620402</v>
      </c>
      <c r="BL586" s="204" t="s">
        <v>293</v>
      </c>
      <c r="BM586" s="204" t="s">
        <v>608</v>
      </c>
      <c r="BN586" s="269">
        <f t="shared" si="119"/>
        <v>865</v>
      </c>
      <c r="BO586" s="269">
        <f t="shared" si="120"/>
        <v>0</v>
      </c>
      <c r="BP586" s="269">
        <f>INDEX('App Data Outliers'!$M:$M,MATCH($E586,'App Data Outliers'!$A:$A,0))</f>
        <v>865</v>
      </c>
      <c r="BQ586" s="269">
        <f>INDEX('App Data Outliers'!$N:$N,MATCH($E586,'App Data Outliers'!$A:$A,0))</f>
        <v>0</v>
      </c>
      <c r="BR586" s="269">
        <f>INDEX('App Data Outliers'!$S:$S,MATCH($E586,'App Data Outliers'!$A:$A,0))</f>
        <v>0</v>
      </c>
      <c r="BS586" s="269">
        <f>INDEX('App Data Outliers'!$T:$T,MATCH($E586,'App Data Outliers'!$A:$A,0))</f>
        <v>0</v>
      </c>
    </row>
    <row r="587" spans="1:71" s="204" customFormat="1" hidden="1">
      <c r="A587" s="241">
        <v>583</v>
      </c>
      <c r="B587" s="241" t="str">
        <f t="shared" si="111"/>
        <v>Special - BHPSD - Weatherization Team</v>
      </c>
      <c r="C587" s="241" t="b">
        <f t="shared" si="112"/>
        <v>1</v>
      </c>
      <c r="D587" s="241" t="str">
        <f t="shared" si="113"/>
        <v>Special - BHPSD - Weatherization Team_Weatherization_Recommended Audit Measures</v>
      </c>
      <c r="E587" s="241" t="str">
        <f t="shared" si="114"/>
        <v>Residential_Weatherization_Various_Measures</v>
      </c>
      <c r="F587" s="241" t="str">
        <f>INDEX('VDSM MAPPING'!E:E,MATCH($D587,'VDSM MAPPING'!$A:$A,0))</f>
        <v>Residential</v>
      </c>
      <c r="G587" s="241" t="str">
        <f>INDEX('VDSM MAPPING'!F:F,MATCH($D587,'VDSM MAPPING'!$A:$A,0))</f>
        <v>Weatherization</v>
      </c>
      <c r="H587" s="241" t="str">
        <f>INDEX('VDSM MAPPING'!G:G,MATCH($D587,'VDSM MAPPING'!$A:$A,0))</f>
        <v>Various</v>
      </c>
      <c r="I587" s="241" t="str">
        <f>INDEX('VDSM MAPPING'!H:H,MATCH($D587,'VDSM MAPPING'!$A:$A,0))</f>
        <v>Measures</v>
      </c>
      <c r="J587" s="240" t="str">
        <f t="shared" si="115"/>
        <v/>
      </c>
      <c r="K587" s="240" t="str">
        <f t="shared" si="116"/>
        <v/>
      </c>
      <c r="L587" s="240" t="b">
        <f t="shared" si="117"/>
        <v>0</v>
      </c>
      <c r="M587" s="240" t="b">
        <f t="shared" si="118"/>
        <v>0</v>
      </c>
      <c r="N587" s="204" t="s">
        <v>289</v>
      </c>
      <c r="O587" s="204" t="s">
        <v>606</v>
      </c>
      <c r="P587" s="350">
        <v>1</v>
      </c>
      <c r="Q587" s="204" t="s">
        <v>606</v>
      </c>
      <c r="R587" s="204" t="s">
        <v>605</v>
      </c>
      <c r="S587" s="204" t="s">
        <v>604</v>
      </c>
      <c r="T587" s="204" t="s">
        <v>603</v>
      </c>
      <c r="V587" s="204" t="s">
        <v>602</v>
      </c>
      <c r="W587" s="204" t="s">
        <v>329</v>
      </c>
      <c r="X587" s="204" t="s">
        <v>297</v>
      </c>
      <c r="Y587" s="204" t="s">
        <v>328</v>
      </c>
      <c r="Z587" s="204" t="s">
        <v>601</v>
      </c>
      <c r="AA587" s="204" t="s">
        <v>600</v>
      </c>
      <c r="AB587" s="204" t="s">
        <v>329</v>
      </c>
      <c r="AC587" s="204" t="s">
        <v>297</v>
      </c>
      <c r="AD587" s="204" t="s">
        <v>599</v>
      </c>
      <c r="AE587" s="204" t="s">
        <v>598</v>
      </c>
      <c r="AG587" s="204" t="s">
        <v>83</v>
      </c>
      <c r="AH587" s="204" t="s">
        <v>153</v>
      </c>
      <c r="AX587" s="204">
        <v>1</v>
      </c>
      <c r="AY587" s="204">
        <v>0</v>
      </c>
      <c r="AZ587" s="204">
        <v>0.155</v>
      </c>
      <c r="BB587" s="204">
        <v>865</v>
      </c>
      <c r="BH587" s="204">
        <v>0</v>
      </c>
      <c r="BI587" s="204">
        <v>0</v>
      </c>
      <c r="BJ587" s="204">
        <v>42702</v>
      </c>
      <c r="BK587" s="204">
        <v>42702.779735763899</v>
      </c>
      <c r="BL587" s="204" t="s">
        <v>293</v>
      </c>
      <c r="BM587" s="204" t="s">
        <v>607</v>
      </c>
      <c r="BN587" s="269">
        <f t="shared" si="119"/>
        <v>865</v>
      </c>
      <c r="BO587" s="269">
        <f t="shared" si="120"/>
        <v>0</v>
      </c>
      <c r="BP587" s="269">
        <f>INDEX('App Data Outliers'!$M:$M,MATCH($E587,'App Data Outliers'!$A:$A,0))</f>
        <v>865</v>
      </c>
      <c r="BQ587" s="269">
        <f>INDEX('App Data Outliers'!$N:$N,MATCH($E587,'App Data Outliers'!$A:$A,0))</f>
        <v>0</v>
      </c>
      <c r="BR587" s="269">
        <f>INDEX('App Data Outliers'!$S:$S,MATCH($E587,'App Data Outliers'!$A:$A,0))</f>
        <v>0</v>
      </c>
      <c r="BS587" s="269">
        <f>INDEX('App Data Outliers'!$T:$T,MATCH($E587,'App Data Outliers'!$A:$A,0))</f>
        <v>0</v>
      </c>
    </row>
    <row r="588" spans="1:71" s="204" customFormat="1" hidden="1">
      <c r="A588" s="241">
        <v>584</v>
      </c>
      <c r="B588" s="241" t="str">
        <f t="shared" si="111"/>
        <v>Special - BHPSD - Weatherization Team</v>
      </c>
      <c r="C588" s="241" t="b">
        <f t="shared" si="112"/>
        <v>1</v>
      </c>
      <c r="D588" s="241" t="str">
        <f t="shared" si="113"/>
        <v>Special - BHPSD - Weatherization Team_Weatherization_Residential EE Kit</v>
      </c>
      <c r="E588" s="241" t="str">
        <f t="shared" si="114"/>
        <v>Residential_Weatherization_Various_Residential Kit</v>
      </c>
      <c r="F588" s="241" t="str">
        <f>INDEX('VDSM MAPPING'!E:E,MATCH($D588,'VDSM MAPPING'!$A:$A,0))</f>
        <v>Residential</v>
      </c>
      <c r="G588" s="241" t="str">
        <f>INDEX('VDSM MAPPING'!F:F,MATCH($D588,'VDSM MAPPING'!$A:$A,0))</f>
        <v>Weatherization</v>
      </c>
      <c r="H588" s="241" t="str">
        <f>INDEX('VDSM MAPPING'!G:G,MATCH($D588,'VDSM MAPPING'!$A:$A,0))</f>
        <v>Various</v>
      </c>
      <c r="I588" s="241" t="str">
        <f>INDEX('VDSM MAPPING'!H:H,MATCH($D588,'VDSM MAPPING'!$A:$A,0))</f>
        <v>Residential Kit</v>
      </c>
      <c r="J588" s="240" t="str">
        <f t="shared" si="115"/>
        <v/>
      </c>
      <c r="K588" s="240" t="str">
        <f t="shared" si="116"/>
        <v/>
      </c>
      <c r="L588" s="240" t="b">
        <f t="shared" si="117"/>
        <v>0</v>
      </c>
      <c r="M588" s="240" t="b">
        <f t="shared" si="118"/>
        <v>0</v>
      </c>
      <c r="N588" s="204" t="s">
        <v>289</v>
      </c>
      <c r="O588" s="204" t="s">
        <v>606</v>
      </c>
      <c r="P588" s="350">
        <v>0</v>
      </c>
      <c r="Q588" s="204" t="s">
        <v>606</v>
      </c>
      <c r="R588" s="204" t="s">
        <v>605</v>
      </c>
      <c r="S588" s="204" t="s">
        <v>604</v>
      </c>
      <c r="T588" s="204" t="s">
        <v>603</v>
      </c>
      <c r="V588" s="204" t="s">
        <v>602</v>
      </c>
      <c r="W588" s="204" t="s">
        <v>329</v>
      </c>
      <c r="X588" s="204" t="s">
        <v>297</v>
      </c>
      <c r="Y588" s="204" t="s">
        <v>328</v>
      </c>
      <c r="Z588" s="204" t="s">
        <v>601</v>
      </c>
      <c r="AA588" s="204" t="s">
        <v>600</v>
      </c>
      <c r="AB588" s="204" t="s">
        <v>329</v>
      </c>
      <c r="AC588" s="204" t="s">
        <v>297</v>
      </c>
      <c r="AD588" s="204" t="s">
        <v>599</v>
      </c>
      <c r="AE588" s="204" t="s">
        <v>598</v>
      </c>
      <c r="AG588" s="204" t="s">
        <v>83</v>
      </c>
      <c r="AH588" s="204" t="s">
        <v>305</v>
      </c>
      <c r="AX588" s="204">
        <v>1</v>
      </c>
      <c r="AY588" s="204">
        <v>0</v>
      </c>
      <c r="AZ588" s="204">
        <v>4.3999999999999997E-2</v>
      </c>
      <c r="BB588" s="204">
        <v>417</v>
      </c>
      <c r="BH588" s="204">
        <v>0</v>
      </c>
      <c r="BI588" s="204">
        <v>0</v>
      </c>
      <c r="BJ588" s="204">
        <v>42702</v>
      </c>
      <c r="BK588" s="204">
        <v>42702.779735763899</v>
      </c>
      <c r="BL588" s="204" t="s">
        <v>293</v>
      </c>
      <c r="BM588" s="204" t="s">
        <v>597</v>
      </c>
      <c r="BN588" s="269">
        <f t="shared" si="119"/>
        <v>417</v>
      </c>
      <c r="BO588" s="269">
        <f t="shared" si="120"/>
        <v>0</v>
      </c>
      <c r="BP588" s="269">
        <f>INDEX('App Data Outliers'!$M:$M,MATCH($E588,'App Data Outliers'!$A:$A,0))</f>
        <v>417</v>
      </c>
      <c r="BQ588" s="269">
        <f>INDEX('App Data Outliers'!$N:$N,MATCH($E588,'App Data Outliers'!$A:$A,0))</f>
        <v>0</v>
      </c>
      <c r="BR588" s="269">
        <f>INDEX('App Data Outliers'!$S:$S,MATCH($E588,'App Data Outliers'!$A:$A,0))</f>
        <v>0</v>
      </c>
      <c r="BS588" s="269">
        <f>INDEX('App Data Outliers'!$T:$T,MATCH($E588,'App Data Outliers'!$A:$A,0))</f>
        <v>0</v>
      </c>
    </row>
    <row r="589" spans="1:71" s="204" customFormat="1" hidden="1">
      <c r="A589" s="241">
        <v>585</v>
      </c>
      <c r="B589" s="241" t="str">
        <f t="shared" si="111"/>
        <v>Residential - BHPSD - Whole House Efficiency</v>
      </c>
      <c r="C589" s="241" t="b">
        <f t="shared" si="112"/>
        <v>0</v>
      </c>
      <c r="D589" s="241" t="str">
        <f t="shared" si="113"/>
        <v>Residential - BHPSD - Whole House Efficiency__</v>
      </c>
      <c r="E589" s="241">
        <f t="shared" si="114"/>
        <v>0</v>
      </c>
      <c r="F589" s="241" t="e">
        <f>INDEX('VDSM MAPPING'!E:E,MATCH($D589,'VDSM MAPPING'!$A:$A,0))</f>
        <v>#N/A</v>
      </c>
      <c r="G589" s="241" t="e">
        <f>INDEX('VDSM MAPPING'!F:F,MATCH($D589,'VDSM MAPPING'!$A:$A,0))</f>
        <v>#N/A</v>
      </c>
      <c r="H589" s="241" t="e">
        <f>INDEX('VDSM MAPPING'!G:G,MATCH($D589,'VDSM MAPPING'!$A:$A,0))</f>
        <v>#N/A</v>
      </c>
      <c r="I589" s="241" t="e">
        <f>INDEX('VDSM MAPPING'!H:H,MATCH($D589,'VDSM MAPPING'!$A:$A,0))</f>
        <v>#N/A</v>
      </c>
      <c r="J589" s="240" t="str">
        <f t="shared" si="115"/>
        <v/>
      </c>
      <c r="K589" s="240" t="str">
        <f t="shared" si="116"/>
        <v/>
      </c>
      <c r="L589" s="240" t="b">
        <f t="shared" si="117"/>
        <v>0</v>
      </c>
      <c r="M589" s="240" t="b">
        <f t="shared" si="118"/>
        <v>0</v>
      </c>
      <c r="N589" s="204" t="s">
        <v>596</v>
      </c>
      <c r="O589" s="204">
        <v>40</v>
      </c>
      <c r="P589" s="350">
        <v>0</v>
      </c>
      <c r="Q589" s="204" t="s">
        <v>289</v>
      </c>
      <c r="R589" s="204" t="s">
        <v>289</v>
      </c>
      <c r="S589" s="204" t="s">
        <v>289</v>
      </c>
      <c r="T589" s="204" t="s">
        <v>289</v>
      </c>
      <c r="U589" s="204" t="s">
        <v>289</v>
      </c>
      <c r="V589" s="204" t="s">
        <v>289</v>
      </c>
      <c r="W589" s="204" t="s">
        <v>289</v>
      </c>
      <c r="X589" s="204" t="s">
        <v>289</v>
      </c>
      <c r="Y589" s="204" t="s">
        <v>289</v>
      </c>
      <c r="Z589" s="204" t="s">
        <v>289</v>
      </c>
      <c r="AA589" s="204" t="s">
        <v>289</v>
      </c>
      <c r="AB589" s="204" t="s">
        <v>289</v>
      </c>
      <c r="AC589" s="204" t="s">
        <v>289</v>
      </c>
      <c r="AD589" s="204" t="s">
        <v>289</v>
      </c>
      <c r="AE589" s="204" t="s">
        <v>289</v>
      </c>
      <c r="AF589" s="204" t="s">
        <v>289</v>
      </c>
      <c r="AG589" s="204" t="s">
        <v>289</v>
      </c>
      <c r="AH589" s="204" t="s">
        <v>289</v>
      </c>
      <c r="AI589" s="204" t="s">
        <v>289</v>
      </c>
      <c r="AJ589" s="204" t="s">
        <v>289</v>
      </c>
      <c r="AK589" s="204" t="s">
        <v>289</v>
      </c>
      <c r="AL589" s="204" t="s">
        <v>289</v>
      </c>
      <c r="AM589" s="204" t="s">
        <v>289</v>
      </c>
      <c r="AN589" s="204" t="s">
        <v>289</v>
      </c>
      <c r="AO589" s="204" t="s">
        <v>289</v>
      </c>
      <c r="AP589" s="204" t="s">
        <v>289</v>
      </c>
      <c r="AQ589" s="204" t="s">
        <v>289</v>
      </c>
      <c r="AR589" s="204" t="s">
        <v>289</v>
      </c>
      <c r="AS589" s="204" t="s">
        <v>289</v>
      </c>
      <c r="AT589" s="204" t="s">
        <v>289</v>
      </c>
      <c r="AU589" s="204" t="s">
        <v>289</v>
      </c>
      <c r="AV589" s="204" t="s">
        <v>289</v>
      </c>
      <c r="AW589" s="204" t="s">
        <v>289</v>
      </c>
      <c r="AX589" s="204">
        <v>78</v>
      </c>
      <c r="AY589" s="204">
        <v>0</v>
      </c>
      <c r="AZ589" s="204">
        <v>9.4179999999999993</v>
      </c>
      <c r="BB589" s="204">
        <v>36257</v>
      </c>
      <c r="BH589" s="204">
        <v>0</v>
      </c>
      <c r="BI589" s="204">
        <v>0</v>
      </c>
      <c r="BJ589" s="204" t="s">
        <v>289</v>
      </c>
      <c r="BM589" s="204" t="s">
        <v>289</v>
      </c>
      <c r="BN589" s="269">
        <f t="shared" si="119"/>
        <v>464.83333333333331</v>
      </c>
      <c r="BO589" s="269">
        <f t="shared" si="120"/>
        <v>0</v>
      </c>
      <c r="BP589" s="269" t="e">
        <f>INDEX('App Data Outliers'!$M:$M,MATCH($E589,'App Data Outliers'!$A:$A,0))</f>
        <v>#N/A</v>
      </c>
      <c r="BQ589" s="269" t="e">
        <f>INDEX('App Data Outliers'!$N:$N,MATCH($E589,'App Data Outliers'!$A:$A,0))</f>
        <v>#N/A</v>
      </c>
      <c r="BR589" s="269" t="e">
        <f>INDEX('App Data Outliers'!$S:$S,MATCH($E589,'App Data Outliers'!$A:$A,0))</f>
        <v>#N/A</v>
      </c>
      <c r="BS589" s="269" t="e">
        <f>INDEX('App Data Outliers'!$T:$T,MATCH($E589,'App Data Outliers'!$A:$A,0))</f>
        <v>#N/A</v>
      </c>
    </row>
    <row r="590" spans="1:71" s="204" customFormat="1">
      <c r="A590" s="241">
        <v>586</v>
      </c>
      <c r="B590" s="241" t="str">
        <f t="shared" si="111"/>
        <v>Residential - BHPSD - Whole House Efficiency</v>
      </c>
      <c r="C590" s="241" t="b">
        <f t="shared" si="112"/>
        <v>1</v>
      </c>
      <c r="D590" s="241" t="str">
        <f t="shared" si="113"/>
        <v>Residential - BHPSD - Whole House Efficiency_Whole House :- Utility Direct Costs_Residential EE Kit</v>
      </c>
      <c r="E590" s="241" t="str">
        <f t="shared" si="114"/>
        <v>Residential_Whole House Efficiency_Various_Residential Kit</v>
      </c>
      <c r="F590" s="241" t="str">
        <f>INDEX('VDSM MAPPING'!E:E,MATCH($D590,'VDSM MAPPING'!$A:$A,0))</f>
        <v>Residential</v>
      </c>
      <c r="G590" s="241" t="str">
        <f>INDEX('VDSM MAPPING'!F:F,MATCH($D590,'VDSM MAPPING'!$A:$A,0))</f>
        <v>Whole House Efficiency</v>
      </c>
      <c r="H590" s="241" t="str">
        <f>INDEX('VDSM MAPPING'!G:G,MATCH($D590,'VDSM MAPPING'!$A:$A,0))</f>
        <v>Various</v>
      </c>
      <c r="I590" s="241" t="str">
        <f>INDEX('VDSM MAPPING'!H:H,MATCH($D590,'VDSM MAPPING'!$A:$A,0))</f>
        <v>Residential Kit</v>
      </c>
      <c r="J590" s="240" t="str">
        <f t="shared" si="115"/>
        <v/>
      </c>
      <c r="K590" s="240" t="str">
        <f t="shared" si="116"/>
        <v/>
      </c>
      <c r="L590" s="240" t="b">
        <f t="shared" si="117"/>
        <v>0</v>
      </c>
      <c r="M590" s="240" t="b">
        <f t="shared" si="118"/>
        <v>0</v>
      </c>
      <c r="N590" s="204" t="s">
        <v>289</v>
      </c>
      <c r="O590" s="204" t="s">
        <v>594</v>
      </c>
      <c r="P590" s="350">
        <v>1</v>
      </c>
      <c r="Q590" s="204" t="s">
        <v>594</v>
      </c>
      <c r="R590" s="204" t="s">
        <v>593</v>
      </c>
      <c r="S590" s="204" t="s">
        <v>592</v>
      </c>
      <c r="T590" s="204" t="s">
        <v>591</v>
      </c>
      <c r="V590" s="204" t="s">
        <v>590</v>
      </c>
      <c r="W590" s="204" t="s">
        <v>329</v>
      </c>
      <c r="X590" s="204" t="s">
        <v>297</v>
      </c>
      <c r="Y590" s="204" t="s">
        <v>328</v>
      </c>
      <c r="AG590" s="204" t="s">
        <v>295</v>
      </c>
      <c r="AH590" s="204" t="s">
        <v>305</v>
      </c>
      <c r="AX590" s="204">
        <v>1</v>
      </c>
      <c r="AY590" s="204">
        <v>0</v>
      </c>
      <c r="AZ590" s="204">
        <v>4.3999999999999997E-2</v>
      </c>
      <c r="BB590" s="204">
        <v>417</v>
      </c>
      <c r="BH590" s="204">
        <v>0</v>
      </c>
      <c r="BI590" s="204">
        <v>0</v>
      </c>
      <c r="BJ590" s="204">
        <v>42641</v>
      </c>
      <c r="BK590" s="204">
        <v>42641.599619791697</v>
      </c>
      <c r="BL590" s="204" t="s">
        <v>293</v>
      </c>
      <c r="BM590" s="204" t="s">
        <v>589</v>
      </c>
      <c r="BN590" s="269">
        <f t="shared" si="119"/>
        <v>417</v>
      </c>
      <c r="BO590" s="269">
        <f t="shared" si="120"/>
        <v>0</v>
      </c>
      <c r="BP590" s="269">
        <f>INDEX('App Data Outliers'!$M:$M,MATCH($E590,'App Data Outliers'!$A:$A,0))</f>
        <v>417</v>
      </c>
      <c r="BQ590" s="269">
        <f>INDEX('App Data Outliers'!$N:$N,MATCH($E590,'App Data Outliers'!$A:$A,0))</f>
        <v>0</v>
      </c>
      <c r="BR590" s="269">
        <f>INDEX('App Data Outliers'!$S:$S,MATCH($E590,'App Data Outliers'!$A:$A,0))</f>
        <v>0</v>
      </c>
      <c r="BS590" s="269">
        <f>INDEX('App Data Outliers'!$T:$T,MATCH($E590,'App Data Outliers'!$A:$A,0))</f>
        <v>0</v>
      </c>
    </row>
    <row r="591" spans="1:71" s="204" customFormat="1">
      <c r="A591" s="241">
        <v>587</v>
      </c>
      <c r="B591" s="241" t="str">
        <f t="shared" si="111"/>
        <v>Residential - BHPSD - Whole House Efficiency</v>
      </c>
      <c r="C591" s="241" t="b">
        <f t="shared" si="112"/>
        <v>1</v>
      </c>
      <c r="D591" s="241" t="str">
        <f t="shared" si="113"/>
        <v>Residential - BHPSD - Whole House Efficiency_Whole House :- Utility Direct Costs_Recommended Audit Measures</v>
      </c>
      <c r="E591" s="241" t="str">
        <f t="shared" si="114"/>
        <v>Residential_Whole House Efficiency_Various_Measures</v>
      </c>
      <c r="F591" s="241" t="str">
        <f>INDEX('VDSM MAPPING'!E:E,MATCH($D591,'VDSM MAPPING'!$A:$A,0))</f>
        <v>Residential</v>
      </c>
      <c r="G591" s="241" t="str">
        <f>INDEX('VDSM MAPPING'!F:F,MATCH($D591,'VDSM MAPPING'!$A:$A,0))</f>
        <v>Whole House Efficiency</v>
      </c>
      <c r="H591" s="241" t="str">
        <f>INDEX('VDSM MAPPING'!G:G,MATCH($D591,'VDSM MAPPING'!$A:$A,0))</f>
        <v>Various</v>
      </c>
      <c r="I591" s="241" t="str">
        <f>INDEX('VDSM MAPPING'!H:H,MATCH($D591,'VDSM MAPPING'!$A:$A,0))</f>
        <v>Measures</v>
      </c>
      <c r="J591" s="240" t="str">
        <f t="shared" si="115"/>
        <v/>
      </c>
      <c r="K591" s="240" t="str">
        <f t="shared" si="116"/>
        <v/>
      </c>
      <c r="L591" s="240" t="b">
        <f t="shared" si="117"/>
        <v>0</v>
      </c>
      <c r="M591" s="240" t="b">
        <f t="shared" si="118"/>
        <v>0</v>
      </c>
      <c r="N591" s="204" t="s">
        <v>289</v>
      </c>
      <c r="O591" s="204" t="s">
        <v>594</v>
      </c>
      <c r="P591" s="350">
        <v>0</v>
      </c>
      <c r="Q591" s="204" t="s">
        <v>594</v>
      </c>
      <c r="R591" s="204" t="s">
        <v>593</v>
      </c>
      <c r="S591" s="204" t="s">
        <v>592</v>
      </c>
      <c r="T591" s="204" t="s">
        <v>591</v>
      </c>
      <c r="V591" s="204" t="s">
        <v>590</v>
      </c>
      <c r="W591" s="204" t="s">
        <v>329</v>
      </c>
      <c r="X591" s="204" t="s">
        <v>297</v>
      </c>
      <c r="Y591" s="204" t="s">
        <v>328</v>
      </c>
      <c r="AG591" s="204" t="s">
        <v>295</v>
      </c>
      <c r="AH591" s="204" t="s">
        <v>153</v>
      </c>
      <c r="AX591" s="204">
        <v>1</v>
      </c>
      <c r="AY591" s="204">
        <v>0</v>
      </c>
      <c r="AZ591" s="204">
        <v>0.19</v>
      </c>
      <c r="BB591" s="204">
        <v>508</v>
      </c>
      <c r="BH591" s="204">
        <v>0</v>
      </c>
      <c r="BI591" s="204">
        <v>0</v>
      </c>
      <c r="BJ591" s="204">
        <v>42641</v>
      </c>
      <c r="BK591" s="204">
        <v>42641.599619791697</v>
      </c>
      <c r="BL591" s="204" t="s">
        <v>293</v>
      </c>
      <c r="BM591" s="204" t="s">
        <v>595</v>
      </c>
      <c r="BN591" s="269">
        <f t="shared" si="119"/>
        <v>508</v>
      </c>
      <c r="BO591" s="269">
        <f t="shared" si="120"/>
        <v>0</v>
      </c>
      <c r="BP591" s="269">
        <f>INDEX('App Data Outliers'!$M:$M,MATCH($E591,'App Data Outliers'!$A:$A,0))</f>
        <v>508</v>
      </c>
      <c r="BQ591" s="269">
        <f>INDEX('App Data Outliers'!$N:$N,MATCH($E591,'App Data Outliers'!$A:$A,0))</f>
        <v>0</v>
      </c>
      <c r="BR591" s="269">
        <f>INDEX('App Data Outliers'!$S:$S,MATCH($E591,'App Data Outliers'!$A:$A,0))</f>
        <v>0</v>
      </c>
      <c r="BS591" s="269">
        <f>INDEX('App Data Outliers'!$T:$T,MATCH($E591,'App Data Outliers'!$A:$A,0))</f>
        <v>0</v>
      </c>
    </row>
    <row r="592" spans="1:71" s="204" customFormat="1">
      <c r="A592" s="241">
        <v>588</v>
      </c>
      <c r="B592" s="241" t="str">
        <f t="shared" si="111"/>
        <v>Residential - BHPSD - Whole House Efficiency</v>
      </c>
      <c r="C592" s="241" t="b">
        <f t="shared" si="112"/>
        <v>1</v>
      </c>
      <c r="D592" s="241" t="str">
        <f t="shared" si="113"/>
        <v>Residential - BHPSD - Whole House Efficiency_Whole House :- Utility Direct Costs_Residential EE Kit</v>
      </c>
      <c r="E592" s="241" t="str">
        <f t="shared" si="114"/>
        <v>Residential_Whole House Efficiency_Various_Residential Kit</v>
      </c>
      <c r="F592" s="241" t="str">
        <f>INDEX('VDSM MAPPING'!E:E,MATCH($D592,'VDSM MAPPING'!$A:$A,0))</f>
        <v>Residential</v>
      </c>
      <c r="G592" s="241" t="str">
        <f>INDEX('VDSM MAPPING'!F:F,MATCH($D592,'VDSM MAPPING'!$A:$A,0))</f>
        <v>Whole House Efficiency</v>
      </c>
      <c r="H592" s="241" t="str">
        <f>INDEX('VDSM MAPPING'!G:G,MATCH($D592,'VDSM MAPPING'!$A:$A,0))</f>
        <v>Various</v>
      </c>
      <c r="I592" s="241" t="str">
        <f>INDEX('VDSM MAPPING'!H:H,MATCH($D592,'VDSM MAPPING'!$A:$A,0))</f>
        <v>Residential Kit</v>
      </c>
      <c r="J592" s="240" t="str">
        <f t="shared" si="115"/>
        <v/>
      </c>
      <c r="K592" s="240" t="str">
        <f t="shared" si="116"/>
        <v/>
      </c>
      <c r="L592" s="240" t="b">
        <f t="shared" si="117"/>
        <v>0</v>
      </c>
      <c r="M592" s="240" t="b">
        <f t="shared" si="118"/>
        <v>0</v>
      </c>
      <c r="N592" s="204" t="s">
        <v>289</v>
      </c>
      <c r="O592" s="204" t="s">
        <v>587</v>
      </c>
      <c r="P592" s="350">
        <v>1</v>
      </c>
      <c r="Q592" s="204" t="s">
        <v>587</v>
      </c>
      <c r="R592" s="204" t="s">
        <v>586</v>
      </c>
      <c r="S592" s="204" t="s">
        <v>585</v>
      </c>
      <c r="T592" s="204" t="s">
        <v>584</v>
      </c>
      <c r="V592" s="204" t="s">
        <v>583</v>
      </c>
      <c r="W592" s="204" t="s">
        <v>329</v>
      </c>
      <c r="X592" s="204" t="s">
        <v>297</v>
      </c>
      <c r="Y592" s="204" t="s">
        <v>397</v>
      </c>
      <c r="AG592" s="204" t="s">
        <v>295</v>
      </c>
      <c r="AH592" s="204" t="s">
        <v>305</v>
      </c>
      <c r="AX592" s="204">
        <v>1</v>
      </c>
      <c r="AY592" s="204">
        <v>0</v>
      </c>
      <c r="AZ592" s="204">
        <v>4.3999999999999997E-2</v>
      </c>
      <c r="BB592" s="204">
        <v>417</v>
      </c>
      <c r="BH592" s="204">
        <v>0</v>
      </c>
      <c r="BI592" s="204">
        <v>0</v>
      </c>
      <c r="BJ592" s="204">
        <v>42641</v>
      </c>
      <c r="BK592" s="204">
        <v>42641.601229895801</v>
      </c>
      <c r="BL592" s="204" t="s">
        <v>293</v>
      </c>
      <c r="BM592" s="204" t="s">
        <v>582</v>
      </c>
      <c r="BN592" s="269">
        <f t="shared" si="119"/>
        <v>417</v>
      </c>
      <c r="BO592" s="269">
        <f t="shared" si="120"/>
        <v>0</v>
      </c>
      <c r="BP592" s="269">
        <f>INDEX('App Data Outliers'!$M:$M,MATCH($E592,'App Data Outliers'!$A:$A,0))</f>
        <v>417</v>
      </c>
      <c r="BQ592" s="269">
        <f>INDEX('App Data Outliers'!$N:$N,MATCH($E592,'App Data Outliers'!$A:$A,0))</f>
        <v>0</v>
      </c>
      <c r="BR592" s="269">
        <f>INDEX('App Data Outliers'!$S:$S,MATCH($E592,'App Data Outliers'!$A:$A,0))</f>
        <v>0</v>
      </c>
      <c r="BS592" s="269">
        <f>INDEX('App Data Outliers'!$T:$T,MATCH($E592,'App Data Outliers'!$A:$A,0))</f>
        <v>0</v>
      </c>
    </row>
    <row r="593" spans="1:71" s="204" customFormat="1">
      <c r="A593" s="241">
        <v>589</v>
      </c>
      <c r="B593" s="241" t="str">
        <f t="shared" si="111"/>
        <v>Residential - BHPSD - Whole House Efficiency</v>
      </c>
      <c r="C593" s="241" t="b">
        <f t="shared" si="112"/>
        <v>1</v>
      </c>
      <c r="D593" s="241" t="str">
        <f t="shared" si="113"/>
        <v>Residential - BHPSD - Whole House Efficiency_Whole House :- Utility Direct Costs_Recommended Audit Measures</v>
      </c>
      <c r="E593" s="241" t="str">
        <f t="shared" si="114"/>
        <v>Residential_Whole House Efficiency_Various_Measures</v>
      </c>
      <c r="F593" s="241" t="str">
        <f>INDEX('VDSM MAPPING'!E:E,MATCH($D593,'VDSM MAPPING'!$A:$A,0))</f>
        <v>Residential</v>
      </c>
      <c r="G593" s="241" t="str">
        <f>INDEX('VDSM MAPPING'!F:F,MATCH($D593,'VDSM MAPPING'!$A:$A,0))</f>
        <v>Whole House Efficiency</v>
      </c>
      <c r="H593" s="241" t="str">
        <f>INDEX('VDSM MAPPING'!G:G,MATCH($D593,'VDSM MAPPING'!$A:$A,0))</f>
        <v>Various</v>
      </c>
      <c r="I593" s="241" t="str">
        <f>INDEX('VDSM MAPPING'!H:H,MATCH($D593,'VDSM MAPPING'!$A:$A,0))</f>
        <v>Measures</v>
      </c>
      <c r="J593" s="240" t="str">
        <f t="shared" si="115"/>
        <v/>
      </c>
      <c r="K593" s="240" t="str">
        <f t="shared" si="116"/>
        <v/>
      </c>
      <c r="L593" s="240" t="b">
        <f t="shared" si="117"/>
        <v>0</v>
      </c>
      <c r="M593" s="240" t="b">
        <f t="shared" si="118"/>
        <v>0</v>
      </c>
      <c r="N593" s="204" t="s">
        <v>289</v>
      </c>
      <c r="O593" s="204" t="s">
        <v>587</v>
      </c>
      <c r="P593" s="350">
        <v>0</v>
      </c>
      <c r="Q593" s="204" t="s">
        <v>587</v>
      </c>
      <c r="R593" s="204" t="s">
        <v>586</v>
      </c>
      <c r="S593" s="204" t="s">
        <v>585</v>
      </c>
      <c r="T593" s="204" t="s">
        <v>584</v>
      </c>
      <c r="V593" s="204" t="s">
        <v>583</v>
      </c>
      <c r="W593" s="204" t="s">
        <v>329</v>
      </c>
      <c r="X593" s="204" t="s">
        <v>297</v>
      </c>
      <c r="Y593" s="204" t="s">
        <v>397</v>
      </c>
      <c r="AG593" s="204" t="s">
        <v>295</v>
      </c>
      <c r="AH593" s="204" t="s">
        <v>153</v>
      </c>
      <c r="AX593" s="204">
        <v>1</v>
      </c>
      <c r="AY593" s="204">
        <v>0</v>
      </c>
      <c r="AZ593" s="204">
        <v>0.19</v>
      </c>
      <c r="BB593" s="204">
        <v>508</v>
      </c>
      <c r="BH593" s="204">
        <v>0</v>
      </c>
      <c r="BI593" s="204">
        <v>0</v>
      </c>
      <c r="BJ593" s="204">
        <v>42641</v>
      </c>
      <c r="BK593" s="204">
        <v>42641.601229895801</v>
      </c>
      <c r="BL593" s="204" t="s">
        <v>293</v>
      </c>
      <c r="BM593" s="204" t="s">
        <v>588</v>
      </c>
      <c r="BN593" s="269">
        <f t="shared" si="119"/>
        <v>508</v>
      </c>
      <c r="BO593" s="269">
        <f t="shared" si="120"/>
        <v>0</v>
      </c>
      <c r="BP593" s="269">
        <f>INDEX('App Data Outliers'!$M:$M,MATCH($E593,'App Data Outliers'!$A:$A,0))</f>
        <v>508</v>
      </c>
      <c r="BQ593" s="269">
        <f>INDEX('App Data Outliers'!$N:$N,MATCH($E593,'App Data Outliers'!$A:$A,0))</f>
        <v>0</v>
      </c>
      <c r="BR593" s="269">
        <f>INDEX('App Data Outliers'!$S:$S,MATCH($E593,'App Data Outliers'!$A:$A,0))</f>
        <v>0</v>
      </c>
      <c r="BS593" s="269">
        <f>INDEX('App Data Outliers'!$T:$T,MATCH($E593,'App Data Outliers'!$A:$A,0))</f>
        <v>0</v>
      </c>
    </row>
    <row r="594" spans="1:71" s="204" customFormat="1">
      <c r="A594" s="241">
        <v>590</v>
      </c>
      <c r="B594" s="241" t="str">
        <f t="shared" si="111"/>
        <v>Residential - BHPSD - Whole House Efficiency</v>
      </c>
      <c r="C594" s="241" t="b">
        <f t="shared" si="112"/>
        <v>1</v>
      </c>
      <c r="D594" s="241" t="str">
        <f t="shared" si="113"/>
        <v>Residential - BHPSD - Whole House Efficiency_Whole House :- Utility Direct Costs_Residential EE Kit</v>
      </c>
      <c r="E594" s="241" t="str">
        <f t="shared" si="114"/>
        <v>Residential_Whole House Efficiency_Various_Residential Kit</v>
      </c>
      <c r="F594" s="241" t="str">
        <f>INDEX('VDSM MAPPING'!E:E,MATCH($D594,'VDSM MAPPING'!$A:$A,0))</f>
        <v>Residential</v>
      </c>
      <c r="G594" s="241" t="str">
        <f>INDEX('VDSM MAPPING'!F:F,MATCH($D594,'VDSM MAPPING'!$A:$A,0))</f>
        <v>Whole House Efficiency</v>
      </c>
      <c r="H594" s="241" t="str">
        <f>INDEX('VDSM MAPPING'!G:G,MATCH($D594,'VDSM MAPPING'!$A:$A,0))</f>
        <v>Various</v>
      </c>
      <c r="I594" s="241" t="str">
        <f>INDEX('VDSM MAPPING'!H:H,MATCH($D594,'VDSM MAPPING'!$A:$A,0))</f>
        <v>Residential Kit</v>
      </c>
      <c r="J594" s="240" t="str">
        <f t="shared" si="115"/>
        <v/>
      </c>
      <c r="K594" s="240" t="str">
        <f t="shared" si="116"/>
        <v/>
      </c>
      <c r="L594" s="240" t="b">
        <f t="shared" si="117"/>
        <v>0</v>
      </c>
      <c r="M594" s="240" t="b">
        <f t="shared" si="118"/>
        <v>0</v>
      </c>
      <c r="N594" s="204" t="s">
        <v>289</v>
      </c>
      <c r="O594" s="204" t="s">
        <v>580</v>
      </c>
      <c r="P594" s="350">
        <v>1</v>
      </c>
      <c r="Q594" s="204" t="s">
        <v>580</v>
      </c>
      <c r="R594" s="204" t="s">
        <v>579</v>
      </c>
      <c r="S594" s="204" t="s">
        <v>578</v>
      </c>
      <c r="T594" s="204" t="s">
        <v>577</v>
      </c>
      <c r="V594" s="204" t="s">
        <v>576</v>
      </c>
      <c r="W594" s="204" t="s">
        <v>337</v>
      </c>
      <c r="X594" s="204" t="s">
        <v>297</v>
      </c>
      <c r="Y594" s="204" t="s">
        <v>336</v>
      </c>
      <c r="AG594" s="204" t="s">
        <v>295</v>
      </c>
      <c r="AH594" s="204" t="s">
        <v>305</v>
      </c>
      <c r="AX594" s="204">
        <v>1</v>
      </c>
      <c r="AY594" s="204">
        <v>0</v>
      </c>
      <c r="AZ594" s="204">
        <v>4.3999999999999997E-2</v>
      </c>
      <c r="BB594" s="204">
        <v>417</v>
      </c>
      <c r="BH594" s="204">
        <v>0</v>
      </c>
      <c r="BI594" s="204">
        <v>0</v>
      </c>
      <c r="BJ594" s="204">
        <v>42641</v>
      </c>
      <c r="BK594" s="204">
        <v>42641.602389583299</v>
      </c>
      <c r="BL594" s="204" t="s">
        <v>293</v>
      </c>
      <c r="BM594" s="204" t="s">
        <v>575</v>
      </c>
      <c r="BN594" s="269">
        <f t="shared" si="119"/>
        <v>417</v>
      </c>
      <c r="BO594" s="269">
        <f t="shared" si="120"/>
        <v>0</v>
      </c>
      <c r="BP594" s="269">
        <f>INDEX('App Data Outliers'!$M:$M,MATCH($E594,'App Data Outliers'!$A:$A,0))</f>
        <v>417</v>
      </c>
      <c r="BQ594" s="269">
        <f>INDEX('App Data Outliers'!$N:$N,MATCH($E594,'App Data Outliers'!$A:$A,0))</f>
        <v>0</v>
      </c>
      <c r="BR594" s="269">
        <f>INDEX('App Data Outliers'!$S:$S,MATCH($E594,'App Data Outliers'!$A:$A,0))</f>
        <v>0</v>
      </c>
      <c r="BS594" s="269">
        <f>INDEX('App Data Outliers'!$T:$T,MATCH($E594,'App Data Outliers'!$A:$A,0))</f>
        <v>0</v>
      </c>
    </row>
    <row r="595" spans="1:71" s="204" customFormat="1">
      <c r="A595" s="241">
        <v>591</v>
      </c>
      <c r="B595" s="241" t="str">
        <f t="shared" si="111"/>
        <v>Residential - BHPSD - Whole House Efficiency</v>
      </c>
      <c r="C595" s="241" t="b">
        <f t="shared" si="112"/>
        <v>1</v>
      </c>
      <c r="D595" s="241" t="str">
        <f t="shared" si="113"/>
        <v>Residential - BHPSD - Whole House Efficiency_Whole House :- Utility Direct Costs_Recommended Audit Measures</v>
      </c>
      <c r="E595" s="241" t="str">
        <f t="shared" si="114"/>
        <v>Residential_Whole House Efficiency_Various_Measures</v>
      </c>
      <c r="F595" s="241" t="str">
        <f>INDEX('VDSM MAPPING'!E:E,MATCH($D595,'VDSM MAPPING'!$A:$A,0))</f>
        <v>Residential</v>
      </c>
      <c r="G595" s="241" t="str">
        <f>INDEX('VDSM MAPPING'!F:F,MATCH($D595,'VDSM MAPPING'!$A:$A,0))</f>
        <v>Whole House Efficiency</v>
      </c>
      <c r="H595" s="241" t="str">
        <f>INDEX('VDSM MAPPING'!G:G,MATCH($D595,'VDSM MAPPING'!$A:$A,0))</f>
        <v>Various</v>
      </c>
      <c r="I595" s="241" t="str">
        <f>INDEX('VDSM MAPPING'!H:H,MATCH($D595,'VDSM MAPPING'!$A:$A,0))</f>
        <v>Measures</v>
      </c>
      <c r="J595" s="240" t="str">
        <f t="shared" si="115"/>
        <v/>
      </c>
      <c r="K595" s="240" t="str">
        <f t="shared" si="116"/>
        <v/>
      </c>
      <c r="L595" s="240" t="b">
        <f t="shared" si="117"/>
        <v>0</v>
      </c>
      <c r="M595" s="240" t="b">
        <f t="shared" si="118"/>
        <v>0</v>
      </c>
      <c r="N595" s="204" t="s">
        <v>289</v>
      </c>
      <c r="O595" s="204" t="s">
        <v>580</v>
      </c>
      <c r="P595" s="350">
        <v>0</v>
      </c>
      <c r="Q595" s="204" t="s">
        <v>580</v>
      </c>
      <c r="R595" s="204" t="s">
        <v>579</v>
      </c>
      <c r="S595" s="204" t="s">
        <v>578</v>
      </c>
      <c r="T595" s="204" t="s">
        <v>577</v>
      </c>
      <c r="V595" s="204" t="s">
        <v>576</v>
      </c>
      <c r="W595" s="204" t="s">
        <v>337</v>
      </c>
      <c r="X595" s="204" t="s">
        <v>297</v>
      </c>
      <c r="Y595" s="204" t="s">
        <v>336</v>
      </c>
      <c r="AG595" s="204" t="s">
        <v>295</v>
      </c>
      <c r="AH595" s="204" t="s">
        <v>153</v>
      </c>
      <c r="AX595" s="204">
        <v>1</v>
      </c>
      <c r="AY595" s="204">
        <v>0</v>
      </c>
      <c r="AZ595" s="204">
        <v>0.19</v>
      </c>
      <c r="BB595" s="204">
        <v>508</v>
      </c>
      <c r="BH595" s="204">
        <v>0</v>
      </c>
      <c r="BI595" s="204">
        <v>0</v>
      </c>
      <c r="BJ595" s="204">
        <v>42641</v>
      </c>
      <c r="BK595" s="204">
        <v>42641.602389583299</v>
      </c>
      <c r="BL595" s="204" t="s">
        <v>293</v>
      </c>
      <c r="BM595" s="204" t="s">
        <v>581</v>
      </c>
      <c r="BN595" s="269">
        <f t="shared" si="119"/>
        <v>508</v>
      </c>
      <c r="BO595" s="269">
        <f t="shared" si="120"/>
        <v>0</v>
      </c>
      <c r="BP595" s="269">
        <f>INDEX('App Data Outliers'!$M:$M,MATCH($E595,'App Data Outliers'!$A:$A,0))</f>
        <v>508</v>
      </c>
      <c r="BQ595" s="269">
        <f>INDEX('App Data Outliers'!$N:$N,MATCH($E595,'App Data Outliers'!$A:$A,0))</f>
        <v>0</v>
      </c>
      <c r="BR595" s="269">
        <f>INDEX('App Data Outliers'!$S:$S,MATCH($E595,'App Data Outliers'!$A:$A,0))</f>
        <v>0</v>
      </c>
      <c r="BS595" s="269">
        <f>INDEX('App Data Outliers'!$T:$T,MATCH($E595,'App Data Outliers'!$A:$A,0))</f>
        <v>0</v>
      </c>
    </row>
    <row r="596" spans="1:71" s="204" customFormat="1">
      <c r="A596" s="241">
        <v>592</v>
      </c>
      <c r="B596" s="241" t="str">
        <f t="shared" si="111"/>
        <v>Residential - BHPSD - Whole House Efficiency</v>
      </c>
      <c r="C596" s="241" t="b">
        <f t="shared" si="112"/>
        <v>1</v>
      </c>
      <c r="D596" s="241" t="str">
        <f t="shared" si="113"/>
        <v>Residential - BHPSD - Whole House Efficiency_Whole House :- Utility Direct Costs_Recommended Audit Measures</v>
      </c>
      <c r="E596" s="241" t="str">
        <f t="shared" si="114"/>
        <v>Residential_Whole House Efficiency_Various_Measures</v>
      </c>
      <c r="F596" s="241" t="str">
        <f>INDEX('VDSM MAPPING'!E:E,MATCH($D596,'VDSM MAPPING'!$A:$A,0))</f>
        <v>Residential</v>
      </c>
      <c r="G596" s="241" t="str">
        <f>INDEX('VDSM MAPPING'!F:F,MATCH($D596,'VDSM MAPPING'!$A:$A,0))</f>
        <v>Whole House Efficiency</v>
      </c>
      <c r="H596" s="241" t="str">
        <f>INDEX('VDSM MAPPING'!G:G,MATCH($D596,'VDSM MAPPING'!$A:$A,0))</f>
        <v>Various</v>
      </c>
      <c r="I596" s="241" t="str">
        <f>INDEX('VDSM MAPPING'!H:H,MATCH($D596,'VDSM MAPPING'!$A:$A,0))</f>
        <v>Measures</v>
      </c>
      <c r="J596" s="240" t="str">
        <f t="shared" si="115"/>
        <v/>
      </c>
      <c r="K596" s="240" t="str">
        <f t="shared" si="116"/>
        <v/>
      </c>
      <c r="L596" s="240" t="b">
        <f t="shared" si="117"/>
        <v>0</v>
      </c>
      <c r="M596" s="240" t="b">
        <f t="shared" si="118"/>
        <v>0</v>
      </c>
      <c r="N596" s="204" t="s">
        <v>289</v>
      </c>
      <c r="O596" s="204" t="s">
        <v>573</v>
      </c>
      <c r="P596" s="350">
        <v>1</v>
      </c>
      <c r="Q596" s="204" t="s">
        <v>573</v>
      </c>
      <c r="R596" s="204" t="s">
        <v>572</v>
      </c>
      <c r="S596" s="204" t="s">
        <v>571</v>
      </c>
      <c r="T596" s="204" t="s">
        <v>570</v>
      </c>
      <c r="V596" s="204" t="s">
        <v>569</v>
      </c>
      <c r="W596" s="204" t="s">
        <v>568</v>
      </c>
      <c r="X596" s="204" t="s">
        <v>297</v>
      </c>
      <c r="Y596" s="204" t="s">
        <v>567</v>
      </c>
      <c r="AG596" s="204" t="s">
        <v>295</v>
      </c>
      <c r="AH596" s="204" t="s">
        <v>153</v>
      </c>
      <c r="AX596" s="204">
        <v>1</v>
      </c>
      <c r="AY596" s="204">
        <v>0</v>
      </c>
      <c r="AZ596" s="204">
        <v>0.19</v>
      </c>
      <c r="BB596" s="204">
        <v>508</v>
      </c>
      <c r="BH596" s="204">
        <v>0</v>
      </c>
      <c r="BI596" s="204">
        <v>0</v>
      </c>
      <c r="BJ596" s="204">
        <v>42641</v>
      </c>
      <c r="BK596" s="204">
        <v>42641.603726238398</v>
      </c>
      <c r="BL596" s="204" t="s">
        <v>293</v>
      </c>
      <c r="BM596" s="204" t="s">
        <v>574</v>
      </c>
      <c r="BN596" s="269">
        <f t="shared" si="119"/>
        <v>508</v>
      </c>
      <c r="BO596" s="269">
        <f t="shared" si="120"/>
        <v>0</v>
      </c>
      <c r="BP596" s="269">
        <f>INDEX('App Data Outliers'!$M:$M,MATCH($E596,'App Data Outliers'!$A:$A,0))</f>
        <v>508</v>
      </c>
      <c r="BQ596" s="269">
        <f>INDEX('App Data Outliers'!$N:$N,MATCH($E596,'App Data Outliers'!$A:$A,0))</f>
        <v>0</v>
      </c>
      <c r="BR596" s="269">
        <f>INDEX('App Data Outliers'!$S:$S,MATCH($E596,'App Data Outliers'!$A:$A,0))</f>
        <v>0</v>
      </c>
      <c r="BS596" s="269">
        <f>INDEX('App Data Outliers'!$T:$T,MATCH($E596,'App Data Outliers'!$A:$A,0))</f>
        <v>0</v>
      </c>
    </row>
    <row r="597" spans="1:71" s="204" customFormat="1">
      <c r="A597" s="241">
        <v>593</v>
      </c>
      <c r="B597" s="241" t="str">
        <f t="shared" si="111"/>
        <v>Residential - BHPSD - Whole House Efficiency</v>
      </c>
      <c r="C597" s="241" t="b">
        <f t="shared" si="112"/>
        <v>1</v>
      </c>
      <c r="D597" s="241" t="str">
        <f t="shared" si="113"/>
        <v>Residential - BHPSD - Whole House Efficiency_Whole House :- Utility Direct Costs_Residential EE Kit</v>
      </c>
      <c r="E597" s="241" t="str">
        <f t="shared" si="114"/>
        <v>Residential_Whole House Efficiency_Various_Residential Kit</v>
      </c>
      <c r="F597" s="241" t="str">
        <f>INDEX('VDSM MAPPING'!E:E,MATCH($D597,'VDSM MAPPING'!$A:$A,0))</f>
        <v>Residential</v>
      </c>
      <c r="G597" s="241" t="str">
        <f>INDEX('VDSM MAPPING'!F:F,MATCH($D597,'VDSM MAPPING'!$A:$A,0))</f>
        <v>Whole House Efficiency</v>
      </c>
      <c r="H597" s="241" t="str">
        <f>INDEX('VDSM MAPPING'!G:G,MATCH($D597,'VDSM MAPPING'!$A:$A,0))</f>
        <v>Various</v>
      </c>
      <c r="I597" s="241" t="str">
        <f>INDEX('VDSM MAPPING'!H:H,MATCH($D597,'VDSM MAPPING'!$A:$A,0))</f>
        <v>Residential Kit</v>
      </c>
      <c r="J597" s="240" t="str">
        <f t="shared" si="115"/>
        <v/>
      </c>
      <c r="K597" s="240" t="str">
        <f t="shared" si="116"/>
        <v/>
      </c>
      <c r="L597" s="240" t="b">
        <f t="shared" si="117"/>
        <v>0</v>
      </c>
      <c r="M597" s="240" t="b">
        <f t="shared" si="118"/>
        <v>0</v>
      </c>
      <c r="N597" s="204" t="s">
        <v>289</v>
      </c>
      <c r="O597" s="204" t="s">
        <v>573</v>
      </c>
      <c r="P597" s="350">
        <v>0</v>
      </c>
      <c r="Q597" s="204" t="s">
        <v>573</v>
      </c>
      <c r="R597" s="204" t="s">
        <v>572</v>
      </c>
      <c r="S597" s="204" t="s">
        <v>571</v>
      </c>
      <c r="T597" s="204" t="s">
        <v>570</v>
      </c>
      <c r="V597" s="204" t="s">
        <v>569</v>
      </c>
      <c r="W597" s="204" t="s">
        <v>568</v>
      </c>
      <c r="X597" s="204" t="s">
        <v>297</v>
      </c>
      <c r="Y597" s="204" t="s">
        <v>567</v>
      </c>
      <c r="AG597" s="204" t="s">
        <v>295</v>
      </c>
      <c r="AH597" s="204" t="s">
        <v>305</v>
      </c>
      <c r="AX597" s="204">
        <v>1</v>
      </c>
      <c r="AY597" s="204">
        <v>0</v>
      </c>
      <c r="AZ597" s="204">
        <v>4.3999999999999997E-2</v>
      </c>
      <c r="BB597" s="204">
        <v>417</v>
      </c>
      <c r="BH597" s="204">
        <v>0</v>
      </c>
      <c r="BI597" s="204">
        <v>0</v>
      </c>
      <c r="BJ597" s="204">
        <v>42641</v>
      </c>
      <c r="BK597" s="204">
        <v>42641.603726238398</v>
      </c>
      <c r="BL597" s="204" t="s">
        <v>293</v>
      </c>
      <c r="BM597" s="204" t="s">
        <v>566</v>
      </c>
      <c r="BN597" s="269">
        <f t="shared" si="119"/>
        <v>417</v>
      </c>
      <c r="BO597" s="269">
        <f t="shared" si="120"/>
        <v>0</v>
      </c>
      <c r="BP597" s="269">
        <f>INDEX('App Data Outliers'!$M:$M,MATCH($E597,'App Data Outliers'!$A:$A,0))</f>
        <v>417</v>
      </c>
      <c r="BQ597" s="269">
        <f>INDEX('App Data Outliers'!$N:$N,MATCH($E597,'App Data Outliers'!$A:$A,0))</f>
        <v>0</v>
      </c>
      <c r="BR597" s="269">
        <f>INDEX('App Data Outliers'!$S:$S,MATCH($E597,'App Data Outliers'!$A:$A,0))</f>
        <v>0</v>
      </c>
      <c r="BS597" s="269">
        <f>INDEX('App Data Outliers'!$T:$T,MATCH($E597,'App Data Outliers'!$A:$A,0))</f>
        <v>0</v>
      </c>
    </row>
    <row r="598" spans="1:71" s="204" customFormat="1">
      <c r="A598" s="241">
        <v>594</v>
      </c>
      <c r="B598" s="241" t="str">
        <f t="shared" si="111"/>
        <v>Residential - BHPSD - Whole House Efficiency</v>
      </c>
      <c r="C598" s="241" t="b">
        <f t="shared" si="112"/>
        <v>1</v>
      </c>
      <c r="D598" s="241" t="str">
        <f t="shared" si="113"/>
        <v>Residential - BHPSD - Whole House Efficiency_Whole House :- Utility Direct Costs_Recommended Audit Measures</v>
      </c>
      <c r="E598" s="241" t="str">
        <f t="shared" si="114"/>
        <v>Residential_Whole House Efficiency_Various_Measures</v>
      </c>
      <c r="F598" s="241" t="str">
        <f>INDEX('VDSM MAPPING'!E:E,MATCH($D598,'VDSM MAPPING'!$A:$A,0))</f>
        <v>Residential</v>
      </c>
      <c r="G598" s="241" t="str">
        <f>INDEX('VDSM MAPPING'!F:F,MATCH($D598,'VDSM MAPPING'!$A:$A,0))</f>
        <v>Whole House Efficiency</v>
      </c>
      <c r="H598" s="241" t="str">
        <f>INDEX('VDSM MAPPING'!G:G,MATCH($D598,'VDSM MAPPING'!$A:$A,0))</f>
        <v>Various</v>
      </c>
      <c r="I598" s="241" t="str">
        <f>INDEX('VDSM MAPPING'!H:H,MATCH($D598,'VDSM MAPPING'!$A:$A,0))</f>
        <v>Measures</v>
      </c>
      <c r="J598" s="240" t="str">
        <f t="shared" si="115"/>
        <v/>
      </c>
      <c r="K598" s="240" t="str">
        <f t="shared" si="116"/>
        <v/>
      </c>
      <c r="L598" s="240" t="b">
        <f t="shared" si="117"/>
        <v>0</v>
      </c>
      <c r="M598" s="240" t="b">
        <f t="shared" si="118"/>
        <v>0</v>
      </c>
      <c r="N598" s="204" t="s">
        <v>289</v>
      </c>
      <c r="O598" s="204" t="s">
        <v>564</v>
      </c>
      <c r="P598" s="350">
        <v>1</v>
      </c>
      <c r="Q598" s="204" t="s">
        <v>564</v>
      </c>
      <c r="R598" s="204" t="s">
        <v>563</v>
      </c>
      <c r="S598" s="204" t="s">
        <v>562</v>
      </c>
      <c r="T598" s="204" t="s">
        <v>561</v>
      </c>
      <c r="V598" s="204" t="s">
        <v>560</v>
      </c>
      <c r="W598" s="204" t="s">
        <v>337</v>
      </c>
      <c r="X598" s="204" t="s">
        <v>297</v>
      </c>
      <c r="Y598" s="204" t="s">
        <v>336</v>
      </c>
      <c r="AG598" s="204" t="s">
        <v>295</v>
      </c>
      <c r="AH598" s="204" t="s">
        <v>153</v>
      </c>
      <c r="AX598" s="204">
        <v>1</v>
      </c>
      <c r="AY598" s="204">
        <v>0</v>
      </c>
      <c r="AZ598" s="204">
        <v>0.19</v>
      </c>
      <c r="BB598" s="204">
        <v>508</v>
      </c>
      <c r="BH598" s="204">
        <v>0</v>
      </c>
      <c r="BI598" s="204">
        <v>0</v>
      </c>
      <c r="BJ598" s="204">
        <v>42641</v>
      </c>
      <c r="BK598" s="204">
        <v>42641.604733368098</v>
      </c>
      <c r="BL598" s="204" t="s">
        <v>293</v>
      </c>
      <c r="BM598" s="204" t="s">
        <v>565</v>
      </c>
      <c r="BN598" s="269">
        <f t="shared" si="119"/>
        <v>508</v>
      </c>
      <c r="BO598" s="269">
        <f t="shared" si="120"/>
        <v>0</v>
      </c>
      <c r="BP598" s="269">
        <f>INDEX('App Data Outliers'!$M:$M,MATCH($E598,'App Data Outliers'!$A:$A,0))</f>
        <v>508</v>
      </c>
      <c r="BQ598" s="269">
        <f>INDEX('App Data Outliers'!$N:$N,MATCH($E598,'App Data Outliers'!$A:$A,0))</f>
        <v>0</v>
      </c>
      <c r="BR598" s="269">
        <f>INDEX('App Data Outliers'!$S:$S,MATCH($E598,'App Data Outliers'!$A:$A,0))</f>
        <v>0</v>
      </c>
      <c r="BS598" s="269">
        <f>INDEX('App Data Outliers'!$T:$T,MATCH($E598,'App Data Outliers'!$A:$A,0))</f>
        <v>0</v>
      </c>
    </row>
    <row r="599" spans="1:71" s="204" customFormat="1">
      <c r="A599" s="241">
        <v>595</v>
      </c>
      <c r="B599" s="241" t="str">
        <f t="shared" si="111"/>
        <v>Residential - BHPSD - Whole House Efficiency</v>
      </c>
      <c r="C599" s="241" t="b">
        <f t="shared" si="112"/>
        <v>1</v>
      </c>
      <c r="D599" s="241" t="str">
        <f t="shared" si="113"/>
        <v>Residential - BHPSD - Whole House Efficiency_Whole House :- Utility Direct Costs_Residential EE Kit</v>
      </c>
      <c r="E599" s="241" t="str">
        <f t="shared" si="114"/>
        <v>Residential_Whole House Efficiency_Various_Residential Kit</v>
      </c>
      <c r="F599" s="241" t="str">
        <f>INDEX('VDSM MAPPING'!E:E,MATCH($D599,'VDSM MAPPING'!$A:$A,0))</f>
        <v>Residential</v>
      </c>
      <c r="G599" s="241" t="str">
        <f>INDEX('VDSM MAPPING'!F:F,MATCH($D599,'VDSM MAPPING'!$A:$A,0))</f>
        <v>Whole House Efficiency</v>
      </c>
      <c r="H599" s="241" t="str">
        <f>INDEX('VDSM MAPPING'!G:G,MATCH($D599,'VDSM MAPPING'!$A:$A,0))</f>
        <v>Various</v>
      </c>
      <c r="I599" s="241" t="str">
        <f>INDEX('VDSM MAPPING'!H:H,MATCH($D599,'VDSM MAPPING'!$A:$A,0))</f>
        <v>Residential Kit</v>
      </c>
      <c r="J599" s="240" t="str">
        <f t="shared" si="115"/>
        <v/>
      </c>
      <c r="K599" s="240" t="str">
        <f t="shared" si="116"/>
        <v/>
      </c>
      <c r="L599" s="240" t="b">
        <f t="shared" si="117"/>
        <v>0</v>
      </c>
      <c r="M599" s="240" t="b">
        <f t="shared" si="118"/>
        <v>0</v>
      </c>
      <c r="N599" s="204" t="s">
        <v>289</v>
      </c>
      <c r="O599" s="204" t="s">
        <v>564</v>
      </c>
      <c r="P599" s="350">
        <v>0</v>
      </c>
      <c r="Q599" s="204" t="s">
        <v>564</v>
      </c>
      <c r="R599" s="204" t="s">
        <v>563</v>
      </c>
      <c r="S599" s="204" t="s">
        <v>562</v>
      </c>
      <c r="T599" s="204" t="s">
        <v>561</v>
      </c>
      <c r="V599" s="204" t="s">
        <v>560</v>
      </c>
      <c r="W599" s="204" t="s">
        <v>337</v>
      </c>
      <c r="X599" s="204" t="s">
        <v>297</v>
      </c>
      <c r="Y599" s="204" t="s">
        <v>336</v>
      </c>
      <c r="AG599" s="204" t="s">
        <v>295</v>
      </c>
      <c r="AH599" s="204" t="s">
        <v>305</v>
      </c>
      <c r="AX599" s="204">
        <v>1</v>
      </c>
      <c r="AY599" s="204">
        <v>0</v>
      </c>
      <c r="AZ599" s="204">
        <v>4.3999999999999997E-2</v>
      </c>
      <c r="BB599" s="204">
        <v>417</v>
      </c>
      <c r="BH599" s="204">
        <v>0</v>
      </c>
      <c r="BI599" s="204">
        <v>0</v>
      </c>
      <c r="BJ599" s="204">
        <v>42641</v>
      </c>
      <c r="BK599" s="204">
        <v>42641.604733368098</v>
      </c>
      <c r="BL599" s="204" t="s">
        <v>293</v>
      </c>
      <c r="BM599" s="204" t="s">
        <v>559</v>
      </c>
      <c r="BN599" s="269">
        <f t="shared" si="119"/>
        <v>417</v>
      </c>
      <c r="BO599" s="269">
        <f t="shared" si="120"/>
        <v>0</v>
      </c>
      <c r="BP599" s="269">
        <f>INDEX('App Data Outliers'!$M:$M,MATCH($E599,'App Data Outliers'!$A:$A,0))</f>
        <v>417</v>
      </c>
      <c r="BQ599" s="269">
        <f>INDEX('App Data Outliers'!$N:$N,MATCH($E599,'App Data Outliers'!$A:$A,0))</f>
        <v>0</v>
      </c>
      <c r="BR599" s="269">
        <f>INDEX('App Data Outliers'!$S:$S,MATCH($E599,'App Data Outliers'!$A:$A,0))</f>
        <v>0</v>
      </c>
      <c r="BS599" s="269">
        <f>INDEX('App Data Outliers'!$T:$T,MATCH($E599,'App Data Outliers'!$A:$A,0))</f>
        <v>0</v>
      </c>
    </row>
    <row r="600" spans="1:71" s="204" customFormat="1">
      <c r="A600" s="241">
        <v>596</v>
      </c>
      <c r="B600" s="241" t="str">
        <f t="shared" si="111"/>
        <v>Residential - BHPSD - Whole House Efficiency</v>
      </c>
      <c r="C600" s="241" t="b">
        <f t="shared" si="112"/>
        <v>1</v>
      </c>
      <c r="D600" s="241" t="str">
        <f t="shared" si="113"/>
        <v>Residential - BHPSD - Whole House Efficiency_Whole House :- Utility Direct Costs_Recommended Audit Measures</v>
      </c>
      <c r="E600" s="241" t="str">
        <f t="shared" si="114"/>
        <v>Residential_Whole House Efficiency_Various_Measures</v>
      </c>
      <c r="F600" s="241" t="str">
        <f>INDEX('VDSM MAPPING'!E:E,MATCH($D600,'VDSM MAPPING'!$A:$A,0))</f>
        <v>Residential</v>
      </c>
      <c r="G600" s="241" t="str">
        <f>INDEX('VDSM MAPPING'!F:F,MATCH($D600,'VDSM MAPPING'!$A:$A,0))</f>
        <v>Whole House Efficiency</v>
      </c>
      <c r="H600" s="241" t="str">
        <f>INDEX('VDSM MAPPING'!G:G,MATCH($D600,'VDSM MAPPING'!$A:$A,0))</f>
        <v>Various</v>
      </c>
      <c r="I600" s="241" t="str">
        <f>INDEX('VDSM MAPPING'!H:H,MATCH($D600,'VDSM MAPPING'!$A:$A,0))</f>
        <v>Measures</v>
      </c>
      <c r="J600" s="240" t="str">
        <f t="shared" si="115"/>
        <v/>
      </c>
      <c r="K600" s="240" t="str">
        <f t="shared" si="116"/>
        <v/>
      </c>
      <c r="L600" s="240" t="b">
        <f t="shared" si="117"/>
        <v>0</v>
      </c>
      <c r="M600" s="240" t="b">
        <f t="shared" si="118"/>
        <v>0</v>
      </c>
      <c r="N600" s="204" t="s">
        <v>289</v>
      </c>
      <c r="O600" s="204" t="s">
        <v>557</v>
      </c>
      <c r="P600" s="350">
        <v>1</v>
      </c>
      <c r="Q600" s="204" t="s">
        <v>557</v>
      </c>
      <c r="R600" s="204" t="s">
        <v>556</v>
      </c>
      <c r="S600" s="204" t="s">
        <v>555</v>
      </c>
      <c r="T600" s="204" t="s">
        <v>554</v>
      </c>
      <c r="V600" s="204" t="s">
        <v>553</v>
      </c>
      <c r="W600" s="204" t="s">
        <v>329</v>
      </c>
      <c r="X600" s="204" t="s">
        <v>297</v>
      </c>
      <c r="Y600" s="204" t="s">
        <v>328</v>
      </c>
      <c r="AG600" s="204" t="s">
        <v>295</v>
      </c>
      <c r="AH600" s="204" t="s">
        <v>153</v>
      </c>
      <c r="AX600" s="204">
        <v>1</v>
      </c>
      <c r="AY600" s="204">
        <v>0</v>
      </c>
      <c r="AZ600" s="204">
        <v>0.19</v>
      </c>
      <c r="BB600" s="204">
        <v>508</v>
      </c>
      <c r="BH600" s="204">
        <v>0</v>
      </c>
      <c r="BI600" s="204">
        <v>0</v>
      </c>
      <c r="BJ600" s="204">
        <v>42641</v>
      </c>
      <c r="BK600" s="204">
        <v>42641.606220451402</v>
      </c>
      <c r="BL600" s="204" t="s">
        <v>293</v>
      </c>
      <c r="BM600" s="204" t="s">
        <v>558</v>
      </c>
      <c r="BN600" s="269">
        <f t="shared" si="119"/>
        <v>508</v>
      </c>
      <c r="BO600" s="269">
        <f t="shared" si="120"/>
        <v>0</v>
      </c>
      <c r="BP600" s="269">
        <f>INDEX('App Data Outliers'!$M:$M,MATCH($E600,'App Data Outliers'!$A:$A,0))</f>
        <v>508</v>
      </c>
      <c r="BQ600" s="269">
        <f>INDEX('App Data Outliers'!$N:$N,MATCH($E600,'App Data Outliers'!$A:$A,0))</f>
        <v>0</v>
      </c>
      <c r="BR600" s="269">
        <f>INDEX('App Data Outliers'!$S:$S,MATCH($E600,'App Data Outliers'!$A:$A,0))</f>
        <v>0</v>
      </c>
      <c r="BS600" s="269">
        <f>INDEX('App Data Outliers'!$T:$T,MATCH($E600,'App Data Outliers'!$A:$A,0))</f>
        <v>0</v>
      </c>
    </row>
    <row r="601" spans="1:71" s="204" customFormat="1">
      <c r="A601" s="241">
        <v>597</v>
      </c>
      <c r="B601" s="241" t="str">
        <f t="shared" si="111"/>
        <v>Residential - BHPSD - Whole House Efficiency</v>
      </c>
      <c r="C601" s="241" t="b">
        <f t="shared" si="112"/>
        <v>1</v>
      </c>
      <c r="D601" s="241" t="str">
        <f t="shared" si="113"/>
        <v>Residential - BHPSD - Whole House Efficiency_Whole House :- Utility Direct Costs_Residential EE Kit</v>
      </c>
      <c r="E601" s="241" t="str">
        <f t="shared" si="114"/>
        <v>Residential_Whole House Efficiency_Various_Residential Kit</v>
      </c>
      <c r="F601" s="241" t="str">
        <f>INDEX('VDSM MAPPING'!E:E,MATCH($D601,'VDSM MAPPING'!$A:$A,0))</f>
        <v>Residential</v>
      </c>
      <c r="G601" s="241" t="str">
        <f>INDEX('VDSM MAPPING'!F:F,MATCH($D601,'VDSM MAPPING'!$A:$A,0))</f>
        <v>Whole House Efficiency</v>
      </c>
      <c r="H601" s="241" t="str">
        <f>INDEX('VDSM MAPPING'!G:G,MATCH($D601,'VDSM MAPPING'!$A:$A,0))</f>
        <v>Various</v>
      </c>
      <c r="I601" s="241" t="str">
        <f>INDEX('VDSM MAPPING'!H:H,MATCH($D601,'VDSM MAPPING'!$A:$A,0))</f>
        <v>Residential Kit</v>
      </c>
      <c r="J601" s="240" t="str">
        <f t="shared" si="115"/>
        <v/>
      </c>
      <c r="K601" s="240" t="str">
        <f t="shared" si="116"/>
        <v/>
      </c>
      <c r="L601" s="240" t="b">
        <f t="shared" si="117"/>
        <v>0</v>
      </c>
      <c r="M601" s="240" t="b">
        <f t="shared" si="118"/>
        <v>0</v>
      </c>
      <c r="N601" s="204" t="s">
        <v>289</v>
      </c>
      <c r="O601" s="204" t="s">
        <v>557</v>
      </c>
      <c r="P601" s="350">
        <v>0</v>
      </c>
      <c r="Q601" s="204" t="s">
        <v>557</v>
      </c>
      <c r="R601" s="204" t="s">
        <v>556</v>
      </c>
      <c r="S601" s="204" t="s">
        <v>555</v>
      </c>
      <c r="T601" s="204" t="s">
        <v>554</v>
      </c>
      <c r="V601" s="204" t="s">
        <v>553</v>
      </c>
      <c r="W601" s="204" t="s">
        <v>329</v>
      </c>
      <c r="X601" s="204" t="s">
        <v>297</v>
      </c>
      <c r="Y601" s="204" t="s">
        <v>328</v>
      </c>
      <c r="AG601" s="204" t="s">
        <v>295</v>
      </c>
      <c r="AH601" s="204" t="s">
        <v>305</v>
      </c>
      <c r="AX601" s="204">
        <v>1</v>
      </c>
      <c r="AY601" s="204">
        <v>0</v>
      </c>
      <c r="AZ601" s="204">
        <v>4.3999999999999997E-2</v>
      </c>
      <c r="BB601" s="204">
        <v>417</v>
      </c>
      <c r="BH601" s="204">
        <v>0</v>
      </c>
      <c r="BI601" s="204">
        <v>0</v>
      </c>
      <c r="BJ601" s="204">
        <v>42641</v>
      </c>
      <c r="BK601" s="204">
        <v>42641.606220451402</v>
      </c>
      <c r="BL601" s="204" t="s">
        <v>293</v>
      </c>
      <c r="BM601" s="204" t="s">
        <v>552</v>
      </c>
      <c r="BN601" s="269">
        <f t="shared" si="119"/>
        <v>417</v>
      </c>
      <c r="BO601" s="269">
        <f t="shared" si="120"/>
        <v>0</v>
      </c>
      <c r="BP601" s="269">
        <f>INDEX('App Data Outliers'!$M:$M,MATCH($E601,'App Data Outliers'!$A:$A,0))</f>
        <v>417</v>
      </c>
      <c r="BQ601" s="269">
        <f>INDEX('App Data Outliers'!$N:$N,MATCH($E601,'App Data Outliers'!$A:$A,0))</f>
        <v>0</v>
      </c>
      <c r="BR601" s="269">
        <f>INDEX('App Data Outliers'!$S:$S,MATCH($E601,'App Data Outliers'!$A:$A,0))</f>
        <v>0</v>
      </c>
      <c r="BS601" s="269">
        <f>INDEX('App Data Outliers'!$T:$T,MATCH($E601,'App Data Outliers'!$A:$A,0))</f>
        <v>0</v>
      </c>
    </row>
    <row r="602" spans="1:71" s="204" customFormat="1">
      <c r="A602" s="241">
        <v>598</v>
      </c>
      <c r="B602" s="241" t="str">
        <f t="shared" si="111"/>
        <v>Residential - BHPSD - Whole House Efficiency</v>
      </c>
      <c r="C602" s="241" t="b">
        <f t="shared" si="112"/>
        <v>1</v>
      </c>
      <c r="D602" s="241" t="str">
        <f t="shared" si="113"/>
        <v>Residential - BHPSD - Whole House Efficiency_Whole House :- Utility Direct Costs_Residential EE Kit</v>
      </c>
      <c r="E602" s="241" t="str">
        <f t="shared" si="114"/>
        <v>Residential_Whole House Efficiency_Various_Residential Kit</v>
      </c>
      <c r="F602" s="241" t="str">
        <f>INDEX('VDSM MAPPING'!E:E,MATCH($D602,'VDSM MAPPING'!$A:$A,0))</f>
        <v>Residential</v>
      </c>
      <c r="G602" s="241" t="str">
        <f>INDEX('VDSM MAPPING'!F:F,MATCH($D602,'VDSM MAPPING'!$A:$A,0))</f>
        <v>Whole House Efficiency</v>
      </c>
      <c r="H602" s="241" t="str">
        <f>INDEX('VDSM MAPPING'!G:G,MATCH($D602,'VDSM MAPPING'!$A:$A,0))</f>
        <v>Various</v>
      </c>
      <c r="I602" s="241" t="str">
        <f>INDEX('VDSM MAPPING'!H:H,MATCH($D602,'VDSM MAPPING'!$A:$A,0))</f>
        <v>Residential Kit</v>
      </c>
      <c r="J602" s="240" t="str">
        <f t="shared" si="115"/>
        <v/>
      </c>
      <c r="K602" s="240" t="str">
        <f t="shared" si="116"/>
        <v/>
      </c>
      <c r="L602" s="240" t="b">
        <f t="shared" si="117"/>
        <v>0</v>
      </c>
      <c r="M602" s="240" t="b">
        <f t="shared" si="118"/>
        <v>0</v>
      </c>
      <c r="N602" s="204" t="s">
        <v>289</v>
      </c>
      <c r="O602" s="204" t="s">
        <v>550</v>
      </c>
      <c r="P602" s="350">
        <v>1</v>
      </c>
      <c r="Q602" s="204" t="s">
        <v>550</v>
      </c>
      <c r="R602" s="204" t="s">
        <v>549</v>
      </c>
      <c r="S602" s="204" t="s">
        <v>548</v>
      </c>
      <c r="T602" s="204" t="s">
        <v>547</v>
      </c>
      <c r="V602" s="204" t="s">
        <v>546</v>
      </c>
      <c r="W602" s="204" t="s">
        <v>329</v>
      </c>
      <c r="X602" s="204" t="s">
        <v>297</v>
      </c>
      <c r="Y602" s="204" t="s">
        <v>397</v>
      </c>
      <c r="AG602" s="204" t="s">
        <v>295</v>
      </c>
      <c r="AH602" s="204" t="s">
        <v>305</v>
      </c>
      <c r="AX602" s="204">
        <v>1</v>
      </c>
      <c r="AY602" s="204">
        <v>0</v>
      </c>
      <c r="AZ602" s="204">
        <v>4.3999999999999997E-2</v>
      </c>
      <c r="BB602" s="204">
        <v>417</v>
      </c>
      <c r="BH602" s="204">
        <v>0</v>
      </c>
      <c r="BI602" s="204">
        <v>0</v>
      </c>
      <c r="BJ602" s="204">
        <v>42641</v>
      </c>
      <c r="BK602" s="204">
        <v>42641.607361574097</v>
      </c>
      <c r="BL602" s="204" t="s">
        <v>293</v>
      </c>
      <c r="BM602" s="204" t="s">
        <v>545</v>
      </c>
      <c r="BN602" s="269">
        <f t="shared" si="119"/>
        <v>417</v>
      </c>
      <c r="BO602" s="269">
        <f t="shared" si="120"/>
        <v>0</v>
      </c>
      <c r="BP602" s="269">
        <f>INDEX('App Data Outliers'!$M:$M,MATCH($E602,'App Data Outliers'!$A:$A,0))</f>
        <v>417</v>
      </c>
      <c r="BQ602" s="269">
        <f>INDEX('App Data Outliers'!$N:$N,MATCH($E602,'App Data Outliers'!$A:$A,0))</f>
        <v>0</v>
      </c>
      <c r="BR602" s="269">
        <f>INDEX('App Data Outliers'!$S:$S,MATCH($E602,'App Data Outliers'!$A:$A,0))</f>
        <v>0</v>
      </c>
      <c r="BS602" s="269">
        <f>INDEX('App Data Outliers'!$T:$T,MATCH($E602,'App Data Outliers'!$A:$A,0))</f>
        <v>0</v>
      </c>
    </row>
    <row r="603" spans="1:71" s="204" customFormat="1">
      <c r="A603" s="241">
        <v>599</v>
      </c>
      <c r="B603" s="241" t="str">
        <f t="shared" si="111"/>
        <v>Residential - BHPSD - Whole House Efficiency</v>
      </c>
      <c r="C603" s="241" t="b">
        <f t="shared" si="112"/>
        <v>1</v>
      </c>
      <c r="D603" s="241" t="str">
        <f t="shared" si="113"/>
        <v>Residential - BHPSD - Whole House Efficiency_Whole House :- Utility Direct Costs_Recommended Audit Measures</v>
      </c>
      <c r="E603" s="241" t="str">
        <f t="shared" si="114"/>
        <v>Residential_Whole House Efficiency_Various_Measures</v>
      </c>
      <c r="F603" s="241" t="str">
        <f>INDEX('VDSM MAPPING'!E:E,MATCH($D603,'VDSM MAPPING'!$A:$A,0))</f>
        <v>Residential</v>
      </c>
      <c r="G603" s="241" t="str">
        <f>INDEX('VDSM MAPPING'!F:F,MATCH($D603,'VDSM MAPPING'!$A:$A,0))</f>
        <v>Whole House Efficiency</v>
      </c>
      <c r="H603" s="241" t="str">
        <f>INDEX('VDSM MAPPING'!G:G,MATCH($D603,'VDSM MAPPING'!$A:$A,0))</f>
        <v>Various</v>
      </c>
      <c r="I603" s="241" t="str">
        <f>INDEX('VDSM MAPPING'!H:H,MATCH($D603,'VDSM MAPPING'!$A:$A,0))</f>
        <v>Measures</v>
      </c>
      <c r="J603" s="240" t="str">
        <f t="shared" si="115"/>
        <v/>
      </c>
      <c r="K603" s="240" t="str">
        <f t="shared" si="116"/>
        <v/>
      </c>
      <c r="L603" s="240" t="b">
        <f t="shared" si="117"/>
        <v>0</v>
      </c>
      <c r="M603" s="240" t="b">
        <f t="shared" si="118"/>
        <v>0</v>
      </c>
      <c r="N603" s="204" t="s">
        <v>289</v>
      </c>
      <c r="O603" s="204" t="s">
        <v>550</v>
      </c>
      <c r="P603" s="350">
        <v>0</v>
      </c>
      <c r="Q603" s="204" t="s">
        <v>550</v>
      </c>
      <c r="R603" s="204" t="s">
        <v>549</v>
      </c>
      <c r="S603" s="204" t="s">
        <v>548</v>
      </c>
      <c r="T603" s="204" t="s">
        <v>547</v>
      </c>
      <c r="V603" s="204" t="s">
        <v>546</v>
      </c>
      <c r="W603" s="204" t="s">
        <v>329</v>
      </c>
      <c r="X603" s="204" t="s">
        <v>297</v>
      </c>
      <c r="Y603" s="204" t="s">
        <v>397</v>
      </c>
      <c r="AG603" s="204" t="s">
        <v>295</v>
      </c>
      <c r="AH603" s="204" t="s">
        <v>153</v>
      </c>
      <c r="AX603" s="204">
        <v>1</v>
      </c>
      <c r="AY603" s="204">
        <v>0</v>
      </c>
      <c r="AZ603" s="204">
        <v>0.19</v>
      </c>
      <c r="BB603" s="204">
        <v>508</v>
      </c>
      <c r="BH603" s="204">
        <v>0</v>
      </c>
      <c r="BI603" s="204">
        <v>0</v>
      </c>
      <c r="BJ603" s="204">
        <v>42641</v>
      </c>
      <c r="BK603" s="204">
        <v>42641.607361574097</v>
      </c>
      <c r="BL603" s="204" t="s">
        <v>293</v>
      </c>
      <c r="BM603" s="204" t="s">
        <v>551</v>
      </c>
      <c r="BN603" s="269">
        <f t="shared" si="119"/>
        <v>508</v>
      </c>
      <c r="BO603" s="269">
        <f t="shared" si="120"/>
        <v>0</v>
      </c>
      <c r="BP603" s="269">
        <f>INDEX('App Data Outliers'!$M:$M,MATCH($E603,'App Data Outliers'!$A:$A,0))</f>
        <v>508</v>
      </c>
      <c r="BQ603" s="269">
        <f>INDEX('App Data Outliers'!$N:$N,MATCH($E603,'App Data Outliers'!$A:$A,0))</f>
        <v>0</v>
      </c>
      <c r="BR603" s="269">
        <f>INDEX('App Data Outliers'!$S:$S,MATCH($E603,'App Data Outliers'!$A:$A,0))</f>
        <v>0</v>
      </c>
      <c r="BS603" s="269">
        <f>INDEX('App Data Outliers'!$T:$T,MATCH($E603,'App Data Outliers'!$A:$A,0))</f>
        <v>0</v>
      </c>
    </row>
    <row r="604" spans="1:71" s="204" customFormat="1">
      <c r="A604" s="241">
        <v>600</v>
      </c>
      <c r="B604" s="241" t="str">
        <f t="shared" si="111"/>
        <v>Residential - BHPSD - Whole House Efficiency</v>
      </c>
      <c r="C604" s="241" t="b">
        <f t="shared" si="112"/>
        <v>1</v>
      </c>
      <c r="D604" s="241" t="str">
        <f t="shared" si="113"/>
        <v>Residential - BHPSD - Whole House Efficiency_Whole House :- Utility Direct Costs_Recommended Audit Measures</v>
      </c>
      <c r="E604" s="241" t="str">
        <f t="shared" si="114"/>
        <v>Residential_Whole House Efficiency_Various_Measures</v>
      </c>
      <c r="F604" s="241" t="str">
        <f>INDEX('VDSM MAPPING'!E:E,MATCH($D604,'VDSM MAPPING'!$A:$A,0))</f>
        <v>Residential</v>
      </c>
      <c r="G604" s="241" t="str">
        <f>INDEX('VDSM MAPPING'!F:F,MATCH($D604,'VDSM MAPPING'!$A:$A,0))</f>
        <v>Whole House Efficiency</v>
      </c>
      <c r="H604" s="241" t="str">
        <f>INDEX('VDSM MAPPING'!G:G,MATCH($D604,'VDSM MAPPING'!$A:$A,0))</f>
        <v>Various</v>
      </c>
      <c r="I604" s="241" t="str">
        <f>INDEX('VDSM MAPPING'!H:H,MATCH($D604,'VDSM MAPPING'!$A:$A,0))</f>
        <v>Measures</v>
      </c>
      <c r="J604" s="240" t="str">
        <f t="shared" si="115"/>
        <v/>
      </c>
      <c r="K604" s="240" t="str">
        <f t="shared" si="116"/>
        <v/>
      </c>
      <c r="L604" s="240" t="b">
        <f t="shared" si="117"/>
        <v>0</v>
      </c>
      <c r="M604" s="240" t="b">
        <f t="shared" si="118"/>
        <v>0</v>
      </c>
      <c r="N604" s="204" t="s">
        <v>289</v>
      </c>
      <c r="O604" s="204" t="s">
        <v>543</v>
      </c>
      <c r="P604" s="350">
        <v>1</v>
      </c>
      <c r="Q604" s="204" t="s">
        <v>543</v>
      </c>
      <c r="R604" s="204" t="s">
        <v>542</v>
      </c>
      <c r="S604" s="204" t="s">
        <v>541</v>
      </c>
      <c r="T604" s="204" t="s">
        <v>540</v>
      </c>
      <c r="V604" s="204" t="s">
        <v>539</v>
      </c>
      <c r="W604" s="204" t="s">
        <v>329</v>
      </c>
      <c r="X604" s="204" t="s">
        <v>297</v>
      </c>
      <c r="Y604" s="204" t="s">
        <v>328</v>
      </c>
      <c r="AG604" s="204" t="s">
        <v>295</v>
      </c>
      <c r="AH604" s="204" t="s">
        <v>153</v>
      </c>
      <c r="AX604" s="204">
        <v>1</v>
      </c>
      <c r="AY604" s="204">
        <v>0</v>
      </c>
      <c r="AZ604" s="204">
        <v>0.19</v>
      </c>
      <c r="BB604" s="204">
        <v>508</v>
      </c>
      <c r="BH604" s="204">
        <v>0</v>
      </c>
      <c r="BI604" s="204">
        <v>0</v>
      </c>
      <c r="BJ604" s="204">
        <v>42642</v>
      </c>
      <c r="BK604" s="204">
        <v>42646.699253275503</v>
      </c>
      <c r="BL604" s="204" t="s">
        <v>293</v>
      </c>
      <c r="BM604" s="204" t="s">
        <v>538</v>
      </c>
      <c r="BN604" s="269">
        <f t="shared" si="119"/>
        <v>508</v>
      </c>
      <c r="BO604" s="269">
        <f t="shared" si="120"/>
        <v>0</v>
      </c>
      <c r="BP604" s="269">
        <f>INDEX('App Data Outliers'!$M:$M,MATCH($E604,'App Data Outliers'!$A:$A,0))</f>
        <v>508</v>
      </c>
      <c r="BQ604" s="269">
        <f>INDEX('App Data Outliers'!$N:$N,MATCH($E604,'App Data Outliers'!$A:$A,0))</f>
        <v>0</v>
      </c>
      <c r="BR604" s="269">
        <f>INDEX('App Data Outliers'!$S:$S,MATCH($E604,'App Data Outliers'!$A:$A,0))</f>
        <v>0</v>
      </c>
      <c r="BS604" s="269">
        <f>INDEX('App Data Outliers'!$T:$T,MATCH($E604,'App Data Outliers'!$A:$A,0))</f>
        <v>0</v>
      </c>
    </row>
    <row r="605" spans="1:71" s="204" customFormat="1">
      <c r="A605" s="241">
        <v>601</v>
      </c>
      <c r="B605" s="241" t="str">
        <f t="shared" si="111"/>
        <v>Residential - BHPSD - Whole House Efficiency</v>
      </c>
      <c r="C605" s="241" t="b">
        <f t="shared" si="112"/>
        <v>1</v>
      </c>
      <c r="D605" s="241" t="str">
        <f t="shared" si="113"/>
        <v>Residential - BHPSD - Whole House Efficiency_Whole House :- Utility Direct Costs_Residential EE Kit</v>
      </c>
      <c r="E605" s="241" t="str">
        <f t="shared" si="114"/>
        <v>Residential_Whole House Efficiency_Various_Residential Kit</v>
      </c>
      <c r="F605" s="241" t="str">
        <f>INDEX('VDSM MAPPING'!E:E,MATCH($D605,'VDSM MAPPING'!$A:$A,0))</f>
        <v>Residential</v>
      </c>
      <c r="G605" s="241" t="str">
        <f>INDEX('VDSM MAPPING'!F:F,MATCH($D605,'VDSM MAPPING'!$A:$A,0))</f>
        <v>Whole House Efficiency</v>
      </c>
      <c r="H605" s="241" t="str">
        <f>INDEX('VDSM MAPPING'!G:G,MATCH($D605,'VDSM MAPPING'!$A:$A,0))</f>
        <v>Various</v>
      </c>
      <c r="I605" s="241" t="str">
        <f>INDEX('VDSM MAPPING'!H:H,MATCH($D605,'VDSM MAPPING'!$A:$A,0))</f>
        <v>Residential Kit</v>
      </c>
      <c r="J605" s="240" t="str">
        <f t="shared" si="115"/>
        <v/>
      </c>
      <c r="K605" s="240" t="str">
        <f t="shared" si="116"/>
        <v/>
      </c>
      <c r="L605" s="240" t="b">
        <f t="shared" si="117"/>
        <v>0</v>
      </c>
      <c r="M605" s="240" t="b">
        <f t="shared" si="118"/>
        <v>0</v>
      </c>
      <c r="N605" s="204" t="s">
        <v>289</v>
      </c>
      <c r="O605" s="204" t="s">
        <v>543</v>
      </c>
      <c r="P605" s="350">
        <v>0</v>
      </c>
      <c r="Q605" s="204" t="s">
        <v>543</v>
      </c>
      <c r="R605" s="204" t="s">
        <v>542</v>
      </c>
      <c r="S605" s="204" t="s">
        <v>541</v>
      </c>
      <c r="T605" s="204" t="s">
        <v>540</v>
      </c>
      <c r="V605" s="204" t="s">
        <v>539</v>
      </c>
      <c r="W605" s="204" t="s">
        <v>329</v>
      </c>
      <c r="X605" s="204" t="s">
        <v>297</v>
      </c>
      <c r="Y605" s="204" t="s">
        <v>328</v>
      </c>
      <c r="AG605" s="204" t="s">
        <v>295</v>
      </c>
      <c r="AH605" s="204" t="s">
        <v>305</v>
      </c>
      <c r="AX605" s="204">
        <v>1</v>
      </c>
      <c r="AY605" s="204">
        <v>0</v>
      </c>
      <c r="AZ605" s="204">
        <v>4.3999999999999997E-2</v>
      </c>
      <c r="BB605" s="204">
        <v>417</v>
      </c>
      <c r="BH605" s="204">
        <v>0</v>
      </c>
      <c r="BI605" s="204">
        <v>0</v>
      </c>
      <c r="BJ605" s="204">
        <v>42642</v>
      </c>
      <c r="BK605" s="204">
        <v>42646.699253275503</v>
      </c>
      <c r="BL605" s="204" t="s">
        <v>293</v>
      </c>
      <c r="BM605" s="204" t="s">
        <v>544</v>
      </c>
      <c r="BN605" s="269">
        <f t="shared" si="119"/>
        <v>417</v>
      </c>
      <c r="BO605" s="269">
        <f t="shared" si="120"/>
        <v>0</v>
      </c>
      <c r="BP605" s="269">
        <f>INDEX('App Data Outliers'!$M:$M,MATCH($E605,'App Data Outliers'!$A:$A,0))</f>
        <v>417</v>
      </c>
      <c r="BQ605" s="269">
        <f>INDEX('App Data Outliers'!$N:$N,MATCH($E605,'App Data Outliers'!$A:$A,0))</f>
        <v>0</v>
      </c>
      <c r="BR605" s="269">
        <f>INDEX('App Data Outliers'!$S:$S,MATCH($E605,'App Data Outliers'!$A:$A,0))</f>
        <v>0</v>
      </c>
      <c r="BS605" s="269">
        <f>INDEX('App Data Outliers'!$T:$T,MATCH($E605,'App Data Outliers'!$A:$A,0))</f>
        <v>0</v>
      </c>
    </row>
    <row r="606" spans="1:71" s="204" customFormat="1">
      <c r="A606" s="241">
        <v>602</v>
      </c>
      <c r="B606" s="241" t="str">
        <f t="shared" si="111"/>
        <v>Residential - BHPSD - Whole House Efficiency</v>
      </c>
      <c r="C606" s="241" t="b">
        <f t="shared" si="112"/>
        <v>1</v>
      </c>
      <c r="D606" s="241" t="str">
        <f t="shared" si="113"/>
        <v>Residential - BHPSD - Whole House Efficiency_Whole House :- Utility Direct Costs_Recommended Audit Measures</v>
      </c>
      <c r="E606" s="241" t="str">
        <f t="shared" si="114"/>
        <v>Residential_Whole House Efficiency_Various_Measures</v>
      </c>
      <c r="F606" s="241" t="str">
        <f>INDEX('VDSM MAPPING'!E:E,MATCH($D606,'VDSM MAPPING'!$A:$A,0))</f>
        <v>Residential</v>
      </c>
      <c r="G606" s="241" t="str">
        <f>INDEX('VDSM MAPPING'!F:F,MATCH($D606,'VDSM MAPPING'!$A:$A,0))</f>
        <v>Whole House Efficiency</v>
      </c>
      <c r="H606" s="241" t="str">
        <f>INDEX('VDSM MAPPING'!G:G,MATCH($D606,'VDSM MAPPING'!$A:$A,0))</f>
        <v>Various</v>
      </c>
      <c r="I606" s="241" t="str">
        <f>INDEX('VDSM MAPPING'!H:H,MATCH($D606,'VDSM MAPPING'!$A:$A,0))</f>
        <v>Measures</v>
      </c>
      <c r="J606" s="240" t="str">
        <f t="shared" si="115"/>
        <v/>
      </c>
      <c r="K606" s="240" t="str">
        <f t="shared" si="116"/>
        <v/>
      </c>
      <c r="L606" s="240" t="b">
        <f t="shared" si="117"/>
        <v>0</v>
      </c>
      <c r="M606" s="240" t="b">
        <f t="shared" si="118"/>
        <v>0</v>
      </c>
      <c r="N606" s="204" t="s">
        <v>289</v>
      </c>
      <c r="O606" s="204" t="s">
        <v>536</v>
      </c>
      <c r="P606" s="350">
        <v>1</v>
      </c>
      <c r="Q606" s="204" t="s">
        <v>536</v>
      </c>
      <c r="R606" s="204" t="s">
        <v>535</v>
      </c>
      <c r="S606" s="204" t="s">
        <v>534</v>
      </c>
      <c r="T606" s="204" t="s">
        <v>533</v>
      </c>
      <c r="V606" s="204" t="s">
        <v>532</v>
      </c>
      <c r="W606" s="204" t="s">
        <v>531</v>
      </c>
      <c r="X606" s="204" t="s">
        <v>297</v>
      </c>
      <c r="Y606" s="204" t="s">
        <v>530</v>
      </c>
      <c r="AG606" s="204" t="s">
        <v>295</v>
      </c>
      <c r="AH606" s="204" t="s">
        <v>153</v>
      </c>
      <c r="AX606" s="204">
        <v>1</v>
      </c>
      <c r="AY606" s="204">
        <v>0</v>
      </c>
      <c r="AZ606" s="204">
        <v>0.19</v>
      </c>
      <c r="BB606" s="204">
        <v>508</v>
      </c>
      <c r="BH606" s="204">
        <v>0</v>
      </c>
      <c r="BI606" s="204">
        <v>0</v>
      </c>
      <c r="BJ606" s="204">
        <v>42646</v>
      </c>
      <c r="BK606" s="204">
        <v>42646.766559259297</v>
      </c>
      <c r="BL606" s="204" t="s">
        <v>293</v>
      </c>
      <c r="BM606" s="204" t="s">
        <v>537</v>
      </c>
      <c r="BN606" s="269">
        <f t="shared" si="119"/>
        <v>508</v>
      </c>
      <c r="BO606" s="269">
        <f t="shared" si="120"/>
        <v>0</v>
      </c>
      <c r="BP606" s="269">
        <f>INDEX('App Data Outliers'!$M:$M,MATCH($E606,'App Data Outliers'!$A:$A,0))</f>
        <v>508</v>
      </c>
      <c r="BQ606" s="269">
        <f>INDEX('App Data Outliers'!$N:$N,MATCH($E606,'App Data Outliers'!$A:$A,0))</f>
        <v>0</v>
      </c>
      <c r="BR606" s="269">
        <f>INDEX('App Data Outliers'!$S:$S,MATCH($E606,'App Data Outliers'!$A:$A,0))</f>
        <v>0</v>
      </c>
      <c r="BS606" s="269">
        <f>INDEX('App Data Outliers'!$T:$T,MATCH($E606,'App Data Outliers'!$A:$A,0))</f>
        <v>0</v>
      </c>
    </row>
    <row r="607" spans="1:71" s="204" customFormat="1">
      <c r="A607" s="241">
        <v>603</v>
      </c>
      <c r="B607" s="241" t="str">
        <f t="shared" si="111"/>
        <v>Residential - BHPSD - Whole House Efficiency</v>
      </c>
      <c r="C607" s="241" t="b">
        <f t="shared" si="112"/>
        <v>1</v>
      </c>
      <c r="D607" s="241" t="str">
        <f t="shared" si="113"/>
        <v>Residential - BHPSD - Whole House Efficiency_Whole House :- Utility Direct Costs_Residential EE Kit</v>
      </c>
      <c r="E607" s="241" t="str">
        <f t="shared" si="114"/>
        <v>Residential_Whole House Efficiency_Various_Residential Kit</v>
      </c>
      <c r="F607" s="241" t="str">
        <f>INDEX('VDSM MAPPING'!E:E,MATCH($D607,'VDSM MAPPING'!$A:$A,0))</f>
        <v>Residential</v>
      </c>
      <c r="G607" s="241" t="str">
        <f>INDEX('VDSM MAPPING'!F:F,MATCH($D607,'VDSM MAPPING'!$A:$A,0))</f>
        <v>Whole House Efficiency</v>
      </c>
      <c r="H607" s="241" t="str">
        <f>INDEX('VDSM MAPPING'!G:G,MATCH($D607,'VDSM MAPPING'!$A:$A,0))</f>
        <v>Various</v>
      </c>
      <c r="I607" s="241" t="str">
        <f>INDEX('VDSM MAPPING'!H:H,MATCH($D607,'VDSM MAPPING'!$A:$A,0))</f>
        <v>Residential Kit</v>
      </c>
      <c r="J607" s="240" t="str">
        <f t="shared" si="115"/>
        <v/>
      </c>
      <c r="K607" s="240" t="str">
        <f t="shared" si="116"/>
        <v/>
      </c>
      <c r="L607" s="240" t="b">
        <f t="shared" si="117"/>
        <v>0</v>
      </c>
      <c r="M607" s="240" t="b">
        <f t="shared" si="118"/>
        <v>0</v>
      </c>
      <c r="N607" s="204" t="s">
        <v>289</v>
      </c>
      <c r="O607" s="204" t="s">
        <v>536</v>
      </c>
      <c r="P607" s="350">
        <v>0</v>
      </c>
      <c r="Q607" s="204" t="s">
        <v>536</v>
      </c>
      <c r="R607" s="204" t="s">
        <v>535</v>
      </c>
      <c r="S607" s="204" t="s">
        <v>534</v>
      </c>
      <c r="T607" s="204" t="s">
        <v>533</v>
      </c>
      <c r="V607" s="204" t="s">
        <v>532</v>
      </c>
      <c r="W607" s="204" t="s">
        <v>531</v>
      </c>
      <c r="X607" s="204" t="s">
        <v>297</v>
      </c>
      <c r="Y607" s="204" t="s">
        <v>530</v>
      </c>
      <c r="AG607" s="204" t="s">
        <v>295</v>
      </c>
      <c r="AH607" s="204" t="s">
        <v>305</v>
      </c>
      <c r="AX607" s="204">
        <v>1</v>
      </c>
      <c r="AY607" s="204">
        <v>0</v>
      </c>
      <c r="AZ607" s="204">
        <v>4.3999999999999997E-2</v>
      </c>
      <c r="BB607" s="204">
        <v>417</v>
      </c>
      <c r="BH607" s="204">
        <v>0</v>
      </c>
      <c r="BI607" s="204">
        <v>0</v>
      </c>
      <c r="BJ607" s="204">
        <v>42646</v>
      </c>
      <c r="BK607" s="204">
        <v>42646.766559259297</v>
      </c>
      <c r="BL607" s="204" t="s">
        <v>293</v>
      </c>
      <c r="BM607" s="204" t="s">
        <v>529</v>
      </c>
      <c r="BN607" s="269">
        <f t="shared" si="119"/>
        <v>417</v>
      </c>
      <c r="BO607" s="269">
        <f t="shared" si="120"/>
        <v>0</v>
      </c>
      <c r="BP607" s="269">
        <f>INDEX('App Data Outliers'!$M:$M,MATCH($E607,'App Data Outliers'!$A:$A,0))</f>
        <v>417</v>
      </c>
      <c r="BQ607" s="269">
        <f>INDEX('App Data Outliers'!$N:$N,MATCH($E607,'App Data Outliers'!$A:$A,0))</f>
        <v>0</v>
      </c>
      <c r="BR607" s="269">
        <f>INDEX('App Data Outliers'!$S:$S,MATCH($E607,'App Data Outliers'!$A:$A,0))</f>
        <v>0</v>
      </c>
      <c r="BS607" s="269">
        <f>INDEX('App Data Outliers'!$T:$T,MATCH($E607,'App Data Outliers'!$A:$A,0))</f>
        <v>0</v>
      </c>
    </row>
    <row r="608" spans="1:71" s="204" customFormat="1">
      <c r="A608" s="241">
        <v>604</v>
      </c>
      <c r="B608" s="241" t="str">
        <f t="shared" si="111"/>
        <v>Residential - BHPSD - Whole House Efficiency</v>
      </c>
      <c r="C608" s="241" t="b">
        <f t="shared" si="112"/>
        <v>1</v>
      </c>
      <c r="D608" s="241" t="str">
        <f t="shared" si="113"/>
        <v>Residential - BHPSD - Whole House Efficiency_Whole House :- Utility Direct Costs_Residential EE Kit</v>
      </c>
      <c r="E608" s="241" t="str">
        <f t="shared" si="114"/>
        <v>Residential_Whole House Efficiency_Various_Residential Kit</v>
      </c>
      <c r="F608" s="241" t="str">
        <f>INDEX('VDSM MAPPING'!E:E,MATCH($D608,'VDSM MAPPING'!$A:$A,0))</f>
        <v>Residential</v>
      </c>
      <c r="G608" s="241" t="str">
        <f>INDEX('VDSM MAPPING'!F:F,MATCH($D608,'VDSM MAPPING'!$A:$A,0))</f>
        <v>Whole House Efficiency</v>
      </c>
      <c r="H608" s="241" t="str">
        <f>INDEX('VDSM MAPPING'!G:G,MATCH($D608,'VDSM MAPPING'!$A:$A,0))</f>
        <v>Various</v>
      </c>
      <c r="I608" s="241" t="str">
        <f>INDEX('VDSM MAPPING'!H:H,MATCH($D608,'VDSM MAPPING'!$A:$A,0))</f>
        <v>Residential Kit</v>
      </c>
      <c r="J608" s="240" t="str">
        <f t="shared" si="115"/>
        <v/>
      </c>
      <c r="K608" s="240" t="str">
        <f t="shared" si="116"/>
        <v/>
      </c>
      <c r="L608" s="240" t="b">
        <f t="shared" si="117"/>
        <v>0</v>
      </c>
      <c r="M608" s="240" t="b">
        <f t="shared" si="118"/>
        <v>0</v>
      </c>
      <c r="N608" s="204" t="s">
        <v>289</v>
      </c>
      <c r="O608" s="204" t="s">
        <v>527</v>
      </c>
      <c r="P608" s="350">
        <v>1</v>
      </c>
      <c r="Q608" s="204" t="s">
        <v>527</v>
      </c>
      <c r="R608" s="204" t="s">
        <v>526</v>
      </c>
      <c r="S608" s="204" t="s">
        <v>525</v>
      </c>
      <c r="T608" s="204" t="s">
        <v>524</v>
      </c>
      <c r="V608" s="204" t="s">
        <v>523</v>
      </c>
      <c r="W608" s="204" t="s">
        <v>337</v>
      </c>
      <c r="X608" s="204" t="s">
        <v>297</v>
      </c>
      <c r="Y608" s="204" t="s">
        <v>336</v>
      </c>
      <c r="AG608" s="204" t="s">
        <v>295</v>
      </c>
      <c r="AH608" s="204" t="s">
        <v>305</v>
      </c>
      <c r="AX608" s="204">
        <v>1</v>
      </c>
      <c r="AY608" s="204">
        <v>0</v>
      </c>
      <c r="AZ608" s="204">
        <v>4.3999999999999997E-2</v>
      </c>
      <c r="BB608" s="204">
        <v>417</v>
      </c>
      <c r="BH608" s="204">
        <v>0</v>
      </c>
      <c r="BI608" s="204">
        <v>0</v>
      </c>
      <c r="BJ608" s="204">
        <v>42656</v>
      </c>
      <c r="BK608" s="204">
        <v>42656.622656979198</v>
      </c>
      <c r="BL608" s="204" t="s">
        <v>293</v>
      </c>
      <c r="BM608" s="204" t="s">
        <v>528</v>
      </c>
      <c r="BN608" s="269">
        <f t="shared" si="119"/>
        <v>417</v>
      </c>
      <c r="BO608" s="269">
        <f t="shared" si="120"/>
        <v>0</v>
      </c>
      <c r="BP608" s="269">
        <f>INDEX('App Data Outliers'!$M:$M,MATCH($E608,'App Data Outliers'!$A:$A,0))</f>
        <v>417</v>
      </c>
      <c r="BQ608" s="269">
        <f>INDEX('App Data Outliers'!$N:$N,MATCH($E608,'App Data Outliers'!$A:$A,0))</f>
        <v>0</v>
      </c>
      <c r="BR608" s="269">
        <f>INDEX('App Data Outliers'!$S:$S,MATCH($E608,'App Data Outliers'!$A:$A,0))</f>
        <v>0</v>
      </c>
      <c r="BS608" s="269">
        <f>INDEX('App Data Outliers'!$T:$T,MATCH($E608,'App Data Outliers'!$A:$A,0))</f>
        <v>0</v>
      </c>
    </row>
    <row r="609" spans="1:71" s="204" customFormat="1">
      <c r="A609" s="241">
        <v>605</v>
      </c>
      <c r="B609" s="241" t="str">
        <f t="shared" si="111"/>
        <v>Residential - BHPSD - Whole House Efficiency</v>
      </c>
      <c r="C609" s="241" t="b">
        <f t="shared" si="112"/>
        <v>1</v>
      </c>
      <c r="D609" s="241" t="str">
        <f t="shared" si="113"/>
        <v>Residential - BHPSD - Whole House Efficiency_Whole House :- Utility Direct Costs_Recommended Audit Measures</v>
      </c>
      <c r="E609" s="241" t="str">
        <f t="shared" si="114"/>
        <v>Residential_Whole House Efficiency_Various_Measures</v>
      </c>
      <c r="F609" s="241" t="str">
        <f>INDEX('VDSM MAPPING'!E:E,MATCH($D609,'VDSM MAPPING'!$A:$A,0))</f>
        <v>Residential</v>
      </c>
      <c r="G609" s="241" t="str">
        <f>INDEX('VDSM MAPPING'!F:F,MATCH($D609,'VDSM MAPPING'!$A:$A,0))</f>
        <v>Whole House Efficiency</v>
      </c>
      <c r="H609" s="241" t="str">
        <f>INDEX('VDSM MAPPING'!G:G,MATCH($D609,'VDSM MAPPING'!$A:$A,0))</f>
        <v>Various</v>
      </c>
      <c r="I609" s="241" t="str">
        <f>INDEX('VDSM MAPPING'!H:H,MATCH($D609,'VDSM MAPPING'!$A:$A,0))</f>
        <v>Measures</v>
      </c>
      <c r="J609" s="240" t="str">
        <f t="shared" si="115"/>
        <v/>
      </c>
      <c r="K609" s="240" t="str">
        <f t="shared" si="116"/>
        <v/>
      </c>
      <c r="L609" s="240" t="b">
        <f t="shared" si="117"/>
        <v>0</v>
      </c>
      <c r="M609" s="240" t="b">
        <f t="shared" si="118"/>
        <v>0</v>
      </c>
      <c r="N609" s="204" t="s">
        <v>289</v>
      </c>
      <c r="O609" s="204" t="s">
        <v>527</v>
      </c>
      <c r="P609" s="350">
        <v>0</v>
      </c>
      <c r="Q609" s="204" t="s">
        <v>527</v>
      </c>
      <c r="R609" s="204" t="s">
        <v>526</v>
      </c>
      <c r="S609" s="204" t="s">
        <v>525</v>
      </c>
      <c r="T609" s="204" t="s">
        <v>524</v>
      </c>
      <c r="V609" s="204" t="s">
        <v>523</v>
      </c>
      <c r="W609" s="204" t="s">
        <v>337</v>
      </c>
      <c r="X609" s="204" t="s">
        <v>297</v>
      </c>
      <c r="Y609" s="204" t="s">
        <v>336</v>
      </c>
      <c r="AG609" s="204" t="s">
        <v>295</v>
      </c>
      <c r="AH609" s="204" t="s">
        <v>153</v>
      </c>
      <c r="AX609" s="204">
        <v>1</v>
      </c>
      <c r="AY609" s="204">
        <v>0</v>
      </c>
      <c r="AZ609" s="204">
        <v>0.19</v>
      </c>
      <c r="BB609" s="204">
        <v>508</v>
      </c>
      <c r="BH609" s="204">
        <v>0</v>
      </c>
      <c r="BI609" s="204">
        <v>0</v>
      </c>
      <c r="BJ609" s="204">
        <v>42656</v>
      </c>
      <c r="BK609" s="204">
        <v>42656.622656979198</v>
      </c>
      <c r="BL609" s="204" t="s">
        <v>293</v>
      </c>
      <c r="BM609" s="204" t="s">
        <v>522</v>
      </c>
      <c r="BN609" s="269">
        <f t="shared" si="119"/>
        <v>508</v>
      </c>
      <c r="BO609" s="269">
        <f t="shared" si="120"/>
        <v>0</v>
      </c>
      <c r="BP609" s="269">
        <f>INDEX('App Data Outliers'!$M:$M,MATCH($E609,'App Data Outliers'!$A:$A,0))</f>
        <v>508</v>
      </c>
      <c r="BQ609" s="269">
        <f>INDEX('App Data Outliers'!$N:$N,MATCH($E609,'App Data Outliers'!$A:$A,0))</f>
        <v>0</v>
      </c>
      <c r="BR609" s="269">
        <f>INDEX('App Data Outliers'!$S:$S,MATCH($E609,'App Data Outliers'!$A:$A,0))</f>
        <v>0</v>
      </c>
      <c r="BS609" s="269">
        <f>INDEX('App Data Outliers'!$T:$T,MATCH($E609,'App Data Outliers'!$A:$A,0))</f>
        <v>0</v>
      </c>
    </row>
    <row r="610" spans="1:71" s="204" customFormat="1">
      <c r="A610" s="241">
        <v>606</v>
      </c>
      <c r="B610" s="241" t="str">
        <f t="shared" si="111"/>
        <v>Residential - BHPSD - Whole House Efficiency</v>
      </c>
      <c r="C610" s="241" t="b">
        <f t="shared" si="112"/>
        <v>1</v>
      </c>
      <c r="D610" s="241" t="str">
        <f t="shared" si="113"/>
        <v>Residential - BHPSD - Whole House Efficiency_Whole House :- Utility Direct Costs_Residential EE Kit</v>
      </c>
      <c r="E610" s="241" t="str">
        <f t="shared" si="114"/>
        <v>Residential_Whole House Efficiency_Various_Residential Kit</v>
      </c>
      <c r="F610" s="241" t="str">
        <f>INDEX('VDSM MAPPING'!E:E,MATCH($D610,'VDSM MAPPING'!$A:$A,0))</f>
        <v>Residential</v>
      </c>
      <c r="G610" s="241" t="str">
        <f>INDEX('VDSM MAPPING'!F:F,MATCH($D610,'VDSM MAPPING'!$A:$A,0))</f>
        <v>Whole House Efficiency</v>
      </c>
      <c r="H610" s="241" t="str">
        <f>INDEX('VDSM MAPPING'!G:G,MATCH($D610,'VDSM MAPPING'!$A:$A,0))</f>
        <v>Various</v>
      </c>
      <c r="I610" s="241" t="str">
        <f>INDEX('VDSM MAPPING'!H:H,MATCH($D610,'VDSM MAPPING'!$A:$A,0))</f>
        <v>Residential Kit</v>
      </c>
      <c r="J610" s="240" t="str">
        <f t="shared" si="115"/>
        <v/>
      </c>
      <c r="K610" s="240" t="str">
        <f t="shared" si="116"/>
        <v/>
      </c>
      <c r="L610" s="240" t="b">
        <f t="shared" si="117"/>
        <v>0</v>
      </c>
      <c r="M610" s="240" t="b">
        <f t="shared" si="118"/>
        <v>0</v>
      </c>
      <c r="N610" s="204" t="s">
        <v>289</v>
      </c>
      <c r="O610" s="204" t="s">
        <v>520</v>
      </c>
      <c r="P610" s="350">
        <v>1</v>
      </c>
      <c r="Q610" s="204" t="s">
        <v>520</v>
      </c>
      <c r="R610" s="204" t="s">
        <v>519</v>
      </c>
      <c r="S610" s="204" t="s">
        <v>518</v>
      </c>
      <c r="T610" s="204" t="s">
        <v>517</v>
      </c>
      <c r="V610" s="204" t="s">
        <v>516</v>
      </c>
      <c r="W610" s="204" t="s">
        <v>329</v>
      </c>
      <c r="X610" s="204" t="s">
        <v>297</v>
      </c>
      <c r="Y610" s="204" t="s">
        <v>397</v>
      </c>
      <c r="AG610" s="204" t="s">
        <v>295</v>
      </c>
      <c r="AH610" s="204" t="s">
        <v>305</v>
      </c>
      <c r="AX610" s="204">
        <v>1</v>
      </c>
      <c r="AY610" s="204">
        <v>0</v>
      </c>
      <c r="AZ610" s="204">
        <v>4.3999999999999997E-2</v>
      </c>
      <c r="BB610" s="204">
        <v>417</v>
      </c>
      <c r="BH610" s="204">
        <v>0</v>
      </c>
      <c r="BI610" s="204">
        <v>0</v>
      </c>
      <c r="BJ610" s="204">
        <v>42674</v>
      </c>
      <c r="BK610" s="204">
        <v>42674.783725775502</v>
      </c>
      <c r="BL610" s="204" t="s">
        <v>293</v>
      </c>
      <c r="BM610" s="204" t="s">
        <v>521</v>
      </c>
      <c r="BN610" s="269">
        <f t="shared" si="119"/>
        <v>417</v>
      </c>
      <c r="BO610" s="269">
        <f t="shared" si="120"/>
        <v>0</v>
      </c>
      <c r="BP610" s="269">
        <f>INDEX('App Data Outliers'!$M:$M,MATCH($E610,'App Data Outliers'!$A:$A,0))</f>
        <v>417</v>
      </c>
      <c r="BQ610" s="269">
        <f>INDEX('App Data Outliers'!$N:$N,MATCH($E610,'App Data Outliers'!$A:$A,0))</f>
        <v>0</v>
      </c>
      <c r="BR610" s="269">
        <f>INDEX('App Data Outliers'!$S:$S,MATCH($E610,'App Data Outliers'!$A:$A,0))</f>
        <v>0</v>
      </c>
      <c r="BS610" s="269">
        <f>INDEX('App Data Outliers'!$T:$T,MATCH($E610,'App Data Outliers'!$A:$A,0))</f>
        <v>0</v>
      </c>
    </row>
    <row r="611" spans="1:71" s="204" customFormat="1">
      <c r="A611" s="241">
        <v>607</v>
      </c>
      <c r="B611" s="241" t="str">
        <f t="shared" si="111"/>
        <v>Residential - BHPSD - Whole House Efficiency</v>
      </c>
      <c r="C611" s="241" t="b">
        <f t="shared" si="112"/>
        <v>1</v>
      </c>
      <c r="D611" s="241" t="str">
        <f t="shared" si="113"/>
        <v>Residential - BHPSD - Whole House Efficiency_Whole House :- Utility Direct Costs_Recommended Audit Measures</v>
      </c>
      <c r="E611" s="241" t="str">
        <f t="shared" si="114"/>
        <v>Residential_Whole House Efficiency_Various_Measures</v>
      </c>
      <c r="F611" s="241" t="str">
        <f>INDEX('VDSM MAPPING'!E:E,MATCH($D611,'VDSM MAPPING'!$A:$A,0))</f>
        <v>Residential</v>
      </c>
      <c r="G611" s="241" t="str">
        <f>INDEX('VDSM MAPPING'!F:F,MATCH($D611,'VDSM MAPPING'!$A:$A,0))</f>
        <v>Whole House Efficiency</v>
      </c>
      <c r="H611" s="241" t="str">
        <f>INDEX('VDSM MAPPING'!G:G,MATCH($D611,'VDSM MAPPING'!$A:$A,0))</f>
        <v>Various</v>
      </c>
      <c r="I611" s="241" t="str">
        <f>INDEX('VDSM MAPPING'!H:H,MATCH($D611,'VDSM MAPPING'!$A:$A,0))</f>
        <v>Measures</v>
      </c>
      <c r="J611" s="240" t="str">
        <f t="shared" si="115"/>
        <v/>
      </c>
      <c r="K611" s="240" t="str">
        <f t="shared" si="116"/>
        <v/>
      </c>
      <c r="L611" s="240" t="b">
        <f t="shared" si="117"/>
        <v>0</v>
      </c>
      <c r="M611" s="240" t="b">
        <f t="shared" si="118"/>
        <v>0</v>
      </c>
      <c r="N611" s="204" t="s">
        <v>289</v>
      </c>
      <c r="O611" s="204" t="s">
        <v>520</v>
      </c>
      <c r="P611" s="350">
        <v>0</v>
      </c>
      <c r="Q611" s="204" t="s">
        <v>520</v>
      </c>
      <c r="R611" s="204" t="s">
        <v>519</v>
      </c>
      <c r="S611" s="204" t="s">
        <v>518</v>
      </c>
      <c r="T611" s="204" t="s">
        <v>517</v>
      </c>
      <c r="V611" s="204" t="s">
        <v>516</v>
      </c>
      <c r="W611" s="204" t="s">
        <v>329</v>
      </c>
      <c r="X611" s="204" t="s">
        <v>297</v>
      </c>
      <c r="Y611" s="204" t="s">
        <v>397</v>
      </c>
      <c r="AG611" s="204" t="s">
        <v>295</v>
      </c>
      <c r="AH611" s="204" t="s">
        <v>153</v>
      </c>
      <c r="AX611" s="204">
        <v>1</v>
      </c>
      <c r="AY611" s="204">
        <v>0</v>
      </c>
      <c r="AZ611" s="204">
        <v>0.19</v>
      </c>
      <c r="BB611" s="204">
        <v>508</v>
      </c>
      <c r="BH611" s="204">
        <v>0</v>
      </c>
      <c r="BI611" s="204">
        <v>0</v>
      </c>
      <c r="BJ611" s="204">
        <v>42674</v>
      </c>
      <c r="BK611" s="204">
        <v>42674.783725775502</v>
      </c>
      <c r="BL611" s="204" t="s">
        <v>293</v>
      </c>
      <c r="BM611" s="204" t="s">
        <v>515</v>
      </c>
      <c r="BN611" s="269">
        <f t="shared" si="119"/>
        <v>508</v>
      </c>
      <c r="BO611" s="269">
        <f t="shared" si="120"/>
        <v>0</v>
      </c>
      <c r="BP611" s="269">
        <f>INDEX('App Data Outliers'!$M:$M,MATCH($E611,'App Data Outliers'!$A:$A,0))</f>
        <v>508</v>
      </c>
      <c r="BQ611" s="269">
        <f>INDEX('App Data Outliers'!$N:$N,MATCH($E611,'App Data Outliers'!$A:$A,0))</f>
        <v>0</v>
      </c>
      <c r="BR611" s="269">
        <f>INDEX('App Data Outliers'!$S:$S,MATCH($E611,'App Data Outliers'!$A:$A,0))</f>
        <v>0</v>
      </c>
      <c r="BS611" s="269">
        <f>INDEX('App Data Outliers'!$T:$T,MATCH($E611,'App Data Outliers'!$A:$A,0))</f>
        <v>0</v>
      </c>
    </row>
    <row r="612" spans="1:71" s="204" customFormat="1">
      <c r="A612" s="241">
        <v>608</v>
      </c>
      <c r="B612" s="241" t="str">
        <f t="shared" si="111"/>
        <v>Residential - BHPSD - Whole House Efficiency</v>
      </c>
      <c r="C612" s="241" t="b">
        <f t="shared" si="112"/>
        <v>1</v>
      </c>
      <c r="D612" s="241" t="str">
        <f t="shared" si="113"/>
        <v>Residential - BHPSD - Whole House Efficiency_Whole House :- Utility Direct Costs_Recommended Audit Measures</v>
      </c>
      <c r="E612" s="241" t="str">
        <f t="shared" si="114"/>
        <v>Residential_Whole House Efficiency_Various_Measures</v>
      </c>
      <c r="F612" s="241" t="str">
        <f>INDEX('VDSM MAPPING'!E:E,MATCH($D612,'VDSM MAPPING'!$A:$A,0))</f>
        <v>Residential</v>
      </c>
      <c r="G612" s="241" t="str">
        <f>INDEX('VDSM MAPPING'!F:F,MATCH($D612,'VDSM MAPPING'!$A:$A,0))</f>
        <v>Whole House Efficiency</v>
      </c>
      <c r="H612" s="241" t="str">
        <f>INDEX('VDSM MAPPING'!G:G,MATCH($D612,'VDSM MAPPING'!$A:$A,0))</f>
        <v>Various</v>
      </c>
      <c r="I612" s="241" t="str">
        <f>INDEX('VDSM MAPPING'!H:H,MATCH($D612,'VDSM MAPPING'!$A:$A,0))</f>
        <v>Measures</v>
      </c>
      <c r="J612" s="240" t="str">
        <f t="shared" si="115"/>
        <v/>
      </c>
      <c r="K612" s="240" t="str">
        <f t="shared" si="116"/>
        <v/>
      </c>
      <c r="L612" s="240" t="b">
        <f t="shared" si="117"/>
        <v>0</v>
      </c>
      <c r="M612" s="240" t="b">
        <f t="shared" si="118"/>
        <v>0</v>
      </c>
      <c r="N612" s="204" t="s">
        <v>289</v>
      </c>
      <c r="O612" s="204" t="s">
        <v>513</v>
      </c>
      <c r="P612" s="350">
        <v>1</v>
      </c>
      <c r="Q612" s="204" t="s">
        <v>513</v>
      </c>
      <c r="R612" s="204" t="s">
        <v>512</v>
      </c>
      <c r="S612" s="204" t="s">
        <v>511</v>
      </c>
      <c r="T612" s="204" t="s">
        <v>510</v>
      </c>
      <c r="V612" s="204" t="s">
        <v>509</v>
      </c>
      <c r="W612" s="204" t="s">
        <v>329</v>
      </c>
      <c r="X612" s="204" t="s">
        <v>297</v>
      </c>
      <c r="Y612" s="204" t="s">
        <v>397</v>
      </c>
      <c r="AG612" s="204" t="s">
        <v>295</v>
      </c>
      <c r="AH612" s="204" t="s">
        <v>153</v>
      </c>
      <c r="AX612" s="204">
        <v>1</v>
      </c>
      <c r="AY612" s="204">
        <v>0</v>
      </c>
      <c r="AZ612" s="204">
        <v>0.19</v>
      </c>
      <c r="BB612" s="204">
        <v>508</v>
      </c>
      <c r="BH612" s="204">
        <v>0</v>
      </c>
      <c r="BI612" s="204">
        <v>0</v>
      </c>
      <c r="BJ612" s="204">
        <v>42674</v>
      </c>
      <c r="BK612" s="204">
        <v>42674.784882256899</v>
      </c>
      <c r="BL612" s="204" t="s">
        <v>293</v>
      </c>
      <c r="BM612" s="204" t="s">
        <v>514</v>
      </c>
      <c r="BN612" s="269">
        <f t="shared" si="119"/>
        <v>508</v>
      </c>
      <c r="BO612" s="269">
        <f t="shared" si="120"/>
        <v>0</v>
      </c>
      <c r="BP612" s="269">
        <f>INDEX('App Data Outliers'!$M:$M,MATCH($E612,'App Data Outliers'!$A:$A,0))</f>
        <v>508</v>
      </c>
      <c r="BQ612" s="269">
        <f>INDEX('App Data Outliers'!$N:$N,MATCH($E612,'App Data Outliers'!$A:$A,0))</f>
        <v>0</v>
      </c>
      <c r="BR612" s="269">
        <f>INDEX('App Data Outliers'!$S:$S,MATCH($E612,'App Data Outliers'!$A:$A,0))</f>
        <v>0</v>
      </c>
      <c r="BS612" s="269">
        <f>INDEX('App Data Outliers'!$T:$T,MATCH($E612,'App Data Outliers'!$A:$A,0))</f>
        <v>0</v>
      </c>
    </row>
    <row r="613" spans="1:71" s="204" customFormat="1">
      <c r="A613" s="241">
        <v>609</v>
      </c>
      <c r="B613" s="241" t="str">
        <f t="shared" si="111"/>
        <v>Residential - BHPSD - Whole House Efficiency</v>
      </c>
      <c r="C613" s="241" t="b">
        <f t="shared" si="112"/>
        <v>1</v>
      </c>
      <c r="D613" s="241" t="str">
        <f t="shared" si="113"/>
        <v>Residential - BHPSD - Whole House Efficiency_Whole House :- Utility Direct Costs_Residential EE Kit</v>
      </c>
      <c r="E613" s="241" t="str">
        <f t="shared" si="114"/>
        <v>Residential_Whole House Efficiency_Various_Residential Kit</v>
      </c>
      <c r="F613" s="241" t="str">
        <f>INDEX('VDSM MAPPING'!E:E,MATCH($D613,'VDSM MAPPING'!$A:$A,0))</f>
        <v>Residential</v>
      </c>
      <c r="G613" s="241" t="str">
        <f>INDEX('VDSM MAPPING'!F:F,MATCH($D613,'VDSM MAPPING'!$A:$A,0))</f>
        <v>Whole House Efficiency</v>
      </c>
      <c r="H613" s="241" t="str">
        <f>INDEX('VDSM MAPPING'!G:G,MATCH($D613,'VDSM MAPPING'!$A:$A,0))</f>
        <v>Various</v>
      </c>
      <c r="I613" s="241" t="str">
        <f>INDEX('VDSM MAPPING'!H:H,MATCH($D613,'VDSM MAPPING'!$A:$A,0))</f>
        <v>Residential Kit</v>
      </c>
      <c r="J613" s="240" t="str">
        <f t="shared" si="115"/>
        <v/>
      </c>
      <c r="K613" s="240" t="str">
        <f t="shared" si="116"/>
        <v/>
      </c>
      <c r="L613" s="240" t="b">
        <f t="shared" si="117"/>
        <v>0</v>
      </c>
      <c r="M613" s="240" t="b">
        <f t="shared" si="118"/>
        <v>0</v>
      </c>
      <c r="N613" s="204" t="s">
        <v>289</v>
      </c>
      <c r="O613" s="204" t="s">
        <v>513</v>
      </c>
      <c r="P613" s="350">
        <v>0</v>
      </c>
      <c r="Q613" s="204" t="s">
        <v>513</v>
      </c>
      <c r="R613" s="204" t="s">
        <v>512</v>
      </c>
      <c r="S613" s="204" t="s">
        <v>511</v>
      </c>
      <c r="T613" s="204" t="s">
        <v>510</v>
      </c>
      <c r="V613" s="204" t="s">
        <v>509</v>
      </c>
      <c r="W613" s="204" t="s">
        <v>329</v>
      </c>
      <c r="X613" s="204" t="s">
        <v>297</v>
      </c>
      <c r="Y613" s="204" t="s">
        <v>397</v>
      </c>
      <c r="AG613" s="204" t="s">
        <v>295</v>
      </c>
      <c r="AH613" s="204" t="s">
        <v>305</v>
      </c>
      <c r="AX613" s="204">
        <v>1</v>
      </c>
      <c r="AY613" s="204">
        <v>0</v>
      </c>
      <c r="AZ613" s="204">
        <v>4.3999999999999997E-2</v>
      </c>
      <c r="BB613" s="204">
        <v>417</v>
      </c>
      <c r="BH613" s="204">
        <v>0</v>
      </c>
      <c r="BI613" s="204">
        <v>0</v>
      </c>
      <c r="BJ613" s="204">
        <v>42674</v>
      </c>
      <c r="BK613" s="204">
        <v>42674.784882256899</v>
      </c>
      <c r="BL613" s="204" t="s">
        <v>293</v>
      </c>
      <c r="BM613" s="204" t="s">
        <v>508</v>
      </c>
      <c r="BN613" s="269">
        <f t="shared" si="119"/>
        <v>417</v>
      </c>
      <c r="BO613" s="269">
        <f t="shared" si="120"/>
        <v>0</v>
      </c>
      <c r="BP613" s="269">
        <f>INDEX('App Data Outliers'!$M:$M,MATCH($E613,'App Data Outliers'!$A:$A,0))</f>
        <v>417</v>
      </c>
      <c r="BQ613" s="269">
        <f>INDEX('App Data Outliers'!$N:$N,MATCH($E613,'App Data Outliers'!$A:$A,0))</f>
        <v>0</v>
      </c>
      <c r="BR613" s="269">
        <f>INDEX('App Data Outliers'!$S:$S,MATCH($E613,'App Data Outliers'!$A:$A,0))</f>
        <v>0</v>
      </c>
      <c r="BS613" s="269">
        <f>INDEX('App Data Outliers'!$T:$T,MATCH($E613,'App Data Outliers'!$A:$A,0))</f>
        <v>0</v>
      </c>
    </row>
    <row r="614" spans="1:71" s="204" customFormat="1">
      <c r="A614" s="241">
        <v>610</v>
      </c>
      <c r="B614" s="241" t="str">
        <f t="shared" si="111"/>
        <v>Residential - BHPSD - Whole House Efficiency</v>
      </c>
      <c r="C614" s="241" t="b">
        <f t="shared" si="112"/>
        <v>1</v>
      </c>
      <c r="D614" s="241" t="str">
        <f t="shared" si="113"/>
        <v>Residential - BHPSD - Whole House Efficiency_Whole House :- Utility Direct Costs_Residential EE Kit</v>
      </c>
      <c r="E614" s="241" t="str">
        <f t="shared" si="114"/>
        <v>Residential_Whole House Efficiency_Various_Residential Kit</v>
      </c>
      <c r="F614" s="241" t="str">
        <f>INDEX('VDSM MAPPING'!E:E,MATCH($D614,'VDSM MAPPING'!$A:$A,0))</f>
        <v>Residential</v>
      </c>
      <c r="G614" s="241" t="str">
        <f>INDEX('VDSM MAPPING'!F:F,MATCH($D614,'VDSM MAPPING'!$A:$A,0))</f>
        <v>Whole House Efficiency</v>
      </c>
      <c r="H614" s="241" t="str">
        <f>INDEX('VDSM MAPPING'!G:G,MATCH($D614,'VDSM MAPPING'!$A:$A,0))</f>
        <v>Various</v>
      </c>
      <c r="I614" s="241" t="str">
        <f>INDEX('VDSM MAPPING'!H:H,MATCH($D614,'VDSM MAPPING'!$A:$A,0))</f>
        <v>Residential Kit</v>
      </c>
      <c r="J614" s="240" t="str">
        <f t="shared" si="115"/>
        <v/>
      </c>
      <c r="K614" s="240" t="str">
        <f t="shared" si="116"/>
        <v/>
      </c>
      <c r="L614" s="240" t="b">
        <f t="shared" si="117"/>
        <v>0</v>
      </c>
      <c r="M614" s="240" t="b">
        <f t="shared" si="118"/>
        <v>0</v>
      </c>
      <c r="N614" s="204" t="s">
        <v>289</v>
      </c>
      <c r="O614" s="204" t="s">
        <v>506</v>
      </c>
      <c r="P614" s="350">
        <v>1</v>
      </c>
      <c r="Q614" s="204" t="s">
        <v>506</v>
      </c>
      <c r="R614" s="204" t="s">
        <v>505</v>
      </c>
      <c r="S614" s="204" t="s">
        <v>504</v>
      </c>
      <c r="T614" s="204" t="s">
        <v>503</v>
      </c>
      <c r="V614" s="204" t="s">
        <v>502</v>
      </c>
      <c r="W614" s="204" t="s">
        <v>413</v>
      </c>
      <c r="X614" s="204" t="s">
        <v>297</v>
      </c>
      <c r="Y614" s="204" t="s">
        <v>412</v>
      </c>
      <c r="AG614" s="204" t="s">
        <v>295</v>
      </c>
      <c r="AH614" s="204" t="s">
        <v>305</v>
      </c>
      <c r="AX614" s="204">
        <v>1</v>
      </c>
      <c r="AY614" s="204">
        <v>0</v>
      </c>
      <c r="AZ614" s="204">
        <v>4.3999999999999997E-2</v>
      </c>
      <c r="BB614" s="204">
        <v>417</v>
      </c>
      <c r="BH614" s="204">
        <v>0</v>
      </c>
      <c r="BI614" s="204">
        <v>0</v>
      </c>
      <c r="BJ614" s="204">
        <v>42674</v>
      </c>
      <c r="BK614" s="204">
        <v>42674.787687615702</v>
      </c>
      <c r="BL614" s="204" t="s">
        <v>293</v>
      </c>
      <c r="BM614" s="204" t="s">
        <v>507</v>
      </c>
      <c r="BN614" s="269">
        <f t="shared" si="119"/>
        <v>417</v>
      </c>
      <c r="BO614" s="269">
        <f t="shared" si="120"/>
        <v>0</v>
      </c>
      <c r="BP614" s="269">
        <f>INDEX('App Data Outliers'!$M:$M,MATCH($E614,'App Data Outliers'!$A:$A,0))</f>
        <v>417</v>
      </c>
      <c r="BQ614" s="269">
        <f>INDEX('App Data Outliers'!$N:$N,MATCH($E614,'App Data Outliers'!$A:$A,0))</f>
        <v>0</v>
      </c>
      <c r="BR614" s="269">
        <f>INDEX('App Data Outliers'!$S:$S,MATCH($E614,'App Data Outliers'!$A:$A,0))</f>
        <v>0</v>
      </c>
      <c r="BS614" s="269">
        <f>INDEX('App Data Outliers'!$T:$T,MATCH($E614,'App Data Outliers'!$A:$A,0))</f>
        <v>0</v>
      </c>
    </row>
    <row r="615" spans="1:71" s="204" customFormat="1">
      <c r="A615" s="241">
        <v>611</v>
      </c>
      <c r="B615" s="241" t="str">
        <f t="shared" si="111"/>
        <v>Residential - BHPSD - Whole House Efficiency</v>
      </c>
      <c r="C615" s="241" t="b">
        <f t="shared" si="112"/>
        <v>1</v>
      </c>
      <c r="D615" s="241" t="str">
        <f t="shared" si="113"/>
        <v>Residential - BHPSD - Whole House Efficiency_Whole House :- Utility Direct Costs_Recommended Audit Measures</v>
      </c>
      <c r="E615" s="241" t="str">
        <f t="shared" si="114"/>
        <v>Residential_Whole House Efficiency_Various_Measures</v>
      </c>
      <c r="F615" s="241" t="str">
        <f>INDEX('VDSM MAPPING'!E:E,MATCH($D615,'VDSM MAPPING'!$A:$A,0))</f>
        <v>Residential</v>
      </c>
      <c r="G615" s="241" t="str">
        <f>INDEX('VDSM MAPPING'!F:F,MATCH($D615,'VDSM MAPPING'!$A:$A,0))</f>
        <v>Whole House Efficiency</v>
      </c>
      <c r="H615" s="241" t="str">
        <f>INDEX('VDSM MAPPING'!G:G,MATCH($D615,'VDSM MAPPING'!$A:$A,0))</f>
        <v>Various</v>
      </c>
      <c r="I615" s="241" t="str">
        <f>INDEX('VDSM MAPPING'!H:H,MATCH($D615,'VDSM MAPPING'!$A:$A,0))</f>
        <v>Measures</v>
      </c>
      <c r="J615" s="240" t="str">
        <f t="shared" si="115"/>
        <v/>
      </c>
      <c r="K615" s="240" t="str">
        <f t="shared" si="116"/>
        <v/>
      </c>
      <c r="L615" s="240" t="b">
        <f t="shared" si="117"/>
        <v>0</v>
      </c>
      <c r="M615" s="240" t="b">
        <f t="shared" si="118"/>
        <v>0</v>
      </c>
      <c r="N615" s="204" t="s">
        <v>289</v>
      </c>
      <c r="O615" s="204" t="s">
        <v>506</v>
      </c>
      <c r="P615" s="350">
        <v>0</v>
      </c>
      <c r="Q615" s="204" t="s">
        <v>506</v>
      </c>
      <c r="R615" s="204" t="s">
        <v>505</v>
      </c>
      <c r="S615" s="204" t="s">
        <v>504</v>
      </c>
      <c r="T615" s="204" t="s">
        <v>503</v>
      </c>
      <c r="V615" s="204" t="s">
        <v>502</v>
      </c>
      <c r="W615" s="204" t="s">
        <v>413</v>
      </c>
      <c r="X615" s="204" t="s">
        <v>297</v>
      </c>
      <c r="Y615" s="204" t="s">
        <v>412</v>
      </c>
      <c r="AG615" s="204" t="s">
        <v>295</v>
      </c>
      <c r="AH615" s="204" t="s">
        <v>153</v>
      </c>
      <c r="AX615" s="204">
        <v>1</v>
      </c>
      <c r="AY615" s="204">
        <v>0</v>
      </c>
      <c r="AZ615" s="204">
        <v>0.19</v>
      </c>
      <c r="BB615" s="204">
        <v>508</v>
      </c>
      <c r="BH615" s="204">
        <v>0</v>
      </c>
      <c r="BI615" s="204">
        <v>0</v>
      </c>
      <c r="BJ615" s="204">
        <v>42674</v>
      </c>
      <c r="BK615" s="204">
        <v>42674.787687615702</v>
      </c>
      <c r="BL615" s="204" t="s">
        <v>293</v>
      </c>
      <c r="BM615" s="204" t="s">
        <v>501</v>
      </c>
      <c r="BN615" s="269">
        <f t="shared" si="119"/>
        <v>508</v>
      </c>
      <c r="BO615" s="269">
        <f t="shared" si="120"/>
        <v>0</v>
      </c>
      <c r="BP615" s="269">
        <f>INDEX('App Data Outliers'!$M:$M,MATCH($E615,'App Data Outliers'!$A:$A,0))</f>
        <v>508</v>
      </c>
      <c r="BQ615" s="269">
        <f>INDEX('App Data Outliers'!$N:$N,MATCH($E615,'App Data Outliers'!$A:$A,0))</f>
        <v>0</v>
      </c>
      <c r="BR615" s="269">
        <f>INDEX('App Data Outliers'!$S:$S,MATCH($E615,'App Data Outliers'!$A:$A,0))</f>
        <v>0</v>
      </c>
      <c r="BS615" s="269">
        <f>INDEX('App Data Outliers'!$T:$T,MATCH($E615,'App Data Outliers'!$A:$A,0))</f>
        <v>0</v>
      </c>
    </row>
    <row r="616" spans="1:71" s="204" customFormat="1">
      <c r="A616" s="241">
        <v>612</v>
      </c>
      <c r="B616" s="241" t="str">
        <f t="shared" si="111"/>
        <v>Residential - BHPSD - Whole House Efficiency</v>
      </c>
      <c r="C616" s="241" t="b">
        <f t="shared" si="112"/>
        <v>1</v>
      </c>
      <c r="D616" s="241" t="str">
        <f t="shared" si="113"/>
        <v>Residential - BHPSD - Whole House Efficiency_Whole House :- Utility Direct Costs_Recommended Audit Measures</v>
      </c>
      <c r="E616" s="241" t="str">
        <f t="shared" si="114"/>
        <v>Residential_Whole House Efficiency_Various_Measures</v>
      </c>
      <c r="F616" s="241" t="str">
        <f>INDEX('VDSM MAPPING'!E:E,MATCH($D616,'VDSM MAPPING'!$A:$A,0))</f>
        <v>Residential</v>
      </c>
      <c r="G616" s="241" t="str">
        <f>INDEX('VDSM MAPPING'!F:F,MATCH($D616,'VDSM MAPPING'!$A:$A,0))</f>
        <v>Whole House Efficiency</v>
      </c>
      <c r="H616" s="241" t="str">
        <f>INDEX('VDSM MAPPING'!G:G,MATCH($D616,'VDSM MAPPING'!$A:$A,0))</f>
        <v>Various</v>
      </c>
      <c r="I616" s="241" t="str">
        <f>INDEX('VDSM MAPPING'!H:H,MATCH($D616,'VDSM MAPPING'!$A:$A,0))</f>
        <v>Measures</v>
      </c>
      <c r="J616" s="240" t="str">
        <f t="shared" si="115"/>
        <v/>
      </c>
      <c r="K616" s="240" t="str">
        <f t="shared" si="116"/>
        <v/>
      </c>
      <c r="L616" s="240" t="b">
        <f t="shared" si="117"/>
        <v>0</v>
      </c>
      <c r="M616" s="240" t="b">
        <f t="shared" si="118"/>
        <v>0</v>
      </c>
      <c r="N616" s="204" t="s">
        <v>289</v>
      </c>
      <c r="O616" s="204" t="s">
        <v>499</v>
      </c>
      <c r="P616" s="350">
        <v>1</v>
      </c>
      <c r="Q616" s="204" t="s">
        <v>499</v>
      </c>
      <c r="R616" s="204" t="s">
        <v>498</v>
      </c>
      <c r="S616" s="204" t="s">
        <v>497</v>
      </c>
      <c r="T616" s="204" t="s">
        <v>496</v>
      </c>
      <c r="V616" s="204" t="s">
        <v>495</v>
      </c>
      <c r="W616" s="204" t="s">
        <v>337</v>
      </c>
      <c r="X616" s="204" t="s">
        <v>297</v>
      </c>
      <c r="Y616" s="204" t="s">
        <v>336</v>
      </c>
      <c r="AG616" s="204" t="s">
        <v>295</v>
      </c>
      <c r="AH616" s="204" t="s">
        <v>153</v>
      </c>
      <c r="AX616" s="204">
        <v>1</v>
      </c>
      <c r="AY616" s="204">
        <v>0</v>
      </c>
      <c r="AZ616" s="204">
        <v>0.19</v>
      </c>
      <c r="BB616" s="204">
        <v>508</v>
      </c>
      <c r="BH616" s="204">
        <v>0</v>
      </c>
      <c r="BI616" s="204">
        <v>0</v>
      </c>
      <c r="BJ616" s="204">
        <v>42719</v>
      </c>
      <c r="BK616" s="204">
        <v>42719.764051967599</v>
      </c>
      <c r="BL616" s="204" t="s">
        <v>293</v>
      </c>
      <c r="BM616" s="204" t="s">
        <v>494</v>
      </c>
      <c r="BN616" s="269">
        <f t="shared" si="119"/>
        <v>508</v>
      </c>
      <c r="BO616" s="269">
        <f t="shared" si="120"/>
        <v>0</v>
      </c>
      <c r="BP616" s="269">
        <f>INDEX('App Data Outliers'!$M:$M,MATCH($E616,'App Data Outliers'!$A:$A,0))</f>
        <v>508</v>
      </c>
      <c r="BQ616" s="269">
        <f>INDEX('App Data Outliers'!$N:$N,MATCH($E616,'App Data Outliers'!$A:$A,0))</f>
        <v>0</v>
      </c>
      <c r="BR616" s="269">
        <f>INDEX('App Data Outliers'!$S:$S,MATCH($E616,'App Data Outliers'!$A:$A,0))</f>
        <v>0</v>
      </c>
      <c r="BS616" s="269">
        <f>INDEX('App Data Outliers'!$T:$T,MATCH($E616,'App Data Outliers'!$A:$A,0))</f>
        <v>0</v>
      </c>
    </row>
    <row r="617" spans="1:71" s="204" customFormat="1">
      <c r="A617" s="241">
        <v>613</v>
      </c>
      <c r="B617" s="241" t="str">
        <f t="shared" si="111"/>
        <v>Residential - BHPSD - Whole House Efficiency</v>
      </c>
      <c r="C617" s="241" t="b">
        <f t="shared" si="112"/>
        <v>1</v>
      </c>
      <c r="D617" s="241" t="str">
        <f t="shared" si="113"/>
        <v>Residential - BHPSD - Whole House Efficiency_Whole House :- Utility Direct Costs_Residential EE Kit</v>
      </c>
      <c r="E617" s="241" t="str">
        <f t="shared" si="114"/>
        <v>Residential_Whole House Efficiency_Various_Residential Kit</v>
      </c>
      <c r="F617" s="241" t="str">
        <f>INDEX('VDSM MAPPING'!E:E,MATCH($D617,'VDSM MAPPING'!$A:$A,0))</f>
        <v>Residential</v>
      </c>
      <c r="G617" s="241" t="str">
        <f>INDEX('VDSM MAPPING'!F:F,MATCH($D617,'VDSM MAPPING'!$A:$A,0))</f>
        <v>Whole House Efficiency</v>
      </c>
      <c r="H617" s="241" t="str">
        <f>INDEX('VDSM MAPPING'!G:G,MATCH($D617,'VDSM MAPPING'!$A:$A,0))</f>
        <v>Various</v>
      </c>
      <c r="I617" s="241" t="str">
        <f>INDEX('VDSM MAPPING'!H:H,MATCH($D617,'VDSM MAPPING'!$A:$A,0))</f>
        <v>Residential Kit</v>
      </c>
      <c r="J617" s="240" t="str">
        <f t="shared" si="115"/>
        <v/>
      </c>
      <c r="K617" s="240" t="str">
        <f t="shared" si="116"/>
        <v/>
      </c>
      <c r="L617" s="240" t="b">
        <f t="shared" si="117"/>
        <v>0</v>
      </c>
      <c r="M617" s="240" t="b">
        <f t="shared" si="118"/>
        <v>0</v>
      </c>
      <c r="N617" s="204" t="s">
        <v>289</v>
      </c>
      <c r="O617" s="204" t="s">
        <v>499</v>
      </c>
      <c r="P617" s="350">
        <v>0</v>
      </c>
      <c r="Q617" s="204" t="s">
        <v>499</v>
      </c>
      <c r="R617" s="204" t="s">
        <v>498</v>
      </c>
      <c r="S617" s="204" t="s">
        <v>497</v>
      </c>
      <c r="T617" s="204" t="s">
        <v>496</v>
      </c>
      <c r="V617" s="204" t="s">
        <v>495</v>
      </c>
      <c r="W617" s="204" t="s">
        <v>337</v>
      </c>
      <c r="X617" s="204" t="s">
        <v>297</v>
      </c>
      <c r="Y617" s="204" t="s">
        <v>336</v>
      </c>
      <c r="AG617" s="204" t="s">
        <v>295</v>
      </c>
      <c r="AH617" s="204" t="s">
        <v>305</v>
      </c>
      <c r="AX617" s="204">
        <v>1</v>
      </c>
      <c r="AY617" s="204">
        <v>0</v>
      </c>
      <c r="AZ617" s="204">
        <v>4.3999999999999997E-2</v>
      </c>
      <c r="BB617" s="204">
        <v>417</v>
      </c>
      <c r="BH617" s="204">
        <v>0</v>
      </c>
      <c r="BI617" s="204">
        <v>0</v>
      </c>
      <c r="BJ617" s="204">
        <v>42719</v>
      </c>
      <c r="BK617" s="204">
        <v>42719.764051967599</v>
      </c>
      <c r="BL617" s="204" t="s">
        <v>293</v>
      </c>
      <c r="BM617" s="204" t="s">
        <v>500</v>
      </c>
      <c r="BN617" s="269">
        <f t="shared" si="119"/>
        <v>417</v>
      </c>
      <c r="BO617" s="269">
        <f t="shared" si="120"/>
        <v>0</v>
      </c>
      <c r="BP617" s="269">
        <f>INDEX('App Data Outliers'!$M:$M,MATCH($E617,'App Data Outliers'!$A:$A,0))</f>
        <v>417</v>
      </c>
      <c r="BQ617" s="269">
        <f>INDEX('App Data Outliers'!$N:$N,MATCH($E617,'App Data Outliers'!$A:$A,0))</f>
        <v>0</v>
      </c>
      <c r="BR617" s="269">
        <f>INDEX('App Data Outliers'!$S:$S,MATCH($E617,'App Data Outliers'!$A:$A,0))</f>
        <v>0</v>
      </c>
      <c r="BS617" s="269">
        <f>INDEX('App Data Outliers'!$T:$T,MATCH($E617,'App Data Outliers'!$A:$A,0))</f>
        <v>0</v>
      </c>
    </row>
    <row r="618" spans="1:71" s="204" customFormat="1">
      <c r="A618" s="241">
        <v>614</v>
      </c>
      <c r="B618" s="241" t="str">
        <f t="shared" si="111"/>
        <v>Residential - BHPSD - Whole House Efficiency</v>
      </c>
      <c r="C618" s="241" t="b">
        <f t="shared" si="112"/>
        <v>1</v>
      </c>
      <c r="D618" s="241" t="str">
        <f t="shared" si="113"/>
        <v>Residential - BHPSD - Whole House Efficiency_Whole House :- Utility Direct Costs_Residential EE Kit</v>
      </c>
      <c r="E618" s="241" t="str">
        <f t="shared" si="114"/>
        <v>Residential_Whole House Efficiency_Various_Residential Kit</v>
      </c>
      <c r="F618" s="241" t="str">
        <f>INDEX('VDSM MAPPING'!E:E,MATCH($D618,'VDSM MAPPING'!$A:$A,0))</f>
        <v>Residential</v>
      </c>
      <c r="G618" s="241" t="str">
        <f>INDEX('VDSM MAPPING'!F:F,MATCH($D618,'VDSM MAPPING'!$A:$A,0))</f>
        <v>Whole House Efficiency</v>
      </c>
      <c r="H618" s="241" t="str">
        <f>INDEX('VDSM MAPPING'!G:G,MATCH($D618,'VDSM MAPPING'!$A:$A,0))</f>
        <v>Various</v>
      </c>
      <c r="I618" s="241" t="str">
        <f>INDEX('VDSM MAPPING'!H:H,MATCH($D618,'VDSM MAPPING'!$A:$A,0))</f>
        <v>Residential Kit</v>
      </c>
      <c r="J618" s="240" t="str">
        <f t="shared" si="115"/>
        <v/>
      </c>
      <c r="K618" s="240" t="str">
        <f t="shared" si="116"/>
        <v/>
      </c>
      <c r="L618" s="240" t="b">
        <f t="shared" si="117"/>
        <v>0</v>
      </c>
      <c r="M618" s="240" t="b">
        <f t="shared" si="118"/>
        <v>0</v>
      </c>
      <c r="N618" s="204" t="s">
        <v>289</v>
      </c>
      <c r="O618" s="204" t="s">
        <v>492</v>
      </c>
      <c r="P618" s="350">
        <v>1</v>
      </c>
      <c r="Q618" s="204" t="s">
        <v>492</v>
      </c>
      <c r="R618" s="204" t="s">
        <v>491</v>
      </c>
      <c r="S618" s="204" t="s">
        <v>490</v>
      </c>
      <c r="T618" s="204" t="s">
        <v>489</v>
      </c>
      <c r="V618" s="204" t="s">
        <v>488</v>
      </c>
      <c r="W618" s="204" t="s">
        <v>413</v>
      </c>
      <c r="X618" s="204" t="s">
        <v>297</v>
      </c>
      <c r="Y618" s="204" t="s">
        <v>412</v>
      </c>
      <c r="AG618" s="204" t="s">
        <v>295</v>
      </c>
      <c r="AH618" s="204" t="s">
        <v>305</v>
      </c>
      <c r="AI618" s="204" t="s">
        <v>294</v>
      </c>
      <c r="AX618" s="204">
        <v>1</v>
      </c>
      <c r="AY618" s="204">
        <v>0</v>
      </c>
      <c r="AZ618" s="204">
        <v>4.3999999999999997E-2</v>
      </c>
      <c r="BB618" s="204">
        <v>417</v>
      </c>
      <c r="BH618" s="204">
        <v>0</v>
      </c>
      <c r="BI618" s="204">
        <v>0</v>
      </c>
      <c r="BJ618" s="204">
        <v>42779</v>
      </c>
      <c r="BK618" s="204">
        <v>42779.607879826399</v>
      </c>
      <c r="BL618" s="204" t="s">
        <v>293</v>
      </c>
      <c r="BM618" s="204" t="s">
        <v>487</v>
      </c>
      <c r="BN618" s="269">
        <f t="shared" si="119"/>
        <v>417</v>
      </c>
      <c r="BO618" s="269">
        <f t="shared" si="120"/>
        <v>0</v>
      </c>
      <c r="BP618" s="269">
        <f>INDEX('App Data Outliers'!$M:$M,MATCH($E618,'App Data Outliers'!$A:$A,0))</f>
        <v>417</v>
      </c>
      <c r="BQ618" s="269">
        <f>INDEX('App Data Outliers'!$N:$N,MATCH($E618,'App Data Outliers'!$A:$A,0))</f>
        <v>0</v>
      </c>
      <c r="BR618" s="269">
        <f>INDEX('App Data Outliers'!$S:$S,MATCH($E618,'App Data Outliers'!$A:$A,0))</f>
        <v>0</v>
      </c>
      <c r="BS618" s="269">
        <f>INDEX('App Data Outliers'!$T:$T,MATCH($E618,'App Data Outliers'!$A:$A,0))</f>
        <v>0</v>
      </c>
    </row>
    <row r="619" spans="1:71" s="204" customFormat="1">
      <c r="A619" s="241">
        <v>615</v>
      </c>
      <c r="B619" s="241" t="str">
        <f t="shared" si="111"/>
        <v>Residential - BHPSD - Whole House Efficiency</v>
      </c>
      <c r="C619" s="241" t="b">
        <f t="shared" si="112"/>
        <v>1</v>
      </c>
      <c r="D619" s="241" t="str">
        <f t="shared" si="113"/>
        <v>Residential - BHPSD - Whole House Efficiency_Whole House :- Utility Direct Costs_Recommended Audit Measures</v>
      </c>
      <c r="E619" s="241" t="str">
        <f t="shared" si="114"/>
        <v>Residential_Whole House Efficiency_Various_Measures</v>
      </c>
      <c r="F619" s="241" t="str">
        <f>INDEX('VDSM MAPPING'!E:E,MATCH($D619,'VDSM MAPPING'!$A:$A,0))</f>
        <v>Residential</v>
      </c>
      <c r="G619" s="241" t="str">
        <f>INDEX('VDSM MAPPING'!F:F,MATCH($D619,'VDSM MAPPING'!$A:$A,0))</f>
        <v>Whole House Efficiency</v>
      </c>
      <c r="H619" s="241" t="str">
        <f>INDEX('VDSM MAPPING'!G:G,MATCH($D619,'VDSM MAPPING'!$A:$A,0))</f>
        <v>Various</v>
      </c>
      <c r="I619" s="241" t="str">
        <f>INDEX('VDSM MAPPING'!H:H,MATCH($D619,'VDSM MAPPING'!$A:$A,0))</f>
        <v>Measures</v>
      </c>
      <c r="J619" s="240" t="str">
        <f t="shared" si="115"/>
        <v/>
      </c>
      <c r="K619" s="240" t="str">
        <f t="shared" si="116"/>
        <v/>
      </c>
      <c r="L619" s="240" t="b">
        <f t="shared" si="117"/>
        <v>0</v>
      </c>
      <c r="M619" s="240" t="b">
        <f t="shared" si="118"/>
        <v>0</v>
      </c>
      <c r="N619" s="204" t="s">
        <v>289</v>
      </c>
      <c r="O619" s="204" t="s">
        <v>492</v>
      </c>
      <c r="P619" s="350">
        <v>0</v>
      </c>
      <c r="Q619" s="204" t="s">
        <v>492</v>
      </c>
      <c r="R619" s="204" t="s">
        <v>491</v>
      </c>
      <c r="S619" s="204" t="s">
        <v>490</v>
      </c>
      <c r="T619" s="204" t="s">
        <v>489</v>
      </c>
      <c r="V619" s="204" t="s">
        <v>488</v>
      </c>
      <c r="W619" s="204" t="s">
        <v>413</v>
      </c>
      <c r="X619" s="204" t="s">
        <v>297</v>
      </c>
      <c r="Y619" s="204" t="s">
        <v>412</v>
      </c>
      <c r="AG619" s="204" t="s">
        <v>295</v>
      </c>
      <c r="AH619" s="204" t="s">
        <v>153</v>
      </c>
      <c r="AI619" s="204" t="s">
        <v>294</v>
      </c>
      <c r="AX619" s="204">
        <v>1</v>
      </c>
      <c r="AY619" s="204">
        <v>0</v>
      </c>
      <c r="AZ619" s="204">
        <v>0.19</v>
      </c>
      <c r="BB619" s="204">
        <v>508</v>
      </c>
      <c r="BH619" s="204">
        <v>0</v>
      </c>
      <c r="BI619" s="204">
        <v>0</v>
      </c>
      <c r="BJ619" s="204">
        <v>42779</v>
      </c>
      <c r="BK619" s="204">
        <v>42779.607879826399</v>
      </c>
      <c r="BL619" s="204" t="s">
        <v>293</v>
      </c>
      <c r="BM619" s="204" t="s">
        <v>493</v>
      </c>
      <c r="BN619" s="269">
        <f t="shared" si="119"/>
        <v>508</v>
      </c>
      <c r="BO619" s="269">
        <f t="shared" si="120"/>
        <v>0</v>
      </c>
      <c r="BP619" s="269">
        <f>INDEX('App Data Outliers'!$M:$M,MATCH($E619,'App Data Outliers'!$A:$A,0))</f>
        <v>508</v>
      </c>
      <c r="BQ619" s="269">
        <f>INDEX('App Data Outliers'!$N:$N,MATCH($E619,'App Data Outliers'!$A:$A,0))</f>
        <v>0</v>
      </c>
      <c r="BR619" s="269">
        <f>INDEX('App Data Outliers'!$S:$S,MATCH($E619,'App Data Outliers'!$A:$A,0))</f>
        <v>0</v>
      </c>
      <c r="BS619" s="269">
        <f>INDEX('App Data Outliers'!$T:$T,MATCH($E619,'App Data Outliers'!$A:$A,0))</f>
        <v>0</v>
      </c>
    </row>
    <row r="620" spans="1:71" s="204" customFormat="1">
      <c r="A620" s="241">
        <v>616</v>
      </c>
      <c r="B620" s="241" t="str">
        <f t="shared" si="111"/>
        <v>Residential - BHPSD - Whole House Efficiency</v>
      </c>
      <c r="C620" s="241" t="b">
        <f t="shared" si="112"/>
        <v>1</v>
      </c>
      <c r="D620" s="241" t="str">
        <f t="shared" si="113"/>
        <v>Residential - BHPSD - Whole House Efficiency_Whole House :- Utility Direct Costs_Recommended Audit Measures</v>
      </c>
      <c r="E620" s="241" t="str">
        <f t="shared" si="114"/>
        <v>Residential_Whole House Efficiency_Various_Measures</v>
      </c>
      <c r="F620" s="241" t="str">
        <f>INDEX('VDSM MAPPING'!E:E,MATCH($D620,'VDSM MAPPING'!$A:$A,0))</f>
        <v>Residential</v>
      </c>
      <c r="G620" s="241" t="str">
        <f>INDEX('VDSM MAPPING'!F:F,MATCH($D620,'VDSM MAPPING'!$A:$A,0))</f>
        <v>Whole House Efficiency</v>
      </c>
      <c r="H620" s="241" t="str">
        <f>INDEX('VDSM MAPPING'!G:G,MATCH($D620,'VDSM MAPPING'!$A:$A,0))</f>
        <v>Various</v>
      </c>
      <c r="I620" s="241" t="str">
        <f>INDEX('VDSM MAPPING'!H:H,MATCH($D620,'VDSM MAPPING'!$A:$A,0))</f>
        <v>Measures</v>
      </c>
      <c r="J620" s="240" t="str">
        <f t="shared" si="115"/>
        <v/>
      </c>
      <c r="K620" s="240" t="str">
        <f t="shared" si="116"/>
        <v/>
      </c>
      <c r="L620" s="240" t="b">
        <f t="shared" si="117"/>
        <v>0</v>
      </c>
      <c r="M620" s="240" t="b">
        <f t="shared" si="118"/>
        <v>0</v>
      </c>
      <c r="N620" s="204" t="s">
        <v>289</v>
      </c>
      <c r="O620" s="204" t="s">
        <v>485</v>
      </c>
      <c r="P620" s="350">
        <v>1</v>
      </c>
      <c r="Q620" s="204" t="s">
        <v>485</v>
      </c>
      <c r="R620" s="204" t="s">
        <v>484</v>
      </c>
      <c r="S620" s="204" t="s">
        <v>483</v>
      </c>
      <c r="T620" s="204" t="s">
        <v>482</v>
      </c>
      <c r="V620" s="204" t="s">
        <v>481</v>
      </c>
      <c r="W620" s="204" t="s">
        <v>480</v>
      </c>
      <c r="X620" s="204" t="s">
        <v>297</v>
      </c>
      <c r="Y620" s="204" t="s">
        <v>479</v>
      </c>
      <c r="AG620" s="204" t="s">
        <v>295</v>
      </c>
      <c r="AH620" s="204" t="s">
        <v>153</v>
      </c>
      <c r="AX620" s="204">
        <v>1</v>
      </c>
      <c r="AY620" s="204">
        <v>0</v>
      </c>
      <c r="AZ620" s="204">
        <v>0.19</v>
      </c>
      <c r="BB620" s="204">
        <v>508</v>
      </c>
      <c r="BH620" s="204">
        <v>0</v>
      </c>
      <c r="BI620" s="204">
        <v>0</v>
      </c>
      <c r="BJ620" s="204">
        <v>42779</v>
      </c>
      <c r="BK620" s="204">
        <v>42779.6297190162</v>
      </c>
      <c r="BL620" s="204" t="s">
        <v>293</v>
      </c>
      <c r="BM620" s="204" t="s">
        <v>486</v>
      </c>
      <c r="BN620" s="269">
        <f t="shared" si="119"/>
        <v>508</v>
      </c>
      <c r="BO620" s="269">
        <f t="shared" si="120"/>
        <v>0</v>
      </c>
      <c r="BP620" s="269">
        <f>INDEX('App Data Outliers'!$M:$M,MATCH($E620,'App Data Outliers'!$A:$A,0))</f>
        <v>508</v>
      </c>
      <c r="BQ620" s="269">
        <f>INDEX('App Data Outliers'!$N:$N,MATCH($E620,'App Data Outliers'!$A:$A,0))</f>
        <v>0</v>
      </c>
      <c r="BR620" s="269">
        <f>INDEX('App Data Outliers'!$S:$S,MATCH($E620,'App Data Outliers'!$A:$A,0))</f>
        <v>0</v>
      </c>
      <c r="BS620" s="269">
        <f>INDEX('App Data Outliers'!$T:$T,MATCH($E620,'App Data Outliers'!$A:$A,0))</f>
        <v>0</v>
      </c>
    </row>
    <row r="621" spans="1:71" s="204" customFormat="1">
      <c r="A621" s="241">
        <v>617</v>
      </c>
      <c r="B621" s="241" t="str">
        <f t="shared" si="111"/>
        <v>Residential - BHPSD - Whole House Efficiency</v>
      </c>
      <c r="C621" s="241" t="b">
        <f t="shared" si="112"/>
        <v>1</v>
      </c>
      <c r="D621" s="241" t="str">
        <f t="shared" si="113"/>
        <v>Residential - BHPSD - Whole House Efficiency_Whole House :- Utility Direct Costs_Residential EE Kit</v>
      </c>
      <c r="E621" s="241" t="str">
        <f t="shared" si="114"/>
        <v>Residential_Whole House Efficiency_Various_Residential Kit</v>
      </c>
      <c r="F621" s="241" t="str">
        <f>INDEX('VDSM MAPPING'!E:E,MATCH($D621,'VDSM MAPPING'!$A:$A,0))</f>
        <v>Residential</v>
      </c>
      <c r="G621" s="241" t="str">
        <f>INDEX('VDSM MAPPING'!F:F,MATCH($D621,'VDSM MAPPING'!$A:$A,0))</f>
        <v>Whole House Efficiency</v>
      </c>
      <c r="H621" s="241" t="str">
        <f>INDEX('VDSM MAPPING'!G:G,MATCH($D621,'VDSM MAPPING'!$A:$A,0))</f>
        <v>Various</v>
      </c>
      <c r="I621" s="241" t="str">
        <f>INDEX('VDSM MAPPING'!H:H,MATCH($D621,'VDSM MAPPING'!$A:$A,0))</f>
        <v>Residential Kit</v>
      </c>
      <c r="J621" s="240" t="str">
        <f t="shared" si="115"/>
        <v/>
      </c>
      <c r="K621" s="240" t="str">
        <f t="shared" si="116"/>
        <v/>
      </c>
      <c r="L621" s="240" t="b">
        <f t="shared" si="117"/>
        <v>0</v>
      </c>
      <c r="M621" s="240" t="b">
        <f t="shared" si="118"/>
        <v>0</v>
      </c>
      <c r="N621" s="204" t="s">
        <v>289</v>
      </c>
      <c r="O621" s="204" t="s">
        <v>485</v>
      </c>
      <c r="P621" s="350">
        <v>0</v>
      </c>
      <c r="Q621" s="204" t="s">
        <v>485</v>
      </c>
      <c r="R621" s="204" t="s">
        <v>484</v>
      </c>
      <c r="S621" s="204" t="s">
        <v>483</v>
      </c>
      <c r="T621" s="204" t="s">
        <v>482</v>
      </c>
      <c r="V621" s="204" t="s">
        <v>481</v>
      </c>
      <c r="W621" s="204" t="s">
        <v>480</v>
      </c>
      <c r="X621" s="204" t="s">
        <v>297</v>
      </c>
      <c r="Y621" s="204" t="s">
        <v>479</v>
      </c>
      <c r="AG621" s="204" t="s">
        <v>295</v>
      </c>
      <c r="AH621" s="204" t="s">
        <v>305</v>
      </c>
      <c r="AX621" s="204">
        <v>1</v>
      </c>
      <c r="AY621" s="204">
        <v>0</v>
      </c>
      <c r="AZ621" s="204">
        <v>4.3999999999999997E-2</v>
      </c>
      <c r="BB621" s="204">
        <v>417</v>
      </c>
      <c r="BH621" s="204">
        <v>0</v>
      </c>
      <c r="BI621" s="204">
        <v>0</v>
      </c>
      <c r="BJ621" s="204">
        <v>42779</v>
      </c>
      <c r="BK621" s="204">
        <v>42779.6297190162</v>
      </c>
      <c r="BL621" s="204" t="s">
        <v>293</v>
      </c>
      <c r="BM621" s="204" t="s">
        <v>478</v>
      </c>
      <c r="BN621" s="269">
        <f t="shared" si="119"/>
        <v>417</v>
      </c>
      <c r="BO621" s="269">
        <f t="shared" si="120"/>
        <v>0</v>
      </c>
      <c r="BP621" s="269">
        <f>INDEX('App Data Outliers'!$M:$M,MATCH($E621,'App Data Outliers'!$A:$A,0))</f>
        <v>417</v>
      </c>
      <c r="BQ621" s="269">
        <f>INDEX('App Data Outliers'!$N:$N,MATCH($E621,'App Data Outliers'!$A:$A,0))</f>
        <v>0</v>
      </c>
      <c r="BR621" s="269">
        <f>INDEX('App Data Outliers'!$S:$S,MATCH($E621,'App Data Outliers'!$A:$A,0))</f>
        <v>0</v>
      </c>
      <c r="BS621" s="269">
        <f>INDEX('App Data Outliers'!$T:$T,MATCH($E621,'App Data Outliers'!$A:$A,0))</f>
        <v>0</v>
      </c>
    </row>
    <row r="622" spans="1:71" s="204" customFormat="1">
      <c r="A622" s="241">
        <v>618</v>
      </c>
      <c r="B622" s="241" t="str">
        <f t="shared" si="111"/>
        <v>Residential - BHPSD - Whole House Efficiency</v>
      </c>
      <c r="C622" s="241" t="b">
        <f t="shared" si="112"/>
        <v>1</v>
      </c>
      <c r="D622" s="241" t="str">
        <f t="shared" si="113"/>
        <v>Residential - BHPSD - Whole House Efficiency_Whole House :- Utility Direct Costs_Residential EE Kit</v>
      </c>
      <c r="E622" s="241" t="str">
        <f t="shared" si="114"/>
        <v>Residential_Whole House Efficiency_Various_Residential Kit</v>
      </c>
      <c r="F622" s="241" t="str">
        <f>INDEX('VDSM MAPPING'!E:E,MATCH($D622,'VDSM MAPPING'!$A:$A,0))</f>
        <v>Residential</v>
      </c>
      <c r="G622" s="241" t="str">
        <f>INDEX('VDSM MAPPING'!F:F,MATCH($D622,'VDSM MAPPING'!$A:$A,0))</f>
        <v>Whole House Efficiency</v>
      </c>
      <c r="H622" s="241" t="str">
        <f>INDEX('VDSM MAPPING'!G:G,MATCH($D622,'VDSM MAPPING'!$A:$A,0))</f>
        <v>Various</v>
      </c>
      <c r="I622" s="241" t="str">
        <f>INDEX('VDSM MAPPING'!H:H,MATCH($D622,'VDSM MAPPING'!$A:$A,0))</f>
        <v>Residential Kit</v>
      </c>
      <c r="J622" s="240" t="str">
        <f t="shared" si="115"/>
        <v/>
      </c>
      <c r="K622" s="240" t="str">
        <f t="shared" si="116"/>
        <v/>
      </c>
      <c r="L622" s="240" t="b">
        <f t="shared" si="117"/>
        <v>0</v>
      </c>
      <c r="M622" s="240" t="b">
        <f t="shared" si="118"/>
        <v>0</v>
      </c>
      <c r="N622" s="204" t="s">
        <v>289</v>
      </c>
      <c r="O622" s="204" t="s">
        <v>476</v>
      </c>
      <c r="P622" s="350">
        <v>1</v>
      </c>
      <c r="Q622" s="204" t="s">
        <v>476</v>
      </c>
      <c r="R622" s="204" t="s">
        <v>475</v>
      </c>
      <c r="S622" s="204" t="s">
        <v>474</v>
      </c>
      <c r="T622" s="204" t="s">
        <v>473</v>
      </c>
      <c r="V622" s="204" t="s">
        <v>472</v>
      </c>
      <c r="W622" s="204" t="s">
        <v>471</v>
      </c>
      <c r="X622" s="204" t="s">
        <v>297</v>
      </c>
      <c r="Y622" s="204" t="s">
        <v>470</v>
      </c>
      <c r="AG622" s="204" t="s">
        <v>295</v>
      </c>
      <c r="AH622" s="204" t="s">
        <v>305</v>
      </c>
      <c r="AX622" s="204">
        <v>1</v>
      </c>
      <c r="AY622" s="204">
        <v>0</v>
      </c>
      <c r="AZ622" s="204">
        <v>4.3999999999999997E-2</v>
      </c>
      <c r="BB622" s="204">
        <v>417</v>
      </c>
      <c r="BH622" s="204">
        <v>0</v>
      </c>
      <c r="BI622" s="204">
        <v>0</v>
      </c>
      <c r="BJ622" s="204">
        <v>42779</v>
      </c>
      <c r="BK622" s="204">
        <v>42779.6326913542</v>
      </c>
      <c r="BL622" s="204" t="s">
        <v>293</v>
      </c>
      <c r="BM622" s="204" t="s">
        <v>469</v>
      </c>
      <c r="BN622" s="269">
        <f t="shared" si="119"/>
        <v>417</v>
      </c>
      <c r="BO622" s="269">
        <f t="shared" si="120"/>
        <v>0</v>
      </c>
      <c r="BP622" s="269">
        <f>INDEX('App Data Outliers'!$M:$M,MATCH($E622,'App Data Outliers'!$A:$A,0))</f>
        <v>417</v>
      </c>
      <c r="BQ622" s="269">
        <f>INDEX('App Data Outliers'!$N:$N,MATCH($E622,'App Data Outliers'!$A:$A,0))</f>
        <v>0</v>
      </c>
      <c r="BR622" s="269">
        <f>INDEX('App Data Outliers'!$S:$S,MATCH($E622,'App Data Outliers'!$A:$A,0))</f>
        <v>0</v>
      </c>
      <c r="BS622" s="269">
        <f>INDEX('App Data Outliers'!$T:$T,MATCH($E622,'App Data Outliers'!$A:$A,0))</f>
        <v>0</v>
      </c>
    </row>
    <row r="623" spans="1:71" s="204" customFormat="1">
      <c r="A623" s="241">
        <v>619</v>
      </c>
      <c r="B623" s="241" t="str">
        <f t="shared" si="111"/>
        <v>Residential - BHPSD - Whole House Efficiency</v>
      </c>
      <c r="C623" s="241" t="b">
        <f t="shared" si="112"/>
        <v>1</v>
      </c>
      <c r="D623" s="241" t="str">
        <f t="shared" si="113"/>
        <v>Residential - BHPSD - Whole House Efficiency_Whole House :- Utility Direct Costs_Recommended Audit Measures</v>
      </c>
      <c r="E623" s="241" t="str">
        <f t="shared" si="114"/>
        <v>Residential_Whole House Efficiency_Various_Measures</v>
      </c>
      <c r="F623" s="241" t="str">
        <f>INDEX('VDSM MAPPING'!E:E,MATCH($D623,'VDSM MAPPING'!$A:$A,0))</f>
        <v>Residential</v>
      </c>
      <c r="G623" s="241" t="str">
        <f>INDEX('VDSM MAPPING'!F:F,MATCH($D623,'VDSM MAPPING'!$A:$A,0))</f>
        <v>Whole House Efficiency</v>
      </c>
      <c r="H623" s="241" t="str">
        <f>INDEX('VDSM MAPPING'!G:G,MATCH($D623,'VDSM MAPPING'!$A:$A,0))</f>
        <v>Various</v>
      </c>
      <c r="I623" s="241" t="str">
        <f>INDEX('VDSM MAPPING'!H:H,MATCH($D623,'VDSM MAPPING'!$A:$A,0))</f>
        <v>Measures</v>
      </c>
      <c r="J623" s="240" t="str">
        <f t="shared" si="115"/>
        <v/>
      </c>
      <c r="K623" s="240" t="str">
        <f t="shared" si="116"/>
        <v/>
      </c>
      <c r="L623" s="240" t="b">
        <f t="shared" si="117"/>
        <v>0</v>
      </c>
      <c r="M623" s="240" t="b">
        <f t="shared" si="118"/>
        <v>0</v>
      </c>
      <c r="N623" s="204" t="s">
        <v>289</v>
      </c>
      <c r="O623" s="204" t="s">
        <v>476</v>
      </c>
      <c r="P623" s="350">
        <v>0</v>
      </c>
      <c r="Q623" s="204" t="s">
        <v>476</v>
      </c>
      <c r="R623" s="204" t="s">
        <v>475</v>
      </c>
      <c r="S623" s="204" t="s">
        <v>474</v>
      </c>
      <c r="T623" s="204" t="s">
        <v>473</v>
      </c>
      <c r="V623" s="204" t="s">
        <v>472</v>
      </c>
      <c r="W623" s="204" t="s">
        <v>471</v>
      </c>
      <c r="X623" s="204" t="s">
        <v>297</v>
      </c>
      <c r="Y623" s="204" t="s">
        <v>470</v>
      </c>
      <c r="AG623" s="204" t="s">
        <v>295</v>
      </c>
      <c r="AH623" s="204" t="s">
        <v>153</v>
      </c>
      <c r="AX623" s="204">
        <v>1</v>
      </c>
      <c r="AY623" s="204">
        <v>0</v>
      </c>
      <c r="AZ623" s="204">
        <v>0.19</v>
      </c>
      <c r="BB623" s="204">
        <v>508</v>
      </c>
      <c r="BH623" s="204">
        <v>0</v>
      </c>
      <c r="BI623" s="204">
        <v>0</v>
      </c>
      <c r="BJ623" s="204">
        <v>42779</v>
      </c>
      <c r="BK623" s="204">
        <v>42779.6326913542</v>
      </c>
      <c r="BL623" s="204" t="s">
        <v>293</v>
      </c>
      <c r="BM623" s="204" t="s">
        <v>477</v>
      </c>
      <c r="BN623" s="269">
        <f t="shared" si="119"/>
        <v>508</v>
      </c>
      <c r="BO623" s="269">
        <f t="shared" si="120"/>
        <v>0</v>
      </c>
      <c r="BP623" s="269">
        <f>INDEX('App Data Outliers'!$M:$M,MATCH($E623,'App Data Outliers'!$A:$A,0))</f>
        <v>508</v>
      </c>
      <c r="BQ623" s="269">
        <f>INDEX('App Data Outliers'!$N:$N,MATCH($E623,'App Data Outliers'!$A:$A,0))</f>
        <v>0</v>
      </c>
      <c r="BR623" s="269">
        <f>INDEX('App Data Outliers'!$S:$S,MATCH($E623,'App Data Outliers'!$A:$A,0))</f>
        <v>0</v>
      </c>
      <c r="BS623" s="269">
        <f>INDEX('App Data Outliers'!$T:$T,MATCH($E623,'App Data Outliers'!$A:$A,0))</f>
        <v>0</v>
      </c>
    </row>
    <row r="624" spans="1:71" s="204" customFormat="1">
      <c r="A624" s="241">
        <v>620</v>
      </c>
      <c r="B624" s="241" t="str">
        <f t="shared" si="111"/>
        <v>Residential - BHPSD - Whole House Efficiency</v>
      </c>
      <c r="C624" s="241" t="b">
        <f t="shared" si="112"/>
        <v>1</v>
      </c>
      <c r="D624" s="241" t="str">
        <f t="shared" si="113"/>
        <v>Residential - BHPSD - Whole House Efficiency_Whole House :- Utility Direct Costs_Recommended Audit Measures</v>
      </c>
      <c r="E624" s="241" t="str">
        <f t="shared" si="114"/>
        <v>Residential_Whole House Efficiency_Various_Measures</v>
      </c>
      <c r="F624" s="241" t="str">
        <f>INDEX('VDSM MAPPING'!E:E,MATCH($D624,'VDSM MAPPING'!$A:$A,0))</f>
        <v>Residential</v>
      </c>
      <c r="G624" s="241" t="str">
        <f>INDEX('VDSM MAPPING'!F:F,MATCH($D624,'VDSM MAPPING'!$A:$A,0))</f>
        <v>Whole House Efficiency</v>
      </c>
      <c r="H624" s="241" t="str">
        <f>INDEX('VDSM MAPPING'!G:G,MATCH($D624,'VDSM MAPPING'!$A:$A,0))</f>
        <v>Various</v>
      </c>
      <c r="I624" s="241" t="str">
        <f>INDEX('VDSM MAPPING'!H:H,MATCH($D624,'VDSM MAPPING'!$A:$A,0))</f>
        <v>Measures</v>
      </c>
      <c r="J624" s="240" t="str">
        <f t="shared" si="115"/>
        <v/>
      </c>
      <c r="K624" s="240" t="str">
        <f t="shared" si="116"/>
        <v/>
      </c>
      <c r="L624" s="240" t="b">
        <f t="shared" si="117"/>
        <v>0</v>
      </c>
      <c r="M624" s="240" t="b">
        <f t="shared" si="118"/>
        <v>0</v>
      </c>
      <c r="N624" s="204" t="s">
        <v>289</v>
      </c>
      <c r="O624" s="204" t="s">
        <v>467</v>
      </c>
      <c r="P624" s="350">
        <v>1</v>
      </c>
      <c r="Q624" s="204" t="s">
        <v>467</v>
      </c>
      <c r="R624" s="204" t="s">
        <v>466</v>
      </c>
      <c r="S624" s="204" t="s">
        <v>465</v>
      </c>
      <c r="T624" s="204" t="s">
        <v>464</v>
      </c>
      <c r="V624" s="204" t="s">
        <v>463</v>
      </c>
      <c r="W624" s="204" t="s">
        <v>337</v>
      </c>
      <c r="X624" s="204" t="s">
        <v>297</v>
      </c>
      <c r="Y624" s="204" t="s">
        <v>336</v>
      </c>
      <c r="AG624" s="204" t="s">
        <v>295</v>
      </c>
      <c r="AH624" s="204" t="s">
        <v>153</v>
      </c>
      <c r="AX624" s="204">
        <v>1</v>
      </c>
      <c r="AY624" s="204">
        <v>0</v>
      </c>
      <c r="AZ624" s="204">
        <v>0.19</v>
      </c>
      <c r="BB624" s="204">
        <v>508</v>
      </c>
      <c r="BH624" s="204">
        <v>0</v>
      </c>
      <c r="BI624" s="204">
        <v>0</v>
      </c>
      <c r="BJ624" s="204">
        <v>42779</v>
      </c>
      <c r="BK624" s="204">
        <v>42779.634779664397</v>
      </c>
      <c r="BL624" s="204" t="s">
        <v>293</v>
      </c>
      <c r="BM624" s="204" t="s">
        <v>468</v>
      </c>
      <c r="BN624" s="269">
        <f t="shared" si="119"/>
        <v>508</v>
      </c>
      <c r="BO624" s="269">
        <f t="shared" si="120"/>
        <v>0</v>
      </c>
      <c r="BP624" s="269">
        <f>INDEX('App Data Outliers'!$M:$M,MATCH($E624,'App Data Outliers'!$A:$A,0))</f>
        <v>508</v>
      </c>
      <c r="BQ624" s="269">
        <f>INDEX('App Data Outliers'!$N:$N,MATCH($E624,'App Data Outliers'!$A:$A,0))</f>
        <v>0</v>
      </c>
      <c r="BR624" s="269">
        <f>INDEX('App Data Outliers'!$S:$S,MATCH($E624,'App Data Outliers'!$A:$A,0))</f>
        <v>0</v>
      </c>
      <c r="BS624" s="269">
        <f>INDEX('App Data Outliers'!$T:$T,MATCH($E624,'App Data Outliers'!$A:$A,0))</f>
        <v>0</v>
      </c>
    </row>
    <row r="625" spans="1:71" s="204" customFormat="1">
      <c r="A625" s="241">
        <v>621</v>
      </c>
      <c r="B625" s="241" t="str">
        <f t="shared" si="111"/>
        <v>Residential - BHPSD - Whole House Efficiency</v>
      </c>
      <c r="C625" s="241" t="b">
        <f t="shared" si="112"/>
        <v>1</v>
      </c>
      <c r="D625" s="241" t="str">
        <f t="shared" si="113"/>
        <v>Residential - BHPSD - Whole House Efficiency_Whole House :- Utility Direct Costs_Residential EE Kit</v>
      </c>
      <c r="E625" s="241" t="str">
        <f t="shared" si="114"/>
        <v>Residential_Whole House Efficiency_Various_Residential Kit</v>
      </c>
      <c r="F625" s="241" t="str">
        <f>INDEX('VDSM MAPPING'!E:E,MATCH($D625,'VDSM MAPPING'!$A:$A,0))</f>
        <v>Residential</v>
      </c>
      <c r="G625" s="241" t="str">
        <f>INDEX('VDSM MAPPING'!F:F,MATCH($D625,'VDSM MAPPING'!$A:$A,0))</f>
        <v>Whole House Efficiency</v>
      </c>
      <c r="H625" s="241" t="str">
        <f>INDEX('VDSM MAPPING'!G:G,MATCH($D625,'VDSM MAPPING'!$A:$A,0))</f>
        <v>Various</v>
      </c>
      <c r="I625" s="241" t="str">
        <f>INDEX('VDSM MAPPING'!H:H,MATCH($D625,'VDSM MAPPING'!$A:$A,0))</f>
        <v>Residential Kit</v>
      </c>
      <c r="J625" s="240" t="str">
        <f t="shared" si="115"/>
        <v/>
      </c>
      <c r="K625" s="240" t="str">
        <f t="shared" si="116"/>
        <v/>
      </c>
      <c r="L625" s="240" t="b">
        <f t="shared" si="117"/>
        <v>0</v>
      </c>
      <c r="M625" s="240" t="b">
        <f t="shared" si="118"/>
        <v>0</v>
      </c>
      <c r="N625" s="204" t="s">
        <v>289</v>
      </c>
      <c r="O625" s="204" t="s">
        <v>467</v>
      </c>
      <c r="P625" s="350">
        <v>0</v>
      </c>
      <c r="Q625" s="204" t="s">
        <v>467</v>
      </c>
      <c r="R625" s="204" t="s">
        <v>466</v>
      </c>
      <c r="S625" s="204" t="s">
        <v>465</v>
      </c>
      <c r="T625" s="204" t="s">
        <v>464</v>
      </c>
      <c r="V625" s="204" t="s">
        <v>463</v>
      </c>
      <c r="W625" s="204" t="s">
        <v>337</v>
      </c>
      <c r="X625" s="204" t="s">
        <v>297</v>
      </c>
      <c r="Y625" s="204" t="s">
        <v>336</v>
      </c>
      <c r="AG625" s="204" t="s">
        <v>295</v>
      </c>
      <c r="AH625" s="204" t="s">
        <v>305</v>
      </c>
      <c r="AX625" s="204">
        <v>1</v>
      </c>
      <c r="AY625" s="204">
        <v>0</v>
      </c>
      <c r="AZ625" s="204">
        <v>4.3999999999999997E-2</v>
      </c>
      <c r="BB625" s="204">
        <v>417</v>
      </c>
      <c r="BH625" s="204">
        <v>0</v>
      </c>
      <c r="BI625" s="204">
        <v>0</v>
      </c>
      <c r="BJ625" s="204">
        <v>42779</v>
      </c>
      <c r="BK625" s="204">
        <v>42779.634779664397</v>
      </c>
      <c r="BL625" s="204" t="s">
        <v>293</v>
      </c>
      <c r="BM625" s="204" t="s">
        <v>462</v>
      </c>
      <c r="BN625" s="269">
        <f t="shared" si="119"/>
        <v>417</v>
      </c>
      <c r="BO625" s="269">
        <f t="shared" si="120"/>
        <v>0</v>
      </c>
      <c r="BP625" s="269">
        <f>INDEX('App Data Outliers'!$M:$M,MATCH($E625,'App Data Outliers'!$A:$A,0))</f>
        <v>417</v>
      </c>
      <c r="BQ625" s="269">
        <f>INDEX('App Data Outliers'!$N:$N,MATCH($E625,'App Data Outliers'!$A:$A,0))</f>
        <v>0</v>
      </c>
      <c r="BR625" s="269">
        <f>INDEX('App Data Outliers'!$S:$S,MATCH($E625,'App Data Outliers'!$A:$A,0))</f>
        <v>0</v>
      </c>
      <c r="BS625" s="269">
        <f>INDEX('App Data Outliers'!$T:$T,MATCH($E625,'App Data Outliers'!$A:$A,0))</f>
        <v>0</v>
      </c>
    </row>
    <row r="626" spans="1:71" s="204" customFormat="1">
      <c r="A626" s="241">
        <v>622</v>
      </c>
      <c r="B626" s="241" t="str">
        <f t="shared" si="111"/>
        <v>Residential - BHPSD - Whole House Efficiency</v>
      </c>
      <c r="C626" s="241" t="b">
        <f t="shared" si="112"/>
        <v>1</v>
      </c>
      <c r="D626" s="241" t="str">
        <f t="shared" si="113"/>
        <v>Residential - BHPSD - Whole House Efficiency_Whole House :- Utility Direct Costs_Residential EE Kit</v>
      </c>
      <c r="E626" s="241" t="str">
        <f t="shared" si="114"/>
        <v>Residential_Whole House Efficiency_Various_Residential Kit</v>
      </c>
      <c r="F626" s="241" t="str">
        <f>INDEX('VDSM MAPPING'!E:E,MATCH($D626,'VDSM MAPPING'!$A:$A,0))</f>
        <v>Residential</v>
      </c>
      <c r="G626" s="241" t="str">
        <f>INDEX('VDSM MAPPING'!F:F,MATCH($D626,'VDSM MAPPING'!$A:$A,0))</f>
        <v>Whole House Efficiency</v>
      </c>
      <c r="H626" s="241" t="str">
        <f>INDEX('VDSM MAPPING'!G:G,MATCH($D626,'VDSM MAPPING'!$A:$A,0))</f>
        <v>Various</v>
      </c>
      <c r="I626" s="241" t="str">
        <f>INDEX('VDSM MAPPING'!H:H,MATCH($D626,'VDSM MAPPING'!$A:$A,0))</f>
        <v>Residential Kit</v>
      </c>
      <c r="J626" s="240" t="str">
        <f t="shared" si="115"/>
        <v/>
      </c>
      <c r="K626" s="240" t="str">
        <f t="shared" si="116"/>
        <v/>
      </c>
      <c r="L626" s="240" t="b">
        <f t="shared" si="117"/>
        <v>0</v>
      </c>
      <c r="M626" s="240" t="b">
        <f t="shared" si="118"/>
        <v>0</v>
      </c>
      <c r="N626" s="204" t="s">
        <v>289</v>
      </c>
      <c r="O626" s="204" t="s">
        <v>460</v>
      </c>
      <c r="P626" s="350">
        <v>1</v>
      </c>
      <c r="Q626" s="204" t="s">
        <v>460</v>
      </c>
      <c r="R626" s="204" t="s">
        <v>459</v>
      </c>
      <c r="S626" s="204" t="s">
        <v>458</v>
      </c>
      <c r="T626" s="204" t="s">
        <v>457</v>
      </c>
      <c r="V626" s="204" t="s">
        <v>456</v>
      </c>
      <c r="W626" s="204" t="s">
        <v>329</v>
      </c>
      <c r="X626" s="204" t="s">
        <v>297</v>
      </c>
      <c r="Y626" s="204" t="s">
        <v>328</v>
      </c>
      <c r="AG626" s="204" t="s">
        <v>295</v>
      </c>
      <c r="AH626" s="204" t="s">
        <v>305</v>
      </c>
      <c r="AI626" s="204" t="s">
        <v>294</v>
      </c>
      <c r="AX626" s="204">
        <v>1</v>
      </c>
      <c r="AY626" s="204">
        <v>0</v>
      </c>
      <c r="AZ626" s="204">
        <v>4.3999999999999997E-2</v>
      </c>
      <c r="BB626" s="204">
        <v>417</v>
      </c>
      <c r="BH626" s="204">
        <v>0</v>
      </c>
      <c r="BI626" s="204">
        <v>0</v>
      </c>
      <c r="BJ626" s="204">
        <v>42794</v>
      </c>
      <c r="BK626" s="204">
        <v>42794.5689748843</v>
      </c>
      <c r="BL626" s="204" t="s">
        <v>293</v>
      </c>
      <c r="BM626" s="204" t="s">
        <v>461</v>
      </c>
      <c r="BN626" s="269">
        <f t="shared" si="119"/>
        <v>417</v>
      </c>
      <c r="BO626" s="269">
        <f t="shared" si="120"/>
        <v>0</v>
      </c>
      <c r="BP626" s="269">
        <f>INDEX('App Data Outliers'!$M:$M,MATCH($E626,'App Data Outliers'!$A:$A,0))</f>
        <v>417</v>
      </c>
      <c r="BQ626" s="269">
        <f>INDEX('App Data Outliers'!$N:$N,MATCH($E626,'App Data Outliers'!$A:$A,0))</f>
        <v>0</v>
      </c>
      <c r="BR626" s="269">
        <f>INDEX('App Data Outliers'!$S:$S,MATCH($E626,'App Data Outliers'!$A:$A,0))</f>
        <v>0</v>
      </c>
      <c r="BS626" s="269">
        <f>INDEX('App Data Outliers'!$T:$T,MATCH($E626,'App Data Outliers'!$A:$A,0))</f>
        <v>0</v>
      </c>
    </row>
    <row r="627" spans="1:71" s="204" customFormat="1">
      <c r="A627" s="241">
        <v>623</v>
      </c>
      <c r="B627" s="241" t="str">
        <f t="shared" si="111"/>
        <v>Residential - BHPSD - Whole House Efficiency</v>
      </c>
      <c r="C627" s="241" t="b">
        <f t="shared" si="112"/>
        <v>1</v>
      </c>
      <c r="D627" s="241" t="str">
        <f t="shared" si="113"/>
        <v>Residential - BHPSD - Whole House Efficiency_Whole House :- Utility Direct Costs_Recommended Audit Measures</v>
      </c>
      <c r="E627" s="241" t="str">
        <f t="shared" si="114"/>
        <v>Residential_Whole House Efficiency_Various_Measures</v>
      </c>
      <c r="F627" s="241" t="str">
        <f>INDEX('VDSM MAPPING'!E:E,MATCH($D627,'VDSM MAPPING'!$A:$A,0))</f>
        <v>Residential</v>
      </c>
      <c r="G627" s="241" t="str">
        <f>INDEX('VDSM MAPPING'!F:F,MATCH($D627,'VDSM MAPPING'!$A:$A,0))</f>
        <v>Whole House Efficiency</v>
      </c>
      <c r="H627" s="241" t="str">
        <f>INDEX('VDSM MAPPING'!G:G,MATCH($D627,'VDSM MAPPING'!$A:$A,0))</f>
        <v>Various</v>
      </c>
      <c r="I627" s="241" t="str">
        <f>INDEX('VDSM MAPPING'!H:H,MATCH($D627,'VDSM MAPPING'!$A:$A,0))</f>
        <v>Measures</v>
      </c>
      <c r="J627" s="240" t="str">
        <f t="shared" si="115"/>
        <v/>
      </c>
      <c r="K627" s="240" t="str">
        <f t="shared" si="116"/>
        <v/>
      </c>
      <c r="L627" s="240" t="b">
        <f t="shared" si="117"/>
        <v>0</v>
      </c>
      <c r="M627" s="240" t="b">
        <f t="shared" si="118"/>
        <v>0</v>
      </c>
      <c r="N627" s="204" t="s">
        <v>289</v>
      </c>
      <c r="O627" s="204" t="s">
        <v>460</v>
      </c>
      <c r="P627" s="350">
        <v>0</v>
      </c>
      <c r="Q627" s="204" t="s">
        <v>460</v>
      </c>
      <c r="R627" s="204" t="s">
        <v>459</v>
      </c>
      <c r="S627" s="204" t="s">
        <v>458</v>
      </c>
      <c r="T627" s="204" t="s">
        <v>457</v>
      </c>
      <c r="V627" s="204" t="s">
        <v>456</v>
      </c>
      <c r="W627" s="204" t="s">
        <v>329</v>
      </c>
      <c r="X627" s="204" t="s">
        <v>297</v>
      </c>
      <c r="Y627" s="204" t="s">
        <v>328</v>
      </c>
      <c r="AG627" s="204" t="s">
        <v>295</v>
      </c>
      <c r="AH627" s="204" t="s">
        <v>153</v>
      </c>
      <c r="AI627" s="204" t="s">
        <v>294</v>
      </c>
      <c r="AX627" s="204">
        <v>1</v>
      </c>
      <c r="AY627" s="204">
        <v>0</v>
      </c>
      <c r="AZ627" s="204">
        <v>0.19</v>
      </c>
      <c r="BB627" s="204">
        <v>508</v>
      </c>
      <c r="BH627" s="204">
        <v>0</v>
      </c>
      <c r="BI627" s="204">
        <v>0</v>
      </c>
      <c r="BJ627" s="204">
        <v>42794</v>
      </c>
      <c r="BK627" s="204">
        <v>42794.5689748843</v>
      </c>
      <c r="BL627" s="204" t="s">
        <v>293</v>
      </c>
      <c r="BM627" s="204" t="s">
        <v>455</v>
      </c>
      <c r="BN627" s="269">
        <f t="shared" si="119"/>
        <v>508</v>
      </c>
      <c r="BO627" s="269">
        <f t="shared" si="120"/>
        <v>0</v>
      </c>
      <c r="BP627" s="269">
        <f>INDEX('App Data Outliers'!$M:$M,MATCH($E627,'App Data Outliers'!$A:$A,0))</f>
        <v>508</v>
      </c>
      <c r="BQ627" s="269">
        <f>INDEX('App Data Outliers'!$N:$N,MATCH($E627,'App Data Outliers'!$A:$A,0))</f>
        <v>0</v>
      </c>
      <c r="BR627" s="269">
        <f>INDEX('App Data Outliers'!$S:$S,MATCH($E627,'App Data Outliers'!$A:$A,0))</f>
        <v>0</v>
      </c>
      <c r="BS627" s="269">
        <f>INDEX('App Data Outliers'!$T:$T,MATCH($E627,'App Data Outliers'!$A:$A,0))</f>
        <v>0</v>
      </c>
    </row>
    <row r="628" spans="1:71" s="204" customFormat="1">
      <c r="A628" s="241">
        <v>624</v>
      </c>
      <c r="B628" s="241" t="str">
        <f t="shared" si="111"/>
        <v>Residential - BHPSD - Whole House Efficiency</v>
      </c>
      <c r="C628" s="241" t="b">
        <f t="shared" si="112"/>
        <v>1</v>
      </c>
      <c r="D628" s="241" t="str">
        <f t="shared" si="113"/>
        <v>Residential - BHPSD - Whole House Efficiency_Whole House :- Utility Direct Costs_Residential EE Kit</v>
      </c>
      <c r="E628" s="241" t="str">
        <f t="shared" si="114"/>
        <v>Residential_Whole House Efficiency_Various_Residential Kit</v>
      </c>
      <c r="F628" s="241" t="str">
        <f>INDEX('VDSM MAPPING'!E:E,MATCH($D628,'VDSM MAPPING'!$A:$A,0))</f>
        <v>Residential</v>
      </c>
      <c r="G628" s="241" t="str">
        <f>INDEX('VDSM MAPPING'!F:F,MATCH($D628,'VDSM MAPPING'!$A:$A,0))</f>
        <v>Whole House Efficiency</v>
      </c>
      <c r="H628" s="241" t="str">
        <f>INDEX('VDSM MAPPING'!G:G,MATCH($D628,'VDSM MAPPING'!$A:$A,0))</f>
        <v>Various</v>
      </c>
      <c r="I628" s="241" t="str">
        <f>INDEX('VDSM MAPPING'!H:H,MATCH($D628,'VDSM MAPPING'!$A:$A,0))</f>
        <v>Residential Kit</v>
      </c>
      <c r="J628" s="240" t="str">
        <f t="shared" si="115"/>
        <v/>
      </c>
      <c r="K628" s="240" t="str">
        <f t="shared" si="116"/>
        <v/>
      </c>
      <c r="L628" s="240" t="b">
        <f t="shared" si="117"/>
        <v>0</v>
      </c>
      <c r="M628" s="240" t="b">
        <f t="shared" si="118"/>
        <v>0</v>
      </c>
      <c r="N628" s="204" t="s">
        <v>289</v>
      </c>
      <c r="O628" s="204" t="s">
        <v>453</v>
      </c>
      <c r="P628" s="350">
        <v>1</v>
      </c>
      <c r="Q628" s="204" t="s">
        <v>453</v>
      </c>
      <c r="R628" s="204" t="s">
        <v>452</v>
      </c>
      <c r="S628" s="204" t="s">
        <v>451</v>
      </c>
      <c r="T628" s="204" t="s">
        <v>450</v>
      </c>
      <c r="V628" s="204" t="s">
        <v>449</v>
      </c>
      <c r="W628" s="204" t="s">
        <v>308</v>
      </c>
      <c r="X628" s="204" t="s">
        <v>297</v>
      </c>
      <c r="Y628" s="204" t="s">
        <v>307</v>
      </c>
      <c r="AG628" s="204" t="s">
        <v>295</v>
      </c>
      <c r="AH628" s="204" t="s">
        <v>305</v>
      </c>
      <c r="AI628" s="204" t="s">
        <v>294</v>
      </c>
      <c r="AX628" s="204">
        <v>1</v>
      </c>
      <c r="AY628" s="204">
        <v>0</v>
      </c>
      <c r="AZ628" s="204">
        <v>4.3999999999999997E-2</v>
      </c>
      <c r="BB628" s="204">
        <v>417</v>
      </c>
      <c r="BH628" s="204">
        <v>0</v>
      </c>
      <c r="BI628" s="204">
        <v>0</v>
      </c>
      <c r="BJ628" s="204">
        <v>42794</v>
      </c>
      <c r="BK628" s="204">
        <v>42794.578149340297</v>
      </c>
      <c r="BL628" s="204" t="s">
        <v>293</v>
      </c>
      <c r="BM628" s="204" t="s">
        <v>454</v>
      </c>
      <c r="BN628" s="269">
        <f t="shared" si="119"/>
        <v>417</v>
      </c>
      <c r="BO628" s="269">
        <f t="shared" si="120"/>
        <v>0</v>
      </c>
      <c r="BP628" s="269">
        <f>INDEX('App Data Outliers'!$M:$M,MATCH($E628,'App Data Outliers'!$A:$A,0))</f>
        <v>417</v>
      </c>
      <c r="BQ628" s="269">
        <f>INDEX('App Data Outliers'!$N:$N,MATCH($E628,'App Data Outliers'!$A:$A,0))</f>
        <v>0</v>
      </c>
      <c r="BR628" s="269">
        <f>INDEX('App Data Outliers'!$S:$S,MATCH($E628,'App Data Outliers'!$A:$A,0))</f>
        <v>0</v>
      </c>
      <c r="BS628" s="269">
        <f>INDEX('App Data Outliers'!$T:$T,MATCH($E628,'App Data Outliers'!$A:$A,0))</f>
        <v>0</v>
      </c>
    </row>
    <row r="629" spans="1:71" s="204" customFormat="1">
      <c r="A629" s="241">
        <v>625</v>
      </c>
      <c r="B629" s="241" t="str">
        <f t="shared" si="111"/>
        <v>Residential - BHPSD - Whole House Efficiency</v>
      </c>
      <c r="C629" s="241" t="b">
        <f t="shared" si="112"/>
        <v>1</v>
      </c>
      <c r="D629" s="241" t="str">
        <f t="shared" si="113"/>
        <v>Residential - BHPSD - Whole House Efficiency_Whole House :- Utility Direct Costs_Recommended Audit Measures</v>
      </c>
      <c r="E629" s="241" t="str">
        <f t="shared" si="114"/>
        <v>Residential_Whole House Efficiency_Various_Measures</v>
      </c>
      <c r="F629" s="241" t="str">
        <f>INDEX('VDSM MAPPING'!E:E,MATCH($D629,'VDSM MAPPING'!$A:$A,0))</f>
        <v>Residential</v>
      </c>
      <c r="G629" s="241" t="str">
        <f>INDEX('VDSM MAPPING'!F:F,MATCH($D629,'VDSM MAPPING'!$A:$A,0))</f>
        <v>Whole House Efficiency</v>
      </c>
      <c r="H629" s="241" t="str">
        <f>INDEX('VDSM MAPPING'!G:G,MATCH($D629,'VDSM MAPPING'!$A:$A,0))</f>
        <v>Various</v>
      </c>
      <c r="I629" s="241" t="str">
        <f>INDEX('VDSM MAPPING'!H:H,MATCH($D629,'VDSM MAPPING'!$A:$A,0))</f>
        <v>Measures</v>
      </c>
      <c r="J629" s="240" t="str">
        <f t="shared" si="115"/>
        <v/>
      </c>
      <c r="K629" s="240" t="str">
        <f t="shared" si="116"/>
        <v/>
      </c>
      <c r="L629" s="240" t="b">
        <f t="shared" si="117"/>
        <v>0</v>
      </c>
      <c r="M629" s="240" t="b">
        <f t="shared" si="118"/>
        <v>0</v>
      </c>
      <c r="N629" s="204" t="s">
        <v>289</v>
      </c>
      <c r="O629" s="204" t="s">
        <v>453</v>
      </c>
      <c r="P629" s="350">
        <v>0</v>
      </c>
      <c r="Q629" s="204" t="s">
        <v>453</v>
      </c>
      <c r="R629" s="204" t="s">
        <v>452</v>
      </c>
      <c r="S629" s="204" t="s">
        <v>451</v>
      </c>
      <c r="T629" s="204" t="s">
        <v>450</v>
      </c>
      <c r="V629" s="204" t="s">
        <v>449</v>
      </c>
      <c r="W629" s="204" t="s">
        <v>308</v>
      </c>
      <c r="X629" s="204" t="s">
        <v>297</v>
      </c>
      <c r="Y629" s="204" t="s">
        <v>307</v>
      </c>
      <c r="AG629" s="204" t="s">
        <v>295</v>
      </c>
      <c r="AH629" s="204" t="s">
        <v>153</v>
      </c>
      <c r="AI629" s="204" t="s">
        <v>294</v>
      </c>
      <c r="AX629" s="204">
        <v>1</v>
      </c>
      <c r="AY629" s="204">
        <v>0</v>
      </c>
      <c r="AZ629" s="204">
        <v>0.19</v>
      </c>
      <c r="BB629" s="204">
        <v>508</v>
      </c>
      <c r="BH629" s="204">
        <v>0</v>
      </c>
      <c r="BI629" s="204">
        <v>0</v>
      </c>
      <c r="BJ629" s="204">
        <v>42794</v>
      </c>
      <c r="BK629" s="204">
        <v>42794.578149340297</v>
      </c>
      <c r="BL629" s="204" t="s">
        <v>293</v>
      </c>
      <c r="BM629" s="204" t="s">
        <v>448</v>
      </c>
      <c r="BN629" s="269">
        <f t="shared" si="119"/>
        <v>508</v>
      </c>
      <c r="BO629" s="269">
        <f t="shared" si="120"/>
        <v>0</v>
      </c>
      <c r="BP629" s="269">
        <f>INDEX('App Data Outliers'!$M:$M,MATCH($E629,'App Data Outliers'!$A:$A,0))</f>
        <v>508</v>
      </c>
      <c r="BQ629" s="269">
        <f>INDEX('App Data Outliers'!$N:$N,MATCH($E629,'App Data Outliers'!$A:$A,0))</f>
        <v>0</v>
      </c>
      <c r="BR629" s="269">
        <f>INDEX('App Data Outliers'!$S:$S,MATCH($E629,'App Data Outliers'!$A:$A,0))</f>
        <v>0</v>
      </c>
      <c r="BS629" s="269">
        <f>INDEX('App Data Outliers'!$T:$T,MATCH($E629,'App Data Outliers'!$A:$A,0))</f>
        <v>0</v>
      </c>
    </row>
    <row r="630" spans="1:71" s="204" customFormat="1">
      <c r="A630" s="241">
        <v>626</v>
      </c>
      <c r="B630" s="241" t="str">
        <f t="shared" si="111"/>
        <v>Residential - BHPSD - Whole House Efficiency</v>
      </c>
      <c r="C630" s="241" t="b">
        <f t="shared" si="112"/>
        <v>1</v>
      </c>
      <c r="D630" s="241" t="str">
        <f t="shared" si="113"/>
        <v>Residential - BHPSD - Whole House Efficiency_Whole House :- Utility Direct Costs_Residential EE Kit</v>
      </c>
      <c r="E630" s="241" t="str">
        <f t="shared" si="114"/>
        <v>Residential_Whole House Efficiency_Various_Residential Kit</v>
      </c>
      <c r="F630" s="241" t="str">
        <f>INDEX('VDSM MAPPING'!E:E,MATCH($D630,'VDSM MAPPING'!$A:$A,0))</f>
        <v>Residential</v>
      </c>
      <c r="G630" s="241" t="str">
        <f>INDEX('VDSM MAPPING'!F:F,MATCH($D630,'VDSM MAPPING'!$A:$A,0))</f>
        <v>Whole House Efficiency</v>
      </c>
      <c r="H630" s="241" t="str">
        <f>INDEX('VDSM MAPPING'!G:G,MATCH($D630,'VDSM MAPPING'!$A:$A,0))</f>
        <v>Various</v>
      </c>
      <c r="I630" s="241" t="str">
        <f>INDEX('VDSM MAPPING'!H:H,MATCH($D630,'VDSM MAPPING'!$A:$A,0))</f>
        <v>Residential Kit</v>
      </c>
      <c r="J630" s="240" t="str">
        <f t="shared" si="115"/>
        <v/>
      </c>
      <c r="K630" s="240" t="str">
        <f t="shared" si="116"/>
        <v/>
      </c>
      <c r="L630" s="240" t="b">
        <f t="shared" si="117"/>
        <v>0</v>
      </c>
      <c r="M630" s="240" t="b">
        <f t="shared" si="118"/>
        <v>0</v>
      </c>
      <c r="N630" s="204" t="s">
        <v>289</v>
      </c>
      <c r="O630" s="204" t="s">
        <v>446</v>
      </c>
      <c r="P630" s="350">
        <v>1</v>
      </c>
      <c r="Q630" s="204" t="s">
        <v>446</v>
      </c>
      <c r="R630" s="204" t="s">
        <v>445</v>
      </c>
      <c r="S630" s="204" t="s">
        <v>444</v>
      </c>
      <c r="T630" s="204" t="s">
        <v>443</v>
      </c>
      <c r="V630" s="204" t="s">
        <v>442</v>
      </c>
      <c r="W630" s="204" t="s">
        <v>320</v>
      </c>
      <c r="X630" s="204" t="s">
        <v>297</v>
      </c>
      <c r="Y630" s="204" t="s">
        <v>319</v>
      </c>
      <c r="AG630" s="204" t="s">
        <v>295</v>
      </c>
      <c r="AH630" s="204" t="s">
        <v>305</v>
      </c>
      <c r="AI630" s="204" t="s">
        <v>294</v>
      </c>
      <c r="AX630" s="204">
        <v>1</v>
      </c>
      <c r="AY630" s="204">
        <v>0</v>
      </c>
      <c r="AZ630" s="204">
        <v>4.3999999999999997E-2</v>
      </c>
      <c r="BB630" s="204">
        <v>417</v>
      </c>
      <c r="BH630" s="204">
        <v>0</v>
      </c>
      <c r="BI630" s="204">
        <v>0</v>
      </c>
      <c r="BJ630" s="204">
        <v>42802</v>
      </c>
      <c r="BK630" s="204">
        <v>42802.646110185196</v>
      </c>
      <c r="BL630" s="204" t="s">
        <v>293</v>
      </c>
      <c r="BM630" s="204" t="s">
        <v>441</v>
      </c>
      <c r="BN630" s="269">
        <f t="shared" si="119"/>
        <v>417</v>
      </c>
      <c r="BO630" s="269">
        <f t="shared" si="120"/>
        <v>0</v>
      </c>
      <c r="BP630" s="269">
        <f>INDEX('App Data Outliers'!$M:$M,MATCH($E630,'App Data Outliers'!$A:$A,0))</f>
        <v>417</v>
      </c>
      <c r="BQ630" s="269">
        <f>INDEX('App Data Outliers'!$N:$N,MATCH($E630,'App Data Outliers'!$A:$A,0))</f>
        <v>0</v>
      </c>
      <c r="BR630" s="269">
        <f>INDEX('App Data Outliers'!$S:$S,MATCH($E630,'App Data Outliers'!$A:$A,0))</f>
        <v>0</v>
      </c>
      <c r="BS630" s="269">
        <f>INDEX('App Data Outliers'!$T:$T,MATCH($E630,'App Data Outliers'!$A:$A,0))</f>
        <v>0</v>
      </c>
    </row>
    <row r="631" spans="1:71" s="204" customFormat="1">
      <c r="A631" s="241">
        <v>627</v>
      </c>
      <c r="B631" s="241" t="str">
        <f t="shared" si="111"/>
        <v>Residential - BHPSD - Whole House Efficiency</v>
      </c>
      <c r="C631" s="241" t="b">
        <f t="shared" si="112"/>
        <v>1</v>
      </c>
      <c r="D631" s="241" t="str">
        <f t="shared" si="113"/>
        <v>Residential - BHPSD - Whole House Efficiency_Whole House :- Utility Direct Costs_Recommended Audit Measures</v>
      </c>
      <c r="E631" s="241" t="str">
        <f t="shared" si="114"/>
        <v>Residential_Whole House Efficiency_Various_Measures</v>
      </c>
      <c r="F631" s="241" t="str">
        <f>INDEX('VDSM MAPPING'!E:E,MATCH($D631,'VDSM MAPPING'!$A:$A,0))</f>
        <v>Residential</v>
      </c>
      <c r="G631" s="241" t="str">
        <f>INDEX('VDSM MAPPING'!F:F,MATCH($D631,'VDSM MAPPING'!$A:$A,0))</f>
        <v>Whole House Efficiency</v>
      </c>
      <c r="H631" s="241" t="str">
        <f>INDEX('VDSM MAPPING'!G:G,MATCH($D631,'VDSM MAPPING'!$A:$A,0))</f>
        <v>Various</v>
      </c>
      <c r="I631" s="241" t="str">
        <f>INDEX('VDSM MAPPING'!H:H,MATCH($D631,'VDSM MAPPING'!$A:$A,0))</f>
        <v>Measures</v>
      </c>
      <c r="J631" s="240" t="str">
        <f t="shared" si="115"/>
        <v/>
      </c>
      <c r="K631" s="240" t="str">
        <f t="shared" si="116"/>
        <v/>
      </c>
      <c r="L631" s="240" t="b">
        <f t="shared" si="117"/>
        <v>0</v>
      </c>
      <c r="M631" s="240" t="b">
        <f t="shared" si="118"/>
        <v>0</v>
      </c>
      <c r="N631" s="204" t="s">
        <v>289</v>
      </c>
      <c r="O631" s="204" t="s">
        <v>446</v>
      </c>
      <c r="P631" s="350">
        <v>0</v>
      </c>
      <c r="Q631" s="204" t="s">
        <v>446</v>
      </c>
      <c r="R631" s="204" t="s">
        <v>445</v>
      </c>
      <c r="S631" s="204" t="s">
        <v>444</v>
      </c>
      <c r="T631" s="204" t="s">
        <v>443</v>
      </c>
      <c r="V631" s="204" t="s">
        <v>442</v>
      </c>
      <c r="W631" s="204" t="s">
        <v>320</v>
      </c>
      <c r="X631" s="204" t="s">
        <v>297</v>
      </c>
      <c r="Y631" s="204" t="s">
        <v>319</v>
      </c>
      <c r="AG631" s="204" t="s">
        <v>295</v>
      </c>
      <c r="AH631" s="204" t="s">
        <v>153</v>
      </c>
      <c r="AI631" s="204" t="s">
        <v>294</v>
      </c>
      <c r="AX631" s="204">
        <v>1</v>
      </c>
      <c r="AY631" s="204">
        <v>0</v>
      </c>
      <c r="AZ631" s="204">
        <v>0.19</v>
      </c>
      <c r="BB631" s="204">
        <v>508</v>
      </c>
      <c r="BH631" s="204">
        <v>0</v>
      </c>
      <c r="BI631" s="204">
        <v>0</v>
      </c>
      <c r="BJ631" s="204">
        <v>42802</v>
      </c>
      <c r="BK631" s="204">
        <v>42802.646110185196</v>
      </c>
      <c r="BL631" s="204" t="s">
        <v>293</v>
      </c>
      <c r="BM631" s="204" t="s">
        <v>447</v>
      </c>
      <c r="BN631" s="269">
        <f t="shared" si="119"/>
        <v>508</v>
      </c>
      <c r="BO631" s="269">
        <f t="shared" si="120"/>
        <v>0</v>
      </c>
      <c r="BP631" s="269">
        <f>INDEX('App Data Outliers'!$M:$M,MATCH($E631,'App Data Outliers'!$A:$A,0))</f>
        <v>508</v>
      </c>
      <c r="BQ631" s="269">
        <f>INDEX('App Data Outliers'!$N:$N,MATCH($E631,'App Data Outliers'!$A:$A,0))</f>
        <v>0</v>
      </c>
      <c r="BR631" s="269">
        <f>INDEX('App Data Outliers'!$S:$S,MATCH($E631,'App Data Outliers'!$A:$A,0))</f>
        <v>0</v>
      </c>
      <c r="BS631" s="269">
        <f>INDEX('App Data Outliers'!$T:$T,MATCH($E631,'App Data Outliers'!$A:$A,0))</f>
        <v>0</v>
      </c>
    </row>
    <row r="632" spans="1:71" s="204" customFormat="1">
      <c r="A632" s="241">
        <v>628</v>
      </c>
      <c r="B632" s="241" t="str">
        <f t="shared" si="111"/>
        <v>Residential - BHPSD - Whole House Efficiency</v>
      </c>
      <c r="C632" s="241" t="b">
        <f t="shared" si="112"/>
        <v>1</v>
      </c>
      <c r="D632" s="241" t="str">
        <f t="shared" si="113"/>
        <v>Residential - BHPSD - Whole House Efficiency_Whole House :- Utility Direct Costs_Recommended Audit Measures</v>
      </c>
      <c r="E632" s="241" t="str">
        <f t="shared" si="114"/>
        <v>Residential_Whole House Efficiency_Various_Measures</v>
      </c>
      <c r="F632" s="241" t="str">
        <f>INDEX('VDSM MAPPING'!E:E,MATCH($D632,'VDSM MAPPING'!$A:$A,0))</f>
        <v>Residential</v>
      </c>
      <c r="G632" s="241" t="str">
        <f>INDEX('VDSM MAPPING'!F:F,MATCH($D632,'VDSM MAPPING'!$A:$A,0))</f>
        <v>Whole House Efficiency</v>
      </c>
      <c r="H632" s="241" t="str">
        <f>INDEX('VDSM MAPPING'!G:G,MATCH($D632,'VDSM MAPPING'!$A:$A,0))</f>
        <v>Various</v>
      </c>
      <c r="I632" s="241" t="str">
        <f>INDEX('VDSM MAPPING'!H:H,MATCH($D632,'VDSM MAPPING'!$A:$A,0))</f>
        <v>Measures</v>
      </c>
      <c r="J632" s="240" t="str">
        <f t="shared" si="115"/>
        <v/>
      </c>
      <c r="K632" s="240" t="str">
        <f t="shared" si="116"/>
        <v/>
      </c>
      <c r="L632" s="240" t="b">
        <f t="shared" si="117"/>
        <v>0</v>
      </c>
      <c r="M632" s="240" t="b">
        <f t="shared" si="118"/>
        <v>0</v>
      </c>
      <c r="N632" s="204" t="s">
        <v>289</v>
      </c>
      <c r="O632" s="204" t="s">
        <v>439</v>
      </c>
      <c r="P632" s="350">
        <v>1</v>
      </c>
      <c r="Q632" s="204" t="s">
        <v>439</v>
      </c>
      <c r="R632" s="204" t="s">
        <v>438</v>
      </c>
      <c r="S632" s="204" t="s">
        <v>437</v>
      </c>
      <c r="T632" s="204" t="s">
        <v>436</v>
      </c>
      <c r="V632" s="204" t="s">
        <v>435</v>
      </c>
      <c r="W632" s="204" t="s">
        <v>329</v>
      </c>
      <c r="X632" s="204" t="s">
        <v>297</v>
      </c>
      <c r="Y632" s="204" t="s">
        <v>328</v>
      </c>
      <c r="AG632" s="204" t="s">
        <v>295</v>
      </c>
      <c r="AH632" s="204" t="s">
        <v>153</v>
      </c>
      <c r="AI632" s="204" t="s">
        <v>294</v>
      </c>
      <c r="AX632" s="204">
        <v>1</v>
      </c>
      <c r="AY632" s="204">
        <v>0</v>
      </c>
      <c r="AZ632" s="204">
        <v>0.19</v>
      </c>
      <c r="BB632" s="204">
        <v>508</v>
      </c>
      <c r="BH632" s="204">
        <v>0</v>
      </c>
      <c r="BI632" s="204">
        <v>0</v>
      </c>
      <c r="BJ632" s="204">
        <v>42804</v>
      </c>
      <c r="BK632" s="204">
        <v>42804.560725578704</v>
      </c>
      <c r="BL632" s="204" t="s">
        <v>293</v>
      </c>
      <c r="BM632" s="204" t="s">
        <v>434</v>
      </c>
      <c r="BN632" s="269">
        <f t="shared" si="119"/>
        <v>508</v>
      </c>
      <c r="BO632" s="269">
        <f t="shared" si="120"/>
        <v>0</v>
      </c>
      <c r="BP632" s="269">
        <f>INDEX('App Data Outliers'!$M:$M,MATCH($E632,'App Data Outliers'!$A:$A,0))</f>
        <v>508</v>
      </c>
      <c r="BQ632" s="269">
        <f>INDEX('App Data Outliers'!$N:$N,MATCH($E632,'App Data Outliers'!$A:$A,0))</f>
        <v>0</v>
      </c>
      <c r="BR632" s="269">
        <f>INDEX('App Data Outliers'!$S:$S,MATCH($E632,'App Data Outliers'!$A:$A,0))</f>
        <v>0</v>
      </c>
      <c r="BS632" s="269">
        <f>INDEX('App Data Outliers'!$T:$T,MATCH($E632,'App Data Outliers'!$A:$A,0))</f>
        <v>0</v>
      </c>
    </row>
    <row r="633" spans="1:71" s="204" customFormat="1">
      <c r="A633" s="241">
        <v>629</v>
      </c>
      <c r="B633" s="241" t="str">
        <f t="shared" si="111"/>
        <v>Residential - BHPSD - Whole House Efficiency</v>
      </c>
      <c r="C633" s="241" t="b">
        <f t="shared" si="112"/>
        <v>1</v>
      </c>
      <c r="D633" s="241" t="str">
        <f t="shared" si="113"/>
        <v>Residential - BHPSD - Whole House Efficiency_Whole House :- Utility Direct Costs_Residential EE Kit</v>
      </c>
      <c r="E633" s="241" t="str">
        <f t="shared" si="114"/>
        <v>Residential_Whole House Efficiency_Various_Residential Kit</v>
      </c>
      <c r="F633" s="241" t="str">
        <f>INDEX('VDSM MAPPING'!E:E,MATCH($D633,'VDSM MAPPING'!$A:$A,0))</f>
        <v>Residential</v>
      </c>
      <c r="G633" s="241" t="str">
        <f>INDEX('VDSM MAPPING'!F:F,MATCH($D633,'VDSM MAPPING'!$A:$A,0))</f>
        <v>Whole House Efficiency</v>
      </c>
      <c r="H633" s="241" t="str">
        <f>INDEX('VDSM MAPPING'!G:G,MATCH($D633,'VDSM MAPPING'!$A:$A,0))</f>
        <v>Various</v>
      </c>
      <c r="I633" s="241" t="str">
        <f>INDEX('VDSM MAPPING'!H:H,MATCH($D633,'VDSM MAPPING'!$A:$A,0))</f>
        <v>Residential Kit</v>
      </c>
      <c r="J633" s="240" t="str">
        <f t="shared" si="115"/>
        <v/>
      </c>
      <c r="K633" s="240" t="str">
        <f t="shared" si="116"/>
        <v/>
      </c>
      <c r="L633" s="240" t="b">
        <f t="shared" si="117"/>
        <v>0</v>
      </c>
      <c r="M633" s="240" t="b">
        <f t="shared" si="118"/>
        <v>0</v>
      </c>
      <c r="N633" s="204" t="s">
        <v>289</v>
      </c>
      <c r="O633" s="204" t="s">
        <v>439</v>
      </c>
      <c r="P633" s="350">
        <v>0</v>
      </c>
      <c r="Q633" s="204" t="s">
        <v>439</v>
      </c>
      <c r="R633" s="204" t="s">
        <v>438</v>
      </c>
      <c r="S633" s="204" t="s">
        <v>437</v>
      </c>
      <c r="T633" s="204" t="s">
        <v>436</v>
      </c>
      <c r="V633" s="204" t="s">
        <v>435</v>
      </c>
      <c r="W633" s="204" t="s">
        <v>329</v>
      </c>
      <c r="X633" s="204" t="s">
        <v>297</v>
      </c>
      <c r="Y633" s="204" t="s">
        <v>328</v>
      </c>
      <c r="AG633" s="204" t="s">
        <v>295</v>
      </c>
      <c r="AH633" s="204" t="s">
        <v>305</v>
      </c>
      <c r="AI633" s="204" t="s">
        <v>294</v>
      </c>
      <c r="AX633" s="204">
        <v>1</v>
      </c>
      <c r="AY633" s="204">
        <v>0</v>
      </c>
      <c r="AZ633" s="204">
        <v>4.3999999999999997E-2</v>
      </c>
      <c r="BB633" s="204">
        <v>417</v>
      </c>
      <c r="BH633" s="204">
        <v>0</v>
      </c>
      <c r="BI633" s="204">
        <v>0</v>
      </c>
      <c r="BJ633" s="204">
        <v>42804</v>
      </c>
      <c r="BK633" s="204">
        <v>42804.560725578704</v>
      </c>
      <c r="BL633" s="204" t="s">
        <v>293</v>
      </c>
      <c r="BM633" s="204" t="s">
        <v>440</v>
      </c>
      <c r="BN633" s="269">
        <f t="shared" si="119"/>
        <v>417</v>
      </c>
      <c r="BO633" s="269">
        <f t="shared" si="120"/>
        <v>0</v>
      </c>
      <c r="BP633" s="269">
        <f>INDEX('App Data Outliers'!$M:$M,MATCH($E633,'App Data Outliers'!$A:$A,0))</f>
        <v>417</v>
      </c>
      <c r="BQ633" s="269">
        <f>INDEX('App Data Outliers'!$N:$N,MATCH($E633,'App Data Outliers'!$A:$A,0))</f>
        <v>0</v>
      </c>
      <c r="BR633" s="269">
        <f>INDEX('App Data Outliers'!$S:$S,MATCH($E633,'App Data Outliers'!$A:$A,0))</f>
        <v>0</v>
      </c>
      <c r="BS633" s="269">
        <f>INDEX('App Data Outliers'!$T:$T,MATCH($E633,'App Data Outliers'!$A:$A,0))</f>
        <v>0</v>
      </c>
    </row>
    <row r="634" spans="1:71" s="204" customFormat="1">
      <c r="A634" s="241">
        <v>630</v>
      </c>
      <c r="B634" s="241" t="str">
        <f t="shared" si="111"/>
        <v>Residential - BHPSD - Whole House Efficiency</v>
      </c>
      <c r="C634" s="241" t="b">
        <f t="shared" si="112"/>
        <v>1</v>
      </c>
      <c r="D634" s="241" t="str">
        <f t="shared" si="113"/>
        <v>Residential - BHPSD - Whole House Efficiency_Whole House :- Utility Direct Costs_Recommended Audit Measures</v>
      </c>
      <c r="E634" s="241" t="str">
        <f t="shared" si="114"/>
        <v>Residential_Whole House Efficiency_Various_Measures</v>
      </c>
      <c r="F634" s="241" t="str">
        <f>INDEX('VDSM MAPPING'!E:E,MATCH($D634,'VDSM MAPPING'!$A:$A,0))</f>
        <v>Residential</v>
      </c>
      <c r="G634" s="241" t="str">
        <f>INDEX('VDSM MAPPING'!F:F,MATCH($D634,'VDSM MAPPING'!$A:$A,0))</f>
        <v>Whole House Efficiency</v>
      </c>
      <c r="H634" s="241" t="str">
        <f>INDEX('VDSM MAPPING'!G:G,MATCH($D634,'VDSM MAPPING'!$A:$A,0))</f>
        <v>Various</v>
      </c>
      <c r="I634" s="241" t="str">
        <f>INDEX('VDSM MAPPING'!H:H,MATCH($D634,'VDSM MAPPING'!$A:$A,0))</f>
        <v>Measures</v>
      </c>
      <c r="J634" s="240" t="str">
        <f t="shared" si="115"/>
        <v/>
      </c>
      <c r="K634" s="240" t="str">
        <f t="shared" si="116"/>
        <v/>
      </c>
      <c r="L634" s="240" t="b">
        <f t="shared" si="117"/>
        <v>0</v>
      </c>
      <c r="M634" s="240" t="b">
        <f t="shared" si="118"/>
        <v>0</v>
      </c>
      <c r="N634" s="204" t="s">
        <v>289</v>
      </c>
      <c r="O634" s="204" t="s">
        <v>432</v>
      </c>
      <c r="P634" s="350">
        <v>1</v>
      </c>
      <c r="Q634" s="204" t="s">
        <v>432</v>
      </c>
      <c r="R634" s="204" t="s">
        <v>431</v>
      </c>
      <c r="S634" s="204" t="s">
        <v>430</v>
      </c>
      <c r="T634" s="204" t="s">
        <v>429</v>
      </c>
      <c r="V634" s="204" t="s">
        <v>428</v>
      </c>
      <c r="W634" s="204" t="s">
        <v>345</v>
      </c>
      <c r="X634" s="204" t="s">
        <v>297</v>
      </c>
      <c r="Y634" s="204" t="s">
        <v>344</v>
      </c>
      <c r="AG634" s="204" t="s">
        <v>295</v>
      </c>
      <c r="AH634" s="204" t="s">
        <v>153</v>
      </c>
      <c r="AI634" s="204" t="s">
        <v>294</v>
      </c>
      <c r="AX634" s="204">
        <v>1</v>
      </c>
      <c r="AY634" s="204">
        <v>0</v>
      </c>
      <c r="AZ634" s="204">
        <v>0.19</v>
      </c>
      <c r="BB634" s="204">
        <v>508</v>
      </c>
      <c r="BH634" s="204">
        <v>0</v>
      </c>
      <c r="BI634" s="204">
        <v>0</v>
      </c>
      <c r="BJ634" s="204">
        <v>42804</v>
      </c>
      <c r="BK634" s="204">
        <v>42804.564351041699</v>
      </c>
      <c r="BL634" s="204" t="s">
        <v>293</v>
      </c>
      <c r="BM634" s="204" t="s">
        <v>433</v>
      </c>
      <c r="BN634" s="269">
        <f t="shared" si="119"/>
        <v>508</v>
      </c>
      <c r="BO634" s="269">
        <f t="shared" si="120"/>
        <v>0</v>
      </c>
      <c r="BP634" s="269">
        <f>INDEX('App Data Outliers'!$M:$M,MATCH($E634,'App Data Outliers'!$A:$A,0))</f>
        <v>508</v>
      </c>
      <c r="BQ634" s="269">
        <f>INDEX('App Data Outliers'!$N:$N,MATCH($E634,'App Data Outliers'!$A:$A,0))</f>
        <v>0</v>
      </c>
      <c r="BR634" s="269">
        <f>INDEX('App Data Outliers'!$S:$S,MATCH($E634,'App Data Outliers'!$A:$A,0))</f>
        <v>0</v>
      </c>
      <c r="BS634" s="269">
        <f>INDEX('App Data Outliers'!$T:$T,MATCH($E634,'App Data Outliers'!$A:$A,0))</f>
        <v>0</v>
      </c>
    </row>
    <row r="635" spans="1:71" s="204" customFormat="1">
      <c r="A635" s="241">
        <v>631</v>
      </c>
      <c r="B635" s="241" t="str">
        <f t="shared" si="111"/>
        <v>Residential - BHPSD - Whole House Efficiency</v>
      </c>
      <c r="C635" s="241" t="b">
        <f t="shared" si="112"/>
        <v>1</v>
      </c>
      <c r="D635" s="241" t="str">
        <f t="shared" si="113"/>
        <v>Residential - BHPSD - Whole House Efficiency_Whole House :- Utility Direct Costs_Residential EE Kit</v>
      </c>
      <c r="E635" s="241" t="str">
        <f t="shared" si="114"/>
        <v>Residential_Whole House Efficiency_Various_Residential Kit</v>
      </c>
      <c r="F635" s="241" t="str">
        <f>INDEX('VDSM MAPPING'!E:E,MATCH($D635,'VDSM MAPPING'!$A:$A,0))</f>
        <v>Residential</v>
      </c>
      <c r="G635" s="241" t="str">
        <f>INDEX('VDSM MAPPING'!F:F,MATCH($D635,'VDSM MAPPING'!$A:$A,0))</f>
        <v>Whole House Efficiency</v>
      </c>
      <c r="H635" s="241" t="str">
        <f>INDEX('VDSM MAPPING'!G:G,MATCH($D635,'VDSM MAPPING'!$A:$A,0))</f>
        <v>Various</v>
      </c>
      <c r="I635" s="241" t="str">
        <f>INDEX('VDSM MAPPING'!H:H,MATCH($D635,'VDSM MAPPING'!$A:$A,0))</f>
        <v>Residential Kit</v>
      </c>
      <c r="J635" s="240" t="str">
        <f t="shared" si="115"/>
        <v/>
      </c>
      <c r="K635" s="240" t="str">
        <f t="shared" si="116"/>
        <v/>
      </c>
      <c r="L635" s="240" t="b">
        <f t="shared" si="117"/>
        <v>0</v>
      </c>
      <c r="M635" s="240" t="b">
        <f t="shared" si="118"/>
        <v>0</v>
      </c>
      <c r="N635" s="204" t="s">
        <v>289</v>
      </c>
      <c r="O635" s="204" t="s">
        <v>432</v>
      </c>
      <c r="P635" s="350">
        <v>0</v>
      </c>
      <c r="Q635" s="204" t="s">
        <v>432</v>
      </c>
      <c r="R635" s="204" t="s">
        <v>431</v>
      </c>
      <c r="S635" s="204" t="s">
        <v>430</v>
      </c>
      <c r="T635" s="204" t="s">
        <v>429</v>
      </c>
      <c r="V635" s="204" t="s">
        <v>428</v>
      </c>
      <c r="W635" s="204" t="s">
        <v>345</v>
      </c>
      <c r="X635" s="204" t="s">
        <v>297</v>
      </c>
      <c r="Y635" s="204" t="s">
        <v>344</v>
      </c>
      <c r="AG635" s="204" t="s">
        <v>295</v>
      </c>
      <c r="AH635" s="204" t="s">
        <v>305</v>
      </c>
      <c r="AI635" s="204" t="s">
        <v>294</v>
      </c>
      <c r="AX635" s="204">
        <v>1</v>
      </c>
      <c r="AY635" s="204">
        <v>0</v>
      </c>
      <c r="AZ635" s="204">
        <v>4.3999999999999997E-2</v>
      </c>
      <c r="BB635" s="204">
        <v>417</v>
      </c>
      <c r="BH635" s="204">
        <v>0</v>
      </c>
      <c r="BI635" s="204">
        <v>0</v>
      </c>
      <c r="BJ635" s="204">
        <v>42804</v>
      </c>
      <c r="BK635" s="204">
        <v>42804.564351041699</v>
      </c>
      <c r="BL635" s="204" t="s">
        <v>293</v>
      </c>
      <c r="BM635" s="204" t="s">
        <v>427</v>
      </c>
      <c r="BN635" s="269">
        <f t="shared" si="119"/>
        <v>417</v>
      </c>
      <c r="BO635" s="269">
        <f t="shared" si="120"/>
        <v>0</v>
      </c>
      <c r="BP635" s="269">
        <f>INDEX('App Data Outliers'!$M:$M,MATCH($E635,'App Data Outliers'!$A:$A,0))</f>
        <v>417</v>
      </c>
      <c r="BQ635" s="269">
        <f>INDEX('App Data Outliers'!$N:$N,MATCH($E635,'App Data Outliers'!$A:$A,0))</f>
        <v>0</v>
      </c>
      <c r="BR635" s="269">
        <f>INDEX('App Data Outliers'!$S:$S,MATCH($E635,'App Data Outliers'!$A:$A,0))</f>
        <v>0</v>
      </c>
      <c r="BS635" s="269">
        <f>INDEX('App Data Outliers'!$T:$T,MATCH($E635,'App Data Outliers'!$A:$A,0))</f>
        <v>0</v>
      </c>
    </row>
    <row r="636" spans="1:71" s="204" customFormat="1">
      <c r="A636" s="241">
        <v>632</v>
      </c>
      <c r="B636" s="241" t="str">
        <f t="shared" si="111"/>
        <v>Residential - BHPSD - Whole House Efficiency</v>
      </c>
      <c r="C636" s="241" t="b">
        <f t="shared" si="112"/>
        <v>1</v>
      </c>
      <c r="D636" s="241" t="str">
        <f t="shared" si="113"/>
        <v>Residential - BHPSD - Whole House Efficiency_Whole House :- Utility Direct Costs_Residential EE Kit</v>
      </c>
      <c r="E636" s="241" t="str">
        <f t="shared" si="114"/>
        <v>Residential_Whole House Efficiency_Various_Residential Kit</v>
      </c>
      <c r="F636" s="241" t="str">
        <f>INDEX('VDSM MAPPING'!E:E,MATCH($D636,'VDSM MAPPING'!$A:$A,0))</f>
        <v>Residential</v>
      </c>
      <c r="G636" s="241" t="str">
        <f>INDEX('VDSM MAPPING'!F:F,MATCH($D636,'VDSM MAPPING'!$A:$A,0))</f>
        <v>Whole House Efficiency</v>
      </c>
      <c r="H636" s="241" t="str">
        <f>INDEX('VDSM MAPPING'!G:G,MATCH($D636,'VDSM MAPPING'!$A:$A,0))</f>
        <v>Various</v>
      </c>
      <c r="I636" s="241" t="str">
        <f>INDEX('VDSM MAPPING'!H:H,MATCH($D636,'VDSM MAPPING'!$A:$A,0))</f>
        <v>Residential Kit</v>
      </c>
      <c r="J636" s="240" t="str">
        <f t="shared" si="115"/>
        <v/>
      </c>
      <c r="K636" s="240" t="str">
        <f t="shared" si="116"/>
        <v/>
      </c>
      <c r="L636" s="240" t="b">
        <f t="shared" si="117"/>
        <v>0</v>
      </c>
      <c r="M636" s="240" t="b">
        <f t="shared" si="118"/>
        <v>0</v>
      </c>
      <c r="N636" s="204" t="s">
        <v>289</v>
      </c>
      <c r="O636" s="204" t="s">
        <v>425</v>
      </c>
      <c r="P636" s="350">
        <v>1</v>
      </c>
      <c r="Q636" s="204" t="s">
        <v>425</v>
      </c>
      <c r="R636" s="204" t="s">
        <v>424</v>
      </c>
      <c r="S636" s="204" t="s">
        <v>423</v>
      </c>
      <c r="T636" s="204" t="s">
        <v>422</v>
      </c>
      <c r="V636" s="204" t="s">
        <v>421</v>
      </c>
      <c r="W636" s="204" t="s">
        <v>329</v>
      </c>
      <c r="X636" s="204" t="s">
        <v>297</v>
      </c>
      <c r="Y636" s="204" t="s">
        <v>328</v>
      </c>
      <c r="AG636" s="204" t="s">
        <v>295</v>
      </c>
      <c r="AH636" s="204" t="s">
        <v>305</v>
      </c>
      <c r="AI636" s="204" t="s">
        <v>294</v>
      </c>
      <c r="AX636" s="204">
        <v>1</v>
      </c>
      <c r="AY636" s="204">
        <v>0</v>
      </c>
      <c r="AZ636" s="204">
        <v>4.3999999999999997E-2</v>
      </c>
      <c r="BB636" s="204">
        <v>417</v>
      </c>
      <c r="BH636" s="204">
        <v>0</v>
      </c>
      <c r="BI636" s="204">
        <v>0</v>
      </c>
      <c r="BJ636" s="204">
        <v>42804</v>
      </c>
      <c r="BK636" s="204">
        <v>42804.574054942103</v>
      </c>
      <c r="BL636" s="204" t="s">
        <v>293</v>
      </c>
      <c r="BM636" s="204" t="s">
        <v>420</v>
      </c>
      <c r="BN636" s="269">
        <f t="shared" si="119"/>
        <v>417</v>
      </c>
      <c r="BO636" s="269">
        <f t="shared" si="120"/>
        <v>0</v>
      </c>
      <c r="BP636" s="269">
        <f>INDEX('App Data Outliers'!$M:$M,MATCH($E636,'App Data Outliers'!$A:$A,0))</f>
        <v>417</v>
      </c>
      <c r="BQ636" s="269">
        <f>INDEX('App Data Outliers'!$N:$N,MATCH($E636,'App Data Outliers'!$A:$A,0))</f>
        <v>0</v>
      </c>
      <c r="BR636" s="269">
        <f>INDEX('App Data Outliers'!$S:$S,MATCH($E636,'App Data Outliers'!$A:$A,0))</f>
        <v>0</v>
      </c>
      <c r="BS636" s="269">
        <f>INDEX('App Data Outliers'!$T:$T,MATCH($E636,'App Data Outliers'!$A:$A,0))</f>
        <v>0</v>
      </c>
    </row>
    <row r="637" spans="1:71" s="204" customFormat="1">
      <c r="A637" s="241">
        <v>633</v>
      </c>
      <c r="B637" s="241" t="str">
        <f t="shared" si="111"/>
        <v>Residential - BHPSD - Whole House Efficiency</v>
      </c>
      <c r="C637" s="241" t="b">
        <f t="shared" si="112"/>
        <v>1</v>
      </c>
      <c r="D637" s="241" t="str">
        <f t="shared" si="113"/>
        <v>Residential - BHPSD - Whole House Efficiency_Whole House :- Utility Direct Costs_Recommended Audit Measures</v>
      </c>
      <c r="E637" s="241" t="str">
        <f t="shared" si="114"/>
        <v>Residential_Whole House Efficiency_Various_Measures</v>
      </c>
      <c r="F637" s="241" t="str">
        <f>INDEX('VDSM MAPPING'!E:E,MATCH($D637,'VDSM MAPPING'!$A:$A,0))</f>
        <v>Residential</v>
      </c>
      <c r="G637" s="241" t="str">
        <f>INDEX('VDSM MAPPING'!F:F,MATCH($D637,'VDSM MAPPING'!$A:$A,0))</f>
        <v>Whole House Efficiency</v>
      </c>
      <c r="H637" s="241" t="str">
        <f>INDEX('VDSM MAPPING'!G:G,MATCH($D637,'VDSM MAPPING'!$A:$A,0))</f>
        <v>Various</v>
      </c>
      <c r="I637" s="241" t="str">
        <f>INDEX('VDSM MAPPING'!H:H,MATCH($D637,'VDSM MAPPING'!$A:$A,0))</f>
        <v>Measures</v>
      </c>
      <c r="J637" s="240" t="str">
        <f t="shared" si="115"/>
        <v/>
      </c>
      <c r="K637" s="240" t="str">
        <f t="shared" si="116"/>
        <v/>
      </c>
      <c r="L637" s="240" t="b">
        <f t="shared" si="117"/>
        <v>0</v>
      </c>
      <c r="M637" s="240" t="b">
        <f t="shared" si="118"/>
        <v>0</v>
      </c>
      <c r="N637" s="204" t="s">
        <v>289</v>
      </c>
      <c r="O637" s="204" t="s">
        <v>425</v>
      </c>
      <c r="P637" s="350">
        <v>0</v>
      </c>
      <c r="Q637" s="204" t="s">
        <v>425</v>
      </c>
      <c r="R637" s="204" t="s">
        <v>424</v>
      </c>
      <c r="S637" s="204" t="s">
        <v>423</v>
      </c>
      <c r="T637" s="204" t="s">
        <v>422</v>
      </c>
      <c r="V637" s="204" t="s">
        <v>421</v>
      </c>
      <c r="W637" s="204" t="s">
        <v>329</v>
      </c>
      <c r="X637" s="204" t="s">
        <v>297</v>
      </c>
      <c r="Y637" s="204" t="s">
        <v>328</v>
      </c>
      <c r="AG637" s="204" t="s">
        <v>295</v>
      </c>
      <c r="AH637" s="204" t="s">
        <v>153</v>
      </c>
      <c r="AI637" s="204" t="s">
        <v>294</v>
      </c>
      <c r="AX637" s="204">
        <v>1</v>
      </c>
      <c r="AY637" s="204">
        <v>0</v>
      </c>
      <c r="AZ637" s="204">
        <v>0.19</v>
      </c>
      <c r="BB637" s="204">
        <v>508</v>
      </c>
      <c r="BH637" s="204">
        <v>0</v>
      </c>
      <c r="BI637" s="204">
        <v>0</v>
      </c>
      <c r="BJ637" s="204">
        <v>42804</v>
      </c>
      <c r="BK637" s="204">
        <v>42804.574054942103</v>
      </c>
      <c r="BL637" s="204" t="s">
        <v>293</v>
      </c>
      <c r="BM637" s="204" t="s">
        <v>426</v>
      </c>
      <c r="BN637" s="269">
        <f t="shared" si="119"/>
        <v>508</v>
      </c>
      <c r="BO637" s="269">
        <f t="shared" si="120"/>
        <v>0</v>
      </c>
      <c r="BP637" s="269">
        <f>INDEX('App Data Outliers'!$M:$M,MATCH($E637,'App Data Outliers'!$A:$A,0))</f>
        <v>508</v>
      </c>
      <c r="BQ637" s="269">
        <f>INDEX('App Data Outliers'!$N:$N,MATCH($E637,'App Data Outliers'!$A:$A,0))</f>
        <v>0</v>
      </c>
      <c r="BR637" s="269">
        <f>INDEX('App Data Outliers'!$S:$S,MATCH($E637,'App Data Outliers'!$A:$A,0))</f>
        <v>0</v>
      </c>
      <c r="BS637" s="269">
        <f>INDEX('App Data Outliers'!$T:$T,MATCH($E637,'App Data Outliers'!$A:$A,0))</f>
        <v>0</v>
      </c>
    </row>
    <row r="638" spans="1:71" s="204" customFormat="1">
      <c r="A638" s="241">
        <v>634</v>
      </c>
      <c r="B638" s="241" t="str">
        <f t="shared" si="111"/>
        <v>Residential - BHPSD - Whole House Efficiency</v>
      </c>
      <c r="C638" s="241" t="b">
        <f t="shared" si="112"/>
        <v>1</v>
      </c>
      <c r="D638" s="241" t="str">
        <f t="shared" si="113"/>
        <v>Residential - BHPSD - Whole House Efficiency_Whole House :- Utility Direct Costs_Recommended Audit Measures</v>
      </c>
      <c r="E638" s="241" t="str">
        <f t="shared" si="114"/>
        <v>Residential_Whole House Efficiency_Various_Measures</v>
      </c>
      <c r="F638" s="241" t="str">
        <f>INDEX('VDSM MAPPING'!E:E,MATCH($D638,'VDSM MAPPING'!$A:$A,0))</f>
        <v>Residential</v>
      </c>
      <c r="G638" s="241" t="str">
        <f>INDEX('VDSM MAPPING'!F:F,MATCH($D638,'VDSM MAPPING'!$A:$A,0))</f>
        <v>Whole House Efficiency</v>
      </c>
      <c r="H638" s="241" t="str">
        <f>INDEX('VDSM MAPPING'!G:G,MATCH($D638,'VDSM MAPPING'!$A:$A,0))</f>
        <v>Various</v>
      </c>
      <c r="I638" s="241" t="str">
        <f>INDEX('VDSM MAPPING'!H:H,MATCH($D638,'VDSM MAPPING'!$A:$A,0))</f>
        <v>Measures</v>
      </c>
      <c r="J638" s="240" t="str">
        <f t="shared" si="115"/>
        <v/>
      </c>
      <c r="K638" s="240" t="str">
        <f t="shared" si="116"/>
        <v/>
      </c>
      <c r="L638" s="240" t="b">
        <f t="shared" si="117"/>
        <v>0</v>
      </c>
      <c r="M638" s="240" t="b">
        <f t="shared" si="118"/>
        <v>0</v>
      </c>
      <c r="N638" s="204" t="s">
        <v>289</v>
      </c>
      <c r="O638" s="204" t="s">
        <v>418</v>
      </c>
      <c r="P638" s="350">
        <v>1</v>
      </c>
      <c r="Q638" s="204" t="s">
        <v>418</v>
      </c>
      <c r="R638" s="204" t="s">
        <v>417</v>
      </c>
      <c r="S638" s="204" t="s">
        <v>416</v>
      </c>
      <c r="T638" s="204" t="s">
        <v>415</v>
      </c>
      <c r="V638" s="204" t="s">
        <v>414</v>
      </c>
      <c r="W638" s="204" t="s">
        <v>413</v>
      </c>
      <c r="X638" s="204" t="s">
        <v>297</v>
      </c>
      <c r="Y638" s="204" t="s">
        <v>412</v>
      </c>
      <c r="AG638" s="204" t="s">
        <v>295</v>
      </c>
      <c r="AH638" s="204" t="s">
        <v>153</v>
      </c>
      <c r="AI638" s="204" t="s">
        <v>294</v>
      </c>
      <c r="AX638" s="204">
        <v>1</v>
      </c>
      <c r="AY638" s="204">
        <v>0</v>
      </c>
      <c r="AZ638" s="204">
        <v>0.19</v>
      </c>
      <c r="BB638" s="204">
        <v>508</v>
      </c>
      <c r="BH638" s="204">
        <v>0</v>
      </c>
      <c r="BI638" s="204">
        <v>0</v>
      </c>
      <c r="BJ638" s="204">
        <v>42815</v>
      </c>
      <c r="BK638" s="204">
        <v>42815.742467557902</v>
      </c>
      <c r="BL638" s="204" t="s">
        <v>293</v>
      </c>
      <c r="BM638" s="204" t="s">
        <v>411</v>
      </c>
      <c r="BN638" s="269">
        <f t="shared" si="119"/>
        <v>508</v>
      </c>
      <c r="BO638" s="269">
        <f t="shared" si="120"/>
        <v>0</v>
      </c>
      <c r="BP638" s="269">
        <f>INDEX('App Data Outliers'!$M:$M,MATCH($E638,'App Data Outliers'!$A:$A,0))</f>
        <v>508</v>
      </c>
      <c r="BQ638" s="269">
        <f>INDEX('App Data Outliers'!$N:$N,MATCH($E638,'App Data Outliers'!$A:$A,0))</f>
        <v>0</v>
      </c>
      <c r="BR638" s="269">
        <f>INDEX('App Data Outliers'!$S:$S,MATCH($E638,'App Data Outliers'!$A:$A,0))</f>
        <v>0</v>
      </c>
      <c r="BS638" s="269">
        <f>INDEX('App Data Outliers'!$T:$T,MATCH($E638,'App Data Outliers'!$A:$A,0))</f>
        <v>0</v>
      </c>
    </row>
    <row r="639" spans="1:71" s="204" customFormat="1">
      <c r="A639" s="241">
        <v>635</v>
      </c>
      <c r="B639" s="241" t="str">
        <f t="shared" si="111"/>
        <v>Residential - BHPSD - Whole House Efficiency</v>
      </c>
      <c r="C639" s="241" t="b">
        <f t="shared" si="112"/>
        <v>1</v>
      </c>
      <c r="D639" s="241" t="str">
        <f t="shared" si="113"/>
        <v>Residential - BHPSD - Whole House Efficiency_Whole House :- Utility Direct Costs_Residential EE Kit</v>
      </c>
      <c r="E639" s="241" t="str">
        <f t="shared" si="114"/>
        <v>Residential_Whole House Efficiency_Various_Residential Kit</v>
      </c>
      <c r="F639" s="241" t="str">
        <f>INDEX('VDSM MAPPING'!E:E,MATCH($D639,'VDSM MAPPING'!$A:$A,0))</f>
        <v>Residential</v>
      </c>
      <c r="G639" s="241" t="str">
        <f>INDEX('VDSM MAPPING'!F:F,MATCH($D639,'VDSM MAPPING'!$A:$A,0))</f>
        <v>Whole House Efficiency</v>
      </c>
      <c r="H639" s="241" t="str">
        <f>INDEX('VDSM MAPPING'!G:G,MATCH($D639,'VDSM MAPPING'!$A:$A,0))</f>
        <v>Various</v>
      </c>
      <c r="I639" s="241" t="str">
        <f>INDEX('VDSM MAPPING'!H:H,MATCH($D639,'VDSM MAPPING'!$A:$A,0))</f>
        <v>Residential Kit</v>
      </c>
      <c r="J639" s="240" t="str">
        <f t="shared" si="115"/>
        <v/>
      </c>
      <c r="K639" s="240" t="str">
        <f t="shared" si="116"/>
        <v/>
      </c>
      <c r="L639" s="240" t="b">
        <f t="shared" si="117"/>
        <v>0</v>
      </c>
      <c r="M639" s="240" t="b">
        <f t="shared" si="118"/>
        <v>0</v>
      </c>
      <c r="N639" s="204" t="s">
        <v>289</v>
      </c>
      <c r="O639" s="204" t="s">
        <v>418</v>
      </c>
      <c r="P639" s="350">
        <v>0</v>
      </c>
      <c r="Q639" s="204" t="s">
        <v>418</v>
      </c>
      <c r="R639" s="204" t="s">
        <v>417</v>
      </c>
      <c r="S639" s="204" t="s">
        <v>416</v>
      </c>
      <c r="T639" s="204" t="s">
        <v>415</v>
      </c>
      <c r="V639" s="204" t="s">
        <v>414</v>
      </c>
      <c r="W639" s="204" t="s">
        <v>413</v>
      </c>
      <c r="X639" s="204" t="s">
        <v>297</v>
      </c>
      <c r="Y639" s="204" t="s">
        <v>412</v>
      </c>
      <c r="AG639" s="204" t="s">
        <v>295</v>
      </c>
      <c r="AH639" s="204" t="s">
        <v>305</v>
      </c>
      <c r="AI639" s="204" t="s">
        <v>294</v>
      </c>
      <c r="AX639" s="204">
        <v>1</v>
      </c>
      <c r="AY639" s="204">
        <v>0</v>
      </c>
      <c r="AZ639" s="204">
        <v>4.3999999999999997E-2</v>
      </c>
      <c r="BB639" s="204">
        <v>417</v>
      </c>
      <c r="BH639" s="204">
        <v>0</v>
      </c>
      <c r="BI639" s="204">
        <v>0</v>
      </c>
      <c r="BJ639" s="204">
        <v>42815</v>
      </c>
      <c r="BK639" s="204">
        <v>42815.742467557902</v>
      </c>
      <c r="BL639" s="204" t="s">
        <v>293</v>
      </c>
      <c r="BM639" s="204" t="s">
        <v>419</v>
      </c>
      <c r="BN639" s="269">
        <f t="shared" si="119"/>
        <v>417</v>
      </c>
      <c r="BO639" s="269">
        <f t="shared" si="120"/>
        <v>0</v>
      </c>
      <c r="BP639" s="269">
        <f>INDEX('App Data Outliers'!$M:$M,MATCH($E639,'App Data Outliers'!$A:$A,0))</f>
        <v>417</v>
      </c>
      <c r="BQ639" s="269">
        <f>INDEX('App Data Outliers'!$N:$N,MATCH($E639,'App Data Outliers'!$A:$A,0))</f>
        <v>0</v>
      </c>
      <c r="BR639" s="269">
        <f>INDEX('App Data Outliers'!$S:$S,MATCH($E639,'App Data Outliers'!$A:$A,0))</f>
        <v>0</v>
      </c>
      <c r="BS639" s="269">
        <f>INDEX('App Data Outliers'!$T:$T,MATCH($E639,'App Data Outliers'!$A:$A,0))</f>
        <v>0</v>
      </c>
    </row>
    <row r="640" spans="1:71" s="204" customFormat="1">
      <c r="A640" s="241">
        <v>636</v>
      </c>
      <c r="B640" s="241" t="str">
        <f t="shared" si="111"/>
        <v>Residential - BHPSD - Whole House Efficiency</v>
      </c>
      <c r="C640" s="241" t="b">
        <f t="shared" si="112"/>
        <v>1</v>
      </c>
      <c r="D640" s="241" t="str">
        <f t="shared" si="113"/>
        <v>Residential - BHPSD - Whole House Efficiency_Whole House :- Utility Direct Costs_Recommended Audit Measures</v>
      </c>
      <c r="E640" s="241" t="str">
        <f t="shared" si="114"/>
        <v>Residential_Whole House Efficiency_Various_Measures</v>
      </c>
      <c r="F640" s="241" t="str">
        <f>INDEX('VDSM MAPPING'!E:E,MATCH($D640,'VDSM MAPPING'!$A:$A,0))</f>
        <v>Residential</v>
      </c>
      <c r="G640" s="241" t="str">
        <f>INDEX('VDSM MAPPING'!F:F,MATCH($D640,'VDSM MAPPING'!$A:$A,0))</f>
        <v>Whole House Efficiency</v>
      </c>
      <c r="H640" s="241" t="str">
        <f>INDEX('VDSM MAPPING'!G:G,MATCH($D640,'VDSM MAPPING'!$A:$A,0))</f>
        <v>Various</v>
      </c>
      <c r="I640" s="241" t="str">
        <f>INDEX('VDSM MAPPING'!H:H,MATCH($D640,'VDSM MAPPING'!$A:$A,0))</f>
        <v>Measures</v>
      </c>
      <c r="J640" s="240" t="str">
        <f t="shared" si="115"/>
        <v/>
      </c>
      <c r="K640" s="240" t="str">
        <f t="shared" si="116"/>
        <v/>
      </c>
      <c r="L640" s="240" t="b">
        <f t="shared" si="117"/>
        <v>0</v>
      </c>
      <c r="M640" s="240" t="b">
        <f t="shared" si="118"/>
        <v>0</v>
      </c>
      <c r="N640" s="204" t="s">
        <v>289</v>
      </c>
      <c r="O640" s="204" t="s">
        <v>409</v>
      </c>
      <c r="P640" s="350">
        <v>1</v>
      </c>
      <c r="Q640" s="204" t="s">
        <v>409</v>
      </c>
      <c r="R640" s="204" t="s">
        <v>408</v>
      </c>
      <c r="S640" s="204" t="s">
        <v>407</v>
      </c>
      <c r="T640" s="204" t="s">
        <v>406</v>
      </c>
      <c r="V640" s="204" t="s">
        <v>405</v>
      </c>
      <c r="W640" s="204" t="s">
        <v>329</v>
      </c>
      <c r="X640" s="204" t="s">
        <v>297</v>
      </c>
      <c r="Y640" s="204" t="s">
        <v>328</v>
      </c>
      <c r="AG640" s="204" t="s">
        <v>295</v>
      </c>
      <c r="AH640" s="204" t="s">
        <v>153</v>
      </c>
      <c r="AI640" s="204" t="s">
        <v>294</v>
      </c>
      <c r="AX640" s="204">
        <v>1</v>
      </c>
      <c r="AY640" s="204">
        <v>0</v>
      </c>
      <c r="AZ640" s="204">
        <v>0.19</v>
      </c>
      <c r="BB640" s="204">
        <v>508</v>
      </c>
      <c r="BH640" s="204">
        <v>0</v>
      </c>
      <c r="BI640" s="204">
        <v>0</v>
      </c>
      <c r="BJ640" s="204">
        <v>42815</v>
      </c>
      <c r="BK640" s="204">
        <v>42815.771673495401</v>
      </c>
      <c r="BL640" s="204" t="s">
        <v>293</v>
      </c>
      <c r="BM640" s="204" t="s">
        <v>404</v>
      </c>
      <c r="BN640" s="269">
        <f t="shared" si="119"/>
        <v>508</v>
      </c>
      <c r="BO640" s="269">
        <f t="shared" si="120"/>
        <v>0</v>
      </c>
      <c r="BP640" s="269">
        <f>INDEX('App Data Outliers'!$M:$M,MATCH($E640,'App Data Outliers'!$A:$A,0))</f>
        <v>508</v>
      </c>
      <c r="BQ640" s="269">
        <f>INDEX('App Data Outliers'!$N:$N,MATCH($E640,'App Data Outliers'!$A:$A,0))</f>
        <v>0</v>
      </c>
      <c r="BR640" s="269">
        <f>INDEX('App Data Outliers'!$S:$S,MATCH($E640,'App Data Outliers'!$A:$A,0))</f>
        <v>0</v>
      </c>
      <c r="BS640" s="269">
        <f>INDEX('App Data Outliers'!$T:$T,MATCH($E640,'App Data Outliers'!$A:$A,0))</f>
        <v>0</v>
      </c>
    </row>
    <row r="641" spans="1:71" s="204" customFormat="1">
      <c r="A641" s="241">
        <v>637</v>
      </c>
      <c r="B641" s="241" t="str">
        <f t="shared" si="111"/>
        <v>Residential - BHPSD - Whole House Efficiency</v>
      </c>
      <c r="C641" s="241" t="b">
        <f t="shared" si="112"/>
        <v>1</v>
      </c>
      <c r="D641" s="241" t="str">
        <f t="shared" si="113"/>
        <v>Residential - BHPSD - Whole House Efficiency_Whole House :- Utility Direct Costs_Residential EE Kit</v>
      </c>
      <c r="E641" s="241" t="str">
        <f t="shared" si="114"/>
        <v>Residential_Whole House Efficiency_Various_Residential Kit</v>
      </c>
      <c r="F641" s="241" t="str">
        <f>INDEX('VDSM MAPPING'!E:E,MATCH($D641,'VDSM MAPPING'!$A:$A,0))</f>
        <v>Residential</v>
      </c>
      <c r="G641" s="241" t="str">
        <f>INDEX('VDSM MAPPING'!F:F,MATCH($D641,'VDSM MAPPING'!$A:$A,0))</f>
        <v>Whole House Efficiency</v>
      </c>
      <c r="H641" s="241" t="str">
        <f>INDEX('VDSM MAPPING'!G:G,MATCH($D641,'VDSM MAPPING'!$A:$A,0))</f>
        <v>Various</v>
      </c>
      <c r="I641" s="241" t="str">
        <f>INDEX('VDSM MAPPING'!H:H,MATCH($D641,'VDSM MAPPING'!$A:$A,0))</f>
        <v>Residential Kit</v>
      </c>
      <c r="J641" s="240" t="str">
        <f t="shared" si="115"/>
        <v/>
      </c>
      <c r="K641" s="240" t="str">
        <f t="shared" si="116"/>
        <v/>
      </c>
      <c r="L641" s="240" t="b">
        <f t="shared" si="117"/>
        <v>0</v>
      </c>
      <c r="M641" s="240" t="b">
        <f t="shared" si="118"/>
        <v>0</v>
      </c>
      <c r="N641" s="204" t="s">
        <v>289</v>
      </c>
      <c r="O641" s="204" t="s">
        <v>409</v>
      </c>
      <c r="P641" s="350">
        <v>0</v>
      </c>
      <c r="Q641" s="204" t="s">
        <v>409</v>
      </c>
      <c r="R641" s="204" t="s">
        <v>408</v>
      </c>
      <c r="S641" s="204" t="s">
        <v>407</v>
      </c>
      <c r="T641" s="204" t="s">
        <v>406</v>
      </c>
      <c r="V641" s="204" t="s">
        <v>405</v>
      </c>
      <c r="W641" s="204" t="s">
        <v>329</v>
      </c>
      <c r="X641" s="204" t="s">
        <v>297</v>
      </c>
      <c r="Y641" s="204" t="s">
        <v>328</v>
      </c>
      <c r="AG641" s="204" t="s">
        <v>295</v>
      </c>
      <c r="AH641" s="204" t="s">
        <v>305</v>
      </c>
      <c r="AI641" s="204" t="s">
        <v>294</v>
      </c>
      <c r="AX641" s="204">
        <v>1</v>
      </c>
      <c r="AY641" s="204">
        <v>0</v>
      </c>
      <c r="AZ641" s="204">
        <v>4.3999999999999997E-2</v>
      </c>
      <c r="BB641" s="204">
        <v>417</v>
      </c>
      <c r="BH641" s="204">
        <v>0</v>
      </c>
      <c r="BI641" s="204">
        <v>0</v>
      </c>
      <c r="BJ641" s="204">
        <v>42815</v>
      </c>
      <c r="BK641" s="204">
        <v>42815.771673495401</v>
      </c>
      <c r="BL641" s="204" t="s">
        <v>293</v>
      </c>
      <c r="BM641" s="204" t="s">
        <v>410</v>
      </c>
      <c r="BN641" s="269">
        <f t="shared" si="119"/>
        <v>417</v>
      </c>
      <c r="BO641" s="269">
        <f t="shared" si="120"/>
        <v>0</v>
      </c>
      <c r="BP641" s="269">
        <f>INDEX('App Data Outliers'!$M:$M,MATCH($E641,'App Data Outliers'!$A:$A,0))</f>
        <v>417</v>
      </c>
      <c r="BQ641" s="269">
        <f>INDEX('App Data Outliers'!$N:$N,MATCH($E641,'App Data Outliers'!$A:$A,0))</f>
        <v>0</v>
      </c>
      <c r="BR641" s="269">
        <f>INDEX('App Data Outliers'!$S:$S,MATCH($E641,'App Data Outliers'!$A:$A,0))</f>
        <v>0</v>
      </c>
      <c r="BS641" s="269">
        <f>INDEX('App Data Outliers'!$T:$T,MATCH($E641,'App Data Outliers'!$A:$A,0))</f>
        <v>0</v>
      </c>
    </row>
    <row r="642" spans="1:71" s="204" customFormat="1">
      <c r="A642" s="241">
        <v>638</v>
      </c>
      <c r="B642" s="241" t="str">
        <f t="shared" si="111"/>
        <v>Residential - BHPSD - Whole House Efficiency</v>
      </c>
      <c r="C642" s="241" t="b">
        <f t="shared" si="112"/>
        <v>1</v>
      </c>
      <c r="D642" s="241" t="str">
        <f t="shared" si="113"/>
        <v>Residential - BHPSD - Whole House Efficiency_Whole House :- Utility Direct Costs_Residential EE Kit</v>
      </c>
      <c r="E642" s="241" t="str">
        <f t="shared" si="114"/>
        <v>Residential_Whole House Efficiency_Various_Residential Kit</v>
      </c>
      <c r="F642" s="241" t="str">
        <f>INDEX('VDSM MAPPING'!E:E,MATCH($D642,'VDSM MAPPING'!$A:$A,0))</f>
        <v>Residential</v>
      </c>
      <c r="G642" s="241" t="str">
        <f>INDEX('VDSM MAPPING'!F:F,MATCH($D642,'VDSM MAPPING'!$A:$A,0))</f>
        <v>Whole House Efficiency</v>
      </c>
      <c r="H642" s="241" t="str">
        <f>INDEX('VDSM MAPPING'!G:G,MATCH($D642,'VDSM MAPPING'!$A:$A,0))</f>
        <v>Various</v>
      </c>
      <c r="I642" s="241" t="str">
        <f>INDEX('VDSM MAPPING'!H:H,MATCH($D642,'VDSM MAPPING'!$A:$A,0))</f>
        <v>Residential Kit</v>
      </c>
      <c r="J642" s="240" t="str">
        <f t="shared" si="115"/>
        <v/>
      </c>
      <c r="K642" s="240" t="str">
        <f t="shared" si="116"/>
        <v/>
      </c>
      <c r="L642" s="240" t="b">
        <f t="shared" si="117"/>
        <v>0</v>
      </c>
      <c r="M642" s="240" t="b">
        <f t="shared" si="118"/>
        <v>0</v>
      </c>
      <c r="N642" s="204" t="s">
        <v>289</v>
      </c>
      <c r="O642" s="204" t="s">
        <v>402</v>
      </c>
      <c r="P642" s="350">
        <v>1</v>
      </c>
      <c r="Q642" s="204" t="s">
        <v>402</v>
      </c>
      <c r="R642" s="204" t="s">
        <v>401</v>
      </c>
      <c r="S642" s="204" t="s">
        <v>400</v>
      </c>
      <c r="T642" s="204" t="s">
        <v>399</v>
      </c>
      <c r="V642" s="204" t="s">
        <v>398</v>
      </c>
      <c r="W642" s="204" t="s">
        <v>329</v>
      </c>
      <c r="X642" s="204" t="s">
        <v>297</v>
      </c>
      <c r="Y642" s="204" t="s">
        <v>397</v>
      </c>
      <c r="AG642" s="204" t="s">
        <v>295</v>
      </c>
      <c r="AH642" s="204" t="s">
        <v>305</v>
      </c>
      <c r="AX642" s="204">
        <v>1</v>
      </c>
      <c r="AY642" s="204">
        <v>0</v>
      </c>
      <c r="AZ642" s="204">
        <v>4.3999999999999997E-2</v>
      </c>
      <c r="BB642" s="204">
        <v>417</v>
      </c>
      <c r="BH642" s="204">
        <v>0</v>
      </c>
      <c r="BI642" s="204">
        <v>0</v>
      </c>
      <c r="BJ642" s="204">
        <v>42821</v>
      </c>
      <c r="BK642" s="204">
        <v>42821.687218553197</v>
      </c>
      <c r="BL642" s="204" t="s">
        <v>293</v>
      </c>
      <c r="BM642" s="204" t="s">
        <v>403</v>
      </c>
      <c r="BN642" s="269">
        <f t="shared" si="119"/>
        <v>417</v>
      </c>
      <c r="BO642" s="269">
        <f t="shared" si="120"/>
        <v>0</v>
      </c>
      <c r="BP642" s="269">
        <f>INDEX('App Data Outliers'!$M:$M,MATCH($E642,'App Data Outliers'!$A:$A,0))</f>
        <v>417</v>
      </c>
      <c r="BQ642" s="269">
        <f>INDEX('App Data Outliers'!$N:$N,MATCH($E642,'App Data Outliers'!$A:$A,0))</f>
        <v>0</v>
      </c>
      <c r="BR642" s="269">
        <f>INDEX('App Data Outliers'!$S:$S,MATCH($E642,'App Data Outliers'!$A:$A,0))</f>
        <v>0</v>
      </c>
      <c r="BS642" s="269">
        <f>INDEX('App Data Outliers'!$T:$T,MATCH($E642,'App Data Outliers'!$A:$A,0))</f>
        <v>0</v>
      </c>
    </row>
    <row r="643" spans="1:71" s="204" customFormat="1">
      <c r="A643" s="241">
        <v>639</v>
      </c>
      <c r="B643" s="241" t="str">
        <f t="shared" si="111"/>
        <v>Residential - BHPSD - Whole House Efficiency</v>
      </c>
      <c r="C643" s="241" t="b">
        <f t="shared" si="112"/>
        <v>1</v>
      </c>
      <c r="D643" s="241" t="str">
        <f t="shared" si="113"/>
        <v>Residential - BHPSD - Whole House Efficiency_Whole House :- Utility Direct Costs_Recommended Audit Measures</v>
      </c>
      <c r="E643" s="241" t="str">
        <f t="shared" si="114"/>
        <v>Residential_Whole House Efficiency_Various_Measures</v>
      </c>
      <c r="F643" s="241" t="str">
        <f>INDEX('VDSM MAPPING'!E:E,MATCH($D643,'VDSM MAPPING'!$A:$A,0))</f>
        <v>Residential</v>
      </c>
      <c r="G643" s="241" t="str">
        <f>INDEX('VDSM MAPPING'!F:F,MATCH($D643,'VDSM MAPPING'!$A:$A,0))</f>
        <v>Whole House Efficiency</v>
      </c>
      <c r="H643" s="241" t="str">
        <f>INDEX('VDSM MAPPING'!G:G,MATCH($D643,'VDSM MAPPING'!$A:$A,0))</f>
        <v>Various</v>
      </c>
      <c r="I643" s="241" t="str">
        <f>INDEX('VDSM MAPPING'!H:H,MATCH($D643,'VDSM MAPPING'!$A:$A,0))</f>
        <v>Measures</v>
      </c>
      <c r="J643" s="240" t="str">
        <f t="shared" si="115"/>
        <v/>
      </c>
      <c r="K643" s="240" t="str">
        <f t="shared" si="116"/>
        <v/>
      </c>
      <c r="L643" s="240" t="b">
        <f t="shared" si="117"/>
        <v>0</v>
      </c>
      <c r="M643" s="240" t="b">
        <f t="shared" si="118"/>
        <v>0</v>
      </c>
      <c r="N643" s="204" t="s">
        <v>289</v>
      </c>
      <c r="O643" s="204" t="s">
        <v>402</v>
      </c>
      <c r="P643" s="350">
        <v>0</v>
      </c>
      <c r="Q643" s="204" t="s">
        <v>402</v>
      </c>
      <c r="R643" s="204" t="s">
        <v>401</v>
      </c>
      <c r="S643" s="204" t="s">
        <v>400</v>
      </c>
      <c r="T643" s="204" t="s">
        <v>399</v>
      </c>
      <c r="V643" s="204" t="s">
        <v>398</v>
      </c>
      <c r="W643" s="204" t="s">
        <v>329</v>
      </c>
      <c r="X643" s="204" t="s">
        <v>297</v>
      </c>
      <c r="Y643" s="204" t="s">
        <v>397</v>
      </c>
      <c r="AG643" s="204" t="s">
        <v>295</v>
      </c>
      <c r="AH643" s="204" t="s">
        <v>153</v>
      </c>
      <c r="AX643" s="204">
        <v>1</v>
      </c>
      <c r="AY643" s="204">
        <v>0</v>
      </c>
      <c r="AZ643" s="204">
        <v>0.19</v>
      </c>
      <c r="BB643" s="204">
        <v>508</v>
      </c>
      <c r="BH643" s="204">
        <v>0</v>
      </c>
      <c r="BI643" s="204">
        <v>0</v>
      </c>
      <c r="BJ643" s="204">
        <v>42821</v>
      </c>
      <c r="BK643" s="204">
        <v>42821.687218553197</v>
      </c>
      <c r="BL643" s="204" t="s">
        <v>293</v>
      </c>
      <c r="BM643" s="204" t="s">
        <v>396</v>
      </c>
      <c r="BN643" s="269">
        <f t="shared" si="119"/>
        <v>508</v>
      </c>
      <c r="BO643" s="269">
        <f t="shared" si="120"/>
        <v>0</v>
      </c>
      <c r="BP643" s="269">
        <f>INDEX('App Data Outliers'!$M:$M,MATCH($E643,'App Data Outliers'!$A:$A,0))</f>
        <v>508</v>
      </c>
      <c r="BQ643" s="269">
        <f>INDEX('App Data Outliers'!$N:$N,MATCH($E643,'App Data Outliers'!$A:$A,0))</f>
        <v>0</v>
      </c>
      <c r="BR643" s="269">
        <f>INDEX('App Data Outliers'!$S:$S,MATCH($E643,'App Data Outliers'!$A:$A,0))</f>
        <v>0</v>
      </c>
      <c r="BS643" s="269">
        <f>INDEX('App Data Outliers'!$T:$T,MATCH($E643,'App Data Outliers'!$A:$A,0))</f>
        <v>0</v>
      </c>
    </row>
    <row r="644" spans="1:71" s="204" customFormat="1">
      <c r="A644" s="241">
        <v>640</v>
      </c>
      <c r="B644" s="241" t="str">
        <f t="shared" si="111"/>
        <v>Residential - BHPSD - Whole House Efficiency</v>
      </c>
      <c r="C644" s="241" t="b">
        <f t="shared" si="112"/>
        <v>1</v>
      </c>
      <c r="D644" s="241" t="str">
        <f t="shared" si="113"/>
        <v>Residential - BHPSD - Whole House Efficiency_Whole House :- Utility Direct Costs_Residential EE Kit</v>
      </c>
      <c r="E644" s="241" t="str">
        <f t="shared" si="114"/>
        <v>Residential_Whole House Efficiency_Various_Residential Kit</v>
      </c>
      <c r="F644" s="241" t="str">
        <f>INDEX('VDSM MAPPING'!E:E,MATCH($D644,'VDSM MAPPING'!$A:$A,0))</f>
        <v>Residential</v>
      </c>
      <c r="G644" s="241" t="str">
        <f>INDEX('VDSM MAPPING'!F:F,MATCH($D644,'VDSM MAPPING'!$A:$A,0))</f>
        <v>Whole House Efficiency</v>
      </c>
      <c r="H644" s="241" t="str">
        <f>INDEX('VDSM MAPPING'!G:G,MATCH($D644,'VDSM MAPPING'!$A:$A,0))</f>
        <v>Various</v>
      </c>
      <c r="I644" s="241" t="str">
        <f>INDEX('VDSM MAPPING'!H:H,MATCH($D644,'VDSM MAPPING'!$A:$A,0))</f>
        <v>Residential Kit</v>
      </c>
      <c r="J644" s="240" t="str">
        <f t="shared" si="115"/>
        <v/>
      </c>
      <c r="K644" s="240" t="str">
        <f t="shared" si="116"/>
        <v/>
      </c>
      <c r="L644" s="240" t="b">
        <f t="shared" si="117"/>
        <v>0</v>
      </c>
      <c r="M644" s="240" t="b">
        <f t="shared" si="118"/>
        <v>0</v>
      </c>
      <c r="N644" s="204" t="s">
        <v>289</v>
      </c>
      <c r="O644" s="204" t="s">
        <v>394</v>
      </c>
      <c r="P644" s="350">
        <v>1</v>
      </c>
      <c r="Q644" s="204" t="s">
        <v>394</v>
      </c>
      <c r="R644" s="204" t="s">
        <v>393</v>
      </c>
      <c r="S644" s="204" t="s">
        <v>392</v>
      </c>
      <c r="T644" s="204" t="s">
        <v>391</v>
      </c>
      <c r="V644" s="204" t="s">
        <v>390</v>
      </c>
      <c r="W644" s="204" t="s">
        <v>329</v>
      </c>
      <c r="X644" s="204" t="s">
        <v>297</v>
      </c>
      <c r="Y644" s="204" t="s">
        <v>328</v>
      </c>
      <c r="AG644" s="204" t="s">
        <v>295</v>
      </c>
      <c r="AH644" s="204" t="s">
        <v>305</v>
      </c>
      <c r="AX644" s="204">
        <v>1</v>
      </c>
      <c r="AY644" s="204">
        <v>0</v>
      </c>
      <c r="AZ644" s="204">
        <v>4.3999999999999997E-2</v>
      </c>
      <c r="BB644" s="204">
        <v>417</v>
      </c>
      <c r="BH644" s="204">
        <v>0</v>
      </c>
      <c r="BI644" s="204">
        <v>0</v>
      </c>
      <c r="BJ644" s="204">
        <v>42832</v>
      </c>
      <c r="BK644" s="204">
        <v>42832.5187526968</v>
      </c>
      <c r="BL644" s="204" t="s">
        <v>293</v>
      </c>
      <c r="BM644" s="204" t="s">
        <v>389</v>
      </c>
      <c r="BN644" s="269">
        <f t="shared" si="119"/>
        <v>417</v>
      </c>
      <c r="BO644" s="269">
        <f t="shared" si="120"/>
        <v>0</v>
      </c>
      <c r="BP644" s="269">
        <f>INDEX('App Data Outliers'!$M:$M,MATCH($E644,'App Data Outliers'!$A:$A,0))</f>
        <v>417</v>
      </c>
      <c r="BQ644" s="269">
        <f>INDEX('App Data Outliers'!$N:$N,MATCH($E644,'App Data Outliers'!$A:$A,0))</f>
        <v>0</v>
      </c>
      <c r="BR644" s="269">
        <f>INDEX('App Data Outliers'!$S:$S,MATCH($E644,'App Data Outliers'!$A:$A,0))</f>
        <v>0</v>
      </c>
      <c r="BS644" s="269">
        <f>INDEX('App Data Outliers'!$T:$T,MATCH($E644,'App Data Outliers'!$A:$A,0))</f>
        <v>0</v>
      </c>
    </row>
    <row r="645" spans="1:71" s="204" customFormat="1">
      <c r="A645" s="241">
        <v>641</v>
      </c>
      <c r="B645" s="241" t="str">
        <f t="shared" ref="B645:B667" si="121">IF(N645="",B644,N645)</f>
        <v>Residential - BHPSD - Whole House Efficiency</v>
      </c>
      <c r="C645" s="241" t="b">
        <f t="shared" ref="C645:C667" si="122">(N645="")</f>
        <v>1</v>
      </c>
      <c r="D645" s="241" t="str">
        <f t="shared" ref="D645:D667" si="123">B645&amp;"_"&amp;AG645&amp;"_"&amp;AH645</f>
        <v>Residential - BHPSD - Whole House Efficiency_Whole House :- Utility Direct Costs_Recommended Audit Measures</v>
      </c>
      <c r="E645" s="241" t="str">
        <f t="shared" ref="E645:E667" si="124">IFERROR(F645&amp;"_"&amp;G645&amp;"_"&amp;H645&amp;"_"&amp;I645,0)</f>
        <v>Residential_Whole House Efficiency_Various_Measures</v>
      </c>
      <c r="F645" s="241" t="str">
        <f>INDEX('VDSM MAPPING'!E:E,MATCH($D645,'VDSM MAPPING'!$A:$A,0))</f>
        <v>Residential</v>
      </c>
      <c r="G645" s="241" t="str">
        <f>INDEX('VDSM MAPPING'!F:F,MATCH($D645,'VDSM MAPPING'!$A:$A,0))</f>
        <v>Whole House Efficiency</v>
      </c>
      <c r="H645" s="241" t="str">
        <f>INDEX('VDSM MAPPING'!G:G,MATCH($D645,'VDSM MAPPING'!$A:$A,0))</f>
        <v>Various</v>
      </c>
      <c r="I645" s="241" t="str">
        <f>INDEX('VDSM MAPPING'!H:H,MATCH($D645,'VDSM MAPPING'!$A:$A,0))</f>
        <v>Measures</v>
      </c>
      <c r="J645" s="240" t="str">
        <f t="shared" si="115"/>
        <v/>
      </c>
      <c r="K645" s="240" t="str">
        <f t="shared" si="116"/>
        <v/>
      </c>
      <c r="L645" s="240" t="b">
        <f t="shared" si="117"/>
        <v>0</v>
      </c>
      <c r="M645" s="240" t="b">
        <f t="shared" si="118"/>
        <v>0</v>
      </c>
      <c r="N645" s="204" t="s">
        <v>289</v>
      </c>
      <c r="O645" s="204" t="s">
        <v>394</v>
      </c>
      <c r="P645" s="350">
        <v>0</v>
      </c>
      <c r="Q645" s="204" t="s">
        <v>394</v>
      </c>
      <c r="R645" s="204" t="s">
        <v>393</v>
      </c>
      <c r="S645" s="204" t="s">
        <v>392</v>
      </c>
      <c r="T645" s="204" t="s">
        <v>391</v>
      </c>
      <c r="V645" s="204" t="s">
        <v>390</v>
      </c>
      <c r="W645" s="204" t="s">
        <v>329</v>
      </c>
      <c r="X645" s="204" t="s">
        <v>297</v>
      </c>
      <c r="Y645" s="204" t="s">
        <v>328</v>
      </c>
      <c r="AG645" s="204" t="s">
        <v>295</v>
      </c>
      <c r="AH645" s="204" t="s">
        <v>153</v>
      </c>
      <c r="AX645" s="204">
        <v>1</v>
      </c>
      <c r="AY645" s="204">
        <v>0</v>
      </c>
      <c r="AZ645" s="204">
        <v>0.19</v>
      </c>
      <c r="BB645" s="204">
        <v>508</v>
      </c>
      <c r="BH645" s="204">
        <v>0</v>
      </c>
      <c r="BI645" s="204">
        <v>0</v>
      </c>
      <c r="BJ645" s="204">
        <v>42832</v>
      </c>
      <c r="BK645" s="204">
        <v>42832.5187526968</v>
      </c>
      <c r="BL645" s="204" t="s">
        <v>293</v>
      </c>
      <c r="BM645" s="204" t="s">
        <v>395</v>
      </c>
      <c r="BN645" s="269">
        <f t="shared" si="119"/>
        <v>508</v>
      </c>
      <c r="BO645" s="269">
        <f t="shared" si="120"/>
        <v>0</v>
      </c>
      <c r="BP645" s="269">
        <f>INDEX('App Data Outliers'!$M:$M,MATCH($E645,'App Data Outliers'!$A:$A,0))</f>
        <v>508</v>
      </c>
      <c r="BQ645" s="269">
        <f>INDEX('App Data Outliers'!$N:$N,MATCH($E645,'App Data Outliers'!$A:$A,0))</f>
        <v>0</v>
      </c>
      <c r="BR645" s="269">
        <f>INDEX('App Data Outliers'!$S:$S,MATCH($E645,'App Data Outliers'!$A:$A,0))</f>
        <v>0</v>
      </c>
      <c r="BS645" s="269">
        <f>INDEX('App Data Outliers'!$T:$T,MATCH($E645,'App Data Outliers'!$A:$A,0))</f>
        <v>0</v>
      </c>
    </row>
    <row r="646" spans="1:71" s="204" customFormat="1">
      <c r="A646" s="241">
        <v>642</v>
      </c>
      <c r="B646" s="241" t="str">
        <f t="shared" si="121"/>
        <v>Residential - BHPSD - Whole House Efficiency</v>
      </c>
      <c r="C646" s="241" t="b">
        <f t="shared" si="122"/>
        <v>1</v>
      </c>
      <c r="D646" s="241" t="str">
        <f t="shared" si="123"/>
        <v>Residential - BHPSD - Whole House Efficiency_Whole House :- Utility Direct Costs_Residential EE Kit</v>
      </c>
      <c r="E646" s="241" t="str">
        <f t="shared" si="124"/>
        <v>Residential_Whole House Efficiency_Various_Residential Kit</v>
      </c>
      <c r="F646" s="241" t="str">
        <f>INDEX('VDSM MAPPING'!E:E,MATCH($D646,'VDSM MAPPING'!$A:$A,0))</f>
        <v>Residential</v>
      </c>
      <c r="G646" s="241" t="str">
        <f>INDEX('VDSM MAPPING'!F:F,MATCH($D646,'VDSM MAPPING'!$A:$A,0))</f>
        <v>Whole House Efficiency</v>
      </c>
      <c r="H646" s="241" t="str">
        <f>INDEX('VDSM MAPPING'!G:G,MATCH($D646,'VDSM MAPPING'!$A:$A,0))</f>
        <v>Various</v>
      </c>
      <c r="I646" s="241" t="str">
        <f>INDEX('VDSM MAPPING'!H:H,MATCH($D646,'VDSM MAPPING'!$A:$A,0))</f>
        <v>Residential Kit</v>
      </c>
      <c r="J646" s="240" t="str">
        <f t="shared" ref="J646:J667" si="125">IFERROR(STANDARDIZE(BN646,BP646,BQ646),"")</f>
        <v/>
      </c>
      <c r="K646" s="240" t="str">
        <f t="shared" ref="K646:K667" si="126">IFERROR(STANDARDIZE($BO646,$BR646,$BS646),"")</f>
        <v/>
      </c>
      <c r="L646" s="240" t="b">
        <f t="shared" ref="L646:L667" si="127">AND(ISNUMBER(J646),OR(J646&gt;=L$1,J646&lt;=-L$1))</f>
        <v>0</v>
      </c>
      <c r="M646" s="240" t="b">
        <f t="shared" ref="M646:M667" si="128">AND(ISNUMBER(K646),OR(K646&gt;=M$1,K646&lt;=-M$1))</f>
        <v>0</v>
      </c>
      <c r="N646" s="204" t="s">
        <v>289</v>
      </c>
      <c r="O646" s="204" t="s">
        <v>387</v>
      </c>
      <c r="P646" s="350">
        <v>1</v>
      </c>
      <c r="Q646" s="204" t="s">
        <v>387</v>
      </c>
      <c r="R646" s="204" t="s">
        <v>386</v>
      </c>
      <c r="S646" s="204" t="s">
        <v>385</v>
      </c>
      <c r="T646" s="204" t="s">
        <v>384</v>
      </c>
      <c r="V646" s="204" t="s">
        <v>383</v>
      </c>
      <c r="W646" s="204" t="s">
        <v>382</v>
      </c>
      <c r="X646" s="204" t="s">
        <v>297</v>
      </c>
      <c r="Y646" s="204" t="s">
        <v>381</v>
      </c>
      <c r="AG646" s="204" t="s">
        <v>295</v>
      </c>
      <c r="AH646" s="204" t="s">
        <v>305</v>
      </c>
      <c r="AI646" s="204" t="s">
        <v>294</v>
      </c>
      <c r="AX646" s="204">
        <v>1</v>
      </c>
      <c r="AY646" s="204">
        <v>0</v>
      </c>
      <c r="AZ646" s="204">
        <v>4.3999999999999997E-2</v>
      </c>
      <c r="BB646" s="204">
        <v>417</v>
      </c>
      <c r="BH646" s="204">
        <v>0</v>
      </c>
      <c r="BI646" s="204">
        <v>0</v>
      </c>
      <c r="BJ646" s="204">
        <v>42844</v>
      </c>
      <c r="BK646" s="204">
        <v>42844.467479710598</v>
      </c>
      <c r="BL646" s="204" t="s">
        <v>293</v>
      </c>
      <c r="BM646" s="204" t="s">
        <v>380</v>
      </c>
      <c r="BN646" s="269">
        <f t="shared" ref="BN646:BN667" si="129">IFERROR(BB646/$AX646,"")</f>
        <v>417</v>
      </c>
      <c r="BO646" s="269">
        <f t="shared" ref="BO646:BO667" si="130">BI646/$AX646</f>
        <v>0</v>
      </c>
      <c r="BP646" s="269">
        <f>INDEX('App Data Outliers'!$M:$M,MATCH($E646,'App Data Outliers'!$A:$A,0))</f>
        <v>417</v>
      </c>
      <c r="BQ646" s="269">
        <f>INDEX('App Data Outliers'!$N:$N,MATCH($E646,'App Data Outliers'!$A:$A,0))</f>
        <v>0</v>
      </c>
      <c r="BR646" s="269">
        <f>INDEX('App Data Outliers'!$S:$S,MATCH($E646,'App Data Outliers'!$A:$A,0))</f>
        <v>0</v>
      </c>
      <c r="BS646" s="269">
        <f>INDEX('App Data Outliers'!$T:$T,MATCH($E646,'App Data Outliers'!$A:$A,0))</f>
        <v>0</v>
      </c>
    </row>
    <row r="647" spans="1:71" s="204" customFormat="1">
      <c r="A647" s="241">
        <v>643</v>
      </c>
      <c r="B647" s="241" t="str">
        <f t="shared" si="121"/>
        <v>Residential - BHPSD - Whole House Efficiency</v>
      </c>
      <c r="C647" s="241" t="b">
        <f t="shared" si="122"/>
        <v>1</v>
      </c>
      <c r="D647" s="241" t="str">
        <f t="shared" si="123"/>
        <v>Residential - BHPSD - Whole House Efficiency_Whole House :- Utility Direct Costs_Recommended Audit Measures</v>
      </c>
      <c r="E647" s="241" t="str">
        <f t="shared" si="124"/>
        <v>Residential_Whole House Efficiency_Various_Measures</v>
      </c>
      <c r="F647" s="241" t="str">
        <f>INDEX('VDSM MAPPING'!E:E,MATCH($D647,'VDSM MAPPING'!$A:$A,0))</f>
        <v>Residential</v>
      </c>
      <c r="G647" s="241" t="str">
        <f>INDEX('VDSM MAPPING'!F:F,MATCH($D647,'VDSM MAPPING'!$A:$A,0))</f>
        <v>Whole House Efficiency</v>
      </c>
      <c r="H647" s="241" t="str">
        <f>INDEX('VDSM MAPPING'!G:G,MATCH($D647,'VDSM MAPPING'!$A:$A,0))</f>
        <v>Various</v>
      </c>
      <c r="I647" s="241" t="str">
        <f>INDEX('VDSM MAPPING'!H:H,MATCH($D647,'VDSM MAPPING'!$A:$A,0))</f>
        <v>Measures</v>
      </c>
      <c r="J647" s="240" t="str">
        <f t="shared" si="125"/>
        <v/>
      </c>
      <c r="K647" s="240" t="str">
        <f t="shared" si="126"/>
        <v/>
      </c>
      <c r="L647" s="240" t="b">
        <f t="shared" si="127"/>
        <v>0</v>
      </c>
      <c r="M647" s="240" t="b">
        <f t="shared" si="128"/>
        <v>0</v>
      </c>
      <c r="N647" s="204" t="s">
        <v>289</v>
      </c>
      <c r="O647" s="204" t="s">
        <v>387</v>
      </c>
      <c r="P647" s="350">
        <v>0</v>
      </c>
      <c r="Q647" s="204" t="s">
        <v>387</v>
      </c>
      <c r="R647" s="204" t="s">
        <v>386</v>
      </c>
      <c r="S647" s="204" t="s">
        <v>385</v>
      </c>
      <c r="T647" s="204" t="s">
        <v>384</v>
      </c>
      <c r="V647" s="204" t="s">
        <v>383</v>
      </c>
      <c r="W647" s="204" t="s">
        <v>382</v>
      </c>
      <c r="X647" s="204" t="s">
        <v>297</v>
      </c>
      <c r="Y647" s="204" t="s">
        <v>381</v>
      </c>
      <c r="AG647" s="204" t="s">
        <v>295</v>
      </c>
      <c r="AH647" s="204" t="s">
        <v>153</v>
      </c>
      <c r="AI647" s="204" t="s">
        <v>294</v>
      </c>
      <c r="AX647" s="204">
        <v>1</v>
      </c>
      <c r="AY647" s="204">
        <v>0</v>
      </c>
      <c r="AZ647" s="204">
        <v>0.19</v>
      </c>
      <c r="BB647" s="204">
        <v>508</v>
      </c>
      <c r="BH647" s="204">
        <v>0</v>
      </c>
      <c r="BI647" s="204">
        <v>0</v>
      </c>
      <c r="BJ647" s="204">
        <v>42844</v>
      </c>
      <c r="BK647" s="204">
        <v>42844.467479710598</v>
      </c>
      <c r="BL647" s="204" t="s">
        <v>293</v>
      </c>
      <c r="BM647" s="204" t="s">
        <v>388</v>
      </c>
      <c r="BN647" s="269">
        <f t="shared" si="129"/>
        <v>508</v>
      </c>
      <c r="BO647" s="269">
        <f t="shared" si="130"/>
        <v>0</v>
      </c>
      <c r="BP647" s="269">
        <f>INDEX('App Data Outliers'!$M:$M,MATCH($E647,'App Data Outliers'!$A:$A,0))</f>
        <v>508</v>
      </c>
      <c r="BQ647" s="269">
        <f>INDEX('App Data Outliers'!$N:$N,MATCH($E647,'App Data Outliers'!$A:$A,0))</f>
        <v>0</v>
      </c>
      <c r="BR647" s="269">
        <f>INDEX('App Data Outliers'!$S:$S,MATCH($E647,'App Data Outliers'!$A:$A,0))</f>
        <v>0</v>
      </c>
      <c r="BS647" s="269">
        <f>INDEX('App Data Outliers'!$T:$T,MATCH($E647,'App Data Outliers'!$A:$A,0))</f>
        <v>0</v>
      </c>
    </row>
    <row r="648" spans="1:71" s="204" customFormat="1">
      <c r="A648" s="241">
        <v>644</v>
      </c>
      <c r="B648" s="241" t="str">
        <f t="shared" si="121"/>
        <v>Residential - BHPSD - Whole House Efficiency</v>
      </c>
      <c r="C648" s="241" t="b">
        <f t="shared" si="122"/>
        <v>1</v>
      </c>
      <c r="D648" s="241" t="str">
        <f t="shared" si="123"/>
        <v>Residential - BHPSD - Whole House Efficiency_Whole House :- Utility Direct Costs_Recommended Audit Measures</v>
      </c>
      <c r="E648" s="241" t="str">
        <f t="shared" si="124"/>
        <v>Residential_Whole House Efficiency_Various_Measures</v>
      </c>
      <c r="F648" s="241" t="str">
        <f>INDEX('VDSM MAPPING'!E:E,MATCH($D648,'VDSM MAPPING'!$A:$A,0))</f>
        <v>Residential</v>
      </c>
      <c r="G648" s="241" t="str">
        <f>INDEX('VDSM MAPPING'!F:F,MATCH($D648,'VDSM MAPPING'!$A:$A,0))</f>
        <v>Whole House Efficiency</v>
      </c>
      <c r="H648" s="241" t="str">
        <f>INDEX('VDSM MAPPING'!G:G,MATCH($D648,'VDSM MAPPING'!$A:$A,0))</f>
        <v>Various</v>
      </c>
      <c r="I648" s="241" t="str">
        <f>INDEX('VDSM MAPPING'!H:H,MATCH($D648,'VDSM MAPPING'!$A:$A,0))</f>
        <v>Measures</v>
      </c>
      <c r="J648" s="240" t="str">
        <f t="shared" si="125"/>
        <v/>
      </c>
      <c r="K648" s="240" t="str">
        <f t="shared" si="126"/>
        <v/>
      </c>
      <c r="L648" s="240" t="b">
        <f t="shared" si="127"/>
        <v>0</v>
      </c>
      <c r="M648" s="240" t="b">
        <f t="shared" si="128"/>
        <v>0</v>
      </c>
      <c r="N648" s="204" t="s">
        <v>289</v>
      </c>
      <c r="O648" s="204" t="s">
        <v>378</v>
      </c>
      <c r="P648" s="350">
        <v>1</v>
      </c>
      <c r="Q648" s="204" t="s">
        <v>378</v>
      </c>
      <c r="R648" s="204" t="s">
        <v>377</v>
      </c>
      <c r="S648" s="204" t="s">
        <v>376</v>
      </c>
      <c r="T648" s="204" t="s">
        <v>375</v>
      </c>
      <c r="V648" s="204" t="s">
        <v>374</v>
      </c>
      <c r="W648" s="204" t="s">
        <v>337</v>
      </c>
      <c r="X648" s="204" t="s">
        <v>297</v>
      </c>
      <c r="Y648" s="204" t="s">
        <v>336</v>
      </c>
      <c r="AG648" s="204" t="s">
        <v>295</v>
      </c>
      <c r="AH648" s="204" t="s">
        <v>153</v>
      </c>
      <c r="AI648" s="204" t="s">
        <v>294</v>
      </c>
      <c r="AX648" s="204">
        <v>1</v>
      </c>
      <c r="AY648" s="204">
        <v>0</v>
      </c>
      <c r="AZ648" s="204">
        <v>0.19</v>
      </c>
      <c r="BB648" s="204">
        <v>508</v>
      </c>
      <c r="BH648" s="204">
        <v>0</v>
      </c>
      <c r="BI648" s="204">
        <v>0</v>
      </c>
      <c r="BJ648" s="204">
        <v>42844</v>
      </c>
      <c r="BK648" s="204">
        <v>42844.473528159702</v>
      </c>
      <c r="BL648" s="204" t="s">
        <v>293</v>
      </c>
      <c r="BM648" s="204" t="s">
        <v>379</v>
      </c>
      <c r="BN648" s="269">
        <f t="shared" si="129"/>
        <v>508</v>
      </c>
      <c r="BO648" s="269">
        <f t="shared" si="130"/>
        <v>0</v>
      </c>
      <c r="BP648" s="269">
        <f>INDEX('App Data Outliers'!$M:$M,MATCH($E648,'App Data Outliers'!$A:$A,0))</f>
        <v>508</v>
      </c>
      <c r="BQ648" s="269">
        <f>INDEX('App Data Outliers'!$N:$N,MATCH($E648,'App Data Outliers'!$A:$A,0))</f>
        <v>0</v>
      </c>
      <c r="BR648" s="269">
        <f>INDEX('App Data Outliers'!$S:$S,MATCH($E648,'App Data Outliers'!$A:$A,0))</f>
        <v>0</v>
      </c>
      <c r="BS648" s="269">
        <f>INDEX('App Data Outliers'!$T:$T,MATCH($E648,'App Data Outliers'!$A:$A,0))</f>
        <v>0</v>
      </c>
    </row>
    <row r="649" spans="1:71" s="204" customFormat="1">
      <c r="A649" s="241">
        <v>645</v>
      </c>
      <c r="B649" s="241" t="str">
        <f t="shared" si="121"/>
        <v>Residential - BHPSD - Whole House Efficiency</v>
      </c>
      <c r="C649" s="241" t="b">
        <f t="shared" si="122"/>
        <v>1</v>
      </c>
      <c r="D649" s="241" t="str">
        <f t="shared" si="123"/>
        <v>Residential - BHPSD - Whole House Efficiency_Whole House :- Utility Direct Costs_Residential EE Kit</v>
      </c>
      <c r="E649" s="241" t="str">
        <f t="shared" si="124"/>
        <v>Residential_Whole House Efficiency_Various_Residential Kit</v>
      </c>
      <c r="F649" s="241" t="str">
        <f>INDEX('VDSM MAPPING'!E:E,MATCH($D649,'VDSM MAPPING'!$A:$A,0))</f>
        <v>Residential</v>
      </c>
      <c r="G649" s="241" t="str">
        <f>INDEX('VDSM MAPPING'!F:F,MATCH($D649,'VDSM MAPPING'!$A:$A,0))</f>
        <v>Whole House Efficiency</v>
      </c>
      <c r="H649" s="241" t="str">
        <f>INDEX('VDSM MAPPING'!G:G,MATCH($D649,'VDSM MAPPING'!$A:$A,0))</f>
        <v>Various</v>
      </c>
      <c r="I649" s="241" t="str">
        <f>INDEX('VDSM MAPPING'!H:H,MATCH($D649,'VDSM MAPPING'!$A:$A,0))</f>
        <v>Residential Kit</v>
      </c>
      <c r="J649" s="240" t="str">
        <f t="shared" si="125"/>
        <v/>
      </c>
      <c r="K649" s="240" t="str">
        <f t="shared" si="126"/>
        <v/>
      </c>
      <c r="L649" s="240" t="b">
        <f t="shared" si="127"/>
        <v>0</v>
      </c>
      <c r="M649" s="240" t="b">
        <f t="shared" si="128"/>
        <v>0</v>
      </c>
      <c r="N649" s="204" t="s">
        <v>289</v>
      </c>
      <c r="O649" s="204" t="s">
        <v>378</v>
      </c>
      <c r="P649" s="350">
        <v>0</v>
      </c>
      <c r="Q649" s="204" t="s">
        <v>378</v>
      </c>
      <c r="R649" s="204" t="s">
        <v>377</v>
      </c>
      <c r="S649" s="204" t="s">
        <v>376</v>
      </c>
      <c r="T649" s="204" t="s">
        <v>375</v>
      </c>
      <c r="V649" s="204" t="s">
        <v>374</v>
      </c>
      <c r="W649" s="204" t="s">
        <v>337</v>
      </c>
      <c r="X649" s="204" t="s">
        <v>297</v>
      </c>
      <c r="Y649" s="204" t="s">
        <v>336</v>
      </c>
      <c r="AG649" s="204" t="s">
        <v>295</v>
      </c>
      <c r="AH649" s="204" t="s">
        <v>305</v>
      </c>
      <c r="AI649" s="204" t="s">
        <v>294</v>
      </c>
      <c r="AX649" s="204">
        <v>1</v>
      </c>
      <c r="AY649" s="204">
        <v>0</v>
      </c>
      <c r="AZ649" s="204">
        <v>4.3999999999999997E-2</v>
      </c>
      <c r="BB649" s="204">
        <v>417</v>
      </c>
      <c r="BH649" s="204">
        <v>0</v>
      </c>
      <c r="BI649" s="204">
        <v>0</v>
      </c>
      <c r="BJ649" s="204">
        <v>42844</v>
      </c>
      <c r="BK649" s="204">
        <v>42844.473528159702</v>
      </c>
      <c r="BL649" s="204" t="s">
        <v>293</v>
      </c>
      <c r="BM649" s="204" t="s">
        <v>373</v>
      </c>
      <c r="BN649" s="269">
        <f t="shared" si="129"/>
        <v>417</v>
      </c>
      <c r="BO649" s="269">
        <f t="shared" si="130"/>
        <v>0</v>
      </c>
      <c r="BP649" s="269">
        <f>INDEX('App Data Outliers'!$M:$M,MATCH($E649,'App Data Outliers'!$A:$A,0))</f>
        <v>417</v>
      </c>
      <c r="BQ649" s="269">
        <f>INDEX('App Data Outliers'!$N:$N,MATCH($E649,'App Data Outliers'!$A:$A,0))</f>
        <v>0</v>
      </c>
      <c r="BR649" s="269">
        <f>INDEX('App Data Outliers'!$S:$S,MATCH($E649,'App Data Outliers'!$A:$A,0))</f>
        <v>0</v>
      </c>
      <c r="BS649" s="269">
        <f>INDEX('App Data Outliers'!$T:$T,MATCH($E649,'App Data Outliers'!$A:$A,0))</f>
        <v>0</v>
      </c>
    </row>
    <row r="650" spans="1:71" s="204" customFormat="1">
      <c r="A650" s="241">
        <v>646</v>
      </c>
      <c r="B650" s="241" t="str">
        <f t="shared" si="121"/>
        <v>Residential - BHPSD - Whole House Efficiency</v>
      </c>
      <c r="C650" s="241" t="b">
        <f t="shared" si="122"/>
        <v>1</v>
      </c>
      <c r="D650" s="241" t="str">
        <f t="shared" si="123"/>
        <v>Residential - BHPSD - Whole House Efficiency_Whole House :- Utility Direct Costs_Recommended Audit Measures</v>
      </c>
      <c r="E650" s="241" t="str">
        <f t="shared" si="124"/>
        <v>Residential_Whole House Efficiency_Various_Measures</v>
      </c>
      <c r="F650" s="241" t="str">
        <f>INDEX('VDSM MAPPING'!E:E,MATCH($D650,'VDSM MAPPING'!$A:$A,0))</f>
        <v>Residential</v>
      </c>
      <c r="G650" s="241" t="str">
        <f>INDEX('VDSM MAPPING'!F:F,MATCH($D650,'VDSM MAPPING'!$A:$A,0))</f>
        <v>Whole House Efficiency</v>
      </c>
      <c r="H650" s="241" t="str">
        <f>INDEX('VDSM MAPPING'!G:G,MATCH($D650,'VDSM MAPPING'!$A:$A,0))</f>
        <v>Various</v>
      </c>
      <c r="I650" s="241" t="str">
        <f>INDEX('VDSM MAPPING'!H:H,MATCH($D650,'VDSM MAPPING'!$A:$A,0))</f>
        <v>Measures</v>
      </c>
      <c r="J650" s="240" t="str">
        <f t="shared" si="125"/>
        <v/>
      </c>
      <c r="K650" s="240" t="str">
        <f t="shared" si="126"/>
        <v/>
      </c>
      <c r="L650" s="240" t="b">
        <f t="shared" si="127"/>
        <v>0</v>
      </c>
      <c r="M650" s="240" t="b">
        <f t="shared" si="128"/>
        <v>0</v>
      </c>
      <c r="N650" s="204" t="s">
        <v>289</v>
      </c>
      <c r="O650" s="204" t="s">
        <v>371</v>
      </c>
      <c r="P650" s="350">
        <v>1</v>
      </c>
      <c r="Q650" s="204" t="s">
        <v>371</v>
      </c>
      <c r="R650" s="204" t="s">
        <v>370</v>
      </c>
      <c r="S650" s="204" t="s">
        <v>369</v>
      </c>
      <c r="T650" s="204" t="s">
        <v>368</v>
      </c>
      <c r="V650" s="204" t="s">
        <v>367</v>
      </c>
      <c r="W650" s="204" t="s">
        <v>345</v>
      </c>
      <c r="X650" s="204" t="s">
        <v>297</v>
      </c>
      <c r="Y650" s="204" t="s">
        <v>344</v>
      </c>
      <c r="AG650" s="204" t="s">
        <v>295</v>
      </c>
      <c r="AH650" s="204" t="s">
        <v>153</v>
      </c>
      <c r="AI650" s="204" t="s">
        <v>294</v>
      </c>
      <c r="AX650" s="204">
        <v>1</v>
      </c>
      <c r="AY650" s="204">
        <v>0</v>
      </c>
      <c r="AZ650" s="204">
        <v>0.19</v>
      </c>
      <c r="BB650" s="204">
        <v>508</v>
      </c>
      <c r="BH650" s="204">
        <v>0</v>
      </c>
      <c r="BI650" s="204">
        <v>0</v>
      </c>
      <c r="BJ650" s="204">
        <v>42844</v>
      </c>
      <c r="BK650" s="204">
        <v>42844.535247453699</v>
      </c>
      <c r="BL650" s="204" t="s">
        <v>293</v>
      </c>
      <c r="BM650" s="204" t="s">
        <v>366</v>
      </c>
      <c r="BN650" s="269">
        <f t="shared" si="129"/>
        <v>508</v>
      </c>
      <c r="BO650" s="269">
        <f t="shared" si="130"/>
        <v>0</v>
      </c>
      <c r="BP650" s="269">
        <f>INDEX('App Data Outliers'!$M:$M,MATCH($E650,'App Data Outliers'!$A:$A,0))</f>
        <v>508</v>
      </c>
      <c r="BQ650" s="269">
        <f>INDEX('App Data Outliers'!$N:$N,MATCH($E650,'App Data Outliers'!$A:$A,0))</f>
        <v>0</v>
      </c>
      <c r="BR650" s="269">
        <f>INDEX('App Data Outliers'!$S:$S,MATCH($E650,'App Data Outliers'!$A:$A,0))</f>
        <v>0</v>
      </c>
      <c r="BS650" s="269">
        <f>INDEX('App Data Outliers'!$T:$T,MATCH($E650,'App Data Outliers'!$A:$A,0))</f>
        <v>0</v>
      </c>
    </row>
    <row r="651" spans="1:71" s="204" customFormat="1">
      <c r="A651" s="241">
        <v>647</v>
      </c>
      <c r="B651" s="241" t="str">
        <f t="shared" si="121"/>
        <v>Residential - BHPSD - Whole House Efficiency</v>
      </c>
      <c r="C651" s="241" t="b">
        <f t="shared" si="122"/>
        <v>1</v>
      </c>
      <c r="D651" s="241" t="str">
        <f t="shared" si="123"/>
        <v>Residential - BHPSD - Whole House Efficiency_Whole House :- Utility Direct Costs_Residential EE Kit</v>
      </c>
      <c r="E651" s="241" t="str">
        <f t="shared" si="124"/>
        <v>Residential_Whole House Efficiency_Various_Residential Kit</v>
      </c>
      <c r="F651" s="241" t="str">
        <f>INDEX('VDSM MAPPING'!E:E,MATCH($D651,'VDSM MAPPING'!$A:$A,0))</f>
        <v>Residential</v>
      </c>
      <c r="G651" s="241" t="str">
        <f>INDEX('VDSM MAPPING'!F:F,MATCH($D651,'VDSM MAPPING'!$A:$A,0))</f>
        <v>Whole House Efficiency</v>
      </c>
      <c r="H651" s="241" t="str">
        <f>INDEX('VDSM MAPPING'!G:G,MATCH($D651,'VDSM MAPPING'!$A:$A,0))</f>
        <v>Various</v>
      </c>
      <c r="I651" s="241" t="str">
        <f>INDEX('VDSM MAPPING'!H:H,MATCH($D651,'VDSM MAPPING'!$A:$A,0))</f>
        <v>Residential Kit</v>
      </c>
      <c r="J651" s="240" t="str">
        <f t="shared" si="125"/>
        <v/>
      </c>
      <c r="K651" s="240" t="str">
        <f t="shared" si="126"/>
        <v/>
      </c>
      <c r="L651" s="240" t="b">
        <f t="shared" si="127"/>
        <v>0</v>
      </c>
      <c r="M651" s="240" t="b">
        <f t="shared" si="128"/>
        <v>0</v>
      </c>
      <c r="N651" s="204" t="s">
        <v>289</v>
      </c>
      <c r="O651" s="204" t="s">
        <v>371</v>
      </c>
      <c r="P651" s="350">
        <v>0</v>
      </c>
      <c r="Q651" s="204" t="s">
        <v>371</v>
      </c>
      <c r="R651" s="204" t="s">
        <v>370</v>
      </c>
      <c r="S651" s="204" t="s">
        <v>369</v>
      </c>
      <c r="T651" s="204" t="s">
        <v>368</v>
      </c>
      <c r="V651" s="204" t="s">
        <v>367</v>
      </c>
      <c r="W651" s="204" t="s">
        <v>345</v>
      </c>
      <c r="X651" s="204" t="s">
        <v>297</v>
      </c>
      <c r="Y651" s="204" t="s">
        <v>344</v>
      </c>
      <c r="AG651" s="204" t="s">
        <v>295</v>
      </c>
      <c r="AH651" s="204" t="s">
        <v>305</v>
      </c>
      <c r="AI651" s="204" t="s">
        <v>294</v>
      </c>
      <c r="AX651" s="204">
        <v>1</v>
      </c>
      <c r="AY651" s="204">
        <v>0</v>
      </c>
      <c r="AZ651" s="204">
        <v>4.3999999999999997E-2</v>
      </c>
      <c r="BB651" s="204">
        <v>417</v>
      </c>
      <c r="BH651" s="204">
        <v>0</v>
      </c>
      <c r="BI651" s="204">
        <v>0</v>
      </c>
      <c r="BJ651" s="204">
        <v>42844</v>
      </c>
      <c r="BK651" s="204">
        <v>42844.535247453699</v>
      </c>
      <c r="BL651" s="204" t="s">
        <v>293</v>
      </c>
      <c r="BM651" s="204" t="s">
        <v>372</v>
      </c>
      <c r="BN651" s="269">
        <f t="shared" si="129"/>
        <v>417</v>
      </c>
      <c r="BO651" s="269">
        <f t="shared" si="130"/>
        <v>0</v>
      </c>
      <c r="BP651" s="269">
        <f>INDEX('App Data Outliers'!$M:$M,MATCH($E651,'App Data Outliers'!$A:$A,0))</f>
        <v>417</v>
      </c>
      <c r="BQ651" s="269">
        <f>INDEX('App Data Outliers'!$N:$N,MATCH($E651,'App Data Outliers'!$A:$A,0))</f>
        <v>0</v>
      </c>
      <c r="BR651" s="269">
        <f>INDEX('App Data Outliers'!$S:$S,MATCH($E651,'App Data Outliers'!$A:$A,0))</f>
        <v>0</v>
      </c>
      <c r="BS651" s="269">
        <f>INDEX('App Data Outliers'!$T:$T,MATCH($E651,'App Data Outliers'!$A:$A,0))</f>
        <v>0</v>
      </c>
    </row>
    <row r="652" spans="1:71" s="204" customFormat="1">
      <c r="A652" s="241">
        <v>648</v>
      </c>
      <c r="B652" s="241" t="str">
        <f t="shared" si="121"/>
        <v>Residential - BHPSD - Whole House Efficiency</v>
      </c>
      <c r="C652" s="241" t="b">
        <f t="shared" si="122"/>
        <v>1</v>
      </c>
      <c r="D652" s="241" t="str">
        <f t="shared" si="123"/>
        <v>Residential - BHPSD - Whole House Efficiency_Whole House :- Utility Direct Costs_Recommended Audit Measures</v>
      </c>
      <c r="E652" s="241" t="str">
        <f t="shared" si="124"/>
        <v>Residential_Whole House Efficiency_Various_Measures</v>
      </c>
      <c r="F652" s="241" t="str">
        <f>INDEX('VDSM MAPPING'!E:E,MATCH($D652,'VDSM MAPPING'!$A:$A,0))</f>
        <v>Residential</v>
      </c>
      <c r="G652" s="241" t="str">
        <f>INDEX('VDSM MAPPING'!F:F,MATCH($D652,'VDSM MAPPING'!$A:$A,0))</f>
        <v>Whole House Efficiency</v>
      </c>
      <c r="H652" s="241" t="str">
        <f>INDEX('VDSM MAPPING'!G:G,MATCH($D652,'VDSM MAPPING'!$A:$A,0))</f>
        <v>Various</v>
      </c>
      <c r="I652" s="241" t="str">
        <f>INDEX('VDSM MAPPING'!H:H,MATCH($D652,'VDSM MAPPING'!$A:$A,0))</f>
        <v>Measures</v>
      </c>
      <c r="J652" s="240" t="str">
        <f t="shared" si="125"/>
        <v/>
      </c>
      <c r="K652" s="240" t="str">
        <f t="shared" si="126"/>
        <v/>
      </c>
      <c r="L652" s="240" t="b">
        <f t="shared" si="127"/>
        <v>0</v>
      </c>
      <c r="M652" s="240" t="b">
        <f t="shared" si="128"/>
        <v>0</v>
      </c>
      <c r="N652" s="204" t="s">
        <v>289</v>
      </c>
      <c r="O652" s="204" t="s">
        <v>364</v>
      </c>
      <c r="P652" s="350">
        <v>1</v>
      </c>
      <c r="Q652" s="204" t="s">
        <v>364</v>
      </c>
      <c r="R652" s="204" t="s">
        <v>363</v>
      </c>
      <c r="S652" s="204" t="s">
        <v>362</v>
      </c>
      <c r="T652" s="204" t="s">
        <v>361</v>
      </c>
      <c r="V652" s="204" t="s">
        <v>360</v>
      </c>
      <c r="W652" s="204" t="s">
        <v>298</v>
      </c>
      <c r="X652" s="204" t="s">
        <v>297</v>
      </c>
      <c r="Y652" s="204" t="s">
        <v>296</v>
      </c>
      <c r="AG652" s="204" t="s">
        <v>295</v>
      </c>
      <c r="AH652" s="204" t="s">
        <v>153</v>
      </c>
      <c r="AI652" s="204" t="s">
        <v>294</v>
      </c>
      <c r="AX652" s="204">
        <v>1</v>
      </c>
      <c r="AY652" s="204">
        <v>0</v>
      </c>
      <c r="AZ652" s="204">
        <v>0.19</v>
      </c>
      <c r="BB652" s="204">
        <v>508</v>
      </c>
      <c r="BH652" s="204">
        <v>0</v>
      </c>
      <c r="BI652" s="204">
        <v>0</v>
      </c>
      <c r="BJ652" s="204">
        <v>42885</v>
      </c>
      <c r="BK652" s="204">
        <v>42885.786298032399</v>
      </c>
      <c r="BL652" s="204" t="s">
        <v>293</v>
      </c>
      <c r="BM652" s="204" t="s">
        <v>359</v>
      </c>
      <c r="BN652" s="269">
        <f t="shared" si="129"/>
        <v>508</v>
      </c>
      <c r="BO652" s="269">
        <f t="shared" si="130"/>
        <v>0</v>
      </c>
      <c r="BP652" s="269">
        <f>INDEX('App Data Outliers'!$M:$M,MATCH($E652,'App Data Outliers'!$A:$A,0))</f>
        <v>508</v>
      </c>
      <c r="BQ652" s="269">
        <f>INDEX('App Data Outliers'!$N:$N,MATCH($E652,'App Data Outliers'!$A:$A,0))</f>
        <v>0</v>
      </c>
      <c r="BR652" s="269">
        <f>INDEX('App Data Outliers'!$S:$S,MATCH($E652,'App Data Outliers'!$A:$A,0))</f>
        <v>0</v>
      </c>
      <c r="BS652" s="269">
        <f>INDEX('App Data Outliers'!$T:$T,MATCH($E652,'App Data Outliers'!$A:$A,0))</f>
        <v>0</v>
      </c>
    </row>
    <row r="653" spans="1:71" s="204" customFormat="1">
      <c r="A653" s="241">
        <v>649</v>
      </c>
      <c r="B653" s="241" t="str">
        <f t="shared" si="121"/>
        <v>Residential - BHPSD - Whole House Efficiency</v>
      </c>
      <c r="C653" s="241" t="b">
        <f t="shared" si="122"/>
        <v>1</v>
      </c>
      <c r="D653" s="241" t="str">
        <f t="shared" si="123"/>
        <v>Residential - BHPSD - Whole House Efficiency_Whole House :- Utility Direct Costs_Residential EE Kit</v>
      </c>
      <c r="E653" s="241" t="str">
        <f t="shared" si="124"/>
        <v>Residential_Whole House Efficiency_Various_Residential Kit</v>
      </c>
      <c r="F653" s="241" t="str">
        <f>INDEX('VDSM MAPPING'!E:E,MATCH($D653,'VDSM MAPPING'!$A:$A,0))</f>
        <v>Residential</v>
      </c>
      <c r="G653" s="241" t="str">
        <f>INDEX('VDSM MAPPING'!F:F,MATCH($D653,'VDSM MAPPING'!$A:$A,0))</f>
        <v>Whole House Efficiency</v>
      </c>
      <c r="H653" s="241" t="str">
        <f>INDEX('VDSM MAPPING'!G:G,MATCH($D653,'VDSM MAPPING'!$A:$A,0))</f>
        <v>Various</v>
      </c>
      <c r="I653" s="241" t="str">
        <f>INDEX('VDSM MAPPING'!H:H,MATCH($D653,'VDSM MAPPING'!$A:$A,0))</f>
        <v>Residential Kit</v>
      </c>
      <c r="J653" s="240" t="str">
        <f t="shared" si="125"/>
        <v/>
      </c>
      <c r="K653" s="240" t="str">
        <f t="shared" si="126"/>
        <v/>
      </c>
      <c r="L653" s="240" t="b">
        <f t="shared" si="127"/>
        <v>0</v>
      </c>
      <c r="M653" s="240" t="b">
        <f t="shared" si="128"/>
        <v>0</v>
      </c>
      <c r="N653" s="204" t="s">
        <v>289</v>
      </c>
      <c r="O653" s="204" t="s">
        <v>364</v>
      </c>
      <c r="P653" s="350">
        <v>0</v>
      </c>
      <c r="Q653" s="204" t="s">
        <v>364</v>
      </c>
      <c r="R653" s="204" t="s">
        <v>363</v>
      </c>
      <c r="S653" s="204" t="s">
        <v>362</v>
      </c>
      <c r="T653" s="204" t="s">
        <v>361</v>
      </c>
      <c r="V653" s="204" t="s">
        <v>360</v>
      </c>
      <c r="W653" s="204" t="s">
        <v>298</v>
      </c>
      <c r="X653" s="204" t="s">
        <v>297</v>
      </c>
      <c r="Y653" s="204" t="s">
        <v>296</v>
      </c>
      <c r="AG653" s="204" t="s">
        <v>295</v>
      </c>
      <c r="AH653" s="204" t="s">
        <v>305</v>
      </c>
      <c r="AI653" s="204" t="s">
        <v>294</v>
      </c>
      <c r="AX653" s="204">
        <v>1</v>
      </c>
      <c r="AY653" s="204">
        <v>0</v>
      </c>
      <c r="AZ653" s="204">
        <v>4.3999999999999997E-2</v>
      </c>
      <c r="BB653" s="204">
        <v>417</v>
      </c>
      <c r="BH653" s="204">
        <v>0</v>
      </c>
      <c r="BI653" s="204">
        <v>0</v>
      </c>
      <c r="BJ653" s="204">
        <v>42885</v>
      </c>
      <c r="BK653" s="204">
        <v>42885.786298032399</v>
      </c>
      <c r="BL653" s="204" t="s">
        <v>293</v>
      </c>
      <c r="BM653" s="204" t="s">
        <v>365</v>
      </c>
      <c r="BN653" s="269">
        <f t="shared" si="129"/>
        <v>417</v>
      </c>
      <c r="BO653" s="269">
        <f t="shared" si="130"/>
        <v>0</v>
      </c>
      <c r="BP653" s="269">
        <f>INDEX('App Data Outliers'!$M:$M,MATCH($E653,'App Data Outliers'!$A:$A,0))</f>
        <v>417</v>
      </c>
      <c r="BQ653" s="269">
        <f>INDEX('App Data Outliers'!$N:$N,MATCH($E653,'App Data Outliers'!$A:$A,0))</f>
        <v>0</v>
      </c>
      <c r="BR653" s="269">
        <f>INDEX('App Data Outliers'!$S:$S,MATCH($E653,'App Data Outliers'!$A:$A,0))</f>
        <v>0</v>
      </c>
      <c r="BS653" s="269">
        <f>INDEX('App Data Outliers'!$T:$T,MATCH($E653,'App Data Outliers'!$A:$A,0))</f>
        <v>0</v>
      </c>
    </row>
    <row r="654" spans="1:71" s="204" customFormat="1">
      <c r="A654" s="241">
        <v>650</v>
      </c>
      <c r="B654" s="241" t="str">
        <f t="shared" si="121"/>
        <v>Residential - BHPSD - Whole House Efficiency</v>
      </c>
      <c r="C654" s="241" t="b">
        <f t="shared" si="122"/>
        <v>1</v>
      </c>
      <c r="D654" s="241" t="str">
        <f t="shared" si="123"/>
        <v>Residential - BHPSD - Whole House Efficiency_Whole House :- Utility Direct Costs_Recommended Audit Measures</v>
      </c>
      <c r="E654" s="241" t="str">
        <f t="shared" si="124"/>
        <v>Residential_Whole House Efficiency_Various_Measures</v>
      </c>
      <c r="F654" s="241" t="str">
        <f>INDEX('VDSM MAPPING'!E:E,MATCH($D654,'VDSM MAPPING'!$A:$A,0))</f>
        <v>Residential</v>
      </c>
      <c r="G654" s="241" t="str">
        <f>INDEX('VDSM MAPPING'!F:F,MATCH($D654,'VDSM MAPPING'!$A:$A,0))</f>
        <v>Whole House Efficiency</v>
      </c>
      <c r="H654" s="241" t="str">
        <f>INDEX('VDSM MAPPING'!G:G,MATCH($D654,'VDSM MAPPING'!$A:$A,0))</f>
        <v>Various</v>
      </c>
      <c r="I654" s="241" t="str">
        <f>INDEX('VDSM MAPPING'!H:H,MATCH($D654,'VDSM MAPPING'!$A:$A,0))</f>
        <v>Measures</v>
      </c>
      <c r="J654" s="240" t="str">
        <f t="shared" si="125"/>
        <v/>
      </c>
      <c r="K654" s="240" t="str">
        <f t="shared" si="126"/>
        <v/>
      </c>
      <c r="L654" s="240" t="b">
        <f t="shared" si="127"/>
        <v>0</v>
      </c>
      <c r="M654" s="240" t="b">
        <f t="shared" si="128"/>
        <v>0</v>
      </c>
      <c r="N654" s="204" t="s">
        <v>289</v>
      </c>
      <c r="O654" s="204" t="s">
        <v>357</v>
      </c>
      <c r="P654" s="350">
        <v>1</v>
      </c>
      <c r="Q654" s="204" t="s">
        <v>357</v>
      </c>
      <c r="R654" s="204" t="s">
        <v>356</v>
      </c>
      <c r="S654" s="204" t="s">
        <v>355</v>
      </c>
      <c r="T654" s="204" t="s">
        <v>354</v>
      </c>
      <c r="V654" s="204" t="s">
        <v>353</v>
      </c>
      <c r="W654" s="204" t="s">
        <v>298</v>
      </c>
      <c r="X654" s="204" t="s">
        <v>297</v>
      </c>
      <c r="Y654" s="204" t="s">
        <v>296</v>
      </c>
      <c r="AG654" s="204" t="s">
        <v>295</v>
      </c>
      <c r="AH654" s="204" t="s">
        <v>153</v>
      </c>
      <c r="AI654" s="204" t="s">
        <v>294</v>
      </c>
      <c r="AX654" s="204">
        <v>1</v>
      </c>
      <c r="AY654" s="204">
        <v>0</v>
      </c>
      <c r="AZ654" s="204">
        <v>0.19</v>
      </c>
      <c r="BB654" s="204">
        <v>508</v>
      </c>
      <c r="BH654" s="204">
        <v>0</v>
      </c>
      <c r="BI654" s="204">
        <v>0</v>
      </c>
      <c r="BJ654" s="204">
        <v>42886</v>
      </c>
      <c r="BK654" s="204">
        <v>42886.694545486098</v>
      </c>
      <c r="BL654" s="204" t="s">
        <v>293</v>
      </c>
      <c r="BM654" s="204" t="s">
        <v>358</v>
      </c>
      <c r="BN654" s="269">
        <f t="shared" si="129"/>
        <v>508</v>
      </c>
      <c r="BO654" s="269">
        <f t="shared" si="130"/>
        <v>0</v>
      </c>
      <c r="BP654" s="269">
        <f>INDEX('App Data Outliers'!$M:$M,MATCH($E654,'App Data Outliers'!$A:$A,0))</f>
        <v>508</v>
      </c>
      <c r="BQ654" s="269">
        <f>INDEX('App Data Outliers'!$N:$N,MATCH($E654,'App Data Outliers'!$A:$A,0))</f>
        <v>0</v>
      </c>
      <c r="BR654" s="269">
        <f>INDEX('App Data Outliers'!$S:$S,MATCH($E654,'App Data Outliers'!$A:$A,0))</f>
        <v>0</v>
      </c>
      <c r="BS654" s="269">
        <f>INDEX('App Data Outliers'!$T:$T,MATCH($E654,'App Data Outliers'!$A:$A,0))</f>
        <v>0</v>
      </c>
    </row>
    <row r="655" spans="1:71" s="204" customFormat="1">
      <c r="A655" s="241">
        <v>651</v>
      </c>
      <c r="B655" s="241" t="str">
        <f t="shared" si="121"/>
        <v>Residential - BHPSD - Whole House Efficiency</v>
      </c>
      <c r="C655" s="241" t="b">
        <f t="shared" si="122"/>
        <v>1</v>
      </c>
      <c r="D655" s="241" t="str">
        <f t="shared" si="123"/>
        <v>Residential - BHPSD - Whole House Efficiency_Whole House :- Utility Direct Costs_Residential EE Kit</v>
      </c>
      <c r="E655" s="241" t="str">
        <f t="shared" si="124"/>
        <v>Residential_Whole House Efficiency_Various_Residential Kit</v>
      </c>
      <c r="F655" s="241" t="str">
        <f>INDEX('VDSM MAPPING'!E:E,MATCH($D655,'VDSM MAPPING'!$A:$A,0))</f>
        <v>Residential</v>
      </c>
      <c r="G655" s="241" t="str">
        <f>INDEX('VDSM MAPPING'!F:F,MATCH($D655,'VDSM MAPPING'!$A:$A,0))</f>
        <v>Whole House Efficiency</v>
      </c>
      <c r="H655" s="241" t="str">
        <f>INDEX('VDSM MAPPING'!G:G,MATCH($D655,'VDSM MAPPING'!$A:$A,0))</f>
        <v>Various</v>
      </c>
      <c r="I655" s="241" t="str">
        <f>INDEX('VDSM MAPPING'!H:H,MATCH($D655,'VDSM MAPPING'!$A:$A,0))</f>
        <v>Residential Kit</v>
      </c>
      <c r="J655" s="240" t="str">
        <f t="shared" si="125"/>
        <v/>
      </c>
      <c r="K655" s="240" t="str">
        <f t="shared" si="126"/>
        <v/>
      </c>
      <c r="L655" s="240" t="b">
        <f t="shared" si="127"/>
        <v>0</v>
      </c>
      <c r="M655" s="240" t="b">
        <f t="shared" si="128"/>
        <v>0</v>
      </c>
      <c r="N655" s="204" t="s">
        <v>289</v>
      </c>
      <c r="O655" s="204" t="s">
        <v>357</v>
      </c>
      <c r="P655" s="350">
        <v>0</v>
      </c>
      <c r="Q655" s="204" t="s">
        <v>357</v>
      </c>
      <c r="R655" s="204" t="s">
        <v>356</v>
      </c>
      <c r="S655" s="204" t="s">
        <v>355</v>
      </c>
      <c r="T655" s="204" t="s">
        <v>354</v>
      </c>
      <c r="V655" s="204" t="s">
        <v>353</v>
      </c>
      <c r="W655" s="204" t="s">
        <v>298</v>
      </c>
      <c r="X655" s="204" t="s">
        <v>297</v>
      </c>
      <c r="Y655" s="204" t="s">
        <v>296</v>
      </c>
      <c r="AG655" s="204" t="s">
        <v>295</v>
      </c>
      <c r="AH655" s="204" t="s">
        <v>305</v>
      </c>
      <c r="AI655" s="204" t="s">
        <v>294</v>
      </c>
      <c r="AX655" s="204">
        <v>1</v>
      </c>
      <c r="AY655" s="204">
        <v>0</v>
      </c>
      <c r="AZ655" s="204">
        <v>4.3999999999999997E-2</v>
      </c>
      <c r="BB655" s="204">
        <v>417</v>
      </c>
      <c r="BH655" s="204">
        <v>0</v>
      </c>
      <c r="BI655" s="204">
        <v>0</v>
      </c>
      <c r="BJ655" s="204">
        <v>42886</v>
      </c>
      <c r="BK655" s="204">
        <v>42886.694545486098</v>
      </c>
      <c r="BL655" s="204" t="s">
        <v>293</v>
      </c>
      <c r="BM655" s="204" t="s">
        <v>352</v>
      </c>
      <c r="BN655" s="269">
        <f t="shared" si="129"/>
        <v>417</v>
      </c>
      <c r="BO655" s="269">
        <f t="shared" si="130"/>
        <v>0</v>
      </c>
      <c r="BP655" s="269">
        <f>INDEX('App Data Outliers'!$M:$M,MATCH($E655,'App Data Outliers'!$A:$A,0))</f>
        <v>417</v>
      </c>
      <c r="BQ655" s="269">
        <f>INDEX('App Data Outliers'!$N:$N,MATCH($E655,'App Data Outliers'!$A:$A,0))</f>
        <v>0</v>
      </c>
      <c r="BR655" s="269">
        <f>INDEX('App Data Outliers'!$S:$S,MATCH($E655,'App Data Outliers'!$A:$A,0))</f>
        <v>0</v>
      </c>
      <c r="BS655" s="269">
        <f>INDEX('App Data Outliers'!$T:$T,MATCH($E655,'App Data Outliers'!$A:$A,0))</f>
        <v>0</v>
      </c>
    </row>
    <row r="656" spans="1:71" s="204" customFormat="1">
      <c r="A656" s="241">
        <v>652</v>
      </c>
      <c r="B656" s="241" t="str">
        <f t="shared" si="121"/>
        <v>Residential - BHPSD - Whole House Efficiency</v>
      </c>
      <c r="C656" s="241" t="b">
        <f t="shared" si="122"/>
        <v>1</v>
      </c>
      <c r="D656" s="241" t="str">
        <f t="shared" si="123"/>
        <v>Residential - BHPSD - Whole House Efficiency_Whole House :- Utility Direct Costs_Recommended Audit Measures</v>
      </c>
      <c r="E656" s="241" t="str">
        <f t="shared" si="124"/>
        <v>Residential_Whole House Efficiency_Various_Measures</v>
      </c>
      <c r="F656" s="241" t="str">
        <f>INDEX('VDSM MAPPING'!E:E,MATCH($D656,'VDSM MAPPING'!$A:$A,0))</f>
        <v>Residential</v>
      </c>
      <c r="G656" s="241" t="str">
        <f>INDEX('VDSM MAPPING'!F:F,MATCH($D656,'VDSM MAPPING'!$A:$A,0))</f>
        <v>Whole House Efficiency</v>
      </c>
      <c r="H656" s="241" t="str">
        <f>INDEX('VDSM MAPPING'!G:G,MATCH($D656,'VDSM MAPPING'!$A:$A,0))</f>
        <v>Various</v>
      </c>
      <c r="I656" s="241" t="str">
        <f>INDEX('VDSM MAPPING'!H:H,MATCH($D656,'VDSM MAPPING'!$A:$A,0))</f>
        <v>Measures</v>
      </c>
      <c r="J656" s="240" t="str">
        <f t="shared" si="125"/>
        <v/>
      </c>
      <c r="K656" s="240" t="str">
        <f t="shared" si="126"/>
        <v/>
      </c>
      <c r="L656" s="240" t="b">
        <f t="shared" si="127"/>
        <v>0</v>
      </c>
      <c r="M656" s="240" t="b">
        <f t="shared" si="128"/>
        <v>0</v>
      </c>
      <c r="N656" s="204" t="s">
        <v>289</v>
      </c>
      <c r="O656" s="204" t="s">
        <v>350</v>
      </c>
      <c r="P656" s="350">
        <v>1</v>
      </c>
      <c r="Q656" s="204" t="s">
        <v>350</v>
      </c>
      <c r="R656" s="204" t="s">
        <v>349</v>
      </c>
      <c r="S656" s="204" t="s">
        <v>348</v>
      </c>
      <c r="T656" s="204" t="s">
        <v>347</v>
      </c>
      <c r="V656" s="204" t="s">
        <v>346</v>
      </c>
      <c r="W656" s="204" t="s">
        <v>345</v>
      </c>
      <c r="X656" s="204" t="s">
        <v>297</v>
      </c>
      <c r="Y656" s="204" t="s">
        <v>344</v>
      </c>
      <c r="AG656" s="204" t="s">
        <v>295</v>
      </c>
      <c r="AH656" s="204" t="s">
        <v>153</v>
      </c>
      <c r="AI656" s="204" t="s">
        <v>294</v>
      </c>
      <c r="AX656" s="204">
        <v>1</v>
      </c>
      <c r="AY656" s="204">
        <v>0</v>
      </c>
      <c r="AZ656" s="204">
        <v>0.19</v>
      </c>
      <c r="BB656" s="204">
        <v>508</v>
      </c>
      <c r="BH656" s="204">
        <v>0</v>
      </c>
      <c r="BI656" s="204">
        <v>0</v>
      </c>
      <c r="BJ656" s="204">
        <v>42927</v>
      </c>
      <c r="BK656" s="204">
        <v>42927.597792789398</v>
      </c>
      <c r="BL656" s="204" t="s">
        <v>293</v>
      </c>
      <c r="BM656" s="204" t="s">
        <v>343</v>
      </c>
      <c r="BN656" s="269">
        <f t="shared" si="129"/>
        <v>508</v>
      </c>
      <c r="BO656" s="269">
        <f t="shared" si="130"/>
        <v>0</v>
      </c>
      <c r="BP656" s="269">
        <f>INDEX('App Data Outliers'!$M:$M,MATCH($E656,'App Data Outliers'!$A:$A,0))</f>
        <v>508</v>
      </c>
      <c r="BQ656" s="269">
        <f>INDEX('App Data Outliers'!$N:$N,MATCH($E656,'App Data Outliers'!$A:$A,0))</f>
        <v>0</v>
      </c>
      <c r="BR656" s="269">
        <f>INDEX('App Data Outliers'!$S:$S,MATCH($E656,'App Data Outliers'!$A:$A,0))</f>
        <v>0</v>
      </c>
      <c r="BS656" s="269">
        <f>INDEX('App Data Outliers'!$T:$T,MATCH($E656,'App Data Outliers'!$A:$A,0))</f>
        <v>0</v>
      </c>
    </row>
    <row r="657" spans="1:71" s="204" customFormat="1">
      <c r="A657" s="241">
        <v>653</v>
      </c>
      <c r="B657" s="241" t="str">
        <f t="shared" si="121"/>
        <v>Residential - BHPSD - Whole House Efficiency</v>
      </c>
      <c r="C657" s="241" t="b">
        <f t="shared" si="122"/>
        <v>1</v>
      </c>
      <c r="D657" s="241" t="str">
        <f t="shared" si="123"/>
        <v>Residential - BHPSD - Whole House Efficiency_Whole House :- Utility Direct Costs_Recommended Audit Measures</v>
      </c>
      <c r="E657" s="241" t="str">
        <f t="shared" si="124"/>
        <v>Residential_Whole House Efficiency_Various_Measures</v>
      </c>
      <c r="F657" s="241" t="str">
        <f>INDEX('VDSM MAPPING'!E:E,MATCH($D657,'VDSM MAPPING'!$A:$A,0))</f>
        <v>Residential</v>
      </c>
      <c r="G657" s="241" t="str">
        <f>INDEX('VDSM MAPPING'!F:F,MATCH($D657,'VDSM MAPPING'!$A:$A,0))</f>
        <v>Whole House Efficiency</v>
      </c>
      <c r="H657" s="241" t="str">
        <f>INDEX('VDSM MAPPING'!G:G,MATCH($D657,'VDSM MAPPING'!$A:$A,0))</f>
        <v>Various</v>
      </c>
      <c r="I657" s="241" t="str">
        <f>INDEX('VDSM MAPPING'!H:H,MATCH($D657,'VDSM MAPPING'!$A:$A,0))</f>
        <v>Measures</v>
      </c>
      <c r="J657" s="240" t="str">
        <f t="shared" si="125"/>
        <v/>
      </c>
      <c r="K657" s="240" t="str">
        <f t="shared" si="126"/>
        <v/>
      </c>
      <c r="L657" s="240" t="b">
        <f t="shared" si="127"/>
        <v>0</v>
      </c>
      <c r="M657" s="240" t="b">
        <f t="shared" si="128"/>
        <v>0</v>
      </c>
      <c r="N657" s="204" t="s">
        <v>289</v>
      </c>
      <c r="O657" s="204" t="s">
        <v>350</v>
      </c>
      <c r="P657" s="350">
        <v>0</v>
      </c>
      <c r="Q657" s="204" t="s">
        <v>350</v>
      </c>
      <c r="R657" s="204" t="s">
        <v>349</v>
      </c>
      <c r="S657" s="204" t="s">
        <v>348</v>
      </c>
      <c r="T657" s="204" t="s">
        <v>347</v>
      </c>
      <c r="V657" s="204" t="s">
        <v>346</v>
      </c>
      <c r="W657" s="204" t="s">
        <v>345</v>
      </c>
      <c r="X657" s="204" t="s">
        <v>297</v>
      </c>
      <c r="Y657" s="204" t="s">
        <v>344</v>
      </c>
      <c r="AG657" s="204" t="s">
        <v>295</v>
      </c>
      <c r="AH657" s="204" t="s">
        <v>153</v>
      </c>
      <c r="AI657" s="204" t="s">
        <v>294</v>
      </c>
      <c r="AX657" s="204">
        <v>1</v>
      </c>
      <c r="AY657" s="204">
        <v>0</v>
      </c>
      <c r="AZ657" s="204">
        <v>0.19</v>
      </c>
      <c r="BB657" s="204">
        <v>508</v>
      </c>
      <c r="BH657" s="204">
        <v>0</v>
      </c>
      <c r="BI657" s="204">
        <v>0</v>
      </c>
      <c r="BJ657" s="204">
        <v>42927</v>
      </c>
      <c r="BK657" s="204">
        <v>42927.597792789398</v>
      </c>
      <c r="BL657" s="204" t="s">
        <v>293</v>
      </c>
      <c r="BM657" s="204" t="s">
        <v>351</v>
      </c>
      <c r="BN657" s="269">
        <f t="shared" si="129"/>
        <v>508</v>
      </c>
      <c r="BO657" s="269">
        <f t="shared" si="130"/>
        <v>0</v>
      </c>
      <c r="BP657" s="269">
        <f>INDEX('App Data Outliers'!$M:$M,MATCH($E657,'App Data Outliers'!$A:$A,0))</f>
        <v>508</v>
      </c>
      <c r="BQ657" s="269">
        <f>INDEX('App Data Outliers'!$N:$N,MATCH($E657,'App Data Outliers'!$A:$A,0))</f>
        <v>0</v>
      </c>
      <c r="BR657" s="269">
        <f>INDEX('App Data Outliers'!$S:$S,MATCH($E657,'App Data Outliers'!$A:$A,0))</f>
        <v>0</v>
      </c>
      <c r="BS657" s="269">
        <f>INDEX('App Data Outliers'!$T:$T,MATCH($E657,'App Data Outliers'!$A:$A,0))</f>
        <v>0</v>
      </c>
    </row>
    <row r="658" spans="1:71" s="204" customFormat="1">
      <c r="A658" s="241">
        <v>654</v>
      </c>
      <c r="B658" s="241" t="str">
        <f t="shared" si="121"/>
        <v>Residential - BHPSD - Whole House Efficiency</v>
      </c>
      <c r="C658" s="241" t="b">
        <f t="shared" si="122"/>
        <v>1</v>
      </c>
      <c r="D658" s="241" t="str">
        <f t="shared" si="123"/>
        <v>Residential - BHPSD - Whole House Efficiency_Whole House :- Utility Direct Costs_Recommended Audit Measures</v>
      </c>
      <c r="E658" s="241" t="str">
        <f t="shared" si="124"/>
        <v>Residential_Whole House Efficiency_Various_Measures</v>
      </c>
      <c r="F658" s="241" t="str">
        <f>INDEX('VDSM MAPPING'!E:E,MATCH($D658,'VDSM MAPPING'!$A:$A,0))</f>
        <v>Residential</v>
      </c>
      <c r="G658" s="241" t="str">
        <f>INDEX('VDSM MAPPING'!F:F,MATCH($D658,'VDSM MAPPING'!$A:$A,0))</f>
        <v>Whole House Efficiency</v>
      </c>
      <c r="H658" s="241" t="str">
        <f>INDEX('VDSM MAPPING'!G:G,MATCH($D658,'VDSM MAPPING'!$A:$A,0))</f>
        <v>Various</v>
      </c>
      <c r="I658" s="241" t="str">
        <f>INDEX('VDSM MAPPING'!H:H,MATCH($D658,'VDSM MAPPING'!$A:$A,0))</f>
        <v>Measures</v>
      </c>
      <c r="J658" s="240" t="str">
        <f t="shared" si="125"/>
        <v/>
      </c>
      <c r="K658" s="240" t="str">
        <f t="shared" si="126"/>
        <v/>
      </c>
      <c r="L658" s="240" t="b">
        <f t="shared" si="127"/>
        <v>0</v>
      </c>
      <c r="M658" s="240" t="b">
        <f t="shared" si="128"/>
        <v>0</v>
      </c>
      <c r="N658" s="204" t="s">
        <v>289</v>
      </c>
      <c r="O658" s="204" t="s">
        <v>342</v>
      </c>
      <c r="P658" s="350">
        <v>1</v>
      </c>
      <c r="Q658" s="204" t="s">
        <v>342</v>
      </c>
      <c r="R658" s="204" t="s">
        <v>341</v>
      </c>
      <c r="S658" s="204" t="s">
        <v>340</v>
      </c>
      <c r="T658" s="204" t="s">
        <v>339</v>
      </c>
      <c r="V658" s="204" t="s">
        <v>338</v>
      </c>
      <c r="W658" s="204" t="s">
        <v>337</v>
      </c>
      <c r="X658" s="204" t="s">
        <v>297</v>
      </c>
      <c r="Y658" s="204" t="s">
        <v>336</v>
      </c>
      <c r="AG658" s="204" t="s">
        <v>295</v>
      </c>
      <c r="AH658" s="204" t="s">
        <v>153</v>
      </c>
      <c r="AX658" s="204">
        <v>1</v>
      </c>
      <c r="AY658" s="204">
        <v>0</v>
      </c>
      <c r="AZ658" s="204">
        <v>0.19</v>
      </c>
      <c r="BB658" s="204">
        <v>508</v>
      </c>
      <c r="BH658" s="204">
        <v>0</v>
      </c>
      <c r="BI658" s="204">
        <v>0</v>
      </c>
      <c r="BJ658" s="204">
        <v>42954</v>
      </c>
      <c r="BK658" s="204">
        <v>42954.676392442103</v>
      </c>
      <c r="BL658" s="204" t="s">
        <v>293</v>
      </c>
      <c r="BM658" s="204" t="s">
        <v>335</v>
      </c>
      <c r="BN658" s="269">
        <f t="shared" si="129"/>
        <v>508</v>
      </c>
      <c r="BO658" s="269">
        <f t="shared" si="130"/>
        <v>0</v>
      </c>
      <c r="BP658" s="269">
        <f>INDEX('App Data Outliers'!$M:$M,MATCH($E658,'App Data Outliers'!$A:$A,0))</f>
        <v>508</v>
      </c>
      <c r="BQ658" s="269">
        <f>INDEX('App Data Outliers'!$N:$N,MATCH($E658,'App Data Outliers'!$A:$A,0))</f>
        <v>0</v>
      </c>
      <c r="BR658" s="269">
        <f>INDEX('App Data Outliers'!$S:$S,MATCH($E658,'App Data Outliers'!$A:$A,0))</f>
        <v>0</v>
      </c>
      <c r="BS658" s="269">
        <f>INDEX('App Data Outliers'!$T:$T,MATCH($E658,'App Data Outliers'!$A:$A,0))</f>
        <v>0</v>
      </c>
    </row>
    <row r="659" spans="1:71" s="204" customFormat="1">
      <c r="A659" s="241">
        <v>655</v>
      </c>
      <c r="B659" s="241" t="str">
        <f t="shared" si="121"/>
        <v>Residential - BHPSD - Whole House Efficiency</v>
      </c>
      <c r="C659" s="241" t="b">
        <f t="shared" si="122"/>
        <v>1</v>
      </c>
      <c r="D659" s="241" t="str">
        <f t="shared" si="123"/>
        <v>Residential - BHPSD - Whole House Efficiency_Whole House :- Utility Direct Costs_Recommended Audit Measures</v>
      </c>
      <c r="E659" s="241" t="str">
        <f t="shared" si="124"/>
        <v>Residential_Whole House Efficiency_Various_Measures</v>
      </c>
      <c r="F659" s="241" t="str">
        <f>INDEX('VDSM MAPPING'!E:E,MATCH($D659,'VDSM MAPPING'!$A:$A,0))</f>
        <v>Residential</v>
      </c>
      <c r="G659" s="241" t="str">
        <f>INDEX('VDSM MAPPING'!F:F,MATCH($D659,'VDSM MAPPING'!$A:$A,0))</f>
        <v>Whole House Efficiency</v>
      </c>
      <c r="H659" s="241" t="str">
        <f>INDEX('VDSM MAPPING'!G:G,MATCH($D659,'VDSM MAPPING'!$A:$A,0))</f>
        <v>Various</v>
      </c>
      <c r="I659" s="241" t="str">
        <f>INDEX('VDSM MAPPING'!H:H,MATCH($D659,'VDSM MAPPING'!$A:$A,0))</f>
        <v>Measures</v>
      </c>
      <c r="J659" s="240" t="str">
        <f t="shared" si="125"/>
        <v/>
      </c>
      <c r="K659" s="240" t="str">
        <f t="shared" si="126"/>
        <v/>
      </c>
      <c r="L659" s="240" t="b">
        <f t="shared" si="127"/>
        <v>0</v>
      </c>
      <c r="M659" s="240" t="b">
        <f t="shared" si="128"/>
        <v>0</v>
      </c>
      <c r="N659" s="204" t="s">
        <v>289</v>
      </c>
      <c r="O659" s="204" t="s">
        <v>334</v>
      </c>
      <c r="P659" s="350">
        <v>1</v>
      </c>
      <c r="Q659" s="204" t="s">
        <v>334</v>
      </c>
      <c r="R659" s="204" t="s">
        <v>333</v>
      </c>
      <c r="S659" s="204" t="s">
        <v>332</v>
      </c>
      <c r="T659" s="204" t="s">
        <v>331</v>
      </c>
      <c r="V659" s="204" t="s">
        <v>330</v>
      </c>
      <c r="W659" s="204" t="s">
        <v>329</v>
      </c>
      <c r="X659" s="204" t="s">
        <v>297</v>
      </c>
      <c r="Y659" s="204" t="s">
        <v>328</v>
      </c>
      <c r="AG659" s="204" t="s">
        <v>295</v>
      </c>
      <c r="AH659" s="204" t="s">
        <v>153</v>
      </c>
      <c r="AX659" s="204">
        <v>1</v>
      </c>
      <c r="AY659" s="204">
        <v>0</v>
      </c>
      <c r="AZ659" s="204">
        <v>0.19</v>
      </c>
      <c r="BB659" s="204">
        <v>508</v>
      </c>
      <c r="BH659" s="204">
        <v>0</v>
      </c>
      <c r="BI659" s="204">
        <v>0</v>
      </c>
      <c r="BJ659" s="204">
        <v>42954</v>
      </c>
      <c r="BK659" s="204">
        <v>42954.6789623843</v>
      </c>
      <c r="BL659" s="204" t="s">
        <v>293</v>
      </c>
      <c r="BM659" s="204" t="s">
        <v>327</v>
      </c>
      <c r="BN659" s="269">
        <f t="shared" si="129"/>
        <v>508</v>
      </c>
      <c r="BO659" s="269">
        <f t="shared" si="130"/>
        <v>0</v>
      </c>
      <c r="BP659" s="269">
        <f>INDEX('App Data Outliers'!$M:$M,MATCH($E659,'App Data Outliers'!$A:$A,0))</f>
        <v>508</v>
      </c>
      <c r="BQ659" s="269">
        <f>INDEX('App Data Outliers'!$N:$N,MATCH($E659,'App Data Outliers'!$A:$A,0))</f>
        <v>0</v>
      </c>
      <c r="BR659" s="269">
        <f>INDEX('App Data Outliers'!$S:$S,MATCH($E659,'App Data Outliers'!$A:$A,0))</f>
        <v>0</v>
      </c>
      <c r="BS659" s="269">
        <f>INDEX('App Data Outliers'!$T:$T,MATCH($E659,'App Data Outliers'!$A:$A,0))</f>
        <v>0</v>
      </c>
    </row>
    <row r="660" spans="1:71" s="204" customFormat="1">
      <c r="A660" s="241">
        <v>656</v>
      </c>
      <c r="B660" s="241" t="str">
        <f t="shared" si="121"/>
        <v>Residential - BHPSD - Whole House Efficiency</v>
      </c>
      <c r="C660" s="241" t="b">
        <f t="shared" si="122"/>
        <v>1</v>
      </c>
      <c r="D660" s="241" t="str">
        <f t="shared" si="123"/>
        <v>Residential - BHPSD - Whole House Efficiency_Whole House :- Utility Direct Costs_Residential EE Kit</v>
      </c>
      <c r="E660" s="241" t="str">
        <f t="shared" si="124"/>
        <v>Residential_Whole House Efficiency_Various_Residential Kit</v>
      </c>
      <c r="F660" s="241" t="str">
        <f>INDEX('VDSM MAPPING'!E:E,MATCH($D660,'VDSM MAPPING'!$A:$A,0))</f>
        <v>Residential</v>
      </c>
      <c r="G660" s="241" t="str">
        <f>INDEX('VDSM MAPPING'!F:F,MATCH($D660,'VDSM MAPPING'!$A:$A,0))</f>
        <v>Whole House Efficiency</v>
      </c>
      <c r="H660" s="241" t="str">
        <f>INDEX('VDSM MAPPING'!G:G,MATCH($D660,'VDSM MAPPING'!$A:$A,0))</f>
        <v>Various</v>
      </c>
      <c r="I660" s="241" t="str">
        <f>INDEX('VDSM MAPPING'!H:H,MATCH($D660,'VDSM MAPPING'!$A:$A,0))</f>
        <v>Residential Kit</v>
      </c>
      <c r="J660" s="240" t="str">
        <f t="shared" si="125"/>
        <v/>
      </c>
      <c r="K660" s="240" t="str">
        <f t="shared" si="126"/>
        <v/>
      </c>
      <c r="L660" s="240" t="b">
        <f t="shared" si="127"/>
        <v>0</v>
      </c>
      <c r="M660" s="240" t="b">
        <f t="shared" si="128"/>
        <v>0</v>
      </c>
      <c r="N660" s="204" t="s">
        <v>289</v>
      </c>
      <c r="O660" s="204" t="s">
        <v>325</v>
      </c>
      <c r="P660" s="350">
        <v>1</v>
      </c>
      <c r="Q660" s="204" t="s">
        <v>325</v>
      </c>
      <c r="R660" s="204" t="s">
        <v>324</v>
      </c>
      <c r="S660" s="204" t="s">
        <v>323</v>
      </c>
      <c r="T660" s="204" t="s">
        <v>322</v>
      </c>
      <c r="V660" s="204" t="s">
        <v>321</v>
      </c>
      <c r="W660" s="204" t="s">
        <v>320</v>
      </c>
      <c r="X660" s="204" t="s">
        <v>297</v>
      </c>
      <c r="Y660" s="204" t="s">
        <v>319</v>
      </c>
      <c r="AG660" s="204" t="s">
        <v>295</v>
      </c>
      <c r="AH660" s="204" t="s">
        <v>305</v>
      </c>
      <c r="AI660" s="204" t="s">
        <v>294</v>
      </c>
      <c r="AX660" s="204">
        <v>1</v>
      </c>
      <c r="AY660" s="204">
        <v>0</v>
      </c>
      <c r="AZ660" s="204">
        <v>4.3999999999999997E-2</v>
      </c>
      <c r="BB660" s="204">
        <v>417</v>
      </c>
      <c r="BH660" s="204">
        <v>0</v>
      </c>
      <c r="BI660" s="204">
        <v>0</v>
      </c>
      <c r="BJ660" s="204">
        <v>42961</v>
      </c>
      <c r="BK660" s="204">
        <v>42961.698382951399</v>
      </c>
      <c r="BL660" s="204" t="s">
        <v>293</v>
      </c>
      <c r="BM660" s="204" t="s">
        <v>326</v>
      </c>
      <c r="BN660" s="269">
        <f t="shared" si="129"/>
        <v>417</v>
      </c>
      <c r="BO660" s="269">
        <f t="shared" si="130"/>
        <v>0</v>
      </c>
      <c r="BP660" s="269">
        <f>INDEX('App Data Outliers'!$M:$M,MATCH($E660,'App Data Outliers'!$A:$A,0))</f>
        <v>417</v>
      </c>
      <c r="BQ660" s="269">
        <f>INDEX('App Data Outliers'!$N:$N,MATCH($E660,'App Data Outliers'!$A:$A,0))</f>
        <v>0</v>
      </c>
      <c r="BR660" s="269">
        <f>INDEX('App Data Outliers'!$S:$S,MATCH($E660,'App Data Outliers'!$A:$A,0))</f>
        <v>0</v>
      </c>
      <c r="BS660" s="269">
        <f>INDEX('App Data Outliers'!$T:$T,MATCH($E660,'App Data Outliers'!$A:$A,0))</f>
        <v>0</v>
      </c>
    </row>
    <row r="661" spans="1:71" s="204" customFormat="1">
      <c r="A661" s="241">
        <v>657</v>
      </c>
      <c r="B661" s="241" t="str">
        <f t="shared" si="121"/>
        <v>Residential - BHPSD - Whole House Efficiency</v>
      </c>
      <c r="C661" s="241" t="b">
        <f t="shared" si="122"/>
        <v>1</v>
      </c>
      <c r="D661" s="241" t="str">
        <f t="shared" si="123"/>
        <v>Residential - BHPSD - Whole House Efficiency_Whole House :- Utility Direct Costs_Recommended Audit Measures</v>
      </c>
      <c r="E661" s="241" t="str">
        <f t="shared" si="124"/>
        <v>Residential_Whole House Efficiency_Various_Measures</v>
      </c>
      <c r="F661" s="241" t="str">
        <f>INDEX('VDSM MAPPING'!E:E,MATCH($D661,'VDSM MAPPING'!$A:$A,0))</f>
        <v>Residential</v>
      </c>
      <c r="G661" s="241" t="str">
        <f>INDEX('VDSM MAPPING'!F:F,MATCH($D661,'VDSM MAPPING'!$A:$A,0))</f>
        <v>Whole House Efficiency</v>
      </c>
      <c r="H661" s="241" t="str">
        <f>INDEX('VDSM MAPPING'!G:G,MATCH($D661,'VDSM MAPPING'!$A:$A,0))</f>
        <v>Various</v>
      </c>
      <c r="I661" s="241" t="str">
        <f>INDEX('VDSM MAPPING'!H:H,MATCH($D661,'VDSM MAPPING'!$A:$A,0))</f>
        <v>Measures</v>
      </c>
      <c r="J661" s="240" t="str">
        <f t="shared" si="125"/>
        <v/>
      </c>
      <c r="K661" s="240" t="str">
        <f t="shared" si="126"/>
        <v/>
      </c>
      <c r="L661" s="240" t="b">
        <f t="shared" si="127"/>
        <v>0</v>
      </c>
      <c r="M661" s="240" t="b">
        <f t="shared" si="128"/>
        <v>0</v>
      </c>
      <c r="N661" s="204" t="s">
        <v>289</v>
      </c>
      <c r="O661" s="204" t="s">
        <v>325</v>
      </c>
      <c r="P661" s="350">
        <v>0</v>
      </c>
      <c r="Q661" s="204" t="s">
        <v>325</v>
      </c>
      <c r="R661" s="204" t="s">
        <v>324</v>
      </c>
      <c r="S661" s="204" t="s">
        <v>323</v>
      </c>
      <c r="T661" s="204" t="s">
        <v>322</v>
      </c>
      <c r="V661" s="204" t="s">
        <v>321</v>
      </c>
      <c r="W661" s="204" t="s">
        <v>320</v>
      </c>
      <c r="X661" s="204" t="s">
        <v>297</v>
      </c>
      <c r="Y661" s="204" t="s">
        <v>319</v>
      </c>
      <c r="AG661" s="204" t="s">
        <v>295</v>
      </c>
      <c r="AH661" s="204" t="s">
        <v>153</v>
      </c>
      <c r="AI661" s="204" t="s">
        <v>294</v>
      </c>
      <c r="AX661" s="204">
        <v>1</v>
      </c>
      <c r="AY661" s="204">
        <v>0</v>
      </c>
      <c r="AZ661" s="204">
        <v>0.19</v>
      </c>
      <c r="BB661" s="204">
        <v>508</v>
      </c>
      <c r="BH661" s="204">
        <v>0</v>
      </c>
      <c r="BI661" s="204">
        <v>0</v>
      </c>
      <c r="BJ661" s="204">
        <v>42961</v>
      </c>
      <c r="BK661" s="204">
        <v>42961.698382951399</v>
      </c>
      <c r="BL661" s="204" t="s">
        <v>293</v>
      </c>
      <c r="BM661" s="204" t="s">
        <v>318</v>
      </c>
      <c r="BN661" s="269">
        <f t="shared" si="129"/>
        <v>508</v>
      </c>
      <c r="BO661" s="269">
        <f t="shared" si="130"/>
        <v>0</v>
      </c>
      <c r="BP661" s="269">
        <f>INDEX('App Data Outliers'!$M:$M,MATCH($E661,'App Data Outliers'!$A:$A,0))</f>
        <v>508</v>
      </c>
      <c r="BQ661" s="269">
        <f>INDEX('App Data Outliers'!$N:$N,MATCH($E661,'App Data Outliers'!$A:$A,0))</f>
        <v>0</v>
      </c>
      <c r="BR661" s="269">
        <f>INDEX('App Data Outliers'!$S:$S,MATCH($E661,'App Data Outliers'!$A:$A,0))</f>
        <v>0</v>
      </c>
      <c r="BS661" s="269">
        <f>INDEX('App Data Outliers'!$T:$T,MATCH($E661,'App Data Outliers'!$A:$A,0))</f>
        <v>0</v>
      </c>
    </row>
    <row r="662" spans="1:71" s="204" customFormat="1">
      <c r="A662" s="241">
        <v>658</v>
      </c>
      <c r="B662" s="241" t="str">
        <f t="shared" si="121"/>
        <v>Residential - BHPSD - Whole House Efficiency</v>
      </c>
      <c r="C662" s="241" t="b">
        <f t="shared" si="122"/>
        <v>1</v>
      </c>
      <c r="D662" s="241" t="str">
        <f t="shared" si="123"/>
        <v>Residential - BHPSD - Whole House Efficiency_Whole House :- Utility Direct Costs_Residential EE Kit</v>
      </c>
      <c r="E662" s="241" t="str">
        <f t="shared" si="124"/>
        <v>Residential_Whole House Efficiency_Various_Residential Kit</v>
      </c>
      <c r="F662" s="241" t="str">
        <f>INDEX('VDSM MAPPING'!E:E,MATCH($D662,'VDSM MAPPING'!$A:$A,0))</f>
        <v>Residential</v>
      </c>
      <c r="G662" s="241" t="str">
        <f>INDEX('VDSM MAPPING'!F:F,MATCH($D662,'VDSM MAPPING'!$A:$A,0))</f>
        <v>Whole House Efficiency</v>
      </c>
      <c r="H662" s="241" t="str">
        <f>INDEX('VDSM MAPPING'!G:G,MATCH($D662,'VDSM MAPPING'!$A:$A,0))</f>
        <v>Various</v>
      </c>
      <c r="I662" s="241" t="str">
        <f>INDEX('VDSM MAPPING'!H:H,MATCH($D662,'VDSM MAPPING'!$A:$A,0))</f>
        <v>Residential Kit</v>
      </c>
      <c r="J662" s="240" t="str">
        <f t="shared" si="125"/>
        <v/>
      </c>
      <c r="K662" s="240" t="str">
        <f t="shared" si="126"/>
        <v/>
      </c>
      <c r="L662" s="240" t="b">
        <f t="shared" si="127"/>
        <v>0</v>
      </c>
      <c r="M662" s="240" t="b">
        <f t="shared" si="128"/>
        <v>0</v>
      </c>
      <c r="N662" s="204" t="s">
        <v>289</v>
      </c>
      <c r="O662" s="204" t="s">
        <v>316</v>
      </c>
      <c r="P662" s="350">
        <v>1</v>
      </c>
      <c r="Q662" s="204" t="s">
        <v>316</v>
      </c>
      <c r="R662" s="204" t="s">
        <v>312</v>
      </c>
      <c r="S662" s="204" t="s">
        <v>311</v>
      </c>
      <c r="T662" s="204" t="s">
        <v>310</v>
      </c>
      <c r="V662" s="204" t="s">
        <v>309</v>
      </c>
      <c r="W662" s="204" t="s">
        <v>308</v>
      </c>
      <c r="X662" s="204" t="s">
        <v>297</v>
      </c>
      <c r="Y662" s="204" t="s">
        <v>307</v>
      </c>
      <c r="AG662" s="204" t="s">
        <v>295</v>
      </c>
      <c r="AH662" s="204" t="s">
        <v>305</v>
      </c>
      <c r="AI662" s="204" t="s">
        <v>294</v>
      </c>
      <c r="AX662" s="204">
        <v>1</v>
      </c>
      <c r="AY662" s="204">
        <v>0</v>
      </c>
      <c r="AZ662" s="204">
        <v>4.3999999999999997E-2</v>
      </c>
      <c r="BB662" s="204">
        <v>417</v>
      </c>
      <c r="BH662" s="204">
        <v>0</v>
      </c>
      <c r="BI662" s="204">
        <v>0</v>
      </c>
      <c r="BJ662" s="204">
        <v>42968</v>
      </c>
      <c r="BK662" s="204">
        <v>42968.833325891203</v>
      </c>
      <c r="BL662" s="204" t="s">
        <v>293</v>
      </c>
      <c r="BM662" s="204" t="s">
        <v>317</v>
      </c>
      <c r="BN662" s="269">
        <f t="shared" si="129"/>
        <v>417</v>
      </c>
      <c r="BO662" s="269">
        <f t="shared" si="130"/>
        <v>0</v>
      </c>
      <c r="BP662" s="269">
        <f>INDEX('App Data Outliers'!$M:$M,MATCH($E662,'App Data Outliers'!$A:$A,0))</f>
        <v>417</v>
      </c>
      <c r="BQ662" s="269">
        <f>INDEX('App Data Outliers'!$N:$N,MATCH($E662,'App Data Outliers'!$A:$A,0))</f>
        <v>0</v>
      </c>
      <c r="BR662" s="269">
        <f>INDEX('App Data Outliers'!$S:$S,MATCH($E662,'App Data Outliers'!$A:$A,0))</f>
        <v>0</v>
      </c>
      <c r="BS662" s="269">
        <f>INDEX('App Data Outliers'!$T:$T,MATCH($E662,'App Data Outliers'!$A:$A,0))</f>
        <v>0</v>
      </c>
    </row>
    <row r="663" spans="1:71" s="204" customFormat="1">
      <c r="A663" s="241">
        <v>659</v>
      </c>
      <c r="B663" s="241" t="str">
        <f t="shared" si="121"/>
        <v>Residential - BHPSD - Whole House Efficiency</v>
      </c>
      <c r="C663" s="241" t="b">
        <f t="shared" si="122"/>
        <v>1</v>
      </c>
      <c r="D663" s="241" t="str">
        <f t="shared" si="123"/>
        <v>Residential - BHPSD - Whole House Efficiency_Whole House :- Utility Direct Costs_Recommended Audit Measures</v>
      </c>
      <c r="E663" s="241" t="str">
        <f t="shared" si="124"/>
        <v>Residential_Whole House Efficiency_Various_Measures</v>
      </c>
      <c r="F663" s="241" t="str">
        <f>INDEX('VDSM MAPPING'!E:E,MATCH($D663,'VDSM MAPPING'!$A:$A,0))</f>
        <v>Residential</v>
      </c>
      <c r="G663" s="241" t="str">
        <f>INDEX('VDSM MAPPING'!F:F,MATCH($D663,'VDSM MAPPING'!$A:$A,0))</f>
        <v>Whole House Efficiency</v>
      </c>
      <c r="H663" s="241" t="str">
        <f>INDEX('VDSM MAPPING'!G:G,MATCH($D663,'VDSM MAPPING'!$A:$A,0))</f>
        <v>Various</v>
      </c>
      <c r="I663" s="241" t="str">
        <f>INDEX('VDSM MAPPING'!H:H,MATCH($D663,'VDSM MAPPING'!$A:$A,0))</f>
        <v>Measures</v>
      </c>
      <c r="J663" s="240" t="str">
        <f t="shared" si="125"/>
        <v/>
      </c>
      <c r="K663" s="240" t="str">
        <f t="shared" si="126"/>
        <v/>
      </c>
      <c r="L663" s="240" t="b">
        <f t="shared" si="127"/>
        <v>0</v>
      </c>
      <c r="M663" s="240" t="b">
        <f t="shared" si="128"/>
        <v>0</v>
      </c>
      <c r="N663" s="204" t="s">
        <v>289</v>
      </c>
      <c r="O663" s="204" t="s">
        <v>316</v>
      </c>
      <c r="P663" s="350">
        <v>0</v>
      </c>
      <c r="Q663" s="204" t="s">
        <v>316</v>
      </c>
      <c r="R663" s="204" t="s">
        <v>312</v>
      </c>
      <c r="S663" s="204" t="s">
        <v>311</v>
      </c>
      <c r="T663" s="204" t="s">
        <v>310</v>
      </c>
      <c r="V663" s="204" t="s">
        <v>309</v>
      </c>
      <c r="W663" s="204" t="s">
        <v>308</v>
      </c>
      <c r="X663" s="204" t="s">
        <v>297</v>
      </c>
      <c r="Y663" s="204" t="s">
        <v>307</v>
      </c>
      <c r="AG663" s="204" t="s">
        <v>295</v>
      </c>
      <c r="AH663" s="204" t="s">
        <v>153</v>
      </c>
      <c r="AI663" s="204" t="s">
        <v>294</v>
      </c>
      <c r="AX663" s="204">
        <v>1</v>
      </c>
      <c r="AY663" s="204">
        <v>0</v>
      </c>
      <c r="AZ663" s="204">
        <v>0.19</v>
      </c>
      <c r="BB663" s="204">
        <v>508</v>
      </c>
      <c r="BH663" s="204">
        <v>0</v>
      </c>
      <c r="BI663" s="204">
        <v>0</v>
      </c>
      <c r="BJ663" s="204">
        <v>42968</v>
      </c>
      <c r="BK663" s="204">
        <v>42968.833325891203</v>
      </c>
      <c r="BL663" s="204" t="s">
        <v>293</v>
      </c>
      <c r="BM663" s="204" t="s">
        <v>315</v>
      </c>
      <c r="BN663" s="269">
        <f t="shared" si="129"/>
        <v>508</v>
      </c>
      <c r="BO663" s="269">
        <f t="shared" si="130"/>
        <v>0</v>
      </c>
      <c r="BP663" s="269">
        <f>INDEX('App Data Outliers'!$M:$M,MATCH($E663,'App Data Outliers'!$A:$A,0))</f>
        <v>508</v>
      </c>
      <c r="BQ663" s="269">
        <f>INDEX('App Data Outliers'!$N:$N,MATCH($E663,'App Data Outliers'!$A:$A,0))</f>
        <v>0</v>
      </c>
      <c r="BR663" s="269">
        <f>INDEX('App Data Outliers'!$S:$S,MATCH($E663,'App Data Outliers'!$A:$A,0))</f>
        <v>0</v>
      </c>
      <c r="BS663" s="269">
        <f>INDEX('App Data Outliers'!$T:$T,MATCH($E663,'App Data Outliers'!$A:$A,0))</f>
        <v>0</v>
      </c>
    </row>
    <row r="664" spans="1:71" s="204" customFormat="1">
      <c r="A664" s="241">
        <v>660</v>
      </c>
      <c r="B664" s="241" t="str">
        <f t="shared" si="121"/>
        <v>Residential - BHPSD - Whole House Efficiency</v>
      </c>
      <c r="C664" s="241" t="b">
        <f t="shared" si="122"/>
        <v>1</v>
      </c>
      <c r="D664" s="241" t="str">
        <f t="shared" si="123"/>
        <v>Residential - BHPSD - Whole House Efficiency_Whole House :- Utility Direct Costs_Residential EE Kit</v>
      </c>
      <c r="E664" s="241" t="str">
        <f t="shared" si="124"/>
        <v>Residential_Whole House Efficiency_Various_Residential Kit</v>
      </c>
      <c r="F664" s="241" t="str">
        <f>INDEX('VDSM MAPPING'!E:E,MATCH($D664,'VDSM MAPPING'!$A:$A,0))</f>
        <v>Residential</v>
      </c>
      <c r="G664" s="241" t="str">
        <f>INDEX('VDSM MAPPING'!F:F,MATCH($D664,'VDSM MAPPING'!$A:$A,0))</f>
        <v>Whole House Efficiency</v>
      </c>
      <c r="H664" s="241" t="str">
        <f>INDEX('VDSM MAPPING'!G:G,MATCH($D664,'VDSM MAPPING'!$A:$A,0))</f>
        <v>Various</v>
      </c>
      <c r="I664" s="241" t="str">
        <f>INDEX('VDSM MAPPING'!H:H,MATCH($D664,'VDSM MAPPING'!$A:$A,0))</f>
        <v>Residential Kit</v>
      </c>
      <c r="J664" s="240" t="str">
        <f t="shared" si="125"/>
        <v/>
      </c>
      <c r="K664" s="240" t="str">
        <f t="shared" si="126"/>
        <v/>
      </c>
      <c r="L664" s="240" t="b">
        <f t="shared" si="127"/>
        <v>0</v>
      </c>
      <c r="M664" s="240" t="b">
        <f t="shared" si="128"/>
        <v>0</v>
      </c>
      <c r="N664" s="204" t="s">
        <v>289</v>
      </c>
      <c r="O664" s="204" t="s">
        <v>313</v>
      </c>
      <c r="P664" s="350">
        <v>1</v>
      </c>
      <c r="Q664" s="204" t="s">
        <v>313</v>
      </c>
      <c r="R664" s="204" t="s">
        <v>312</v>
      </c>
      <c r="S664" s="204" t="s">
        <v>311</v>
      </c>
      <c r="T664" s="204" t="s">
        <v>310</v>
      </c>
      <c r="V664" s="204" t="s">
        <v>309</v>
      </c>
      <c r="W664" s="204" t="s">
        <v>308</v>
      </c>
      <c r="X664" s="204" t="s">
        <v>297</v>
      </c>
      <c r="Y664" s="204" t="s">
        <v>307</v>
      </c>
      <c r="AG664" s="204" t="s">
        <v>295</v>
      </c>
      <c r="AH664" s="204" t="s">
        <v>305</v>
      </c>
      <c r="AX664" s="204">
        <v>1</v>
      </c>
      <c r="AY664" s="204">
        <v>0</v>
      </c>
      <c r="AZ664" s="204">
        <v>4.3999999999999997E-2</v>
      </c>
      <c r="BB664" s="204">
        <v>417</v>
      </c>
      <c r="BH664" s="204">
        <v>0</v>
      </c>
      <c r="BI664" s="204">
        <v>0</v>
      </c>
      <c r="BJ664" s="204">
        <v>42968</v>
      </c>
      <c r="BK664" s="204">
        <v>42968.838196909703</v>
      </c>
      <c r="BL664" s="204" t="s">
        <v>293</v>
      </c>
      <c r="BM664" s="204" t="s">
        <v>306</v>
      </c>
      <c r="BN664" s="269">
        <f t="shared" si="129"/>
        <v>417</v>
      </c>
      <c r="BO664" s="269">
        <f t="shared" si="130"/>
        <v>0</v>
      </c>
      <c r="BP664" s="269">
        <f>INDEX('App Data Outliers'!$M:$M,MATCH($E664,'App Data Outliers'!$A:$A,0))</f>
        <v>417</v>
      </c>
      <c r="BQ664" s="269">
        <f>INDEX('App Data Outliers'!$N:$N,MATCH($E664,'App Data Outliers'!$A:$A,0))</f>
        <v>0</v>
      </c>
      <c r="BR664" s="269">
        <f>INDEX('App Data Outliers'!$S:$S,MATCH($E664,'App Data Outliers'!$A:$A,0))</f>
        <v>0</v>
      </c>
      <c r="BS664" s="269">
        <f>INDEX('App Data Outliers'!$T:$T,MATCH($E664,'App Data Outliers'!$A:$A,0))</f>
        <v>0</v>
      </c>
    </row>
    <row r="665" spans="1:71" s="204" customFormat="1">
      <c r="A665" s="241">
        <v>661</v>
      </c>
      <c r="B665" s="241" t="str">
        <f t="shared" si="121"/>
        <v>Residential - BHPSD - Whole House Efficiency</v>
      </c>
      <c r="C665" s="241" t="b">
        <f t="shared" si="122"/>
        <v>1</v>
      </c>
      <c r="D665" s="241" t="str">
        <f t="shared" si="123"/>
        <v>Residential - BHPSD - Whole House Efficiency_Whole House :- Utility Direct Costs_Recommended Audit Measures</v>
      </c>
      <c r="E665" s="241" t="str">
        <f t="shared" si="124"/>
        <v>Residential_Whole House Efficiency_Various_Measures</v>
      </c>
      <c r="F665" s="241" t="str">
        <f>INDEX('VDSM MAPPING'!E:E,MATCH($D665,'VDSM MAPPING'!$A:$A,0))</f>
        <v>Residential</v>
      </c>
      <c r="G665" s="241" t="str">
        <f>INDEX('VDSM MAPPING'!F:F,MATCH($D665,'VDSM MAPPING'!$A:$A,0))</f>
        <v>Whole House Efficiency</v>
      </c>
      <c r="H665" s="241" t="str">
        <f>INDEX('VDSM MAPPING'!G:G,MATCH($D665,'VDSM MAPPING'!$A:$A,0))</f>
        <v>Various</v>
      </c>
      <c r="I665" s="241" t="str">
        <f>INDEX('VDSM MAPPING'!H:H,MATCH($D665,'VDSM MAPPING'!$A:$A,0))</f>
        <v>Measures</v>
      </c>
      <c r="J665" s="240" t="str">
        <f t="shared" si="125"/>
        <v/>
      </c>
      <c r="K665" s="240" t="str">
        <f t="shared" si="126"/>
        <v/>
      </c>
      <c r="L665" s="240" t="b">
        <f t="shared" si="127"/>
        <v>0</v>
      </c>
      <c r="M665" s="240" t="b">
        <f t="shared" si="128"/>
        <v>0</v>
      </c>
      <c r="N665" s="204" t="s">
        <v>289</v>
      </c>
      <c r="O665" s="204" t="s">
        <v>313</v>
      </c>
      <c r="P665" s="350">
        <v>0</v>
      </c>
      <c r="Q665" s="204" t="s">
        <v>313</v>
      </c>
      <c r="R665" s="204" t="s">
        <v>312</v>
      </c>
      <c r="S665" s="204" t="s">
        <v>311</v>
      </c>
      <c r="T665" s="204" t="s">
        <v>310</v>
      </c>
      <c r="V665" s="204" t="s">
        <v>309</v>
      </c>
      <c r="W665" s="204" t="s">
        <v>308</v>
      </c>
      <c r="X665" s="204" t="s">
        <v>297</v>
      </c>
      <c r="Y665" s="204" t="s">
        <v>307</v>
      </c>
      <c r="AG665" s="204" t="s">
        <v>295</v>
      </c>
      <c r="AH665" s="204" t="s">
        <v>153</v>
      </c>
      <c r="AX665" s="204">
        <v>1</v>
      </c>
      <c r="AY665" s="204">
        <v>0</v>
      </c>
      <c r="AZ665" s="204">
        <v>0.19</v>
      </c>
      <c r="BB665" s="204">
        <v>508</v>
      </c>
      <c r="BH665" s="204">
        <v>0</v>
      </c>
      <c r="BI665" s="204">
        <v>0</v>
      </c>
      <c r="BJ665" s="204">
        <v>42968</v>
      </c>
      <c r="BK665" s="204">
        <v>42968.838196909703</v>
      </c>
      <c r="BL665" s="204" t="s">
        <v>293</v>
      </c>
      <c r="BM665" s="204" t="s">
        <v>314</v>
      </c>
      <c r="BN665" s="269">
        <f t="shared" si="129"/>
        <v>508</v>
      </c>
      <c r="BO665" s="269">
        <f t="shared" si="130"/>
        <v>0</v>
      </c>
      <c r="BP665" s="269">
        <f>INDEX('App Data Outliers'!$M:$M,MATCH($E665,'App Data Outliers'!$A:$A,0))</f>
        <v>508</v>
      </c>
      <c r="BQ665" s="269">
        <f>INDEX('App Data Outliers'!$N:$N,MATCH($E665,'App Data Outliers'!$A:$A,0))</f>
        <v>0</v>
      </c>
      <c r="BR665" s="269">
        <f>INDEX('App Data Outliers'!$S:$S,MATCH($E665,'App Data Outliers'!$A:$A,0))</f>
        <v>0</v>
      </c>
      <c r="BS665" s="269">
        <f>INDEX('App Data Outliers'!$T:$T,MATCH($E665,'App Data Outliers'!$A:$A,0))</f>
        <v>0</v>
      </c>
    </row>
    <row r="666" spans="1:71" s="204" customFormat="1">
      <c r="A666" s="241">
        <v>662</v>
      </c>
      <c r="B666" s="241" t="str">
        <f t="shared" si="121"/>
        <v>Residential - BHPSD - Whole House Efficiency</v>
      </c>
      <c r="C666" s="241" t="b">
        <f t="shared" si="122"/>
        <v>1</v>
      </c>
      <c r="D666" s="241" t="str">
        <f t="shared" si="123"/>
        <v>Residential - BHPSD - Whole House Efficiency_Whole House :- Utility Direct Costs_Residential EE Kit</v>
      </c>
      <c r="E666" s="241" t="str">
        <f t="shared" si="124"/>
        <v>Residential_Whole House Efficiency_Various_Residential Kit</v>
      </c>
      <c r="F666" s="241" t="str">
        <f>INDEX('VDSM MAPPING'!E:E,MATCH($D666,'VDSM MAPPING'!$A:$A,0))</f>
        <v>Residential</v>
      </c>
      <c r="G666" s="241" t="str">
        <f>INDEX('VDSM MAPPING'!F:F,MATCH($D666,'VDSM MAPPING'!$A:$A,0))</f>
        <v>Whole House Efficiency</v>
      </c>
      <c r="H666" s="241" t="str">
        <f>INDEX('VDSM MAPPING'!G:G,MATCH($D666,'VDSM MAPPING'!$A:$A,0))</f>
        <v>Various</v>
      </c>
      <c r="I666" s="241" t="str">
        <f>INDEX('VDSM MAPPING'!H:H,MATCH($D666,'VDSM MAPPING'!$A:$A,0))</f>
        <v>Residential Kit</v>
      </c>
      <c r="J666" s="240" t="str">
        <f t="shared" si="125"/>
        <v/>
      </c>
      <c r="K666" s="240" t="str">
        <f t="shared" si="126"/>
        <v/>
      </c>
      <c r="L666" s="240" t="b">
        <f t="shared" si="127"/>
        <v>0</v>
      </c>
      <c r="M666" s="240" t="b">
        <f t="shared" si="128"/>
        <v>0</v>
      </c>
      <c r="N666" s="204" t="s">
        <v>289</v>
      </c>
      <c r="O666" s="204" t="s">
        <v>303</v>
      </c>
      <c r="P666" s="350">
        <v>1</v>
      </c>
      <c r="Q666" s="204" t="s">
        <v>303</v>
      </c>
      <c r="R666" s="204" t="s">
        <v>302</v>
      </c>
      <c r="S666" s="204" t="s">
        <v>301</v>
      </c>
      <c r="T666" s="204" t="s">
        <v>300</v>
      </c>
      <c r="V666" s="204" t="s">
        <v>299</v>
      </c>
      <c r="W666" s="204" t="s">
        <v>298</v>
      </c>
      <c r="X666" s="204" t="s">
        <v>297</v>
      </c>
      <c r="Y666" s="204" t="s">
        <v>296</v>
      </c>
      <c r="AG666" s="204" t="s">
        <v>295</v>
      </c>
      <c r="AH666" s="204" t="s">
        <v>305</v>
      </c>
      <c r="AI666" s="204" t="s">
        <v>294</v>
      </c>
      <c r="AX666" s="204">
        <v>1</v>
      </c>
      <c r="AY666" s="204">
        <v>0</v>
      </c>
      <c r="AZ666" s="204">
        <v>4.3999999999999997E-2</v>
      </c>
      <c r="BB666" s="204">
        <v>417</v>
      </c>
      <c r="BH666" s="204">
        <v>0</v>
      </c>
      <c r="BI666" s="204">
        <v>0</v>
      </c>
      <c r="BJ666" s="204">
        <v>42968</v>
      </c>
      <c r="BK666" s="204">
        <v>42968.841239502297</v>
      </c>
      <c r="BL666" s="204" t="s">
        <v>293</v>
      </c>
      <c r="BM666" s="204" t="s">
        <v>304</v>
      </c>
      <c r="BN666" s="269">
        <f t="shared" si="129"/>
        <v>417</v>
      </c>
      <c r="BO666" s="269">
        <f t="shared" si="130"/>
        <v>0</v>
      </c>
      <c r="BP666" s="269">
        <f>INDEX('App Data Outliers'!$M:$M,MATCH($E666,'App Data Outliers'!$A:$A,0))</f>
        <v>417</v>
      </c>
      <c r="BQ666" s="269">
        <f>INDEX('App Data Outliers'!$N:$N,MATCH($E666,'App Data Outliers'!$A:$A,0))</f>
        <v>0</v>
      </c>
      <c r="BR666" s="269">
        <f>INDEX('App Data Outliers'!$S:$S,MATCH($E666,'App Data Outliers'!$A:$A,0))</f>
        <v>0</v>
      </c>
      <c r="BS666" s="269">
        <f>INDEX('App Data Outliers'!$T:$T,MATCH($E666,'App Data Outliers'!$A:$A,0))</f>
        <v>0</v>
      </c>
    </row>
    <row r="667" spans="1:71" s="204" customFormat="1">
      <c r="A667" s="241">
        <v>663</v>
      </c>
      <c r="B667" s="241" t="str">
        <f t="shared" si="121"/>
        <v>Residential - BHPSD - Whole House Efficiency</v>
      </c>
      <c r="C667" s="241" t="b">
        <f t="shared" si="122"/>
        <v>1</v>
      </c>
      <c r="D667" s="241" t="str">
        <f t="shared" si="123"/>
        <v>Residential - BHPSD - Whole House Efficiency_Whole House :- Utility Direct Costs_Recommended Audit Measures</v>
      </c>
      <c r="E667" s="241" t="str">
        <f t="shared" si="124"/>
        <v>Residential_Whole House Efficiency_Various_Measures</v>
      </c>
      <c r="F667" s="241" t="str">
        <f>INDEX('VDSM MAPPING'!E:E,MATCH($D667,'VDSM MAPPING'!$A:$A,0))</f>
        <v>Residential</v>
      </c>
      <c r="G667" s="241" t="str">
        <f>INDEX('VDSM MAPPING'!F:F,MATCH($D667,'VDSM MAPPING'!$A:$A,0))</f>
        <v>Whole House Efficiency</v>
      </c>
      <c r="H667" s="241" t="str">
        <f>INDEX('VDSM MAPPING'!G:G,MATCH($D667,'VDSM MAPPING'!$A:$A,0))</f>
        <v>Various</v>
      </c>
      <c r="I667" s="241" t="str">
        <f>INDEX('VDSM MAPPING'!H:H,MATCH($D667,'VDSM MAPPING'!$A:$A,0))</f>
        <v>Measures</v>
      </c>
      <c r="J667" s="240" t="str">
        <f t="shared" si="125"/>
        <v/>
      </c>
      <c r="K667" s="240" t="str">
        <f t="shared" si="126"/>
        <v/>
      </c>
      <c r="L667" s="240" t="b">
        <f t="shared" si="127"/>
        <v>0</v>
      </c>
      <c r="M667" s="240" t="b">
        <f t="shared" si="128"/>
        <v>0</v>
      </c>
      <c r="N667" s="204" t="s">
        <v>289</v>
      </c>
      <c r="O667" s="204" t="s">
        <v>303</v>
      </c>
      <c r="P667" s="350">
        <v>0</v>
      </c>
      <c r="Q667" s="204" t="s">
        <v>303</v>
      </c>
      <c r="R667" s="204" t="s">
        <v>302</v>
      </c>
      <c r="S667" s="204" t="s">
        <v>301</v>
      </c>
      <c r="T667" s="204" t="s">
        <v>300</v>
      </c>
      <c r="V667" s="204" t="s">
        <v>299</v>
      </c>
      <c r="W667" s="204" t="s">
        <v>298</v>
      </c>
      <c r="X667" s="204" t="s">
        <v>297</v>
      </c>
      <c r="Y667" s="204" t="s">
        <v>296</v>
      </c>
      <c r="AG667" s="204" t="s">
        <v>295</v>
      </c>
      <c r="AH667" s="204" t="s">
        <v>153</v>
      </c>
      <c r="AI667" s="204" t="s">
        <v>294</v>
      </c>
      <c r="AX667" s="204">
        <v>1</v>
      </c>
      <c r="AY667" s="204">
        <v>0</v>
      </c>
      <c r="AZ667" s="204">
        <v>0.19</v>
      </c>
      <c r="BB667" s="204">
        <v>508</v>
      </c>
      <c r="BH667" s="204">
        <v>0</v>
      </c>
      <c r="BI667" s="204">
        <v>0</v>
      </c>
      <c r="BJ667" s="204">
        <v>42968</v>
      </c>
      <c r="BK667" s="204">
        <v>42968.841239502297</v>
      </c>
      <c r="BL667" s="204" t="s">
        <v>293</v>
      </c>
      <c r="BM667" s="204" t="s">
        <v>292</v>
      </c>
      <c r="BN667" s="269">
        <f t="shared" si="129"/>
        <v>508</v>
      </c>
      <c r="BO667" s="269">
        <f t="shared" si="130"/>
        <v>0</v>
      </c>
      <c r="BP667" s="269">
        <f>INDEX('App Data Outliers'!$M:$M,MATCH($E667,'App Data Outliers'!$A:$A,0))</f>
        <v>508</v>
      </c>
      <c r="BQ667" s="269">
        <f>INDEX('App Data Outliers'!$N:$N,MATCH($E667,'App Data Outliers'!$A:$A,0))</f>
        <v>0</v>
      </c>
      <c r="BR667" s="269">
        <f>INDEX('App Data Outliers'!$S:$S,MATCH($E667,'App Data Outliers'!$A:$A,0))</f>
        <v>0</v>
      </c>
      <c r="BS667" s="269">
        <f>INDEX('App Data Outliers'!$T:$T,MATCH($E667,'App Data Outliers'!$A:$A,0))</f>
        <v>0</v>
      </c>
    </row>
    <row r="668" spans="1:71" s="204" customFormat="1" hidden="1">
      <c r="A668" s="241"/>
      <c r="B668" s="241"/>
      <c r="C668" s="241"/>
      <c r="D668" s="241"/>
      <c r="E668" s="241"/>
      <c r="F668" s="241"/>
      <c r="G668" s="241"/>
      <c r="H668" s="241"/>
      <c r="I668" s="241"/>
      <c r="J668" s="240"/>
      <c r="K668" s="240"/>
      <c r="L668" s="240"/>
      <c r="M668" s="240"/>
      <c r="P668" s="350">
        <v>0</v>
      </c>
      <c r="BN668" s="269"/>
      <c r="BO668" s="269"/>
      <c r="BP668" s="269"/>
      <c r="BQ668" s="269"/>
      <c r="BR668" s="269"/>
      <c r="BS668" s="269"/>
    </row>
    <row r="669" spans="1:71" s="204" customFormat="1" hidden="1">
      <c r="A669" s="241"/>
      <c r="B669" s="241"/>
      <c r="C669" s="241"/>
      <c r="D669" s="241"/>
      <c r="E669" s="241"/>
      <c r="F669" s="241"/>
      <c r="G669" s="241"/>
      <c r="H669" s="241"/>
      <c r="I669" s="241"/>
      <c r="J669" s="240"/>
      <c r="K669" s="240"/>
      <c r="L669" s="240"/>
      <c r="M669" s="240"/>
      <c r="P669" s="350">
        <v>0</v>
      </c>
      <c r="BN669" s="269"/>
      <c r="BO669" s="269"/>
      <c r="BP669" s="269"/>
      <c r="BQ669" s="269"/>
      <c r="BR669" s="269"/>
      <c r="BS669" s="269"/>
    </row>
    <row r="670" spans="1:71" s="204" customFormat="1" hidden="1">
      <c r="A670" s="241"/>
      <c r="B670" s="241"/>
      <c r="C670" s="241"/>
      <c r="D670" s="241"/>
      <c r="E670" s="241"/>
      <c r="F670" s="241"/>
      <c r="G670" s="241"/>
      <c r="H670" s="241"/>
      <c r="I670" s="241"/>
      <c r="J670" s="240"/>
      <c r="K670" s="240"/>
      <c r="L670" s="240"/>
      <c r="M670" s="240"/>
      <c r="P670" s="350">
        <v>0</v>
      </c>
      <c r="BN670" s="269"/>
      <c r="BO670" s="269"/>
      <c r="BP670" s="269"/>
      <c r="BQ670" s="269"/>
      <c r="BR670" s="269"/>
      <c r="BS670" s="269"/>
    </row>
    <row r="671" spans="1:71" hidden="1">
      <c r="P671" s="350">
        <v>0</v>
      </c>
    </row>
    <row r="672" spans="1:71" hidden="1">
      <c r="P672" s="350">
        <v>0</v>
      </c>
    </row>
    <row r="673" spans="16:16" hidden="1">
      <c r="P673" s="350">
        <v>0</v>
      </c>
    </row>
    <row r="674" spans="16:16" hidden="1">
      <c r="P674" s="350">
        <v>0</v>
      </c>
    </row>
    <row r="675" spans="16:16" hidden="1">
      <c r="P675" s="350">
        <v>0</v>
      </c>
    </row>
  </sheetData>
  <autoFilter ref="A4:BO675">
    <filterColumn colId="6">
      <filters>
        <filter val="Whole House Efficiency"/>
      </filters>
    </filterColumn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9"/>
  <sheetViews>
    <sheetView showGridLines="0" topLeftCell="D1" zoomScaleNormal="100" workbookViewId="0">
      <selection activeCell="H21" sqref="H21"/>
    </sheetView>
  </sheetViews>
  <sheetFormatPr defaultColWidth="8.88671875" defaultRowHeight="14.4"/>
  <cols>
    <col min="1" max="1" width="18.44140625" style="204" customWidth="1"/>
    <col min="2" max="2" width="52.109375" style="204" customWidth="1"/>
    <col min="3" max="3" width="86.33203125" style="204" customWidth="1"/>
    <col min="4" max="4" width="56.44140625" style="204" customWidth="1"/>
    <col min="5" max="5" width="16.33203125" style="204" customWidth="1"/>
    <col min="6" max="7" width="28.44140625" style="204" customWidth="1"/>
    <col min="8" max="8" width="33.33203125" style="204" customWidth="1"/>
    <col min="9" max="9" width="8.88671875" style="204"/>
    <col min="10" max="10" width="68.33203125" style="204" customWidth="1"/>
    <col min="11" max="11" width="17.88671875" style="204" customWidth="1"/>
    <col min="12" max="12" width="15.33203125" style="204" customWidth="1"/>
    <col min="13" max="16384" width="8.88671875" style="204"/>
  </cols>
  <sheetData>
    <row r="1" spans="1:11">
      <c r="A1" s="204" t="s">
        <v>8</v>
      </c>
      <c r="B1" s="204" t="s">
        <v>3251</v>
      </c>
      <c r="C1" s="204" t="s">
        <v>3233</v>
      </c>
      <c r="D1" s="204" t="s">
        <v>3232</v>
      </c>
      <c r="E1" s="241" t="s">
        <v>3260</v>
      </c>
      <c r="F1" s="241" t="s">
        <v>3259</v>
      </c>
      <c r="G1" s="241" t="s">
        <v>3258</v>
      </c>
      <c r="H1" s="241" t="s">
        <v>3257</v>
      </c>
      <c r="I1" s="204" t="s">
        <v>0</v>
      </c>
      <c r="J1" s="204" t="s">
        <v>3261</v>
      </c>
      <c r="K1" s="204" t="s">
        <v>42</v>
      </c>
    </row>
    <row r="2" spans="1:11">
      <c r="A2" s="204" t="str">
        <f t="shared" ref="A2:A29" si="0">B2&amp;"_"&amp;C2&amp;"_"&amp;D2</f>
        <v>Non-Residential - BHPSD - C/I Custom_C&amp;I Custom Rebate :- Customer Incentives_Other Commercial</v>
      </c>
      <c r="B2" s="204" t="s">
        <v>2913</v>
      </c>
      <c r="C2" s="204" t="s">
        <v>2675</v>
      </c>
      <c r="D2" s="204" t="s">
        <v>2674</v>
      </c>
      <c r="E2" s="241" t="s">
        <v>142</v>
      </c>
      <c r="F2" s="241" t="s">
        <v>187</v>
      </c>
      <c r="G2" s="241" t="s">
        <v>155</v>
      </c>
      <c r="H2" s="241" t="s">
        <v>187</v>
      </c>
      <c r="I2" s="204">
        <v>15</v>
      </c>
      <c r="J2" s="204" t="str">
        <f t="shared" ref="J2:J29" si="1">E2&amp;"_"&amp;F2&amp;"_"&amp;G2&amp;"_"&amp;H2</f>
        <v>C&amp;I_C&amp;I Custom_Various_C&amp;I Custom</v>
      </c>
      <c r="K2" s="204" t="b">
        <f>ISNUMBER(MATCH(J2&amp;"*",'Measure Inputs'!$B:$B,0))</f>
        <v>1</v>
      </c>
    </row>
    <row r="3" spans="1:11">
      <c r="A3" s="204" t="str">
        <f t="shared" si="0"/>
        <v>Non-Residential - BHPSD - C/I Custom_C&amp;I Custom Rebate :- Customer Incentives_Other Industrial</v>
      </c>
      <c r="B3" s="204" t="s">
        <v>2913</v>
      </c>
      <c r="C3" s="204" t="s">
        <v>2675</v>
      </c>
      <c r="D3" s="204" t="s">
        <v>2751</v>
      </c>
      <c r="E3" s="241" t="s">
        <v>142</v>
      </c>
      <c r="F3" s="241" t="s">
        <v>187</v>
      </c>
      <c r="G3" s="241" t="s">
        <v>155</v>
      </c>
      <c r="H3" s="241" t="s">
        <v>187</v>
      </c>
      <c r="I3" s="204">
        <v>15</v>
      </c>
      <c r="J3" s="204" t="str">
        <f t="shared" si="1"/>
        <v>C&amp;I_C&amp;I Custom_Various_C&amp;I Custom</v>
      </c>
      <c r="K3" s="204" t="b">
        <f>ISNUMBER(MATCH(J3&amp;"*",'Measure Inputs'!$B:$B,0))</f>
        <v>1</v>
      </c>
    </row>
    <row r="4" spans="1:11">
      <c r="A4" s="204" t="str">
        <f t="shared" si="0"/>
        <v>Non-Residential - BHPSD - C/I Prescriptive Rebate_C&amp;I Prescriptive Rebate :- C&amp;I Lighting :- Customer Incentives_Energy Star LED Lamps - 5W or less</v>
      </c>
      <c r="B4" s="204" t="s">
        <v>2671</v>
      </c>
      <c r="C4" s="204" t="s">
        <v>2129</v>
      </c>
      <c r="D4" s="204" t="s">
        <v>2434</v>
      </c>
      <c r="E4" s="241" t="s">
        <v>142</v>
      </c>
      <c r="F4" s="241" t="s">
        <v>228</v>
      </c>
      <c r="G4" s="241" t="s">
        <v>86</v>
      </c>
      <c r="H4" s="241" t="s">
        <v>193</v>
      </c>
      <c r="I4" s="204">
        <v>8</v>
      </c>
      <c r="J4" s="204" t="str">
        <f t="shared" si="1"/>
        <v>C&amp;I_C&amp;I Prescriptive_Lighting_Energy Star LED Lamp (≤5W)</v>
      </c>
      <c r="K4" s="204" t="b">
        <f>ISNUMBER(MATCH(J4&amp;"*",'Measure Inputs'!$B:$B,0))</f>
        <v>1</v>
      </c>
    </row>
    <row r="5" spans="1:11">
      <c r="A5" s="204" t="str">
        <f t="shared" si="0"/>
        <v>Non-Residential - BHPSD - C/I Prescriptive Rebate_C&amp;I Prescriptive Rebate :- C&amp;I Lighting :- Customer Incentives_Energy Star LED Lamps - 10W or greater</v>
      </c>
      <c r="B5" s="204" t="s">
        <v>2671</v>
      </c>
      <c r="C5" s="204" t="s">
        <v>2129</v>
      </c>
      <c r="D5" s="204" t="s">
        <v>2166</v>
      </c>
      <c r="E5" s="241" t="s">
        <v>142</v>
      </c>
      <c r="F5" s="241" t="s">
        <v>228</v>
      </c>
      <c r="G5" s="241" t="s">
        <v>86</v>
      </c>
      <c r="H5" s="241" t="s">
        <v>246</v>
      </c>
      <c r="I5" s="204">
        <v>8</v>
      </c>
      <c r="J5" s="204" t="str">
        <f t="shared" si="1"/>
        <v>C&amp;I_C&amp;I Prescriptive_Lighting_Energy Star LED Lamp (&gt;10W)</v>
      </c>
      <c r="K5" s="204" t="b">
        <f>ISNUMBER(MATCH(J5&amp;"*",'Measure Inputs'!$B:$B,0))</f>
        <v>1</v>
      </c>
    </row>
    <row r="6" spans="1:11">
      <c r="A6" s="204" t="str">
        <f t="shared" si="0"/>
        <v>Non-Residential - BHPSD - C/I Prescriptive Rebate_C&amp;I Prescriptive Rebate :- C&amp;I Lighting :- Customer Incentives_Energy Star LED Lamps - 5W to 10W</v>
      </c>
      <c r="B6" s="204" t="s">
        <v>2671</v>
      </c>
      <c r="C6" s="204" t="s">
        <v>2129</v>
      </c>
      <c r="D6" s="204" t="s">
        <v>2128</v>
      </c>
      <c r="E6" s="241" t="s">
        <v>142</v>
      </c>
      <c r="F6" s="241" t="s">
        <v>228</v>
      </c>
      <c r="G6" s="241" t="s">
        <v>86</v>
      </c>
      <c r="H6" s="241" t="s">
        <v>245</v>
      </c>
      <c r="I6" s="204">
        <v>8</v>
      </c>
      <c r="J6" s="204" t="str">
        <f t="shared" si="1"/>
        <v>C&amp;I_C&amp;I Prescriptive_Lighting_Energy Star LED Lamp (5-10W)</v>
      </c>
      <c r="K6" s="204" t="b">
        <f>ISNUMBER(MATCH(J6&amp;"*",'Measure Inputs'!$B:$B,0))</f>
        <v>1</v>
      </c>
    </row>
    <row r="7" spans="1:11">
      <c r="A7" s="204" t="str">
        <f t="shared" si="0"/>
        <v>Non-Residential - BHPSD - C/I Prescriptive Rebate_C&amp;I Prescriptive Rebate :- C&amp;I Lighting :- Customer Incentives_Occupancy Sensor - Fixture</v>
      </c>
      <c r="B7" s="204" t="s">
        <v>2671</v>
      </c>
      <c r="C7" s="204" t="s">
        <v>2129</v>
      </c>
      <c r="D7" s="204" t="s">
        <v>2168</v>
      </c>
      <c r="E7" s="241" t="s">
        <v>142</v>
      </c>
      <c r="F7" s="241" t="s">
        <v>228</v>
      </c>
      <c r="G7" s="241" t="s">
        <v>86</v>
      </c>
      <c r="H7" s="241" t="s">
        <v>195</v>
      </c>
      <c r="I7" s="204">
        <v>8</v>
      </c>
      <c r="J7" s="204" t="str">
        <f t="shared" si="1"/>
        <v>C&amp;I_C&amp;I Prescriptive_Lighting_Fixture Mount Occupancy</v>
      </c>
      <c r="K7" s="204" t="b">
        <f>ISNUMBER(MATCH(J7&amp;"*",'Measure Inputs'!$B:$B,0))</f>
        <v>1</v>
      </c>
    </row>
    <row r="8" spans="1:11">
      <c r="A8" s="204" t="str">
        <f t="shared" si="0"/>
        <v>Non-Residential - BHPSD - C/I Prescriptive Rebate_C&amp;I Prescriptive Rebate :- C&amp;I Lighting :- Customer Incentives_LED Replacement for T8 Linear Fluorescent Lamps - 4 ft or less</v>
      </c>
      <c r="B8" s="204" t="s">
        <v>2671</v>
      </c>
      <c r="C8" s="204" t="s">
        <v>2129</v>
      </c>
      <c r="D8" s="204" t="s">
        <v>2173</v>
      </c>
      <c r="E8" s="241" t="s">
        <v>142</v>
      </c>
      <c r="F8" s="241" t="s">
        <v>228</v>
      </c>
      <c r="G8" s="241" t="s">
        <v>86</v>
      </c>
      <c r="H8" s="241" t="s">
        <v>192</v>
      </c>
      <c r="I8" s="204">
        <v>10</v>
      </c>
      <c r="J8" s="204" t="str">
        <f t="shared" si="1"/>
        <v>C&amp;I_C&amp;I Prescriptive_Lighting_LED Linear Replacement Lamp (≤4ft)</v>
      </c>
      <c r="K8" s="204" t="b">
        <f>ISNUMBER(MATCH(J8&amp;"*",'Measure Inputs'!$B:$B,0))</f>
        <v>1</v>
      </c>
    </row>
    <row r="9" spans="1:11">
      <c r="A9" s="204" t="str">
        <f t="shared" si="0"/>
        <v>Non-Residential - BHPSD - C/I Prescriptive Rebate_C&amp;I Prescriptive Rebate :- C&amp;I Lighting :- Customer Incentives_LED Replacement for T12 Linear Fluorescent Lamps - 4 ft or less</v>
      </c>
      <c r="B9" s="204" t="s">
        <v>2671</v>
      </c>
      <c r="C9" s="204" t="s">
        <v>2129</v>
      </c>
      <c r="D9" s="204" t="s">
        <v>2147</v>
      </c>
      <c r="E9" s="241" t="s">
        <v>142</v>
      </c>
      <c r="F9" s="241" t="s">
        <v>228</v>
      </c>
      <c r="G9" s="241" t="s">
        <v>86</v>
      </c>
      <c r="H9" s="241" t="s">
        <v>192</v>
      </c>
      <c r="I9" s="204">
        <v>10</v>
      </c>
      <c r="J9" s="204" t="str">
        <f t="shared" si="1"/>
        <v>C&amp;I_C&amp;I Prescriptive_Lighting_LED Linear Replacement Lamp (≤4ft)</v>
      </c>
      <c r="K9" s="204" t="b">
        <f>ISNUMBER(MATCH(J9&amp;"*",'Measure Inputs'!$B:$B,0))</f>
        <v>1</v>
      </c>
    </row>
    <row r="10" spans="1:11">
      <c r="A10" s="204" t="str">
        <f t="shared" si="0"/>
        <v>Non-Residential - BHPSD - C/I Prescriptive Rebate_C&amp;I Prescriptive Rebate :- C&amp;I Lighting :- Customer Incentives_LED Replacement for Linear Fluorescent Lamps - 5 to 8 f</v>
      </c>
      <c r="B10" s="204" t="s">
        <v>2671</v>
      </c>
      <c r="C10" s="204" t="s">
        <v>2129</v>
      </c>
      <c r="D10" s="204" t="s">
        <v>2408</v>
      </c>
      <c r="E10" s="241" t="s">
        <v>142</v>
      </c>
      <c r="F10" s="241" t="s">
        <v>228</v>
      </c>
      <c r="G10" s="241" t="s">
        <v>86</v>
      </c>
      <c r="H10" s="241" t="s">
        <v>194</v>
      </c>
      <c r="I10" s="204">
        <v>10</v>
      </c>
      <c r="J10" s="204" t="str">
        <f t="shared" si="1"/>
        <v>C&amp;I_C&amp;I Prescriptive_Lighting_LED Linear Replacement Lamp (5-8ft)</v>
      </c>
      <c r="K10" s="204" t="b">
        <f>ISNUMBER(MATCH(J10&amp;"*",'Measure Inputs'!$B:$B,0))</f>
        <v>1</v>
      </c>
    </row>
    <row r="11" spans="1:11">
      <c r="A11" s="204" t="str">
        <f t="shared" si="0"/>
        <v>Non-Residential - BHPSD - C/I Prescriptive Rebate_C&amp;I Prescriptive Rebate :- C&amp;I Lighting :- Customer Incentives_LED Fixtures Exterior &amp; Garage - 25W or less</v>
      </c>
      <c r="B11" s="204" t="s">
        <v>2671</v>
      </c>
      <c r="C11" s="204" t="s">
        <v>2129</v>
      </c>
      <c r="D11" s="204" t="s">
        <v>2218</v>
      </c>
      <c r="E11" s="241" t="s">
        <v>142</v>
      </c>
      <c r="F11" s="241" t="s">
        <v>228</v>
      </c>
      <c r="G11" s="241" t="s">
        <v>86</v>
      </c>
      <c r="H11" s="241" t="s">
        <v>249</v>
      </c>
      <c r="I11" s="204">
        <v>8</v>
      </c>
      <c r="J11" s="204" t="str">
        <f t="shared" si="1"/>
        <v>C&amp;I_C&amp;I Prescriptive_Lighting_LED Parking Garage/Canopy (&lt;30W)</v>
      </c>
      <c r="K11" s="204" t="b">
        <f>ISNUMBER(MATCH(J11&amp;"*",'Measure Inputs'!$B:$B,0))</f>
        <v>1</v>
      </c>
    </row>
    <row r="12" spans="1:11">
      <c r="A12" s="204" t="str">
        <f t="shared" si="0"/>
        <v>Non-Residential - BHPSD - C/I Prescriptive Rebate_C&amp;I Prescriptive Rebate :- C&amp;I Lighting :- Customer Incentives_LED Fixtures Exterior &amp; Garage - 25W to 60W</v>
      </c>
      <c r="B12" s="204" t="s">
        <v>2671</v>
      </c>
      <c r="C12" s="204" t="s">
        <v>2129</v>
      </c>
      <c r="D12" s="204" t="s">
        <v>2145</v>
      </c>
      <c r="E12" s="241" t="s">
        <v>142</v>
      </c>
      <c r="F12" s="241" t="s">
        <v>228</v>
      </c>
      <c r="G12" s="241" t="s">
        <v>86</v>
      </c>
      <c r="H12" s="241" t="s">
        <v>250</v>
      </c>
      <c r="I12" s="204">
        <v>8</v>
      </c>
      <c r="J12" s="204" t="str">
        <f t="shared" si="1"/>
        <v>C&amp;I_C&amp;I Prescriptive_Lighting_LED Parking Garage/Canopy (30-75W)</v>
      </c>
      <c r="K12" s="204" t="b">
        <f>ISNUMBER(MATCH(J12&amp;"*",'Measure Inputs'!$B:$B,0))</f>
        <v>1</v>
      </c>
    </row>
    <row r="13" spans="1:11">
      <c r="A13" s="204" t="str">
        <f t="shared" si="0"/>
        <v>Non-Residential - BHPSD - C/I Prescriptive Rebate_C&amp;I Prescriptive Rebate :- C&amp;I Lighting :- Customer Incentives_LED Fixtures Exterior &amp; Garage - 60W to 150W</v>
      </c>
      <c r="B13" s="204" t="s">
        <v>2671</v>
      </c>
      <c r="C13" s="204" t="s">
        <v>2129</v>
      </c>
      <c r="D13" s="204" t="s">
        <v>2139</v>
      </c>
      <c r="E13" s="241" t="s">
        <v>142</v>
      </c>
      <c r="F13" s="241" t="s">
        <v>228</v>
      </c>
      <c r="G13" s="241" t="s">
        <v>86</v>
      </c>
      <c r="H13" s="241" t="s">
        <v>251</v>
      </c>
      <c r="I13" s="204">
        <v>8</v>
      </c>
      <c r="J13" s="204" t="str">
        <f t="shared" si="1"/>
        <v>C&amp;I_C&amp;I Prescriptive_Lighting_LED Parking Garage/Canopy (≥75W)</v>
      </c>
      <c r="K13" s="204" t="b">
        <f>ISNUMBER(MATCH(J13&amp;"*",'Measure Inputs'!$B:$B,0))</f>
        <v>1</v>
      </c>
    </row>
    <row r="14" spans="1:11">
      <c r="A14" s="204" t="str">
        <f t="shared" si="0"/>
        <v>Residential/Non-Residential - BHPSD - Appliance Recycling_Appliance Recycling :- Customer Incentives_Freezer Recycling - Residential</v>
      </c>
      <c r="B14" s="204" t="s">
        <v>3200</v>
      </c>
      <c r="C14" s="204" t="s">
        <v>2917</v>
      </c>
      <c r="D14" s="204" t="s">
        <v>2934</v>
      </c>
      <c r="E14" s="241" t="s">
        <v>1</v>
      </c>
      <c r="F14" s="241" t="s">
        <v>203</v>
      </c>
      <c r="G14" s="241" t="s">
        <v>203</v>
      </c>
      <c r="H14" s="241" t="s">
        <v>154</v>
      </c>
      <c r="I14" s="204">
        <v>8</v>
      </c>
      <c r="J14" s="204" t="str">
        <f t="shared" si="1"/>
        <v>Residential_Appliance Recycling_Appliance Recycling_Freezer Recycle</v>
      </c>
      <c r="K14" s="204" t="b">
        <f>ISNUMBER(MATCH(J14&amp;"*",'Measure Inputs'!$B:$B,0))</f>
        <v>1</v>
      </c>
    </row>
    <row r="15" spans="1:11">
      <c r="A15" s="204" t="str">
        <f t="shared" si="0"/>
        <v>Residential/Non-Residential - BHPSD - Appliance Recycling_Appliance Recycling :- Customer Incentives_Refrigerator Recycling - Residential</v>
      </c>
      <c r="B15" s="204" t="s">
        <v>3200</v>
      </c>
      <c r="C15" s="204" t="s">
        <v>2917</v>
      </c>
      <c r="D15" s="204" t="s">
        <v>2916</v>
      </c>
      <c r="E15" s="241" t="s">
        <v>1</v>
      </c>
      <c r="F15" s="241" t="s">
        <v>203</v>
      </c>
      <c r="G15" s="241" t="s">
        <v>203</v>
      </c>
      <c r="H15" s="241" t="s">
        <v>148</v>
      </c>
      <c r="I15" s="204">
        <v>8</v>
      </c>
      <c r="J15" s="204" t="str">
        <f t="shared" si="1"/>
        <v>Residential_Appliance Recycling_Appliance Recycling_Refrigerator Recycle</v>
      </c>
      <c r="K15" s="204" t="b">
        <f>ISNUMBER(MATCH(J15&amp;"*",'Measure Inputs'!$B:$B,0))</f>
        <v>1</v>
      </c>
    </row>
    <row r="16" spans="1:11">
      <c r="A16" s="204" t="str">
        <f t="shared" si="0"/>
        <v>Residential - BHPSD - Residential Online Audit_Residential Energy Evaluation_Online Evaluation</v>
      </c>
      <c r="B16" s="204" t="s">
        <v>789</v>
      </c>
      <c r="C16" s="204" t="s">
        <v>750</v>
      </c>
      <c r="D16" s="204" t="s">
        <v>749</v>
      </c>
      <c r="E16" s="241" t="s">
        <v>1</v>
      </c>
      <c r="F16" s="241" t="s">
        <v>144</v>
      </c>
      <c r="G16" s="241" t="s">
        <v>155</v>
      </c>
      <c r="H16" s="241" t="s">
        <v>144</v>
      </c>
      <c r="I16" s="204">
        <v>10</v>
      </c>
      <c r="J16" s="204" t="str">
        <f t="shared" si="1"/>
        <v>Residential_Residential Audit_Various_Residential Audit</v>
      </c>
      <c r="K16" s="204" t="b">
        <f>ISNUMBER(MATCH(J16&amp;"*",'Measure Inputs'!$B:$B,0))</f>
        <v>1</v>
      </c>
    </row>
    <row r="17" spans="1:11">
      <c r="A17" s="204" t="str">
        <f t="shared" si="0"/>
        <v>Residential - BHPSD - Residential Energy Efficiency Rebate_Residential Heat Pumps :- Residential Heat Pumps - Air Source Heat Pumps :- Customer Incentives_Air Source Heat Pump - SEER &gt;= 15, EER &gt;= 12.5, HSPF &gt;= 8.5</v>
      </c>
      <c r="B17" s="204" t="s">
        <v>2124</v>
      </c>
      <c r="C17" s="204" t="s">
        <v>1715</v>
      </c>
      <c r="D17" s="204" t="s">
        <v>1714</v>
      </c>
      <c r="E17" s="241" t="s">
        <v>1</v>
      </c>
      <c r="F17" s="241" t="s">
        <v>205</v>
      </c>
      <c r="G17" s="241" t="s">
        <v>85</v>
      </c>
      <c r="H17" s="241" t="s">
        <v>206</v>
      </c>
      <c r="I17" s="204">
        <v>18</v>
      </c>
      <c r="J17" s="204" t="str">
        <f t="shared" si="1"/>
        <v>Residential_High Efficiency HVAC_HVAC_Heat Pump SEER 15</v>
      </c>
      <c r="K17" s="204" t="b">
        <f>ISNUMBER(MATCH(J17&amp;"*",'Measure Inputs'!$B:$B,0))</f>
        <v>1</v>
      </c>
    </row>
    <row r="18" spans="1:11">
      <c r="A18" s="204" t="str">
        <f t="shared" si="0"/>
        <v>Residential - BHPSD - Residential Energy Efficiency Rebate_Residential Heat Pumps :- Residential Heat Pumps - ER Heat Pump :- Customer Incentives_Early Retirement Heat Pump (1-5 tons)</v>
      </c>
      <c r="B18" s="204" t="s">
        <v>2124</v>
      </c>
      <c r="C18" s="204" t="s">
        <v>1706</v>
      </c>
      <c r="D18" s="204" t="s">
        <v>1705</v>
      </c>
      <c r="E18" s="241" t="s">
        <v>1</v>
      </c>
      <c r="F18" s="241" t="s">
        <v>205</v>
      </c>
      <c r="G18" s="241" t="s">
        <v>85</v>
      </c>
      <c r="H18" s="241" t="s">
        <v>207</v>
      </c>
      <c r="I18" s="204">
        <v>18</v>
      </c>
      <c r="J18" s="204" t="str">
        <f t="shared" si="1"/>
        <v>Residential_High Efficiency HVAC_HVAC_Early Retirement Heat Pump SEER 15</v>
      </c>
      <c r="K18" s="204" t="b">
        <f>ISNUMBER(MATCH(J18&amp;"*",'Measure Inputs'!$B:$B,0))</f>
        <v>1</v>
      </c>
    </row>
    <row r="19" spans="1:11">
      <c r="A19" s="204" t="str">
        <f t="shared" si="0"/>
        <v>Residential - BHPSD - Residential Energy Efficiency Rebate_Residential Water Heating :- Customer Incentives_Electric Water Heater - EF &lt; 0.95</v>
      </c>
      <c r="B19" s="204" t="s">
        <v>2124</v>
      </c>
      <c r="C19" s="204" t="s">
        <v>1773</v>
      </c>
      <c r="D19" s="204" t="s">
        <v>1772</v>
      </c>
      <c r="E19" s="241" t="s">
        <v>1</v>
      </c>
      <c r="F19" s="241" t="s">
        <v>205</v>
      </c>
      <c r="G19" s="241" t="s">
        <v>284</v>
      </c>
      <c r="H19" s="241" t="s">
        <v>213</v>
      </c>
      <c r="I19" s="204">
        <v>15</v>
      </c>
      <c r="J19" s="204" t="str">
        <f t="shared" si="1"/>
        <v>Residential_High Efficiency HVAC_Water Heating_Electric Storage Water Heater EF 0.95</v>
      </c>
      <c r="K19" s="204" t="b">
        <f>ISNUMBER(MATCH(J19&amp;"*",'Measure Inputs'!$B:$B,0))</f>
        <v>1</v>
      </c>
    </row>
    <row r="20" spans="1:11">
      <c r="A20" s="204" t="str">
        <f t="shared" si="0"/>
        <v>Residential - BHPSD - Residential Energy Efficiency Rebate_Residential Water Heating :- Customer Incentives_Electric Water Heater - EF &gt;= 0.95</v>
      </c>
      <c r="B20" s="204" t="s">
        <v>2124</v>
      </c>
      <c r="C20" s="204" t="s">
        <v>1773</v>
      </c>
      <c r="D20" s="204" t="s">
        <v>1826</v>
      </c>
      <c r="E20" s="241" t="s">
        <v>1</v>
      </c>
      <c r="F20" s="241" t="s">
        <v>205</v>
      </c>
      <c r="G20" s="241" t="s">
        <v>284</v>
      </c>
      <c r="H20" s="241" t="s">
        <v>214</v>
      </c>
      <c r="I20" s="204">
        <v>15</v>
      </c>
      <c r="J20" s="204" t="str">
        <f t="shared" si="1"/>
        <v>Residential_High Efficiency HVAC_Water Heating_Electric Storage Water Heater EF &gt;0.95</v>
      </c>
      <c r="K20" s="204" t="b">
        <f>ISNUMBER(MATCH(J20&amp;"*",'Measure Inputs'!$B:$B,0))</f>
        <v>1</v>
      </c>
    </row>
    <row r="21" spans="1:11">
      <c r="A21" s="204" t="str">
        <f t="shared" si="0"/>
        <v>Residential - BHPSD - Residential Energy Efficiency Rebate_Residential Heat Pumps :- Residential Heat Pumps - HP Water Heater :- Customer Incentives_Heat Pump Water Heater</v>
      </c>
      <c r="B21" s="204" t="s">
        <v>2124</v>
      </c>
      <c r="C21" s="204" t="s">
        <v>1698</v>
      </c>
      <c r="D21" s="204" t="s">
        <v>212</v>
      </c>
      <c r="E21" s="241" t="s">
        <v>1</v>
      </c>
      <c r="F21" s="241" t="s">
        <v>205</v>
      </c>
      <c r="G21" s="241" t="s">
        <v>284</v>
      </c>
      <c r="H21" s="241" t="s">
        <v>212</v>
      </c>
      <c r="I21" s="204">
        <v>15</v>
      </c>
      <c r="J21" s="204" t="str">
        <f t="shared" si="1"/>
        <v>Residential_High Efficiency HVAC_Water Heating_Heat Pump Water Heater</v>
      </c>
      <c r="K21" s="204" t="b">
        <f>ISNUMBER(MATCH(J21&amp;"*",'Measure Inputs'!$B:$B,0))</f>
        <v>1</v>
      </c>
    </row>
    <row r="22" spans="1:11">
      <c r="A22" s="204" t="str">
        <f t="shared" si="0"/>
        <v>Residential - BHPSD - Residential Energy Efficiency Rebate_Residential Heat Pumps :- Residential Mini-Split :- Customer Incentives_Ductless Mini-Split HP SEER &gt;= 19</v>
      </c>
      <c r="B22" s="204" t="s">
        <v>2124</v>
      </c>
      <c r="C22" s="204" t="s">
        <v>1680</v>
      </c>
      <c r="D22" s="204" t="s">
        <v>1679</v>
      </c>
      <c r="E22" s="241" t="s">
        <v>1</v>
      </c>
      <c r="F22" s="241" t="s">
        <v>205</v>
      </c>
      <c r="G22" s="241" t="s">
        <v>85</v>
      </c>
      <c r="H22" s="241" t="s">
        <v>211</v>
      </c>
      <c r="I22" s="204">
        <v>18</v>
      </c>
      <c r="J22" s="204" t="str">
        <f t="shared" si="1"/>
        <v>Residential_High Efficiency HVAC_HVAC_Ductless Mini-Split HP SEER ≥19</v>
      </c>
      <c r="K22" s="204" t="b">
        <f>ISNUMBER(MATCH(J22&amp;"*",'Measure Inputs'!$B:$B,0))</f>
        <v>1</v>
      </c>
    </row>
    <row r="23" spans="1:11">
      <c r="A23" s="204" t="str">
        <f t="shared" si="0"/>
        <v>Residential - BHPSD - Residential Lighting &amp; Appliances_Residential Lighting &amp; Appliances :- ES Star Fixture :- Customer Incentives_ENERGY STAR LED Fixture</v>
      </c>
      <c r="B23" s="204" t="s">
        <v>1675</v>
      </c>
      <c r="C23" s="204" t="s">
        <v>895</v>
      </c>
      <c r="D23" s="204" t="s">
        <v>150</v>
      </c>
      <c r="E23" s="241" t="s">
        <v>1</v>
      </c>
      <c r="F23" s="241" t="s">
        <v>145</v>
      </c>
      <c r="G23" s="241" t="s">
        <v>86</v>
      </c>
      <c r="H23" s="241" t="s">
        <v>201</v>
      </c>
      <c r="I23" s="204">
        <v>9.4</v>
      </c>
      <c r="J23" s="204" t="str">
        <f t="shared" si="1"/>
        <v>Residential_Residential Lighting_Lighting_ENERGY STAR Fixture</v>
      </c>
      <c r="K23" s="204" t="b">
        <f>ISNUMBER(MATCH(J23&amp;"*",'Measure Inputs'!$B:$B,0))</f>
        <v>1</v>
      </c>
    </row>
    <row r="24" spans="1:11">
      <c r="A24" s="204" t="str">
        <f t="shared" si="0"/>
        <v>Residential - BHPSD - Residential Lighting &amp; Appliances_Residential Lighting &amp; Appliances :- LED :- Customer Incentives_LED</v>
      </c>
      <c r="B24" s="204" t="s">
        <v>1675</v>
      </c>
      <c r="C24" s="204" t="s">
        <v>791</v>
      </c>
      <c r="D24" s="204" t="s">
        <v>151</v>
      </c>
      <c r="E24" s="241" t="s">
        <v>1</v>
      </c>
      <c r="F24" s="241" t="s">
        <v>145</v>
      </c>
      <c r="G24" s="241" t="s">
        <v>86</v>
      </c>
      <c r="H24" s="241" t="s">
        <v>151</v>
      </c>
      <c r="I24" s="204">
        <v>10</v>
      </c>
      <c r="J24" s="204" t="str">
        <f t="shared" si="1"/>
        <v>Residential_Residential Lighting_Lighting_LED</v>
      </c>
      <c r="K24" s="204" t="b">
        <f>ISNUMBER(MATCH(J24&amp;"*",'Measure Inputs'!$B:$B,0))</f>
        <v>1</v>
      </c>
    </row>
    <row r="25" spans="1:11">
      <c r="A25" s="204" t="str">
        <f t="shared" si="0"/>
        <v>Special - BHPSD - School Based Energy Education_School Based Education_School Based Energy Education</v>
      </c>
      <c r="B25" s="204" t="s">
        <v>748</v>
      </c>
      <c r="C25" s="204" t="s">
        <v>645</v>
      </c>
      <c r="D25" s="204" t="s">
        <v>146</v>
      </c>
      <c r="E25" s="241" t="s">
        <v>1</v>
      </c>
      <c r="F25" s="241" t="s">
        <v>224</v>
      </c>
      <c r="G25" s="241" t="s">
        <v>155</v>
      </c>
      <c r="H25" s="241" t="s">
        <v>152</v>
      </c>
      <c r="I25" s="204">
        <v>5</v>
      </c>
      <c r="J25" s="204" t="str">
        <f t="shared" si="1"/>
        <v>Residential_School-Based Education_Various_EE Kit/Education Materials</v>
      </c>
      <c r="K25" s="204" t="b">
        <f>ISNUMBER(MATCH(J25&amp;"*",'Measure Inputs'!$B:$B,0))</f>
        <v>1</v>
      </c>
    </row>
    <row r="26" spans="1:11">
      <c r="A26" s="204" t="str">
        <f t="shared" si="0"/>
        <v>Special - BHPSD - Weatherization Team_Weatherization_Recommended Audit Measures</v>
      </c>
      <c r="B26" s="204" t="s">
        <v>643</v>
      </c>
      <c r="C26" s="204" t="s">
        <v>83</v>
      </c>
      <c r="D26" s="204" t="s">
        <v>153</v>
      </c>
      <c r="E26" s="241" t="s">
        <v>1</v>
      </c>
      <c r="F26" s="241" t="s">
        <v>83</v>
      </c>
      <c r="G26" s="241" t="s">
        <v>155</v>
      </c>
      <c r="H26" s="241" t="s">
        <v>283</v>
      </c>
      <c r="I26" s="204">
        <v>15</v>
      </c>
      <c r="J26" s="204" t="str">
        <f t="shared" si="1"/>
        <v>Residential_Weatherization_Various_Measures</v>
      </c>
      <c r="K26" s="204" t="b">
        <f>ISNUMBER(MATCH(J26&amp;"*",'Measure Inputs'!$B:$B,0))</f>
        <v>1</v>
      </c>
    </row>
    <row r="27" spans="1:11">
      <c r="A27" s="204" t="str">
        <f t="shared" si="0"/>
        <v>Special - BHPSD - Weatherization Team_Weatherization_Residential EE Kit</v>
      </c>
      <c r="B27" s="204" t="s">
        <v>643</v>
      </c>
      <c r="C27" s="204" t="s">
        <v>83</v>
      </c>
      <c r="D27" s="204" t="s">
        <v>305</v>
      </c>
      <c r="E27" s="241" t="s">
        <v>1</v>
      </c>
      <c r="F27" s="241" t="s">
        <v>83</v>
      </c>
      <c r="G27" s="241" t="s">
        <v>155</v>
      </c>
      <c r="H27" s="241" t="s">
        <v>221</v>
      </c>
      <c r="I27" s="204">
        <v>10</v>
      </c>
      <c r="J27" s="204" t="str">
        <f t="shared" si="1"/>
        <v>Residential_Weatherization_Various_Residential Kit</v>
      </c>
      <c r="K27" s="204" t="b">
        <f>ISNUMBER(MATCH(J27&amp;"*",'Measure Inputs'!$B:$B,0))</f>
        <v>1</v>
      </c>
    </row>
    <row r="28" spans="1:11">
      <c r="A28" s="204" t="str">
        <f t="shared" si="0"/>
        <v>Residential - BHPSD - Whole House Efficiency_Whole House :- Utility Direct Costs_Recommended Audit Measures</v>
      </c>
      <c r="B28" s="204" t="s">
        <v>596</v>
      </c>
      <c r="C28" s="204" t="s">
        <v>295</v>
      </c>
      <c r="D28" s="204" t="s">
        <v>153</v>
      </c>
      <c r="E28" s="241" t="s">
        <v>1</v>
      </c>
      <c r="F28" s="241" t="s">
        <v>147</v>
      </c>
      <c r="G28" s="241" t="s">
        <v>155</v>
      </c>
      <c r="H28" s="241" t="s">
        <v>283</v>
      </c>
      <c r="I28" s="204">
        <v>15</v>
      </c>
      <c r="J28" s="204" t="str">
        <f t="shared" si="1"/>
        <v>Residential_Whole House Efficiency_Various_Measures</v>
      </c>
      <c r="K28" s="204" t="b">
        <f>ISNUMBER(MATCH(J28&amp;"*",'Measure Inputs'!$B:$B,0))</f>
        <v>1</v>
      </c>
    </row>
    <row r="29" spans="1:11">
      <c r="A29" s="204" t="str">
        <f t="shared" si="0"/>
        <v>Residential - BHPSD - Whole House Efficiency_Whole House :- Utility Direct Costs_Residential EE Kit</v>
      </c>
      <c r="B29" s="204" t="s">
        <v>596</v>
      </c>
      <c r="C29" s="204" t="s">
        <v>295</v>
      </c>
      <c r="D29" s="204" t="s">
        <v>305</v>
      </c>
      <c r="E29" s="241" t="s">
        <v>1</v>
      </c>
      <c r="F29" s="241" t="s">
        <v>147</v>
      </c>
      <c r="G29" s="241" t="s">
        <v>155</v>
      </c>
      <c r="H29" s="241" t="s">
        <v>221</v>
      </c>
      <c r="I29" s="204">
        <v>10</v>
      </c>
      <c r="J29" s="204" t="str">
        <f t="shared" si="1"/>
        <v>Residential_Whole House Efficiency_Various_Residential Kit</v>
      </c>
      <c r="K29" s="204" t="b">
        <f>ISNUMBER(MATCH(J29&amp;"*",'Measure Inputs'!$B:$B,0))</f>
        <v>1</v>
      </c>
    </row>
  </sheetData>
  <autoFilter ref="A1:J29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P30"/>
  <sheetViews>
    <sheetView showGridLines="0" topLeftCell="C1" zoomScaleNormal="100" workbookViewId="0">
      <selection activeCell="F12" sqref="F12"/>
    </sheetView>
  </sheetViews>
  <sheetFormatPr defaultColWidth="8.88671875" defaultRowHeight="14.4"/>
  <cols>
    <col min="1" max="2" width="8.88671875" style="204"/>
    <col min="3" max="3" width="28" style="204" customWidth="1"/>
    <col min="4" max="4" width="35" style="204" customWidth="1"/>
    <col min="5" max="5" width="35.109375" style="204" bestFit="1" customWidth="1"/>
    <col min="6" max="6" width="14.109375" style="204" bestFit="1" customWidth="1"/>
    <col min="7" max="7" width="15.44140625" style="204" bestFit="1" customWidth="1"/>
    <col min="8" max="8" width="23.88671875" style="204" bestFit="1" customWidth="1"/>
    <col min="9" max="9" width="22.44140625" style="204" bestFit="1" customWidth="1"/>
    <col min="10" max="11" width="21.109375" style="204" bestFit="1" customWidth="1"/>
    <col min="12" max="16384" width="8.88671875" style="204"/>
  </cols>
  <sheetData>
    <row r="2" spans="1:16">
      <c r="B2" s="273" t="s">
        <v>3202</v>
      </c>
      <c r="C2" t="s">
        <v>293</v>
      </c>
    </row>
    <row r="4" spans="1:16">
      <c r="B4" s="273" t="s">
        <v>3260</v>
      </c>
      <c r="C4" s="273" t="s">
        <v>3259</v>
      </c>
      <c r="D4" s="273" t="s">
        <v>3258</v>
      </c>
      <c r="E4" s="273" t="s">
        <v>3257</v>
      </c>
      <c r="F4" t="s">
        <v>3270</v>
      </c>
      <c r="G4" t="s">
        <v>3269</v>
      </c>
      <c r="H4" t="s">
        <v>3268</v>
      </c>
      <c r="I4" t="s">
        <v>3267</v>
      </c>
      <c r="J4" t="s">
        <v>3266</v>
      </c>
      <c r="K4" t="s">
        <v>3410</v>
      </c>
    </row>
    <row r="5" spans="1:16">
      <c r="A5" s="204" t="str">
        <f t="shared" ref="A5:A30" si="0">B5&amp;"_"&amp;C5&amp;"_"&amp;D5&amp;"_"&amp;E5&amp;"_2017_Actual"</f>
        <v>Residential_Residential Audit_Various_Residential Audit_2017_Actual</v>
      </c>
      <c r="B5" t="s">
        <v>1</v>
      </c>
      <c r="C5" t="s">
        <v>144</v>
      </c>
      <c r="D5" t="s">
        <v>155</v>
      </c>
      <c r="E5" t="s">
        <v>144</v>
      </c>
      <c r="F5" s="202">
        <v>12</v>
      </c>
      <c r="G5" s="202">
        <v>491</v>
      </c>
      <c r="H5" s="202">
        <v>0</v>
      </c>
      <c r="I5" s="202">
        <v>102619</v>
      </c>
      <c r="J5" s="202">
        <v>10.801999999999998</v>
      </c>
      <c r="K5" s="202">
        <v>12</v>
      </c>
    </row>
    <row r="6" spans="1:16">
      <c r="A6" s="204" t="str">
        <f t="shared" si="0"/>
        <v>Residential_Residential Lighting_Lighting_LED_2017_Actual</v>
      </c>
      <c r="B6" t="s">
        <v>1</v>
      </c>
      <c r="C6" t="s">
        <v>145</v>
      </c>
      <c r="D6" t="s">
        <v>86</v>
      </c>
      <c r="E6" t="s">
        <v>151</v>
      </c>
      <c r="F6" s="202">
        <v>188</v>
      </c>
      <c r="G6" s="202">
        <v>1147</v>
      </c>
      <c r="H6" s="202">
        <v>4491.9071999999996</v>
      </c>
      <c r="I6" s="202">
        <v>36603.821999999993</v>
      </c>
      <c r="J6" s="202">
        <v>4.3086000000000029</v>
      </c>
      <c r="K6" s="202">
        <v>116</v>
      </c>
    </row>
    <row r="7" spans="1:16">
      <c r="A7" s="204" t="str">
        <f t="shared" si="0"/>
        <v>Residential_Residential Lighting_Lighting_ENERGY STAR Fixture_2017_Actual</v>
      </c>
      <c r="B7" t="s">
        <v>1</v>
      </c>
      <c r="C7" t="s">
        <v>145</v>
      </c>
      <c r="D7" t="s">
        <v>86</v>
      </c>
      <c r="E7" t="s">
        <v>201</v>
      </c>
      <c r="F7" s="202">
        <v>21</v>
      </c>
      <c r="G7" s="202">
        <v>391</v>
      </c>
      <c r="H7" s="202">
        <v>3638.19</v>
      </c>
      <c r="I7" s="202">
        <v>13888.073999999997</v>
      </c>
      <c r="J7" s="202">
        <v>1.6351999999999998</v>
      </c>
      <c r="K7" s="202">
        <v>12</v>
      </c>
    </row>
    <row r="8" spans="1:16">
      <c r="A8" s="204" t="str">
        <f t="shared" si="0"/>
        <v>Residential_Weatherization_Various_Residential Kit_2017_Actual</v>
      </c>
      <c r="B8" t="s">
        <v>1</v>
      </c>
      <c r="C8" t="s">
        <v>83</v>
      </c>
      <c r="D8" t="s">
        <v>155</v>
      </c>
      <c r="E8" t="s">
        <v>221</v>
      </c>
      <c r="F8" s="202">
        <v>6</v>
      </c>
      <c r="G8" s="202">
        <v>6</v>
      </c>
      <c r="H8" s="202">
        <v>0</v>
      </c>
      <c r="I8" s="202">
        <v>2502</v>
      </c>
      <c r="J8" s="202">
        <v>0.26399999999999996</v>
      </c>
      <c r="K8" s="202">
        <v>5</v>
      </c>
    </row>
    <row r="9" spans="1:16">
      <c r="A9" s="204" t="str">
        <f t="shared" si="0"/>
        <v>Residential_Weatherization_Various_Measures_2017_Actual</v>
      </c>
      <c r="B9" t="s">
        <v>1</v>
      </c>
      <c r="C9" t="s">
        <v>83</v>
      </c>
      <c r="D9" t="s">
        <v>155</v>
      </c>
      <c r="E9" t="s">
        <v>283</v>
      </c>
      <c r="F9" s="202">
        <v>6</v>
      </c>
      <c r="G9" s="202">
        <v>6</v>
      </c>
      <c r="H9" s="202">
        <v>0</v>
      </c>
      <c r="I9" s="202">
        <v>5190</v>
      </c>
      <c r="J9" s="202">
        <v>0.93</v>
      </c>
      <c r="K9" s="202">
        <v>1</v>
      </c>
      <c r="N9" s="242">
        <f>SUM(K8:K9)</f>
        <v>6</v>
      </c>
      <c r="O9" s="242">
        <f>SUM(I8:I9)</f>
        <v>7692</v>
      </c>
      <c r="P9" s="204">
        <f>O9/N9</f>
        <v>1282</v>
      </c>
    </row>
    <row r="10" spans="1:16">
      <c r="A10" s="204" t="str">
        <f t="shared" si="0"/>
        <v>Residential_Whole House Efficiency_Various_Residential Kit_2017_Actual</v>
      </c>
      <c r="B10" t="s">
        <v>1</v>
      </c>
      <c r="C10" t="s">
        <v>147</v>
      </c>
      <c r="D10" t="s">
        <v>155</v>
      </c>
      <c r="E10" t="s">
        <v>221</v>
      </c>
      <c r="F10" s="202">
        <v>37</v>
      </c>
      <c r="G10" s="202">
        <v>37</v>
      </c>
      <c r="H10" s="202">
        <v>0</v>
      </c>
      <c r="I10" s="202">
        <v>15429</v>
      </c>
      <c r="J10" s="202">
        <v>1.6280000000000008</v>
      </c>
      <c r="K10" s="202">
        <v>20</v>
      </c>
      <c r="M10" s="242">
        <f>SUM(I10:I11)</f>
        <v>36257</v>
      </c>
      <c r="N10" s="204">
        <f>M10/40</f>
        <v>906.42499999999995</v>
      </c>
    </row>
    <row r="11" spans="1:16">
      <c r="A11" s="204" t="str">
        <f t="shared" si="0"/>
        <v>Residential_Whole House Efficiency_Various_Measures_2017_Actual</v>
      </c>
      <c r="B11" t="s">
        <v>1</v>
      </c>
      <c r="C11" t="s">
        <v>147</v>
      </c>
      <c r="D11" t="s">
        <v>155</v>
      </c>
      <c r="E11" t="s">
        <v>283</v>
      </c>
      <c r="F11" s="202">
        <v>41</v>
      </c>
      <c r="G11" s="202">
        <v>41</v>
      </c>
      <c r="H11" s="202">
        <v>0</v>
      </c>
      <c r="I11" s="202">
        <v>20828</v>
      </c>
      <c r="J11" s="202">
        <v>7.7900000000000071</v>
      </c>
      <c r="K11" s="202">
        <v>20</v>
      </c>
    </row>
    <row r="12" spans="1:16">
      <c r="A12" s="204" t="str">
        <f t="shared" si="0"/>
        <v>Residential_Appliance Recycling_Appliance Recycling_Refrigerator Recycle_2017_Actual</v>
      </c>
      <c r="B12" t="s">
        <v>1</v>
      </c>
      <c r="C12" t="s">
        <v>203</v>
      </c>
      <c r="D12" t="s">
        <v>203</v>
      </c>
      <c r="E12" t="s">
        <v>148</v>
      </c>
      <c r="F12" s="202">
        <v>37</v>
      </c>
      <c r="G12" s="202">
        <v>37</v>
      </c>
      <c r="H12" s="202">
        <v>1850</v>
      </c>
      <c r="I12" s="202">
        <v>47693</v>
      </c>
      <c r="J12" s="202">
        <v>5.4389999999999992</v>
      </c>
      <c r="K12" s="202">
        <v>34</v>
      </c>
    </row>
    <row r="13" spans="1:16">
      <c r="A13" s="204" t="str">
        <f t="shared" si="0"/>
        <v>Residential_Appliance Recycling_Appliance Recycling_Freezer Recycle_2017_Actual</v>
      </c>
      <c r="B13" t="s">
        <v>1</v>
      </c>
      <c r="C13" t="s">
        <v>203</v>
      </c>
      <c r="D13" t="s">
        <v>203</v>
      </c>
      <c r="E13" t="s">
        <v>154</v>
      </c>
      <c r="F13" s="202">
        <v>7</v>
      </c>
      <c r="G13" s="202">
        <v>7</v>
      </c>
      <c r="H13" s="202">
        <v>350</v>
      </c>
      <c r="I13" s="202">
        <v>7735</v>
      </c>
      <c r="J13" s="202">
        <v>0.88200000000000001</v>
      </c>
      <c r="K13" s="202">
        <v>6</v>
      </c>
    </row>
    <row r="14" spans="1:16">
      <c r="A14" s="204" t="str">
        <f t="shared" si="0"/>
        <v>Residential_High Efficiency HVAC_HVAC_Heat Pump SEER 15_2017_Actual</v>
      </c>
      <c r="B14" t="s">
        <v>1</v>
      </c>
      <c r="C14" t="s">
        <v>205</v>
      </c>
      <c r="D14" t="s">
        <v>85</v>
      </c>
      <c r="E14" t="s">
        <v>206</v>
      </c>
      <c r="F14" s="202">
        <v>8</v>
      </c>
      <c r="G14" s="202">
        <v>8</v>
      </c>
      <c r="H14" s="202">
        <v>1612.5</v>
      </c>
      <c r="I14" s="202">
        <v>7211.1080000000002</v>
      </c>
      <c r="J14" s="202">
        <v>4.9429999999999996</v>
      </c>
      <c r="K14" s="202">
        <v>8</v>
      </c>
    </row>
    <row r="15" spans="1:16">
      <c r="A15" s="204" t="str">
        <f t="shared" si="0"/>
        <v>Residential_High Efficiency HVAC_HVAC_Ductless Mini-Split HP SEER ≥19_2017_Actual</v>
      </c>
      <c r="B15" t="s">
        <v>1</v>
      </c>
      <c r="C15" t="s">
        <v>205</v>
      </c>
      <c r="D15" t="s">
        <v>85</v>
      </c>
      <c r="E15" t="s">
        <v>211</v>
      </c>
      <c r="F15" s="202">
        <v>13</v>
      </c>
      <c r="G15" s="202">
        <v>14</v>
      </c>
      <c r="H15" s="202">
        <v>1500</v>
      </c>
      <c r="I15" s="202">
        <v>34941.728999999999</v>
      </c>
      <c r="J15" s="202">
        <v>12.747000000000002</v>
      </c>
      <c r="K15" s="202">
        <v>12</v>
      </c>
    </row>
    <row r="16" spans="1:16">
      <c r="A16" s="204" t="str">
        <f t="shared" si="0"/>
        <v>Residential_High Efficiency HVAC_HVAC_Early Retirement Heat Pump SEER 15_2017_Actual</v>
      </c>
      <c r="B16" t="s">
        <v>1</v>
      </c>
      <c r="C16" t="s">
        <v>205</v>
      </c>
      <c r="D16" t="s">
        <v>85</v>
      </c>
      <c r="E16" t="s">
        <v>207</v>
      </c>
      <c r="F16" s="202">
        <v>9</v>
      </c>
      <c r="G16" s="202">
        <v>9</v>
      </c>
      <c r="H16" s="202">
        <v>6100</v>
      </c>
      <c r="I16" s="202">
        <v>42546.737999999998</v>
      </c>
      <c r="J16" s="202">
        <v>22.700000000000003</v>
      </c>
      <c r="K16" s="202">
        <v>9</v>
      </c>
    </row>
    <row r="17" spans="1:11">
      <c r="A17" s="204" t="str">
        <f t="shared" si="0"/>
        <v>Residential_High Efficiency HVAC_Water Heating_Heat Pump Water Heater_2017_Actual</v>
      </c>
      <c r="B17" t="s">
        <v>1</v>
      </c>
      <c r="C17" t="s">
        <v>205</v>
      </c>
      <c r="D17" t="s">
        <v>284</v>
      </c>
      <c r="E17" t="s">
        <v>212</v>
      </c>
      <c r="F17" s="202">
        <v>7</v>
      </c>
      <c r="G17" s="202">
        <v>7</v>
      </c>
      <c r="H17" s="202">
        <v>1830</v>
      </c>
      <c r="I17" s="202">
        <v>21247</v>
      </c>
      <c r="J17" s="202">
        <v>1.0050000000000001</v>
      </c>
      <c r="K17" s="202">
        <v>7</v>
      </c>
    </row>
    <row r="18" spans="1:11">
      <c r="A18" s="204" t="str">
        <f t="shared" si="0"/>
        <v>Residential_High Efficiency HVAC_Water Heating_Electric Storage Water Heater EF 0.95_2017_Actual</v>
      </c>
      <c r="B18" t="s">
        <v>1</v>
      </c>
      <c r="C18" t="s">
        <v>205</v>
      </c>
      <c r="D18" t="s">
        <v>284</v>
      </c>
      <c r="E18" t="s">
        <v>213</v>
      </c>
      <c r="F18" s="202">
        <v>1</v>
      </c>
      <c r="G18" s="202">
        <v>1</v>
      </c>
      <c r="H18" s="202">
        <v>106.25</v>
      </c>
      <c r="I18" s="202">
        <v>263.23678000000001</v>
      </c>
      <c r="J18" s="202">
        <v>3.005E-2</v>
      </c>
      <c r="K18" s="202">
        <v>1</v>
      </c>
    </row>
    <row r="19" spans="1:11">
      <c r="A19" s="204" t="str">
        <f t="shared" si="0"/>
        <v>Residential_High Efficiency HVAC_Water Heating_Electric Storage Water Heater EF &gt;0.95_2017_Actual</v>
      </c>
      <c r="B19" t="s">
        <v>1</v>
      </c>
      <c r="C19" t="s">
        <v>205</v>
      </c>
      <c r="D19" t="s">
        <v>284</v>
      </c>
      <c r="E19" t="s">
        <v>214</v>
      </c>
      <c r="F19" s="202">
        <v>18</v>
      </c>
      <c r="G19" s="202">
        <v>32</v>
      </c>
      <c r="H19" s="202">
        <v>2660</v>
      </c>
      <c r="I19" s="202">
        <v>5249.0910500000018</v>
      </c>
      <c r="J19" s="202">
        <v>0.59914999999999996</v>
      </c>
      <c r="K19" s="202">
        <v>18</v>
      </c>
    </row>
    <row r="20" spans="1:11">
      <c r="A20" s="204" t="str">
        <f t="shared" si="0"/>
        <v>Residential_School-Based Education_Various_EE Kit/Education Materials_2017_Actual</v>
      </c>
      <c r="B20" t="s">
        <v>1</v>
      </c>
      <c r="C20" t="s">
        <v>224</v>
      </c>
      <c r="D20" t="s">
        <v>155</v>
      </c>
      <c r="E20" t="s">
        <v>152</v>
      </c>
      <c r="F20" s="202">
        <v>20</v>
      </c>
      <c r="G20" s="202">
        <v>1202</v>
      </c>
      <c r="H20" s="202">
        <v>0</v>
      </c>
      <c r="I20" s="202">
        <v>477194</v>
      </c>
      <c r="J20" s="202">
        <v>48.079999999999984</v>
      </c>
      <c r="K20" s="202">
        <v>20</v>
      </c>
    </row>
    <row r="21" spans="1:11">
      <c r="A21" s="204" t="str">
        <f t="shared" si="0"/>
        <v>C&amp;I_C&amp;I Custom_Various_C&amp;I Custom_2017_Actual</v>
      </c>
      <c r="B21" t="s">
        <v>142</v>
      </c>
      <c r="C21" t="s">
        <v>187</v>
      </c>
      <c r="D21" t="s">
        <v>155</v>
      </c>
      <c r="E21" t="s">
        <v>187</v>
      </c>
      <c r="F21" s="202">
        <v>64</v>
      </c>
      <c r="G21" s="202">
        <v>1220</v>
      </c>
      <c r="H21" s="202">
        <v>212345.44996</v>
      </c>
      <c r="I21" s="202">
        <v>2011742.5373999998</v>
      </c>
      <c r="J21" s="202">
        <v>493.85037000000005</v>
      </c>
      <c r="K21" s="202">
        <v>48</v>
      </c>
    </row>
    <row r="22" spans="1:11">
      <c r="A22" s="204" t="str">
        <f t="shared" si="0"/>
        <v>C&amp;I_C&amp;I Prescriptive_Lighting_LED Linear Replacement Lamp (≤4ft)_2017_Actual</v>
      </c>
      <c r="B22" t="s">
        <v>142</v>
      </c>
      <c r="C22" t="s">
        <v>228</v>
      </c>
      <c r="D22" t="s">
        <v>86</v>
      </c>
      <c r="E22" t="s">
        <v>192</v>
      </c>
      <c r="F22" s="202">
        <v>58</v>
      </c>
      <c r="G22" s="202">
        <v>13895</v>
      </c>
      <c r="H22" s="202">
        <v>144805.62026000003</v>
      </c>
      <c r="I22" s="202">
        <v>999445.16199999955</v>
      </c>
      <c r="J22" s="202">
        <v>236.89442999999991</v>
      </c>
      <c r="K22" s="202">
        <v>25</v>
      </c>
    </row>
    <row r="23" spans="1:11">
      <c r="A23" s="204" t="str">
        <f t="shared" si="0"/>
        <v>C&amp;I_C&amp;I Prescriptive_Lighting_Energy Star LED Lamp (≤5W)_2017_Actual</v>
      </c>
      <c r="B23" t="s">
        <v>142</v>
      </c>
      <c r="C23" t="s">
        <v>228</v>
      </c>
      <c r="D23" t="s">
        <v>86</v>
      </c>
      <c r="E23" t="s">
        <v>193</v>
      </c>
      <c r="F23" s="202">
        <v>2</v>
      </c>
      <c r="G23" s="202">
        <v>406</v>
      </c>
      <c r="H23" s="202">
        <v>2020.32</v>
      </c>
      <c r="I23" s="202">
        <v>30964.583999999999</v>
      </c>
      <c r="J23" s="202">
        <v>6.5665979999999999</v>
      </c>
      <c r="K23" s="202">
        <v>1</v>
      </c>
    </row>
    <row r="24" spans="1:11">
      <c r="A24" s="204" t="str">
        <f t="shared" si="0"/>
        <v>C&amp;I_C&amp;I Prescriptive_Lighting_LED Linear Replacement Lamp (5-8ft)_2017_Actual</v>
      </c>
      <c r="B24" t="s">
        <v>142</v>
      </c>
      <c r="C24" t="s">
        <v>228</v>
      </c>
      <c r="D24" t="s">
        <v>86</v>
      </c>
      <c r="E24" t="s">
        <v>194</v>
      </c>
      <c r="F24" s="202">
        <v>6</v>
      </c>
      <c r="G24" s="202">
        <v>653</v>
      </c>
      <c r="H24" s="202">
        <v>15019</v>
      </c>
      <c r="I24" s="202">
        <v>103978.61199999999</v>
      </c>
      <c r="J24" s="202">
        <v>25.235385999999998</v>
      </c>
      <c r="K24" s="202">
        <v>2</v>
      </c>
    </row>
    <row r="25" spans="1:11">
      <c r="A25" s="204" t="str">
        <f t="shared" si="0"/>
        <v>C&amp;I_C&amp;I Prescriptive_Lighting_Fixture Mount Occupancy_2017_Actual</v>
      </c>
      <c r="B25" t="s">
        <v>142</v>
      </c>
      <c r="C25" t="s">
        <v>228</v>
      </c>
      <c r="D25" t="s">
        <v>86</v>
      </c>
      <c r="E25" t="s">
        <v>195</v>
      </c>
      <c r="F25" s="202">
        <v>1</v>
      </c>
      <c r="G25" s="202">
        <v>8</v>
      </c>
      <c r="H25" s="202">
        <v>224</v>
      </c>
      <c r="I25" s="202">
        <v>3141.864</v>
      </c>
      <c r="J25" s="202">
        <v>0.67050699999999996</v>
      </c>
      <c r="K25" s="202">
        <v>1</v>
      </c>
    </row>
    <row r="26" spans="1:11">
      <c r="A26" s="204" t="str">
        <f t="shared" si="0"/>
        <v>C&amp;I_C&amp;I Prescriptive_Lighting_Energy Star LED Lamp (5-10W)_2017_Actual</v>
      </c>
      <c r="B26" t="s">
        <v>142</v>
      </c>
      <c r="C26" t="s">
        <v>228</v>
      </c>
      <c r="D26" t="s">
        <v>86</v>
      </c>
      <c r="E26" t="s">
        <v>245</v>
      </c>
      <c r="F26" s="202">
        <v>23</v>
      </c>
      <c r="G26" s="202">
        <v>1163</v>
      </c>
      <c r="H26" s="202">
        <v>5667.5400799999998</v>
      </c>
      <c r="I26" s="202">
        <v>144470.96</v>
      </c>
      <c r="J26" s="202">
        <v>20.802492999999998</v>
      </c>
      <c r="K26" s="202">
        <v>6</v>
      </c>
    </row>
    <row r="27" spans="1:11">
      <c r="A27" s="204" t="str">
        <f t="shared" si="0"/>
        <v>C&amp;I_C&amp;I Prescriptive_Lighting_LED Parking Garage/Canopy (≥75W)_2017_Actual</v>
      </c>
      <c r="B27" t="s">
        <v>142</v>
      </c>
      <c r="C27" t="s">
        <v>228</v>
      </c>
      <c r="D27" t="s">
        <v>86</v>
      </c>
      <c r="E27" t="s">
        <v>251</v>
      </c>
      <c r="F27" s="202">
        <v>20</v>
      </c>
      <c r="G27" s="202">
        <v>186</v>
      </c>
      <c r="H27" s="202">
        <v>18629.09</v>
      </c>
      <c r="I27" s="202">
        <v>218685.06500000003</v>
      </c>
      <c r="J27" s="202">
        <v>38.785001000000001</v>
      </c>
      <c r="K27" s="202">
        <v>14</v>
      </c>
    </row>
    <row r="28" spans="1:11">
      <c r="A28" s="204" t="str">
        <f t="shared" si="0"/>
        <v>C&amp;I_C&amp;I Prescriptive_Lighting_Energy Star LED Lamp (&gt;10W)_2017_Actual</v>
      </c>
      <c r="B28" t="s">
        <v>142</v>
      </c>
      <c r="C28" t="s">
        <v>228</v>
      </c>
      <c r="D28" t="s">
        <v>86</v>
      </c>
      <c r="E28" t="s">
        <v>246</v>
      </c>
      <c r="F28" s="202">
        <v>21</v>
      </c>
      <c r="G28" s="202">
        <v>924</v>
      </c>
      <c r="H28" s="202">
        <v>8856.18</v>
      </c>
      <c r="I28" s="202">
        <v>169635.77899999998</v>
      </c>
      <c r="J28" s="202">
        <v>34.859540000000003</v>
      </c>
      <c r="K28" s="202">
        <v>8</v>
      </c>
    </row>
    <row r="29" spans="1:11">
      <c r="A29" s="204" t="str">
        <f t="shared" si="0"/>
        <v>C&amp;I_C&amp;I Prescriptive_Lighting_LED Parking Garage/Canopy (30-75W)_2017_Actual</v>
      </c>
      <c r="B29" t="s">
        <v>142</v>
      </c>
      <c r="C29" t="s">
        <v>228</v>
      </c>
      <c r="D29" t="s">
        <v>86</v>
      </c>
      <c r="E29" t="s">
        <v>250</v>
      </c>
      <c r="F29" s="202">
        <v>25</v>
      </c>
      <c r="G29" s="202">
        <v>268</v>
      </c>
      <c r="H29" s="202">
        <v>17081.5</v>
      </c>
      <c r="I29" s="202">
        <v>144822.58600000001</v>
      </c>
      <c r="J29" s="202">
        <v>31.011065000000006</v>
      </c>
      <c r="K29" s="202">
        <v>8</v>
      </c>
    </row>
    <row r="30" spans="1:11">
      <c r="A30" s="204" t="str">
        <f t="shared" si="0"/>
        <v>C&amp;I_C&amp;I Prescriptive_Lighting_LED Parking Garage/Canopy (&lt;30W)_2017_Actual</v>
      </c>
      <c r="B30" t="s">
        <v>142</v>
      </c>
      <c r="C30" t="s">
        <v>228</v>
      </c>
      <c r="D30" t="s">
        <v>86</v>
      </c>
      <c r="E30" t="s">
        <v>249</v>
      </c>
      <c r="F30" s="202">
        <v>3</v>
      </c>
      <c r="G30" s="202">
        <v>27</v>
      </c>
      <c r="H30" s="202">
        <v>266.56</v>
      </c>
      <c r="I30" s="202">
        <v>16129.799000000001</v>
      </c>
      <c r="J30" s="202">
        <v>2.9620730000000002</v>
      </c>
      <c r="K30" s="202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30"/>
  <sheetViews>
    <sheetView showGridLines="0" zoomScaleNormal="100" workbookViewId="0">
      <selection activeCell="K33" sqref="K33"/>
    </sheetView>
  </sheetViews>
  <sheetFormatPr defaultRowHeight="14.4"/>
  <cols>
    <col min="2" max="2" width="31.109375" bestFit="1" customWidth="1"/>
    <col min="3" max="3" width="30.44140625" bestFit="1" customWidth="1"/>
    <col min="4" max="4" width="14.109375" bestFit="1" customWidth="1"/>
    <col min="5" max="5" width="15.44140625" bestFit="1" customWidth="1"/>
    <col min="6" max="6" width="23.88671875" bestFit="1" customWidth="1"/>
    <col min="7" max="7" width="22.44140625" bestFit="1" customWidth="1"/>
    <col min="8" max="8" width="21.109375" bestFit="1" customWidth="1"/>
    <col min="9" max="10" width="20.109375" customWidth="1"/>
    <col min="11" max="11" width="20.109375" bestFit="1" customWidth="1"/>
  </cols>
  <sheetData>
    <row r="1" spans="1:11" s="292" customFormat="1"/>
    <row r="2" spans="1:11" s="292" customFormat="1">
      <c r="B2" s="273" t="s">
        <v>3202</v>
      </c>
      <c r="C2" t="s">
        <v>293</v>
      </c>
    </row>
    <row r="3" spans="1:11" s="292" customFormat="1"/>
    <row r="4" spans="1:11" s="292" customFormat="1">
      <c r="B4" s="273" t="s">
        <v>3259</v>
      </c>
      <c r="C4" s="273" t="s">
        <v>3240</v>
      </c>
      <c r="D4" t="s">
        <v>3270</v>
      </c>
      <c r="E4" t="s">
        <v>3269</v>
      </c>
      <c r="F4" t="s">
        <v>3268</v>
      </c>
      <c r="G4" t="s">
        <v>3267</v>
      </c>
      <c r="H4" t="s">
        <v>3266</v>
      </c>
      <c r="I4"/>
      <c r="J4"/>
      <c r="K4"/>
    </row>
    <row r="5" spans="1:11" s="292" customFormat="1">
      <c r="A5" s="292" t="str">
        <f t="shared" ref="A5:A16" si="0">B5&amp;"_"&amp;C5&amp;"_"&amp;D5&amp;"_"&amp;E5&amp;"_2017_Actual"</f>
        <v>Residential Lighting__3_26_2017_Actual</v>
      </c>
      <c r="B5" t="s">
        <v>145</v>
      </c>
      <c r="C5"/>
      <c r="D5" s="202">
        <v>3</v>
      </c>
      <c r="E5" s="202">
        <v>26</v>
      </c>
      <c r="F5" s="202">
        <v>63.34</v>
      </c>
      <c r="G5" s="202">
        <v>872.226</v>
      </c>
      <c r="H5" s="202">
        <v>0.10340000000000001</v>
      </c>
      <c r="I5"/>
      <c r="J5"/>
      <c r="K5"/>
    </row>
    <row r="6" spans="1:11" s="292" customFormat="1">
      <c r="A6" s="292" t="str">
        <f t="shared" si="0"/>
        <v>Residential Lighting_BHE_141_1081_2017_Actual</v>
      </c>
      <c r="B6" t="s">
        <v>145</v>
      </c>
      <c r="C6" t="s">
        <v>601</v>
      </c>
      <c r="D6" s="202">
        <v>141</v>
      </c>
      <c r="E6" s="202">
        <v>1081</v>
      </c>
      <c r="F6" s="202">
        <v>6639.4499999999989</v>
      </c>
      <c r="G6" s="202">
        <v>34924.467999999972</v>
      </c>
      <c r="H6" s="202">
        <v>4.1129000000000024</v>
      </c>
      <c r="I6"/>
      <c r="J6"/>
      <c r="K6"/>
    </row>
    <row r="7" spans="1:11" s="292" customFormat="1">
      <c r="A7" s="292" t="str">
        <f t="shared" si="0"/>
        <v>Residential Lighting_AMAZON.COM_3_39_2017_Actual</v>
      </c>
      <c r="B7" t="s">
        <v>145</v>
      </c>
      <c r="C7" t="s">
        <v>1120</v>
      </c>
      <c r="D7" s="202">
        <v>3</v>
      </c>
      <c r="E7" s="202">
        <v>39</v>
      </c>
      <c r="F7" s="202">
        <v>154.80000000000001</v>
      </c>
      <c r="G7" s="202">
        <v>1264.6859999999999</v>
      </c>
      <c r="H7" s="202">
        <v>0.14960000000000001</v>
      </c>
      <c r="I7"/>
      <c r="J7"/>
      <c r="K7"/>
    </row>
    <row r="8" spans="1:11" s="292" customFormat="1">
      <c r="A8" s="292" t="str">
        <f t="shared" si="0"/>
        <v>Residential Lighting_Batteries Plus - Rapid City_6_23_2017_Actual</v>
      </c>
      <c r="B8" t="s">
        <v>145</v>
      </c>
      <c r="C8" t="s">
        <v>978</v>
      </c>
      <c r="D8" s="202">
        <v>6</v>
      </c>
      <c r="E8" s="202">
        <v>23</v>
      </c>
      <c r="F8" s="202">
        <v>69.84</v>
      </c>
      <c r="G8" s="202">
        <v>637.27299999999991</v>
      </c>
      <c r="H8" s="202">
        <v>7.4700000000000003E-2</v>
      </c>
      <c r="I8"/>
      <c r="J8"/>
      <c r="K8"/>
    </row>
    <row r="9" spans="1:11" s="292" customFormat="1">
      <c r="A9" s="292" t="str">
        <f t="shared" si="0"/>
        <v>Residential Lighting_BES LIGHTING_2_8_2017_Actual</v>
      </c>
      <c r="B9" t="s">
        <v>145</v>
      </c>
      <c r="C9" t="s">
        <v>837</v>
      </c>
      <c r="D9" s="202">
        <v>2</v>
      </c>
      <c r="E9" s="202">
        <v>8</v>
      </c>
      <c r="F9" s="202">
        <v>33.520000000000003</v>
      </c>
      <c r="G9" s="202">
        <v>262.17200000000003</v>
      </c>
      <c r="H9" s="202">
        <v>3.0800000000000001E-2</v>
      </c>
      <c r="I9"/>
      <c r="J9"/>
      <c r="K9"/>
    </row>
    <row r="10" spans="1:11" s="292" customFormat="1">
      <c r="A10" s="292" t="str">
        <f t="shared" si="0"/>
        <v>Residential Lighting_DAKOTA SUPPLY GROUP_8_48_2017_Actual</v>
      </c>
      <c r="B10" t="s">
        <v>145</v>
      </c>
      <c r="C10" t="s">
        <v>1017</v>
      </c>
      <c r="D10" s="202">
        <v>8</v>
      </c>
      <c r="E10" s="202">
        <v>48</v>
      </c>
      <c r="F10" s="202">
        <v>231.21</v>
      </c>
      <c r="G10" s="202">
        <v>1657.2269999999999</v>
      </c>
      <c r="H10" s="202">
        <v>0.19370000000000001</v>
      </c>
      <c r="I10"/>
      <c r="J10"/>
      <c r="K10"/>
    </row>
    <row r="11" spans="1:11" s="292" customFormat="1">
      <c r="A11" s="292" t="str">
        <f t="shared" si="0"/>
        <v>Residential Lighting_HARDWARE HANK OF RAPID CITY_3_21_2017_Actual</v>
      </c>
      <c r="B11" t="s">
        <v>145</v>
      </c>
      <c r="C11" t="s">
        <v>938</v>
      </c>
      <c r="D11" s="202">
        <v>3</v>
      </c>
      <c r="E11" s="202">
        <v>21</v>
      </c>
      <c r="F11" s="202">
        <v>40.909999999999997</v>
      </c>
      <c r="G11" s="202">
        <v>714.42100000000005</v>
      </c>
      <c r="H11" s="202">
        <v>8.4600000000000009E-2</v>
      </c>
      <c r="I11"/>
      <c r="J11"/>
      <c r="K11"/>
    </row>
    <row r="12" spans="1:11" s="292" customFormat="1">
      <c r="A12" s="292" t="str">
        <f t="shared" si="0"/>
        <v>Residential Lighting_HOME DEPOT_2_21_2017_Actual</v>
      </c>
      <c r="B12" t="s">
        <v>145</v>
      </c>
      <c r="C12" t="s">
        <v>1178</v>
      </c>
      <c r="D12" s="202">
        <v>2</v>
      </c>
      <c r="E12" s="202">
        <v>21</v>
      </c>
      <c r="F12" s="202">
        <v>77.989999999999995</v>
      </c>
      <c r="G12" s="202">
        <v>689.70399999999995</v>
      </c>
      <c r="H12" s="202">
        <v>8.2000000000000003E-2</v>
      </c>
      <c r="I12"/>
      <c r="J12"/>
      <c r="K12"/>
    </row>
    <row r="13" spans="1:11" s="292" customFormat="1">
      <c r="A13" s="292" t="str">
        <f t="shared" si="0"/>
        <v>Residential Lighting_LOWES - Rapid City_12_71_2017_Actual</v>
      </c>
      <c r="B13" t="s">
        <v>145</v>
      </c>
      <c r="C13" t="s">
        <v>959</v>
      </c>
      <c r="D13" s="202">
        <v>12</v>
      </c>
      <c r="E13" s="202">
        <v>71</v>
      </c>
      <c r="F13" s="202">
        <v>330.53</v>
      </c>
      <c r="G13" s="202">
        <v>2577.6359999999995</v>
      </c>
      <c r="H13" s="202">
        <v>0.30499999999999999</v>
      </c>
      <c r="I13"/>
      <c r="J13"/>
      <c r="K13"/>
    </row>
    <row r="14" spans="1:11" s="292" customFormat="1">
      <c r="A14" s="292" t="str">
        <f t="shared" si="0"/>
        <v>Residential Lighting_MENARDS_27_189_2017_Actual</v>
      </c>
      <c r="B14" t="s">
        <v>145</v>
      </c>
      <c r="C14" t="s">
        <v>850</v>
      </c>
      <c r="D14" s="202">
        <v>27</v>
      </c>
      <c r="E14" s="202">
        <v>189</v>
      </c>
      <c r="F14" s="202">
        <v>452.88719999999995</v>
      </c>
      <c r="G14" s="202">
        <v>6555.2979999999998</v>
      </c>
      <c r="H14" s="202">
        <v>0.76780000000000015</v>
      </c>
      <c r="I14"/>
      <c r="J14"/>
      <c r="K14"/>
    </row>
    <row r="15" spans="1:11" s="292" customFormat="1">
      <c r="A15" s="292" t="str">
        <f t="shared" si="0"/>
        <v>Residential Lighting_MICKS ELECTRIC_1_5_2017_Actual</v>
      </c>
      <c r="B15" t="s">
        <v>145</v>
      </c>
      <c r="C15" t="s">
        <v>914</v>
      </c>
      <c r="D15" s="202">
        <v>1</v>
      </c>
      <c r="E15" s="202">
        <v>5</v>
      </c>
      <c r="F15" s="202">
        <v>25</v>
      </c>
      <c r="G15" s="202">
        <v>191.58500000000001</v>
      </c>
      <c r="H15" s="202">
        <v>2.2499999999999999E-2</v>
      </c>
      <c r="I15"/>
      <c r="J15"/>
      <c r="K15"/>
    </row>
    <row r="16" spans="1:11" s="292" customFormat="1">
      <c r="A16" s="292" t="str">
        <f t="shared" si="0"/>
        <v>Residential Lighting_(blank)_1_6_2017_Actual</v>
      </c>
      <c r="B16" t="s">
        <v>145</v>
      </c>
      <c r="C16" t="s">
        <v>3393</v>
      </c>
      <c r="D16" s="202">
        <v>1</v>
      </c>
      <c r="E16" s="202">
        <v>6</v>
      </c>
      <c r="F16" s="202">
        <v>10.62</v>
      </c>
      <c r="G16" s="202">
        <v>145.19999999999999</v>
      </c>
      <c r="H16" s="202">
        <v>1.6799999999999999E-2</v>
      </c>
      <c r="I16"/>
      <c r="J16"/>
      <c r="K16"/>
    </row>
    <row r="17" spans="2:11" s="292" customFormat="1">
      <c r="B17"/>
      <c r="C17"/>
      <c r="D17"/>
      <c r="E17"/>
      <c r="F17"/>
      <c r="G17"/>
      <c r="H17"/>
      <c r="I17"/>
      <c r="J17"/>
      <c r="K17"/>
    </row>
    <row r="18" spans="2:11" s="292" customFormat="1">
      <c r="B18"/>
      <c r="C18"/>
      <c r="D18"/>
      <c r="E18"/>
      <c r="F18"/>
      <c r="G18"/>
      <c r="H18"/>
      <c r="I18"/>
      <c r="J18"/>
      <c r="K18"/>
    </row>
    <row r="19" spans="2:11" s="292" customFormat="1">
      <c r="B19"/>
      <c r="C19"/>
      <c r="D19"/>
      <c r="E19"/>
      <c r="F19"/>
      <c r="G19"/>
      <c r="H19"/>
      <c r="I19"/>
      <c r="J19"/>
      <c r="K19"/>
    </row>
    <row r="20" spans="2:11" s="292" customFormat="1">
      <c r="B20"/>
      <c r="C20"/>
      <c r="D20"/>
      <c r="E20"/>
      <c r="F20"/>
      <c r="G20"/>
      <c r="H20"/>
      <c r="I20"/>
      <c r="J20"/>
      <c r="K20"/>
    </row>
    <row r="21" spans="2:11" s="292" customFormat="1">
      <c r="B21"/>
      <c r="C21"/>
      <c r="D21"/>
      <c r="E21"/>
      <c r="F21"/>
      <c r="G21"/>
      <c r="H21"/>
      <c r="I21"/>
      <c r="J21"/>
    </row>
    <row r="22" spans="2:11" s="292" customFormat="1">
      <c r="B22"/>
      <c r="C22"/>
      <c r="D22"/>
      <c r="E22"/>
      <c r="F22"/>
      <c r="G22"/>
      <c r="H22"/>
      <c r="I22"/>
      <c r="J22"/>
    </row>
    <row r="23" spans="2:11" s="292" customFormat="1">
      <c r="B23"/>
      <c r="C23"/>
      <c r="D23"/>
      <c r="E23"/>
      <c r="F23"/>
      <c r="G23"/>
      <c r="H23"/>
      <c r="I23"/>
      <c r="J23"/>
    </row>
    <row r="24" spans="2:11" s="292" customFormat="1">
      <c r="B24"/>
      <c r="C24"/>
      <c r="D24"/>
      <c r="E24" s="202">
        <f>SUM(E5:E16)</f>
        <v>1538</v>
      </c>
      <c r="F24"/>
      <c r="G24"/>
      <c r="H24"/>
      <c r="I24"/>
      <c r="J24"/>
    </row>
    <row r="25" spans="2:11" s="292" customFormat="1">
      <c r="B25"/>
      <c r="C25"/>
      <c r="D25"/>
      <c r="E25" s="202">
        <f>E24-E6</f>
        <v>457</v>
      </c>
      <c r="F25"/>
      <c r="G25"/>
      <c r="H25"/>
      <c r="I25"/>
      <c r="J25"/>
    </row>
    <row r="26" spans="2:11" s="292" customFormat="1">
      <c r="B26"/>
      <c r="C26"/>
      <c r="D26"/>
      <c r="E26"/>
      <c r="F26"/>
      <c r="G26"/>
      <c r="H26"/>
      <c r="I26"/>
      <c r="J26"/>
    </row>
    <row r="27" spans="2:11" s="292" customFormat="1">
      <c r="B27"/>
      <c r="C27"/>
      <c r="D27"/>
      <c r="E27"/>
      <c r="F27"/>
      <c r="G27"/>
      <c r="H27"/>
      <c r="I27"/>
      <c r="J27"/>
    </row>
    <row r="28" spans="2:11" s="292" customFormat="1">
      <c r="B28"/>
      <c r="C28"/>
      <c r="D28"/>
      <c r="E28"/>
      <c r="F28"/>
      <c r="G28"/>
      <c r="H28"/>
      <c r="I28"/>
      <c r="J28"/>
    </row>
    <row r="29" spans="2:11" s="292" customFormat="1">
      <c r="B29"/>
      <c r="C29"/>
      <c r="D29"/>
      <c r="E29"/>
      <c r="F29"/>
      <c r="G29"/>
      <c r="H29"/>
      <c r="I29"/>
      <c r="J29"/>
    </row>
    <row r="30" spans="2:11" s="292" customFormat="1">
      <c r="B30"/>
      <c r="C30"/>
      <c r="D30"/>
      <c r="E30"/>
      <c r="F30"/>
      <c r="G30"/>
      <c r="H30"/>
      <c r="I30"/>
      <c r="J3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V97"/>
  <sheetViews>
    <sheetView showGridLines="0" topLeftCell="B1" zoomScaleNormal="100" workbookViewId="0">
      <pane ySplit="4" topLeftCell="A5" activePane="bottomLeft" state="frozen"/>
      <selection activeCell="K33" sqref="K33"/>
      <selection pane="bottomLeft" activeCell="H24" sqref="H24"/>
    </sheetView>
  </sheetViews>
  <sheetFormatPr defaultColWidth="8.88671875" defaultRowHeight="14.4"/>
  <cols>
    <col min="1" max="1" width="0" style="204" hidden="1" customWidth="1"/>
    <col min="2" max="2" width="15.88671875" style="204" customWidth="1"/>
    <col min="3" max="3" width="27.33203125" style="204" customWidth="1"/>
    <col min="4" max="4" width="17.6640625" style="204" hidden="1" customWidth="1"/>
    <col min="5" max="5" width="35.109375" style="204" bestFit="1" customWidth="1"/>
    <col min="6" max="6" width="14.109375" style="204" bestFit="1" customWidth="1"/>
    <col min="7" max="7" width="15.44140625" style="204" bestFit="1" customWidth="1"/>
    <col min="8" max="8" width="23.88671875" style="204" bestFit="1" customWidth="1"/>
    <col min="9" max="9" width="22.44140625" style="204" bestFit="1" customWidth="1"/>
    <col min="10" max="10" width="21.109375" style="204" bestFit="1" customWidth="1"/>
    <col min="11" max="11" width="11.6640625" style="204" bestFit="1" customWidth="1"/>
    <col min="12" max="12" width="12" style="204" bestFit="1" customWidth="1"/>
    <col min="13" max="13" width="11.33203125" style="204" bestFit="1" customWidth="1"/>
    <col min="14" max="14" width="10.44140625" style="204" bestFit="1" customWidth="1"/>
    <col min="15" max="15" width="15.5546875" style="269" bestFit="1" customWidth="1"/>
    <col min="16" max="16" width="28.44140625" style="269" bestFit="1" customWidth="1"/>
    <col min="17" max="17" width="13.88671875" style="204" bestFit="1" customWidth="1"/>
    <col min="18" max="18" width="14.33203125" style="204" bestFit="1" customWidth="1"/>
    <col min="19" max="19" width="13.44140625" style="204" bestFit="1" customWidth="1"/>
    <col min="20" max="20" width="12.6640625" style="204" bestFit="1" customWidth="1"/>
    <col min="21" max="21" width="17.6640625" style="204" bestFit="1" customWidth="1"/>
    <col min="22" max="22" width="38.109375" style="204" bestFit="1" customWidth="1"/>
    <col min="23" max="16384" width="8.88671875" style="204"/>
  </cols>
  <sheetData>
    <row r="2" spans="1:22">
      <c r="B2" s="273" t="s">
        <v>3202</v>
      </c>
      <c r="C2" t="s">
        <v>293</v>
      </c>
    </row>
    <row r="3" spans="1:22">
      <c r="L3" s="269"/>
      <c r="M3" s="269"/>
      <c r="N3" s="269"/>
      <c r="Q3" s="269"/>
      <c r="R3" s="269"/>
      <c r="S3" s="269"/>
      <c r="T3" s="269"/>
      <c r="U3" s="269"/>
    </row>
    <row r="4" spans="1:22">
      <c r="B4" s="273" t="s">
        <v>3260</v>
      </c>
      <c r="C4" s="273" t="s">
        <v>3259</v>
      </c>
      <c r="D4" s="273" t="s">
        <v>3258</v>
      </c>
      <c r="E4" s="273" t="s">
        <v>3257</v>
      </c>
      <c r="F4" t="s">
        <v>3270</v>
      </c>
      <c r="G4" t="s">
        <v>3269</v>
      </c>
      <c r="H4" t="s">
        <v>3268</v>
      </c>
      <c r="I4" t="s">
        <v>3267</v>
      </c>
      <c r="J4" t="s">
        <v>3266</v>
      </c>
      <c r="K4" s="204" t="s">
        <v>3339</v>
      </c>
      <c r="L4" s="204" t="s">
        <v>3340</v>
      </c>
      <c r="M4" s="204" t="s">
        <v>3341</v>
      </c>
      <c r="N4" s="204" t="s">
        <v>3342</v>
      </c>
      <c r="O4" s="274" t="s">
        <v>3265</v>
      </c>
      <c r="P4" s="274" t="s">
        <v>198</v>
      </c>
      <c r="Q4" s="269" t="s">
        <v>3343</v>
      </c>
      <c r="R4" s="269" t="s">
        <v>3344</v>
      </c>
      <c r="S4" s="269" t="s">
        <v>3345</v>
      </c>
      <c r="T4" s="269" t="s">
        <v>3346</v>
      </c>
      <c r="U4" s="274" t="s">
        <v>3264</v>
      </c>
      <c r="V4" s="274" t="s">
        <v>198</v>
      </c>
    </row>
    <row r="5" spans="1:22">
      <c r="A5" s="204" t="str">
        <f>B5&amp;"_"&amp;C5&amp;"_"&amp;D5&amp;"_"&amp;E5</f>
        <v>Residential_Residential Audit_Various_Residential Audit</v>
      </c>
      <c r="B5" t="s">
        <v>1</v>
      </c>
      <c r="C5" t="s">
        <v>144</v>
      </c>
      <c r="D5" t="s">
        <v>155</v>
      </c>
      <c r="E5" t="s">
        <v>144</v>
      </c>
      <c r="F5" s="202">
        <v>12</v>
      </c>
      <c r="G5" s="202">
        <v>491</v>
      </c>
      <c r="H5" s="202">
        <v>0</v>
      </c>
      <c r="I5" s="202">
        <v>102619</v>
      </c>
      <c r="J5" s="202">
        <v>10.801999999999998</v>
      </c>
      <c r="K5" s="242">
        <f>_xlfn.MINIFS('APP DATA'!$BN:$BN,'APP DATA'!$E:$E,$A5,'APP DATA'!$BL:$BL,$C$2)</f>
        <v>209</v>
      </c>
      <c r="L5" s="242">
        <f>_xlfn.MAXIFS('APP DATA'!$BN:$BN,'APP DATA'!$E:$E,$A5,'APP DATA'!$BL:$BL,$C$2)</f>
        <v>209</v>
      </c>
      <c r="M5" s="242">
        <f>I5/G5</f>
        <v>209</v>
      </c>
      <c r="N5" s="242">
        <f t="array" ref="N5">_xlfn.STDEV.P(IF('APP DATA'!$E$5:$E$675=$A5,IF('APP DATA'!$BL$5:$BL$675=$C$2,'APP DATA'!$BN$5:$BN$675)))</f>
        <v>0</v>
      </c>
      <c r="O5" s="274">
        <f>COUNTIFS('APP DATA'!$L:$L,TRUE,'APP DATA'!$E:$E,$A5)</f>
        <v>0</v>
      </c>
      <c r="P5" s="274"/>
      <c r="Q5" s="242">
        <f>_xlfn.MINIFS('APP DATA'!$BO:$BO,'APP DATA'!$E:$E,$A5,'APP DATA'!$BL:$BL,$C$2)</f>
        <v>0</v>
      </c>
      <c r="R5" s="242">
        <f>_xlfn.MAXIFS('APP DATA'!$BO:$BO,'APP DATA'!$E:$E,$A5,'APP DATA'!$BL:$BL,$C$2)</f>
        <v>0</v>
      </c>
      <c r="S5" s="242">
        <f>H5/G5</f>
        <v>0</v>
      </c>
      <c r="T5" s="242">
        <f t="array" ref="T5">_xlfn.STDEV.P(IF('APP DATA'!$E$5:$E$675=$A5,IF('APP DATA'!$BL$5:$BL$675=$C$2,'APP DATA'!$BO$5:$BO$675)))</f>
        <v>0</v>
      </c>
      <c r="U5" s="274">
        <f>COUNTIFS('APP DATA'!$M:$M,TRUE,'APP DATA'!$E:$E,$A5)</f>
        <v>0</v>
      </c>
      <c r="V5" s="274"/>
    </row>
    <row r="6" spans="1:22">
      <c r="A6" s="269" t="str">
        <f t="shared" ref="A6:A30" si="0">B6&amp;"_"&amp;C6&amp;"_"&amp;D6&amp;"_"&amp;E6</f>
        <v>Residential_Residential Lighting_Lighting_LED</v>
      </c>
      <c r="B6" t="s">
        <v>1</v>
      </c>
      <c r="C6" t="s">
        <v>145</v>
      </c>
      <c r="D6" t="s">
        <v>86</v>
      </c>
      <c r="E6" t="s">
        <v>151</v>
      </c>
      <c r="F6" s="202">
        <v>188</v>
      </c>
      <c r="G6" s="202">
        <v>1147</v>
      </c>
      <c r="H6" s="202">
        <v>4491.9071999999996</v>
      </c>
      <c r="I6" s="202">
        <v>36603.821999999993</v>
      </c>
      <c r="J6" s="202">
        <v>4.3086000000000029</v>
      </c>
      <c r="K6" s="242">
        <f>_xlfn.MINIFS('APP DATA'!$BN:$BN,'APP DATA'!$E:$E,$A6,'APP DATA'!$BL:$BL,$C$2)</f>
        <v>22.184000000000001</v>
      </c>
      <c r="L6" s="242">
        <f>_xlfn.MAXIFS('APP DATA'!$BN:$BN,'APP DATA'!$E:$E,$A6,'APP DATA'!$BL:$BL,$C$2)</f>
        <v>55.459000000000003</v>
      </c>
      <c r="M6" s="242">
        <f t="shared" ref="M6:M30" si="1">I6/G6</f>
        <v>31.912660854402784</v>
      </c>
      <c r="N6" s="242">
        <f t="array" ref="N6">_xlfn.STDEV.P(IF('APP DATA'!$E$5:$E$675=$A6,IF('APP DATA'!$BL$5:$BL$675=$C$2,'APP DATA'!$BN$5:$BN$675)))</f>
        <v>4.6294175975068628</v>
      </c>
      <c r="O6" s="274">
        <f>COUNTIFS('APP DATA'!$L:$L,TRUE,'APP DATA'!$E:$E,$A6)</f>
        <v>3</v>
      </c>
      <c r="P6" s="274" t="s">
        <v>3353</v>
      </c>
      <c r="Q6" s="242">
        <f>_xlfn.MINIFS('APP DATA'!$BO:$BO,'APP DATA'!$E:$E,$A6,'APP DATA'!$BL:$BL,$C$2)</f>
        <v>0.75</v>
      </c>
      <c r="R6" s="242">
        <f>_xlfn.MAXIFS('APP DATA'!$BO:$BO,'APP DATA'!$E:$E,$A6,'APP DATA'!$BL:$BL,$C$2)</f>
        <v>5.6000000000000005</v>
      </c>
      <c r="S6" s="242">
        <f t="shared" ref="S6:S30" si="2">H6/G6</f>
        <v>3.9162224934612029</v>
      </c>
      <c r="T6" s="242">
        <f t="array" ref="T6">_xlfn.STDEV.P(IF('APP DATA'!$E$5:$E$675=$A6,IF('APP DATA'!$BL$5:$BL$675=$C$2,'APP DATA'!$BO$5:$BO$675)))</f>
        <v>1.1499528005502413</v>
      </c>
      <c r="U6" s="274">
        <f>COUNTIFS('APP DATA'!$M:$M,TRUE,'APP DATA'!$E:$E,$A6)</f>
        <v>7</v>
      </c>
      <c r="V6" s="274" t="s">
        <v>3354</v>
      </c>
    </row>
    <row r="7" spans="1:22">
      <c r="A7" s="269" t="str">
        <f t="shared" si="0"/>
        <v>Residential_Residential Lighting_Lighting_ENERGY STAR Fixture</v>
      </c>
      <c r="B7" t="s">
        <v>1</v>
      </c>
      <c r="C7" t="s">
        <v>145</v>
      </c>
      <c r="D7" t="s">
        <v>86</v>
      </c>
      <c r="E7" t="s">
        <v>201</v>
      </c>
      <c r="F7" s="202">
        <v>21</v>
      </c>
      <c r="G7" s="202">
        <v>391</v>
      </c>
      <c r="H7" s="202">
        <v>3638.19</v>
      </c>
      <c r="I7" s="202">
        <v>13888.073999999997</v>
      </c>
      <c r="J7" s="202">
        <v>1.6351999999999998</v>
      </c>
      <c r="K7" s="242">
        <f>_xlfn.MINIFS('APP DATA'!$BN:$BN,'APP DATA'!$E:$E,$A7,'APP DATA'!$BL:$BL,$C$2)</f>
        <v>31.259</v>
      </c>
      <c r="L7" s="242">
        <f>_xlfn.MAXIFS('APP DATA'!$BN:$BN,'APP DATA'!$E:$E,$A7,'APP DATA'!$BL:$BL,$C$2)</f>
        <v>229.904</v>
      </c>
      <c r="M7" s="242">
        <f t="shared" si="1"/>
        <v>35.519370843989762</v>
      </c>
      <c r="N7" s="242">
        <f t="array" ref="N7">_xlfn.STDEV.P(IF('APP DATA'!$E$5:$E$675=$A7,IF('APP DATA'!$BL$5:$BL$675=$C$2,'APP DATA'!$BN$5:$BN$675)))</f>
        <v>44.409875363027503</v>
      </c>
      <c r="O7" s="274">
        <f>COUNTIFS('APP DATA'!$L:$L,TRUE,'APP DATA'!$E:$E,$A7)</f>
        <v>1</v>
      </c>
      <c r="P7" s="274" t="s">
        <v>3353</v>
      </c>
      <c r="Q7" s="242">
        <f>_xlfn.MINIFS('APP DATA'!$BO:$BO,'APP DATA'!$E:$E,$A7,'APP DATA'!$BL:$BL,$C$2)</f>
        <v>3.5</v>
      </c>
      <c r="R7" s="242">
        <f>_xlfn.MAXIFS('APP DATA'!$BO:$BO,'APP DATA'!$E:$E,$A7,'APP DATA'!$BL:$BL,$C$2)</f>
        <v>10</v>
      </c>
      <c r="S7" s="242">
        <f t="shared" si="2"/>
        <v>9.3048337595907924</v>
      </c>
      <c r="T7" s="242">
        <f t="array" ref="T7">_xlfn.STDEV.P(IF('APP DATA'!$E$5:$E$675=$A7,IF('APP DATA'!$BL$5:$BL$675=$C$2,'APP DATA'!$BO$5:$BO$675)))</f>
        <v>1.6493506177636894</v>
      </c>
      <c r="U7" s="274">
        <f>COUNTIFS('APP DATA'!$M:$M,TRUE,'APP DATA'!$E:$E,$A7)</f>
        <v>2</v>
      </c>
      <c r="V7" s="274" t="s">
        <v>3354</v>
      </c>
    </row>
    <row r="8" spans="1:22">
      <c r="A8" s="269" t="str">
        <f t="shared" si="0"/>
        <v>Residential_Weatherization_Various_Residential Kit</v>
      </c>
      <c r="B8" t="s">
        <v>1</v>
      </c>
      <c r="C8" t="s">
        <v>83</v>
      </c>
      <c r="D8" t="s">
        <v>155</v>
      </c>
      <c r="E8" t="s">
        <v>221</v>
      </c>
      <c r="F8" s="202">
        <v>6</v>
      </c>
      <c r="G8" s="202">
        <v>6</v>
      </c>
      <c r="H8" s="202">
        <v>0</v>
      </c>
      <c r="I8" s="202">
        <v>2502</v>
      </c>
      <c r="J8" s="202">
        <v>0.26399999999999996</v>
      </c>
      <c r="K8" s="242">
        <f>_xlfn.MINIFS('APP DATA'!$BN:$BN,'APP DATA'!$E:$E,$A8,'APP DATA'!$BL:$BL,$C$2)</f>
        <v>417</v>
      </c>
      <c r="L8" s="242">
        <f>_xlfn.MAXIFS('APP DATA'!$BN:$BN,'APP DATA'!$E:$E,$A8,'APP DATA'!$BL:$BL,$C$2)</f>
        <v>417</v>
      </c>
      <c r="M8" s="242">
        <f t="shared" si="1"/>
        <v>417</v>
      </c>
      <c r="N8" s="242">
        <f t="array" ref="N8">_xlfn.STDEV.P(IF('APP DATA'!$E$5:$E$675=$A8,IF('APP DATA'!$BL$5:$BL$675=$C$2,'APP DATA'!$BN$5:$BN$675)))</f>
        <v>0</v>
      </c>
      <c r="O8" s="274">
        <f>COUNTIFS('APP DATA'!$L:$L,TRUE,'APP DATA'!$E:$E,$A8)</f>
        <v>0</v>
      </c>
      <c r="P8" s="274"/>
      <c r="Q8" s="242">
        <f>_xlfn.MINIFS('APP DATA'!$BO:$BO,'APP DATA'!$E:$E,$A8,'APP DATA'!$BL:$BL,$C$2)</f>
        <v>0</v>
      </c>
      <c r="R8" s="242">
        <f>_xlfn.MAXIFS('APP DATA'!$BO:$BO,'APP DATA'!$E:$E,$A8,'APP DATA'!$BL:$BL,$C$2)</f>
        <v>0</v>
      </c>
      <c r="S8" s="242">
        <f t="shared" si="2"/>
        <v>0</v>
      </c>
      <c r="T8" s="242">
        <f t="array" ref="T8">_xlfn.STDEV.P(IF('APP DATA'!$E$5:$E$675=$A8,IF('APP DATA'!$BL$5:$BL$675=$C$2,'APP DATA'!$BO$5:$BO$675)))</f>
        <v>0</v>
      </c>
      <c r="U8" s="274">
        <f>COUNTIFS('APP DATA'!$M:$M,TRUE,'APP DATA'!$E:$E,$A8)</f>
        <v>0</v>
      </c>
      <c r="V8" s="274"/>
    </row>
    <row r="9" spans="1:22">
      <c r="A9" s="269" t="str">
        <f t="shared" si="0"/>
        <v>Residential_Weatherization_Various_Measures</v>
      </c>
      <c r="B9" t="s">
        <v>1</v>
      </c>
      <c r="C9" t="s">
        <v>83</v>
      </c>
      <c r="D9" t="s">
        <v>155</v>
      </c>
      <c r="E9" t="s">
        <v>283</v>
      </c>
      <c r="F9" s="202">
        <v>6</v>
      </c>
      <c r="G9" s="202">
        <v>6</v>
      </c>
      <c r="H9" s="202">
        <v>0</v>
      </c>
      <c r="I9" s="202">
        <v>5190</v>
      </c>
      <c r="J9" s="202">
        <v>0.93</v>
      </c>
      <c r="K9" s="242">
        <f>_xlfn.MINIFS('APP DATA'!$BN:$BN,'APP DATA'!$E:$E,$A9,'APP DATA'!$BL:$BL,$C$2)</f>
        <v>865</v>
      </c>
      <c r="L9" s="242">
        <f>_xlfn.MAXIFS('APP DATA'!$BN:$BN,'APP DATA'!$E:$E,$A9,'APP DATA'!$BL:$BL,$C$2)</f>
        <v>865</v>
      </c>
      <c r="M9" s="242">
        <f t="shared" si="1"/>
        <v>865</v>
      </c>
      <c r="N9" s="242">
        <f t="array" ref="N9">_xlfn.STDEV.P(IF('APP DATA'!$E$5:$E$675=$A9,IF('APP DATA'!$BL$5:$BL$675=$C$2,'APP DATA'!$BN$5:$BN$675)))</f>
        <v>0</v>
      </c>
      <c r="O9" s="274">
        <f>COUNTIFS('APP DATA'!$L:$L,TRUE,'APP DATA'!$E:$E,$A9)</f>
        <v>0</v>
      </c>
      <c r="P9" s="274"/>
      <c r="Q9" s="242">
        <f>_xlfn.MINIFS('APP DATA'!$BO:$BO,'APP DATA'!$E:$E,$A9,'APP DATA'!$BL:$BL,$C$2)</f>
        <v>0</v>
      </c>
      <c r="R9" s="242">
        <f>_xlfn.MAXIFS('APP DATA'!$BO:$BO,'APP DATA'!$E:$E,$A9,'APP DATA'!$BL:$BL,$C$2)</f>
        <v>0</v>
      </c>
      <c r="S9" s="242">
        <f t="shared" si="2"/>
        <v>0</v>
      </c>
      <c r="T9" s="242">
        <f t="array" ref="T9">_xlfn.STDEV.P(IF('APP DATA'!$E$5:$E$675=$A9,IF('APP DATA'!$BL$5:$BL$675=$C$2,'APP DATA'!$BO$5:$BO$675)))</f>
        <v>0</v>
      </c>
      <c r="U9" s="274">
        <f>COUNTIFS('APP DATA'!$M:$M,TRUE,'APP DATA'!$E:$E,$A9)</f>
        <v>0</v>
      </c>
      <c r="V9" s="274"/>
    </row>
    <row r="10" spans="1:22">
      <c r="A10" s="269" t="str">
        <f t="shared" si="0"/>
        <v>Residential_Whole House Efficiency_Various_Residential Kit</v>
      </c>
      <c r="B10" t="s">
        <v>1</v>
      </c>
      <c r="C10" t="s">
        <v>147</v>
      </c>
      <c r="D10" t="s">
        <v>155</v>
      </c>
      <c r="E10" t="s">
        <v>221</v>
      </c>
      <c r="F10" s="202">
        <v>37</v>
      </c>
      <c r="G10" s="202">
        <v>37</v>
      </c>
      <c r="H10" s="202">
        <v>0</v>
      </c>
      <c r="I10" s="202">
        <v>15429</v>
      </c>
      <c r="J10" s="202">
        <v>1.6280000000000008</v>
      </c>
      <c r="K10" s="242">
        <f>_xlfn.MINIFS('APP DATA'!$BN:$BN,'APP DATA'!$E:$E,$A10,'APP DATA'!$BL:$BL,$C$2)</f>
        <v>417</v>
      </c>
      <c r="L10" s="242">
        <f>_xlfn.MAXIFS('APP DATA'!$BN:$BN,'APP DATA'!$E:$E,$A10,'APP DATA'!$BL:$BL,$C$2)</f>
        <v>417</v>
      </c>
      <c r="M10" s="242">
        <f t="shared" si="1"/>
        <v>417</v>
      </c>
      <c r="N10" s="242">
        <f t="array" ref="N10">_xlfn.STDEV.P(IF('APP DATA'!$E$5:$E$675=$A10,IF('APP DATA'!$BL$5:$BL$675=$C$2,'APP DATA'!$BN$5:$BN$675)))</f>
        <v>0</v>
      </c>
      <c r="O10" s="274">
        <f>COUNTIFS('APP DATA'!$L:$L,TRUE,'APP DATA'!$E:$E,$A10)</f>
        <v>0</v>
      </c>
      <c r="P10" s="274"/>
      <c r="Q10" s="242">
        <f>_xlfn.MINIFS('APP DATA'!$BO:$BO,'APP DATA'!$E:$E,$A10,'APP DATA'!$BL:$BL,$C$2)</f>
        <v>0</v>
      </c>
      <c r="R10" s="242">
        <f>_xlfn.MAXIFS('APP DATA'!$BO:$BO,'APP DATA'!$E:$E,$A10,'APP DATA'!$BL:$BL,$C$2)</f>
        <v>0</v>
      </c>
      <c r="S10" s="242">
        <f t="shared" si="2"/>
        <v>0</v>
      </c>
      <c r="T10" s="242">
        <f t="array" ref="T10">_xlfn.STDEV.P(IF('APP DATA'!$E$5:$E$675=$A10,IF('APP DATA'!$BL$5:$BL$675=$C$2,'APP DATA'!$BO$5:$BO$675)))</f>
        <v>0</v>
      </c>
      <c r="U10" s="274">
        <f>COUNTIFS('APP DATA'!$M:$M,TRUE,'APP DATA'!$E:$E,$A10)</f>
        <v>0</v>
      </c>
      <c r="V10" s="274"/>
    </row>
    <row r="11" spans="1:22">
      <c r="A11" s="269" t="str">
        <f t="shared" si="0"/>
        <v>Residential_Whole House Efficiency_Various_Measures</v>
      </c>
      <c r="B11" t="s">
        <v>1</v>
      </c>
      <c r="C11" t="s">
        <v>147</v>
      </c>
      <c r="D11" t="s">
        <v>155</v>
      </c>
      <c r="E11" t="s">
        <v>283</v>
      </c>
      <c r="F11" s="202">
        <v>41</v>
      </c>
      <c r="G11" s="202">
        <v>41</v>
      </c>
      <c r="H11" s="202">
        <v>0</v>
      </c>
      <c r="I11" s="202">
        <v>20828</v>
      </c>
      <c r="J11" s="202">
        <v>7.7900000000000071</v>
      </c>
      <c r="K11" s="242">
        <f>_xlfn.MINIFS('APP DATA'!$BN:$BN,'APP DATA'!$E:$E,$A11,'APP DATA'!$BL:$BL,$C$2)</f>
        <v>508</v>
      </c>
      <c r="L11" s="242">
        <f>_xlfn.MAXIFS('APP DATA'!$BN:$BN,'APP DATA'!$E:$E,$A11,'APP DATA'!$BL:$BL,$C$2)</f>
        <v>508</v>
      </c>
      <c r="M11" s="242">
        <f t="shared" si="1"/>
        <v>508</v>
      </c>
      <c r="N11" s="242">
        <f t="array" ref="N11">_xlfn.STDEV.P(IF('APP DATA'!$E$5:$E$675=$A11,IF('APP DATA'!$BL$5:$BL$675=$C$2,'APP DATA'!$BN$5:$BN$675)))</f>
        <v>0</v>
      </c>
      <c r="O11" s="274">
        <f>COUNTIFS('APP DATA'!$L:$L,TRUE,'APP DATA'!$E:$E,$A11)</f>
        <v>0</v>
      </c>
      <c r="P11" s="274"/>
      <c r="Q11" s="242">
        <f>_xlfn.MINIFS('APP DATA'!$BO:$BO,'APP DATA'!$E:$E,$A11,'APP DATA'!$BL:$BL,$C$2)</f>
        <v>0</v>
      </c>
      <c r="R11" s="242">
        <f>_xlfn.MAXIFS('APP DATA'!$BO:$BO,'APP DATA'!$E:$E,$A11,'APP DATA'!$BL:$BL,$C$2)</f>
        <v>0</v>
      </c>
      <c r="S11" s="242">
        <f t="shared" si="2"/>
        <v>0</v>
      </c>
      <c r="T11" s="242">
        <f t="array" ref="T11">_xlfn.STDEV.P(IF('APP DATA'!$E$5:$E$675=$A11,IF('APP DATA'!$BL$5:$BL$675=$C$2,'APP DATA'!$BO$5:$BO$675)))</f>
        <v>0</v>
      </c>
      <c r="U11" s="274">
        <f>COUNTIFS('APP DATA'!$M:$M,TRUE,'APP DATA'!$E:$E,$A11)</f>
        <v>0</v>
      </c>
      <c r="V11" s="274"/>
    </row>
    <row r="12" spans="1:22">
      <c r="A12" s="269" t="str">
        <f t="shared" si="0"/>
        <v>Residential_Appliance Recycling_Appliance Recycling_Refrigerator Recycle</v>
      </c>
      <c r="B12" t="s">
        <v>1</v>
      </c>
      <c r="C12" t="s">
        <v>203</v>
      </c>
      <c r="D12" t="s">
        <v>203</v>
      </c>
      <c r="E12" t="s">
        <v>148</v>
      </c>
      <c r="F12" s="202">
        <v>37</v>
      </c>
      <c r="G12" s="202">
        <v>37</v>
      </c>
      <c r="H12" s="202">
        <v>1850</v>
      </c>
      <c r="I12" s="202">
        <v>47693</v>
      </c>
      <c r="J12" s="202">
        <v>5.4389999999999992</v>
      </c>
      <c r="K12" s="242">
        <f>_xlfn.MINIFS('APP DATA'!$BN:$BN,'APP DATA'!$E:$E,$A12,'APP DATA'!$BL:$BL,$C$2)</f>
        <v>1289</v>
      </c>
      <c r="L12" s="242">
        <f>_xlfn.MAXIFS('APP DATA'!$BN:$BN,'APP DATA'!$E:$E,$A12,'APP DATA'!$BL:$BL,$C$2)</f>
        <v>1289</v>
      </c>
      <c r="M12" s="242">
        <f t="shared" si="1"/>
        <v>1289</v>
      </c>
      <c r="N12" s="242">
        <f t="array" ref="N12">_xlfn.STDEV.P(IF('APP DATA'!$E$5:$E$675=$A12,IF('APP DATA'!$BL$5:$BL$675=$C$2,'APP DATA'!$BN$5:$BN$675)))</f>
        <v>0</v>
      </c>
      <c r="O12" s="274">
        <f>COUNTIFS('APP DATA'!$L:$L,TRUE,'APP DATA'!$E:$E,$A12)</f>
        <v>0</v>
      </c>
      <c r="P12" s="274"/>
      <c r="Q12" s="242">
        <f>_xlfn.MINIFS('APP DATA'!$BO:$BO,'APP DATA'!$E:$E,$A12,'APP DATA'!$BL:$BL,$C$2)</f>
        <v>50</v>
      </c>
      <c r="R12" s="242">
        <f>_xlfn.MAXIFS('APP DATA'!$BO:$BO,'APP DATA'!$E:$E,$A12,'APP DATA'!$BL:$BL,$C$2)</f>
        <v>50</v>
      </c>
      <c r="S12" s="242">
        <f t="shared" si="2"/>
        <v>50</v>
      </c>
      <c r="T12" s="242">
        <f t="array" ref="T12">_xlfn.STDEV.P(IF('APP DATA'!$E$5:$E$675=$A12,IF('APP DATA'!$BL$5:$BL$675=$C$2,'APP DATA'!$BO$5:$BO$675)))</f>
        <v>0</v>
      </c>
      <c r="U12" s="274">
        <f>COUNTIFS('APP DATA'!$M:$M,TRUE,'APP DATA'!$E:$E,$A12)</f>
        <v>0</v>
      </c>
      <c r="V12" s="274"/>
    </row>
    <row r="13" spans="1:22">
      <c r="A13" s="269" t="str">
        <f t="shared" si="0"/>
        <v>Residential_Appliance Recycling_Appliance Recycling_Freezer Recycle</v>
      </c>
      <c r="B13" t="s">
        <v>1</v>
      </c>
      <c r="C13" t="s">
        <v>203</v>
      </c>
      <c r="D13" t="s">
        <v>203</v>
      </c>
      <c r="E13" t="s">
        <v>154</v>
      </c>
      <c r="F13" s="202">
        <v>7</v>
      </c>
      <c r="G13" s="202">
        <v>7</v>
      </c>
      <c r="H13" s="202">
        <v>350</v>
      </c>
      <c r="I13" s="202">
        <v>7735</v>
      </c>
      <c r="J13" s="202">
        <v>0.88200000000000001</v>
      </c>
      <c r="K13" s="242">
        <f>_xlfn.MINIFS('APP DATA'!$BN:$BN,'APP DATA'!$E:$E,$A13,'APP DATA'!$BL:$BL,$C$2)</f>
        <v>1105</v>
      </c>
      <c r="L13" s="242">
        <f>_xlfn.MAXIFS('APP DATA'!$BN:$BN,'APP DATA'!$E:$E,$A13,'APP DATA'!$BL:$BL,$C$2)</f>
        <v>1105</v>
      </c>
      <c r="M13" s="242">
        <f t="shared" si="1"/>
        <v>1105</v>
      </c>
      <c r="N13" s="242">
        <f t="array" ref="N13">_xlfn.STDEV.P(IF('APP DATA'!$E$5:$E$675=$A13,IF('APP DATA'!$BL$5:$BL$675=$C$2,'APP DATA'!$BN$5:$BN$675)))</f>
        <v>0</v>
      </c>
      <c r="O13" s="274">
        <f>COUNTIFS('APP DATA'!$L:$L,TRUE,'APP DATA'!$E:$E,$A13)</f>
        <v>0</v>
      </c>
      <c r="P13" s="274"/>
      <c r="Q13" s="242">
        <f>_xlfn.MINIFS('APP DATA'!$BO:$BO,'APP DATA'!$E:$E,$A13,'APP DATA'!$BL:$BL,$C$2)</f>
        <v>50</v>
      </c>
      <c r="R13" s="242">
        <f>_xlfn.MAXIFS('APP DATA'!$BO:$BO,'APP DATA'!$E:$E,$A13,'APP DATA'!$BL:$BL,$C$2)</f>
        <v>50</v>
      </c>
      <c r="S13" s="242">
        <f t="shared" si="2"/>
        <v>50</v>
      </c>
      <c r="T13" s="242">
        <f t="array" ref="T13">_xlfn.STDEV.P(IF('APP DATA'!$E$5:$E$675=$A13,IF('APP DATA'!$BL$5:$BL$675=$C$2,'APP DATA'!$BO$5:$BO$675)))</f>
        <v>0</v>
      </c>
      <c r="U13" s="274">
        <f>COUNTIFS('APP DATA'!$M:$M,TRUE,'APP DATA'!$E:$E,$A13)</f>
        <v>0</v>
      </c>
      <c r="V13" s="274"/>
    </row>
    <row r="14" spans="1:22">
      <c r="A14" s="269" t="str">
        <f t="shared" si="0"/>
        <v>Residential_High Efficiency HVAC_HVAC_Heat Pump SEER 15</v>
      </c>
      <c r="B14" t="s">
        <v>1</v>
      </c>
      <c r="C14" t="s">
        <v>205</v>
      </c>
      <c r="D14" t="s">
        <v>85</v>
      </c>
      <c r="E14" t="s">
        <v>206</v>
      </c>
      <c r="F14" s="202">
        <v>8</v>
      </c>
      <c r="G14" s="202">
        <v>8</v>
      </c>
      <c r="H14" s="202">
        <v>1612.5</v>
      </c>
      <c r="I14" s="202">
        <v>7211.1080000000002</v>
      </c>
      <c r="J14" s="202">
        <v>4.9429999999999996</v>
      </c>
      <c r="K14" s="242">
        <f>_xlfn.MINIFS('APP DATA'!$BN:$BN,'APP DATA'!$E:$E,$A14,'APP DATA'!$BL:$BL,$C$2)</f>
        <v>378.50299999999999</v>
      </c>
      <c r="L14" s="242">
        <f>_xlfn.MAXIFS('APP DATA'!$BN:$BN,'APP DATA'!$E:$E,$A14,'APP DATA'!$BL:$BL,$C$2)</f>
        <v>3615.4960000000001</v>
      </c>
      <c r="M14" s="242">
        <f t="shared" si="1"/>
        <v>901.38850000000002</v>
      </c>
      <c r="N14" s="242">
        <f t="array" ref="N14">_xlfn.STDEV.P(IF('APP DATA'!$E$5:$E$675=$A14,IF('APP DATA'!$BL$5:$BL$675=$C$2,'APP DATA'!$BN$5:$BN$675)))</f>
        <v>1037.8477106736327</v>
      </c>
      <c r="O14" s="274">
        <f>COUNTIFS('APP DATA'!$L:$L,TRUE,'APP DATA'!$E:$E,$A14)</f>
        <v>1</v>
      </c>
      <c r="P14" s="274" t="s">
        <v>3356</v>
      </c>
      <c r="Q14" s="242">
        <f>_xlfn.MINIFS('APP DATA'!$BO:$BO,'APP DATA'!$E:$E,$A14,'APP DATA'!$BL:$BL,$C$2)</f>
        <v>112.5</v>
      </c>
      <c r="R14" s="242">
        <f>_xlfn.MAXIFS('APP DATA'!$BO:$BO,'APP DATA'!$E:$E,$A14,'APP DATA'!$BL:$BL,$C$2)</f>
        <v>300</v>
      </c>
      <c r="S14" s="242">
        <f t="shared" si="2"/>
        <v>201.5625</v>
      </c>
      <c r="T14" s="242">
        <f t="array" ref="T14">_xlfn.STDEV.P(IF('APP DATA'!$E$5:$E$675=$A14,IF('APP DATA'!$BL$5:$BL$675=$C$2,'APP DATA'!$BO$5:$BO$675)))</f>
        <v>52.825442201178021</v>
      </c>
      <c r="U14" s="274">
        <f>COUNTIFS('APP DATA'!$M:$M,TRUE,'APP DATA'!$E:$E,$A14)</f>
        <v>0</v>
      </c>
      <c r="V14" s="274"/>
    </row>
    <row r="15" spans="1:22">
      <c r="A15" s="269" t="str">
        <f t="shared" si="0"/>
        <v>Residential_High Efficiency HVAC_HVAC_Ductless Mini-Split HP SEER ≥19</v>
      </c>
      <c r="B15" t="s">
        <v>1</v>
      </c>
      <c r="C15" t="s">
        <v>205</v>
      </c>
      <c r="D15" t="s">
        <v>85</v>
      </c>
      <c r="E15" t="s">
        <v>211</v>
      </c>
      <c r="F15" s="202">
        <v>13</v>
      </c>
      <c r="G15" s="202">
        <v>14</v>
      </c>
      <c r="H15" s="202">
        <v>1500</v>
      </c>
      <c r="I15" s="202">
        <v>34941.728999999999</v>
      </c>
      <c r="J15" s="202">
        <v>12.747000000000002</v>
      </c>
      <c r="K15" s="242">
        <f>_xlfn.MINIFS('APP DATA'!$BN:$BN,'APP DATA'!$E:$E,$A15,'APP DATA'!$BL:$BL,$C$2)</f>
        <v>1349.691</v>
      </c>
      <c r="L15" s="242">
        <f>_xlfn.MAXIFS('APP DATA'!$BN:$BN,'APP DATA'!$E:$E,$A15,'APP DATA'!$BL:$BL,$C$2)</f>
        <v>5833.3729999999996</v>
      </c>
      <c r="M15" s="242">
        <f t="shared" si="1"/>
        <v>2495.8377857142855</v>
      </c>
      <c r="N15" s="242">
        <f t="array" ref="N15">_xlfn.STDEV.P(IF('APP DATA'!$E$5:$E$675=$A15,IF('APP DATA'!$BL$5:$BL$675=$C$2,'APP DATA'!$BN$5:$BN$675)))</f>
        <v>1129.7450286933804</v>
      </c>
      <c r="O15" s="274">
        <f>COUNTIFS('APP DATA'!$L:$L,TRUE,'APP DATA'!$E:$E,$A15)</f>
        <v>1</v>
      </c>
      <c r="P15" s="274" t="s">
        <v>3355</v>
      </c>
      <c r="Q15" s="242">
        <f>_xlfn.MINIFS('APP DATA'!$BO:$BO,'APP DATA'!$E:$E,$A15,'APP DATA'!$BL:$BL,$C$2)</f>
        <v>75</v>
      </c>
      <c r="R15" s="242">
        <f>_xlfn.MAXIFS('APP DATA'!$BO:$BO,'APP DATA'!$E:$E,$A15,'APP DATA'!$BL:$BL,$C$2)</f>
        <v>200</v>
      </c>
      <c r="S15" s="242">
        <f t="shared" si="2"/>
        <v>107.14285714285714</v>
      </c>
      <c r="T15" s="242">
        <f t="array" ref="T15">_xlfn.STDEV.P(IF('APP DATA'!$E$5:$E$675=$A15,IF('APP DATA'!$BL$5:$BL$675=$C$2,'APP DATA'!$BO$5:$BO$675)))</f>
        <v>34.722057856284209</v>
      </c>
      <c r="U15" s="274">
        <f>COUNTIFS('APP DATA'!$M:$M,TRUE,'APP DATA'!$E:$E,$A15)</f>
        <v>1</v>
      </c>
      <c r="V15" s="274" t="s">
        <v>3360</v>
      </c>
    </row>
    <row r="16" spans="1:22">
      <c r="A16" s="269" t="str">
        <f t="shared" si="0"/>
        <v>Residential_High Efficiency HVAC_HVAC_Early Retirement Heat Pump SEER 15</v>
      </c>
      <c r="B16" t="s">
        <v>1</v>
      </c>
      <c r="C16" t="s">
        <v>205</v>
      </c>
      <c r="D16" t="s">
        <v>85</v>
      </c>
      <c r="E16" t="s">
        <v>207</v>
      </c>
      <c r="F16" s="202">
        <v>9</v>
      </c>
      <c r="G16" s="202">
        <v>9</v>
      </c>
      <c r="H16" s="202">
        <v>6100</v>
      </c>
      <c r="I16" s="202">
        <v>42546.737999999998</v>
      </c>
      <c r="J16" s="202">
        <v>22.700000000000003</v>
      </c>
      <c r="K16" s="242">
        <f>_xlfn.MINIFS('APP DATA'!$BN:$BN,'APP DATA'!$E:$E,$A16,'APP DATA'!$BL:$BL,$C$2)</f>
        <v>2756.252</v>
      </c>
      <c r="L16" s="242">
        <f>_xlfn.MAXIFS('APP DATA'!$BN:$BN,'APP DATA'!$E:$E,$A16,'APP DATA'!$BL:$BL,$C$2)</f>
        <v>7186.7579999999998</v>
      </c>
      <c r="M16" s="242">
        <f t="shared" si="1"/>
        <v>4727.4153333333334</v>
      </c>
      <c r="N16" s="242">
        <f t="array" ref="N16">_xlfn.STDEV.P(IF('APP DATA'!$E$5:$E$675=$A16,IF('APP DATA'!$BL$5:$BL$675=$C$2,'APP DATA'!$BN$5:$BN$675)))</f>
        <v>1444.3161486364422</v>
      </c>
      <c r="O16" s="274">
        <f>COUNTIFS('APP DATA'!$L:$L,TRUE,'APP DATA'!$E:$E,$A16)</f>
        <v>0</v>
      </c>
      <c r="P16" s="274"/>
      <c r="Q16" s="242">
        <f>_xlfn.MINIFS('APP DATA'!$BO:$BO,'APP DATA'!$E:$E,$A16,'APP DATA'!$BL:$BL,$C$2)</f>
        <v>400</v>
      </c>
      <c r="R16" s="242">
        <f>_xlfn.MAXIFS('APP DATA'!$BO:$BO,'APP DATA'!$E:$E,$A16,'APP DATA'!$BL:$BL,$C$2)</f>
        <v>1000</v>
      </c>
      <c r="S16" s="242">
        <f t="shared" si="2"/>
        <v>677.77777777777783</v>
      </c>
      <c r="T16" s="242">
        <f t="array" ref="T16">_xlfn.STDEV.P(IF('APP DATA'!$E$5:$E$675=$A16,IF('APP DATA'!$BL$5:$BL$675=$C$2,'APP DATA'!$BO$5:$BO$675)))</f>
        <v>181.21673811444546</v>
      </c>
      <c r="U16" s="274">
        <f>COUNTIFS('APP DATA'!$M:$M,TRUE,'APP DATA'!$E:$E,$A16)</f>
        <v>0</v>
      </c>
      <c r="V16" s="274"/>
    </row>
    <row r="17" spans="1:22">
      <c r="A17" s="269" t="str">
        <f t="shared" si="0"/>
        <v>Residential_High Efficiency HVAC_Water Heating_Heat Pump Water Heater</v>
      </c>
      <c r="B17" t="s">
        <v>1</v>
      </c>
      <c r="C17" t="s">
        <v>205</v>
      </c>
      <c r="D17" t="s">
        <v>284</v>
      </c>
      <c r="E17" t="s">
        <v>212</v>
      </c>
      <c r="F17" s="202">
        <v>7</v>
      </c>
      <c r="G17" s="202">
        <v>7</v>
      </c>
      <c r="H17" s="202">
        <v>1830</v>
      </c>
      <c r="I17" s="202">
        <v>21247</v>
      </c>
      <c r="J17" s="202">
        <v>1.0050000000000001</v>
      </c>
      <c r="K17" s="242">
        <f>_xlfn.MINIFS('APP DATA'!$BN:$BN,'APP DATA'!$E:$E,$A17,'APP DATA'!$BL:$BL,$C$2)</f>
        <v>2874</v>
      </c>
      <c r="L17" s="242">
        <f>_xlfn.MAXIFS('APP DATA'!$BN:$BN,'APP DATA'!$E:$E,$A17,'APP DATA'!$BL:$BL,$C$2)</f>
        <v>3893</v>
      </c>
      <c r="M17" s="242">
        <f t="shared" si="1"/>
        <v>3035.2857142857142</v>
      </c>
      <c r="N17" s="242">
        <f t="array" ref="N17">_xlfn.STDEV.P(IF('APP DATA'!$E$5:$E$675=$A17,IF('APP DATA'!$BL$5:$BL$675=$C$2,'APP DATA'!$BN$5:$BN$675)))</f>
        <v>350.80263652931455</v>
      </c>
      <c r="O17" s="274">
        <f>COUNTIFS('APP DATA'!$L:$L,TRUE,'APP DATA'!$E:$E,$A17)</f>
        <v>1</v>
      </c>
      <c r="P17" s="274" t="s">
        <v>3357</v>
      </c>
      <c r="Q17" s="242">
        <f>_xlfn.MINIFS('APP DATA'!$BO:$BO,'APP DATA'!$E:$E,$A17,'APP DATA'!$BL:$BL,$C$2)</f>
        <v>250</v>
      </c>
      <c r="R17" s="242">
        <f>_xlfn.MAXIFS('APP DATA'!$BO:$BO,'APP DATA'!$E:$E,$A17,'APP DATA'!$BL:$BL,$C$2)</f>
        <v>330</v>
      </c>
      <c r="S17" s="242">
        <f t="shared" si="2"/>
        <v>261.42857142857144</v>
      </c>
      <c r="T17" s="242">
        <f t="array" ref="T17">_xlfn.STDEV.P(IF('APP DATA'!$E$5:$E$675=$A17,IF('APP DATA'!$BL$5:$BL$675=$C$2,'APP DATA'!$BO$5:$BO$675)))</f>
        <v>27.994168488950606</v>
      </c>
      <c r="U17" s="274">
        <f>COUNTIFS('APP DATA'!$M:$M,TRUE,'APP DATA'!$E:$E,$A17)</f>
        <v>1</v>
      </c>
      <c r="V17" s="274" t="s">
        <v>3359</v>
      </c>
    </row>
    <row r="18" spans="1:22">
      <c r="A18" s="269" t="str">
        <f t="shared" si="0"/>
        <v>Residential_High Efficiency HVAC_Water Heating_Electric Storage Water Heater EF 0.95</v>
      </c>
      <c r="B18" t="s">
        <v>1</v>
      </c>
      <c r="C18" t="s">
        <v>205</v>
      </c>
      <c r="D18" t="s">
        <v>284</v>
      </c>
      <c r="E18" t="s">
        <v>213</v>
      </c>
      <c r="F18" s="202">
        <v>1</v>
      </c>
      <c r="G18" s="202">
        <v>1</v>
      </c>
      <c r="H18" s="202">
        <v>106.25</v>
      </c>
      <c r="I18" s="202">
        <v>263.23678000000001</v>
      </c>
      <c r="J18" s="202">
        <v>3.005E-2</v>
      </c>
      <c r="K18" s="242">
        <f>_xlfn.MINIFS('APP DATA'!$BN:$BN,'APP DATA'!$E:$E,$A18,'APP DATA'!$BL:$BL,$C$2)</f>
        <v>263.23678000000001</v>
      </c>
      <c r="L18" s="242">
        <f>_xlfn.MAXIFS('APP DATA'!$BN:$BN,'APP DATA'!$E:$E,$A18,'APP DATA'!$BL:$BL,$C$2)</f>
        <v>263.23678000000001</v>
      </c>
      <c r="M18" s="242">
        <f t="shared" si="1"/>
        <v>263.23678000000001</v>
      </c>
      <c r="N18" s="242">
        <f t="array" ref="N18">_xlfn.STDEV.P(IF('APP DATA'!$E$5:$E$675=$A18,IF('APP DATA'!$BL$5:$BL$675=$C$2,'APP DATA'!$BN$5:$BN$675)))</f>
        <v>0</v>
      </c>
      <c r="O18" s="274">
        <f>COUNTIFS('APP DATA'!$L:$L,TRUE,'APP DATA'!$E:$E,$A18)</f>
        <v>0</v>
      </c>
      <c r="P18" s="274"/>
      <c r="Q18" s="242">
        <f>_xlfn.MINIFS('APP DATA'!$BO:$BO,'APP DATA'!$E:$E,$A18,'APP DATA'!$BL:$BL,$C$2)</f>
        <v>106.25</v>
      </c>
      <c r="R18" s="242">
        <f>_xlfn.MAXIFS('APP DATA'!$BO:$BO,'APP DATA'!$E:$E,$A18,'APP DATA'!$BL:$BL,$C$2)</f>
        <v>106.25</v>
      </c>
      <c r="S18" s="242">
        <f t="shared" si="2"/>
        <v>106.25</v>
      </c>
      <c r="T18" s="242">
        <f t="array" ref="T18">_xlfn.STDEV.P(IF('APP DATA'!$E$5:$E$675=$A18,IF('APP DATA'!$BL$5:$BL$675=$C$2,'APP DATA'!$BO$5:$BO$675)))</f>
        <v>0</v>
      </c>
      <c r="U18" s="274">
        <f>COUNTIFS('APP DATA'!$M:$M,TRUE,'APP DATA'!$E:$E,$A18)</f>
        <v>0</v>
      </c>
      <c r="V18" s="274"/>
    </row>
    <row r="19" spans="1:22">
      <c r="A19" s="269" t="str">
        <f t="shared" si="0"/>
        <v>Residential_High Efficiency HVAC_Water Heating_Electric Storage Water Heater EF &gt;0.95</v>
      </c>
      <c r="B19" t="s">
        <v>1</v>
      </c>
      <c r="C19" t="s">
        <v>205</v>
      </c>
      <c r="D19" t="s">
        <v>284</v>
      </c>
      <c r="E19" t="s">
        <v>214</v>
      </c>
      <c r="F19" s="202">
        <v>18</v>
      </c>
      <c r="G19" s="202">
        <v>32</v>
      </c>
      <c r="H19" s="202">
        <v>2660</v>
      </c>
      <c r="I19" s="202">
        <v>5249.0910500000018</v>
      </c>
      <c r="J19" s="202">
        <v>0.59914999999999996</v>
      </c>
      <c r="K19" s="242">
        <f>_xlfn.MINIFS('APP DATA'!$BN:$BN,'APP DATA'!$E:$E,$A19,'APP DATA'!$BL:$BL,$C$2)</f>
        <v>74.061549999999997</v>
      </c>
      <c r="L19" s="242">
        <f>_xlfn.MAXIFS('APP DATA'!$BN:$BN,'APP DATA'!$E:$E,$A19,'APP DATA'!$BL:$BL,$C$2)</f>
        <v>178.89402999999999</v>
      </c>
      <c r="M19" s="242">
        <f t="shared" si="1"/>
        <v>164.03409531250006</v>
      </c>
      <c r="N19" s="242">
        <f t="array" ref="N19">_xlfn.STDEV.P(IF('APP DATA'!$E$5:$E$675=$A19,IF('APP DATA'!$BL$5:$BL$675=$C$2,'APP DATA'!$BN$5:$BN$675)))</f>
        <v>36.173336303462285</v>
      </c>
      <c r="O19" s="274">
        <f>COUNTIFS('APP DATA'!$L:$L,TRUE,'APP DATA'!$E:$E,$A19)</f>
        <v>2</v>
      </c>
      <c r="P19" s="274" t="s">
        <v>3358</v>
      </c>
      <c r="Q19" s="242">
        <f>_xlfn.MINIFS('APP DATA'!$BO:$BO,'APP DATA'!$E:$E,$A19,'APP DATA'!$BL:$BL,$C$2)</f>
        <v>52.5</v>
      </c>
      <c r="R19" s="242">
        <f>_xlfn.MAXIFS('APP DATA'!$BO:$BO,'APP DATA'!$E:$E,$A19,'APP DATA'!$BL:$BL,$C$2)</f>
        <v>87.5</v>
      </c>
      <c r="S19" s="242">
        <f t="shared" si="2"/>
        <v>83.125</v>
      </c>
      <c r="T19" s="242">
        <f t="array" ref="T19">_xlfn.STDEV.P(IF('APP DATA'!$E$5:$E$675=$A19,IF('APP DATA'!$BL$5:$BL$675=$C$2,'APP DATA'!$BO$5:$BO$675)))</f>
        <v>11.986360561328565</v>
      </c>
      <c r="U19" s="274">
        <f>COUNTIFS('APP DATA'!$M:$M,TRUE,'APP DATA'!$E:$E,$A19)</f>
        <v>2</v>
      </c>
      <c r="V19" s="274" t="s">
        <v>3361</v>
      </c>
    </row>
    <row r="20" spans="1:22">
      <c r="A20" s="269" t="str">
        <f t="shared" si="0"/>
        <v>Residential_School-Based Education_Various_EE Kit/Education Materials</v>
      </c>
      <c r="B20" t="s">
        <v>1</v>
      </c>
      <c r="C20" t="s">
        <v>224</v>
      </c>
      <c r="D20" t="s">
        <v>155</v>
      </c>
      <c r="E20" t="s">
        <v>152</v>
      </c>
      <c r="F20" s="202">
        <v>20</v>
      </c>
      <c r="G20" s="202">
        <v>1202</v>
      </c>
      <c r="H20" s="202">
        <v>0</v>
      </c>
      <c r="I20" s="202">
        <v>477194</v>
      </c>
      <c r="J20" s="202">
        <v>48.079999999999984</v>
      </c>
      <c r="K20" s="242">
        <f>_xlfn.MINIFS('APP DATA'!$BN:$BN,'APP DATA'!$E:$E,$A20,'APP DATA'!$BL:$BL,$C$2)</f>
        <v>397</v>
      </c>
      <c r="L20" s="242">
        <f>_xlfn.MAXIFS('APP DATA'!$BN:$BN,'APP DATA'!$E:$E,$A20,'APP DATA'!$BL:$BL,$C$2)</f>
        <v>397</v>
      </c>
      <c r="M20" s="242">
        <f t="shared" si="1"/>
        <v>397</v>
      </c>
      <c r="N20" s="242">
        <f t="array" ref="N20">_xlfn.STDEV.P(IF('APP DATA'!$E$5:$E$675=$A20,IF('APP DATA'!$BL$5:$BL$675=$C$2,'APP DATA'!$BN$5:$BN$675)))</f>
        <v>0</v>
      </c>
      <c r="O20" s="274">
        <f>COUNTIFS('APP DATA'!$L:$L,TRUE,'APP DATA'!$E:$E,$A20)</f>
        <v>0</v>
      </c>
      <c r="P20" s="274"/>
      <c r="Q20" s="242">
        <f>_xlfn.MINIFS('APP DATA'!$BO:$BO,'APP DATA'!$E:$E,$A20,'APP DATA'!$BL:$BL,$C$2)</f>
        <v>0</v>
      </c>
      <c r="R20" s="242">
        <f>_xlfn.MAXIFS('APP DATA'!$BO:$BO,'APP DATA'!$E:$E,$A20,'APP DATA'!$BL:$BL,$C$2)</f>
        <v>0</v>
      </c>
      <c r="S20" s="242">
        <f t="shared" si="2"/>
        <v>0</v>
      </c>
      <c r="T20" s="242">
        <f t="array" ref="T20">_xlfn.STDEV.P(IF('APP DATA'!$E$5:$E$675=$A20,IF('APP DATA'!$BL$5:$BL$675=$C$2,'APP DATA'!$BO$5:$BO$675)))</f>
        <v>0</v>
      </c>
      <c r="U20" s="274">
        <f>COUNTIFS('APP DATA'!$M:$M,TRUE,'APP DATA'!$E:$E,$A20)</f>
        <v>0</v>
      </c>
      <c r="V20" s="274"/>
    </row>
    <row r="21" spans="1:22">
      <c r="A21" s="269" t="str">
        <f t="shared" si="0"/>
        <v>C&amp;I_C&amp;I Custom_Various_C&amp;I Custom</v>
      </c>
      <c r="B21" t="s">
        <v>142</v>
      </c>
      <c r="C21" t="s">
        <v>187</v>
      </c>
      <c r="D21" t="s">
        <v>155</v>
      </c>
      <c r="E21" t="s">
        <v>187</v>
      </c>
      <c r="F21" s="202">
        <v>64</v>
      </c>
      <c r="G21" s="202">
        <v>1220</v>
      </c>
      <c r="H21" s="202">
        <v>212345.44996</v>
      </c>
      <c r="I21" s="202">
        <v>2011742.5373999998</v>
      </c>
      <c r="J21" s="202">
        <v>493.85037000000005</v>
      </c>
      <c r="K21" s="242">
        <f>_xlfn.MINIFS('APP DATA'!$BN:$BN,'APP DATA'!$E:$E,$A21,'APP DATA'!$BL:$BL,$C$2)</f>
        <v>24</v>
      </c>
      <c r="L21" s="242">
        <f>_xlfn.MAXIFS('APP DATA'!$BN:$BN,'APP DATA'!$E:$E,$A21,'APP DATA'!$BL:$BL,$C$2)</f>
        <v>337400</v>
      </c>
      <c r="M21" s="242">
        <f t="shared" si="1"/>
        <v>1648.9692929508194</v>
      </c>
      <c r="N21" s="242">
        <f t="array" ref="N21">_xlfn.STDEV.P(IF('APP DATA'!$E$5:$E$675=$A21,IF('APP DATA'!$BL$5:$BL$675=$C$2,'APP DATA'!$BN$5:$BN$675)))</f>
        <v>62959.041603410769</v>
      </c>
      <c r="O21" s="274">
        <f>COUNTIFS('APP DATA'!$L:$L,TRUE,'APP DATA'!$E:$E,$A21)</f>
        <v>3</v>
      </c>
      <c r="P21" s="274" t="s">
        <v>3362</v>
      </c>
      <c r="Q21" s="242">
        <f>_xlfn.MINIFS('APP DATA'!$BO:$BO,'APP DATA'!$E:$E,$A21,'APP DATA'!$BL:$BL,$C$2)</f>
        <v>2.88</v>
      </c>
      <c r="R21" s="242">
        <f>_xlfn.MAXIFS('APP DATA'!$BO:$BO,'APP DATA'!$E:$E,$A21,'APP DATA'!$BL:$BL,$C$2)</f>
        <v>42260</v>
      </c>
      <c r="S21" s="242">
        <f t="shared" si="2"/>
        <v>174.05364750819672</v>
      </c>
      <c r="T21" s="242">
        <f t="array" ref="T21">_xlfn.STDEV.P(IF('APP DATA'!$E$5:$E$675=$A21,IF('APP DATA'!$BL$5:$BL$675=$C$2,'APP DATA'!$BO$5:$BO$675)))</f>
        <v>6797.6715808767258</v>
      </c>
      <c r="U21" s="274">
        <f>COUNTIFS('APP DATA'!$M:$M,TRUE,'APP DATA'!$E:$E,$A21)</f>
        <v>3</v>
      </c>
      <c r="V21" s="274" t="s">
        <v>3362</v>
      </c>
    </row>
    <row r="22" spans="1:22">
      <c r="A22" s="269" t="str">
        <f t="shared" si="0"/>
        <v>C&amp;I_C&amp;I Prescriptive_Lighting_LED Linear Replacement Lamp (≤4ft)</v>
      </c>
      <c r="B22" t="s">
        <v>142</v>
      </c>
      <c r="C22" t="s">
        <v>228</v>
      </c>
      <c r="D22" t="s">
        <v>86</v>
      </c>
      <c r="E22" t="s">
        <v>192</v>
      </c>
      <c r="F22" s="202">
        <v>58</v>
      </c>
      <c r="G22" s="202">
        <v>13895</v>
      </c>
      <c r="H22" s="202">
        <v>144805.62026000003</v>
      </c>
      <c r="I22" s="202">
        <v>999445.16199999955</v>
      </c>
      <c r="J22" s="202">
        <v>236.89442999999991</v>
      </c>
      <c r="K22" s="242">
        <f>_xlfn.MINIFS('APP DATA'!$BN:$BN,'APP DATA'!$E:$E,$A22,'APP DATA'!$BL:$BL,$C$2)</f>
        <v>34.905000000000001</v>
      </c>
      <c r="L22" s="242">
        <f>_xlfn.MAXIFS('APP DATA'!$BN:$BN,'APP DATA'!$E:$E,$A22,'APP DATA'!$BL:$BL,$C$2)</f>
        <v>156.15</v>
      </c>
      <c r="M22" s="242">
        <f t="shared" si="1"/>
        <v>71.928403166606657</v>
      </c>
      <c r="N22" s="242">
        <f t="array" ref="N22">_xlfn.STDEV.P(IF('APP DATA'!$E$5:$E$675=$A22,IF('APP DATA'!$BL$5:$BL$675=$C$2,'APP DATA'!$BN$5:$BN$675)))</f>
        <v>30.28616226838243</v>
      </c>
      <c r="O22" s="274">
        <f>COUNTIFS('APP DATA'!$L:$L,TRUE,'APP DATA'!$E:$E,$A22)</f>
        <v>2</v>
      </c>
      <c r="P22" s="274" t="s">
        <v>3364</v>
      </c>
      <c r="Q22" s="242">
        <f>_xlfn.MINIFS('APP DATA'!$BO:$BO,'APP DATA'!$E:$E,$A22,'APP DATA'!$BL:$BL,$C$2)</f>
        <v>4.3099999999999996</v>
      </c>
      <c r="R22" s="242">
        <f>_xlfn.MAXIFS('APP DATA'!$BO:$BO,'APP DATA'!$E:$E,$A22,'APP DATA'!$BL:$BL,$C$2)</f>
        <v>16</v>
      </c>
      <c r="S22" s="242">
        <f t="shared" si="2"/>
        <v>10.421419234256929</v>
      </c>
      <c r="T22" s="242">
        <f t="array" ref="T22">_xlfn.STDEV.P(IF('APP DATA'!$E$5:$E$675=$A22,IF('APP DATA'!$BL$5:$BL$675=$C$2,'APP DATA'!$BO$5:$BO$675)))</f>
        <v>3.9940053618595535</v>
      </c>
      <c r="U22" s="274">
        <f>COUNTIFS('APP DATA'!$M:$M,TRUE,'APP DATA'!$E:$E,$A22)</f>
        <v>0</v>
      </c>
      <c r="V22" s="274"/>
    </row>
    <row r="23" spans="1:22">
      <c r="A23" s="269" t="str">
        <f t="shared" si="0"/>
        <v>C&amp;I_C&amp;I Prescriptive_Lighting_Energy Star LED Lamp (≤5W)</v>
      </c>
      <c r="B23" t="s">
        <v>142</v>
      </c>
      <c r="C23" t="s">
        <v>228</v>
      </c>
      <c r="D23" t="s">
        <v>86</v>
      </c>
      <c r="E23" t="s">
        <v>193</v>
      </c>
      <c r="F23" s="202">
        <v>2</v>
      </c>
      <c r="G23" s="202">
        <v>406</v>
      </c>
      <c r="H23" s="202">
        <v>2020.32</v>
      </c>
      <c r="I23" s="202">
        <v>30964.583999999999</v>
      </c>
      <c r="J23" s="202">
        <v>6.5665979999999999</v>
      </c>
      <c r="K23" s="242">
        <f>_xlfn.MINIFS('APP DATA'!$BN:$BN,'APP DATA'!$E:$E,$A23,'APP DATA'!$BL:$BL,$C$2)</f>
        <v>75.707999999999998</v>
      </c>
      <c r="L23" s="242">
        <f>_xlfn.MAXIFS('APP DATA'!$BN:$BN,'APP DATA'!$E:$E,$A23,'APP DATA'!$BL:$BL,$C$2)</f>
        <v>104.1</v>
      </c>
      <c r="M23" s="242">
        <f t="shared" si="1"/>
        <v>76.267448275862066</v>
      </c>
      <c r="N23" s="242">
        <f t="array" ref="N23">_xlfn.STDEV.P(IF('APP DATA'!$E$5:$E$675=$A23,IF('APP DATA'!$BL$5:$BL$675=$C$2,'APP DATA'!$BN$5:$BN$675)))</f>
        <v>14.196000000000021</v>
      </c>
      <c r="O23" s="274">
        <f>COUNTIFS('APP DATA'!$L:$L,TRUE,'APP DATA'!$E:$E,$A23)</f>
        <v>0</v>
      </c>
      <c r="P23" s="274"/>
      <c r="Q23" s="242">
        <f>_xlfn.MINIFS('APP DATA'!$BO:$BO,'APP DATA'!$E:$E,$A23,'APP DATA'!$BL:$BL,$C$2)</f>
        <v>3.79</v>
      </c>
      <c r="R23" s="242">
        <f>_xlfn.MAXIFS('APP DATA'!$BO:$BO,'APP DATA'!$E:$E,$A23,'APP DATA'!$BL:$BL,$C$2)</f>
        <v>5</v>
      </c>
      <c r="S23" s="242">
        <f t="shared" si="2"/>
        <v>4.9761576354679802</v>
      </c>
      <c r="T23" s="242">
        <f t="array" ref="T23">_xlfn.STDEV.P(IF('APP DATA'!$E$5:$E$675=$A23,IF('APP DATA'!$BL$5:$BL$675=$C$2,'APP DATA'!$BO$5:$BO$675)))</f>
        <v>0.60500000000000331</v>
      </c>
      <c r="U23" s="274">
        <f>COUNTIFS('APP DATA'!$M:$M,TRUE,'APP DATA'!$E:$E,$A23)</f>
        <v>0</v>
      </c>
      <c r="V23" s="274"/>
    </row>
    <row r="24" spans="1:22">
      <c r="A24" s="269" t="str">
        <f t="shared" si="0"/>
        <v>C&amp;I_C&amp;I Prescriptive_Lighting_LED Linear Replacement Lamp (5-8ft)</v>
      </c>
      <c r="B24" t="s">
        <v>142</v>
      </c>
      <c r="C24" t="s">
        <v>228</v>
      </c>
      <c r="D24" t="s">
        <v>86</v>
      </c>
      <c r="E24" t="s">
        <v>194</v>
      </c>
      <c r="F24" s="202">
        <v>6</v>
      </c>
      <c r="G24" s="202">
        <v>653</v>
      </c>
      <c r="H24" s="202">
        <v>15019</v>
      </c>
      <c r="I24" s="202">
        <v>103978.61199999999</v>
      </c>
      <c r="J24" s="202">
        <v>25.235385999999998</v>
      </c>
      <c r="K24" s="242">
        <f>_xlfn.MINIFS('APP DATA'!$BN:$BN,'APP DATA'!$E:$E,$A24,'APP DATA'!$BL:$BL,$C$2)</f>
        <v>135.386</v>
      </c>
      <c r="L24" s="242">
        <f>_xlfn.MAXIFS('APP DATA'!$BN:$BN,'APP DATA'!$E:$E,$A24,'APP DATA'!$BL:$BL,$C$2)</f>
        <v>242.03200000000001</v>
      </c>
      <c r="M24" s="242">
        <f t="shared" si="1"/>
        <v>159.23217764165389</v>
      </c>
      <c r="N24" s="242">
        <f t="array" ref="N24">_xlfn.STDEV.P(IF('APP DATA'!$E$5:$E$675=$A24,IF('APP DATA'!$BL$5:$BL$675=$C$2,'APP DATA'!$BN$5:$BN$675)))</f>
        <v>33.896245665592865</v>
      </c>
      <c r="O24" s="274">
        <f>COUNTIFS('APP DATA'!$L:$L,TRUE,'APP DATA'!$E:$E,$A24)</f>
        <v>1</v>
      </c>
      <c r="P24" s="274" t="s">
        <v>3364</v>
      </c>
      <c r="Q24" s="242">
        <f>_xlfn.MINIFS('APP DATA'!$BO:$BO,'APP DATA'!$E:$E,$A24,'APP DATA'!$BL:$BL,$C$2)</f>
        <v>23</v>
      </c>
      <c r="R24" s="242">
        <f>_xlfn.MAXIFS('APP DATA'!$BO:$BO,'APP DATA'!$E:$E,$A24,'APP DATA'!$BL:$BL,$C$2)</f>
        <v>23</v>
      </c>
      <c r="S24" s="242">
        <f t="shared" si="2"/>
        <v>23</v>
      </c>
      <c r="T24" s="242">
        <f t="array" ref="T24">_xlfn.STDEV.P(IF('APP DATA'!$E$5:$E$675=$A24,IF('APP DATA'!$BL$5:$BL$675=$C$2,'APP DATA'!$BO$5:$BO$675)))</f>
        <v>0</v>
      </c>
      <c r="U24" s="274">
        <f>COUNTIFS('APP DATA'!$M:$M,TRUE,'APP DATA'!$E:$E,$A24)</f>
        <v>0</v>
      </c>
      <c r="V24" s="274"/>
    </row>
    <row r="25" spans="1:22">
      <c r="A25" s="269" t="str">
        <f t="shared" si="0"/>
        <v>C&amp;I_C&amp;I Prescriptive_Lighting_Fixture Mount Occupancy</v>
      </c>
      <c r="B25" t="s">
        <v>142</v>
      </c>
      <c r="C25" t="s">
        <v>228</v>
      </c>
      <c r="D25" t="s">
        <v>86</v>
      </c>
      <c r="E25" t="s">
        <v>195</v>
      </c>
      <c r="F25" s="202">
        <v>1</v>
      </c>
      <c r="G25" s="202">
        <v>8</v>
      </c>
      <c r="H25" s="202">
        <v>224</v>
      </c>
      <c r="I25" s="202">
        <v>3141.864</v>
      </c>
      <c r="J25" s="202">
        <v>0.67050699999999996</v>
      </c>
      <c r="K25" s="242">
        <f>_xlfn.MINIFS('APP DATA'!$BN:$BN,'APP DATA'!$E:$E,$A25,'APP DATA'!$BL:$BL,$C$2)</f>
        <v>392.733</v>
      </c>
      <c r="L25" s="242">
        <f>_xlfn.MAXIFS('APP DATA'!$BN:$BN,'APP DATA'!$E:$E,$A25,'APP DATA'!$BL:$BL,$C$2)</f>
        <v>392.733</v>
      </c>
      <c r="M25" s="242">
        <f t="shared" si="1"/>
        <v>392.733</v>
      </c>
      <c r="N25" s="242">
        <f t="array" ref="N25">_xlfn.STDEV.P(IF('APP DATA'!$E$5:$E$675=$A25,IF('APP DATA'!$BL$5:$BL$675=$C$2,'APP DATA'!$BN$5:$BN$675)))</f>
        <v>0</v>
      </c>
      <c r="O25" s="274">
        <f>COUNTIFS('APP DATA'!$L:$L,TRUE,'APP DATA'!$E:$E,$A25)</f>
        <v>0</v>
      </c>
      <c r="P25" s="274"/>
      <c r="Q25" s="242">
        <f>_xlfn.MINIFS('APP DATA'!$BO:$BO,'APP DATA'!$E:$E,$A25,'APP DATA'!$BL:$BL,$C$2)</f>
        <v>28</v>
      </c>
      <c r="R25" s="242">
        <f>_xlfn.MAXIFS('APP DATA'!$BO:$BO,'APP DATA'!$E:$E,$A25,'APP DATA'!$BL:$BL,$C$2)</f>
        <v>28</v>
      </c>
      <c r="S25" s="242">
        <f t="shared" si="2"/>
        <v>28</v>
      </c>
      <c r="T25" s="242">
        <f t="array" ref="T25">_xlfn.STDEV.P(IF('APP DATA'!$E$5:$E$675=$A25,IF('APP DATA'!$BL$5:$BL$675=$C$2,'APP DATA'!$BO$5:$BO$675)))</f>
        <v>0</v>
      </c>
      <c r="U25" s="274">
        <f>COUNTIFS('APP DATA'!$M:$M,TRUE,'APP DATA'!$E:$E,$A25)</f>
        <v>0</v>
      </c>
      <c r="V25" s="274"/>
    </row>
    <row r="26" spans="1:22">
      <c r="A26" s="269" t="str">
        <f t="shared" si="0"/>
        <v>C&amp;I_C&amp;I Prescriptive_Lighting_Energy Star LED Lamp (5-10W)</v>
      </c>
      <c r="B26" t="s">
        <v>142</v>
      </c>
      <c r="C26" t="s">
        <v>228</v>
      </c>
      <c r="D26" t="s">
        <v>86</v>
      </c>
      <c r="E26" t="s">
        <v>245</v>
      </c>
      <c r="F26" s="202">
        <v>23</v>
      </c>
      <c r="G26" s="202">
        <v>1163</v>
      </c>
      <c r="H26" s="202">
        <v>5667.5400799999998</v>
      </c>
      <c r="I26" s="202">
        <v>144470.96</v>
      </c>
      <c r="J26" s="202">
        <v>20.802492999999998</v>
      </c>
      <c r="K26" s="242">
        <f>_xlfn.MINIFS('APP DATA'!$BN:$BN,'APP DATA'!$E:$E,$A26,'APP DATA'!$BL:$BL,$C$2)</f>
        <v>87.346000000000004</v>
      </c>
      <c r="L26" s="242">
        <f>_xlfn.MAXIFS('APP DATA'!$BN:$BN,'APP DATA'!$E:$E,$A26,'APP DATA'!$BL:$BL,$C$2)</f>
        <v>156.15</v>
      </c>
      <c r="M26" s="242">
        <f t="shared" si="1"/>
        <v>124.22266552020636</v>
      </c>
      <c r="N26" s="242">
        <f t="array" ref="N26">_xlfn.STDEV.P(IF('APP DATA'!$E$5:$E$675=$A26,IF('APP DATA'!$BL$5:$BL$675=$C$2,'APP DATA'!$BN$5:$BN$675)))</f>
        <v>22.950483592270654</v>
      </c>
      <c r="O26" s="274">
        <f>COUNTIFS('APP DATA'!$L:$L,TRUE,'APP DATA'!$E:$E,$A26)</f>
        <v>0</v>
      </c>
      <c r="P26" s="274"/>
      <c r="Q26" s="242">
        <f>_xlfn.MINIFS('APP DATA'!$BO:$BO,'APP DATA'!$E:$E,$A26,'APP DATA'!$BL:$BL,$C$2)</f>
        <v>2.125</v>
      </c>
      <c r="R26" s="242">
        <f>_xlfn.MAXIFS('APP DATA'!$BO:$BO,'APP DATA'!$E:$E,$A26,'APP DATA'!$BL:$BL,$C$2)</f>
        <v>8.5</v>
      </c>
      <c r="S26" s="242">
        <f t="shared" si="2"/>
        <v>4.8732072914875317</v>
      </c>
      <c r="T26" s="242">
        <f t="array" ref="T26">_xlfn.STDEV.P(IF('APP DATA'!$E$5:$E$675=$A26,IF('APP DATA'!$BL$5:$BL$675=$C$2,'APP DATA'!$BO$5:$BO$675)))</f>
        <v>2.1019453416888925</v>
      </c>
      <c r="U26" s="274">
        <f>COUNTIFS('APP DATA'!$M:$M,TRUE,'APP DATA'!$E:$E,$A26)</f>
        <v>0</v>
      </c>
      <c r="V26" s="274"/>
    </row>
    <row r="27" spans="1:22">
      <c r="A27" s="269" t="str">
        <f t="shared" si="0"/>
        <v>C&amp;I_C&amp;I Prescriptive_Lighting_LED Parking Garage/Canopy (≥75W)</v>
      </c>
      <c r="B27" t="s">
        <v>142</v>
      </c>
      <c r="C27" t="s">
        <v>228</v>
      </c>
      <c r="D27" t="s">
        <v>86</v>
      </c>
      <c r="E27" t="s">
        <v>251</v>
      </c>
      <c r="F27" s="202">
        <v>20</v>
      </c>
      <c r="G27" s="202">
        <v>186</v>
      </c>
      <c r="H27" s="202">
        <v>18629.09</v>
      </c>
      <c r="I27" s="202">
        <v>218685.06500000003</v>
      </c>
      <c r="J27" s="202">
        <v>38.785001000000001</v>
      </c>
      <c r="K27" s="242">
        <f>_xlfn.MINIFS('APP DATA'!$BN:$BN,'APP DATA'!$E:$E,$A27,'APP DATA'!$BL:$BL,$C$2)</f>
        <v>711.48</v>
      </c>
      <c r="L27" s="242">
        <f>_xlfn.MAXIFS('APP DATA'!$BN:$BN,'APP DATA'!$E:$E,$A27,'APP DATA'!$BL:$BL,$C$2)</f>
        <v>1378.903</v>
      </c>
      <c r="M27" s="242">
        <f t="shared" si="1"/>
        <v>1175.7261559139786</v>
      </c>
      <c r="N27" s="242">
        <f t="array" ref="N27">_xlfn.STDEV.P(IF('APP DATA'!$E$5:$E$675=$A27,IF('APP DATA'!$BL$5:$BL$675=$C$2,'APP DATA'!$BN$5:$BN$675)))</f>
        <v>162.55796725694501</v>
      </c>
      <c r="O27" s="274">
        <f>COUNTIFS('APP DATA'!$L:$L,TRUE,'APP DATA'!$E:$E,$A27)</f>
        <v>1</v>
      </c>
      <c r="P27" s="274" t="s">
        <v>3363</v>
      </c>
      <c r="Q27" s="242">
        <f>_xlfn.MINIFS('APP DATA'!$BO:$BO,'APP DATA'!$E:$E,$A27,'APP DATA'!$BL:$BL,$C$2)</f>
        <v>25</v>
      </c>
      <c r="R27" s="242">
        <f>_xlfn.MAXIFS('APP DATA'!$BO:$BO,'APP DATA'!$E:$E,$A27,'APP DATA'!$BL:$BL,$C$2)</f>
        <v>197.33</v>
      </c>
      <c r="S27" s="242">
        <f t="shared" si="2"/>
        <v>100.15639784946237</v>
      </c>
      <c r="T27" s="242">
        <f t="array" ref="T27">_xlfn.STDEV.P(IF('APP DATA'!$E$5:$E$675=$A27,IF('APP DATA'!$BL$5:$BL$675=$C$2,'APP DATA'!$BO$5:$BO$675)))</f>
        <v>32.544111433560438</v>
      </c>
      <c r="U27" s="274">
        <f>COUNTIFS('APP DATA'!$M:$M,TRUE,'APP DATA'!$E:$E,$A27)</f>
        <v>3</v>
      </c>
      <c r="V27" s="274" t="s">
        <v>3367</v>
      </c>
    </row>
    <row r="28" spans="1:22">
      <c r="A28" s="269" t="str">
        <f t="shared" si="0"/>
        <v>C&amp;I_C&amp;I Prescriptive_Lighting_Energy Star LED Lamp (&gt;10W)</v>
      </c>
      <c r="B28" t="s">
        <v>142</v>
      </c>
      <c r="C28" t="s">
        <v>228</v>
      </c>
      <c r="D28" t="s">
        <v>86</v>
      </c>
      <c r="E28" t="s">
        <v>246</v>
      </c>
      <c r="F28" s="202">
        <v>21</v>
      </c>
      <c r="G28" s="202">
        <v>924</v>
      </c>
      <c r="H28" s="202">
        <v>8856.18</v>
      </c>
      <c r="I28" s="202">
        <v>169635.77899999998</v>
      </c>
      <c r="J28" s="202">
        <v>34.859540000000003</v>
      </c>
      <c r="K28" s="242">
        <f>_xlfn.MINIFS('APP DATA'!$BN:$BN,'APP DATA'!$E:$E,$A28,'APP DATA'!$BL:$BL,$C$2)</f>
        <v>110.53299999999999</v>
      </c>
      <c r="L28" s="242">
        <f>_xlfn.MAXIFS('APP DATA'!$BN:$BN,'APP DATA'!$E:$E,$A28,'APP DATA'!$BL:$BL,$C$2)</f>
        <v>247.23699999999999</v>
      </c>
      <c r="M28" s="242">
        <f t="shared" si="1"/>
        <v>183.5885054112554</v>
      </c>
      <c r="N28" s="242">
        <f t="array" ref="N28">_xlfn.STDEV.P(IF('APP DATA'!$E$5:$E$675=$A28,IF('APP DATA'!$BL$5:$BL$675=$C$2,'APP DATA'!$BN$5:$BN$675)))</f>
        <v>35.763002108901198</v>
      </c>
      <c r="O28" s="274">
        <f>COUNTIFS('APP DATA'!$L:$L,TRUE,'APP DATA'!$E:$E,$A28)</f>
        <v>3</v>
      </c>
      <c r="P28" s="274" t="s">
        <v>3363</v>
      </c>
      <c r="Q28" s="242">
        <f>_xlfn.MINIFS('APP DATA'!$BO:$BO,'APP DATA'!$E:$E,$A28,'APP DATA'!$BL:$BL,$C$2)</f>
        <v>6.37</v>
      </c>
      <c r="R28" s="242">
        <f>_xlfn.MAXIFS('APP DATA'!$BO:$BO,'APP DATA'!$E:$E,$A28,'APP DATA'!$BL:$BL,$C$2)</f>
        <v>12.5</v>
      </c>
      <c r="S28" s="242">
        <f t="shared" si="2"/>
        <v>9.5846103896103898</v>
      </c>
      <c r="T28" s="242">
        <f t="array" ref="T28">_xlfn.STDEV.P(IF('APP DATA'!$E$5:$E$675=$A28,IF('APP DATA'!$BL$5:$BL$675=$C$2,'APP DATA'!$BO$5:$BO$675)))</f>
        <v>2.1888796977142775</v>
      </c>
      <c r="U28" s="274">
        <f>COUNTIFS('APP DATA'!$M:$M,TRUE,'APP DATA'!$E:$E,$A28)</f>
        <v>0</v>
      </c>
      <c r="V28" s="274"/>
    </row>
    <row r="29" spans="1:22">
      <c r="A29" s="269" t="str">
        <f t="shared" si="0"/>
        <v>C&amp;I_C&amp;I Prescriptive_Lighting_LED Parking Garage/Canopy (30-75W)</v>
      </c>
      <c r="B29" t="s">
        <v>142</v>
      </c>
      <c r="C29" t="s">
        <v>228</v>
      </c>
      <c r="D29" t="s">
        <v>86</v>
      </c>
      <c r="E29" t="s">
        <v>250</v>
      </c>
      <c r="F29" s="202">
        <v>25</v>
      </c>
      <c r="G29" s="202">
        <v>268</v>
      </c>
      <c r="H29" s="202">
        <v>17081.5</v>
      </c>
      <c r="I29" s="202">
        <v>144822.58600000001</v>
      </c>
      <c r="J29" s="202">
        <v>31.011065000000006</v>
      </c>
      <c r="K29" s="242">
        <f>_xlfn.MINIFS('APP DATA'!$BN:$BN,'APP DATA'!$E:$E,$A29,'APP DATA'!$BL:$BL,$C$2)</f>
        <v>379.30099999999999</v>
      </c>
      <c r="L29" s="242">
        <f>_xlfn.MAXIFS('APP DATA'!$BN:$BN,'APP DATA'!$E:$E,$A29,'APP DATA'!$BL:$BL,$C$2)</f>
        <v>735.11400000000003</v>
      </c>
      <c r="M29" s="242">
        <f t="shared" si="1"/>
        <v>540.38278358208959</v>
      </c>
      <c r="N29" s="242">
        <f t="array" ref="N29">_xlfn.STDEV.P(IF('APP DATA'!$E$5:$E$675=$A29,IF('APP DATA'!$BL$5:$BL$675=$C$2,'APP DATA'!$BN$5:$BN$675)))</f>
        <v>100.67961898397597</v>
      </c>
      <c r="O29" s="274">
        <f>COUNTIFS('APP DATA'!$L:$L,TRUE,'APP DATA'!$E:$E,$A29)</f>
        <v>0</v>
      </c>
      <c r="P29" s="274"/>
      <c r="Q29" s="242">
        <f>_xlfn.MINIFS('APP DATA'!$BO:$BO,'APP DATA'!$E:$E,$A29,'APP DATA'!$BL:$BL,$C$2)</f>
        <v>17</v>
      </c>
      <c r="R29" s="242">
        <f>_xlfn.MAXIFS('APP DATA'!$BO:$BO,'APP DATA'!$E:$E,$A29,'APP DATA'!$BL:$BL,$C$2)</f>
        <v>75</v>
      </c>
      <c r="S29" s="242">
        <f t="shared" si="2"/>
        <v>63.736940298507463</v>
      </c>
      <c r="T29" s="242">
        <f t="array" ref="T29">_xlfn.STDEV.P(IF('APP DATA'!$E$5:$E$675=$A29,IF('APP DATA'!$BL$5:$BL$675=$C$2,'APP DATA'!$BO$5:$BO$675)))</f>
        <v>15.137978729011348</v>
      </c>
      <c r="U29" s="274">
        <f>COUNTIFS('APP DATA'!$M:$M,TRUE,'APP DATA'!$E:$E,$A29)</f>
        <v>2</v>
      </c>
      <c r="V29" s="274" t="s">
        <v>3366</v>
      </c>
    </row>
    <row r="30" spans="1:22">
      <c r="A30" s="269" t="str">
        <f t="shared" si="0"/>
        <v>C&amp;I_C&amp;I Prescriptive_Lighting_LED Parking Garage/Canopy (&lt;30W)</v>
      </c>
      <c r="B30" t="s">
        <v>142</v>
      </c>
      <c r="C30" t="s">
        <v>228</v>
      </c>
      <c r="D30" t="s">
        <v>86</v>
      </c>
      <c r="E30" t="s">
        <v>249</v>
      </c>
      <c r="F30" s="202">
        <v>3</v>
      </c>
      <c r="G30" s="202">
        <v>27</v>
      </c>
      <c r="H30" s="202">
        <v>266.56</v>
      </c>
      <c r="I30" s="202">
        <v>16129.799000000001</v>
      </c>
      <c r="J30" s="202">
        <v>2.9620730000000002</v>
      </c>
      <c r="K30" s="242">
        <f>_xlfn.MINIFS('APP DATA'!$BN:$BN,'APP DATA'!$E:$E,$A30,'APP DATA'!$BL:$BL,$C$2)</f>
        <v>500.14299999999997</v>
      </c>
      <c r="L30" s="242">
        <f>_xlfn.MAXIFS('APP DATA'!$BN:$BN,'APP DATA'!$E:$E,$A30,'APP DATA'!$BL:$BL,$C$2)</f>
        <v>687.71</v>
      </c>
      <c r="M30" s="242">
        <f t="shared" si="1"/>
        <v>597.39996296296295</v>
      </c>
      <c r="N30" s="242">
        <f t="array" ref="N30">_xlfn.STDEV.P(IF('APP DATA'!$E$5:$E$675=$A30,IF('APP DATA'!$BL$5:$BL$675=$C$2,'APP DATA'!$BN$5:$BN$675)))</f>
        <v>88.419931751211379</v>
      </c>
      <c r="O30" s="274">
        <f>COUNTIFS('APP DATA'!$L:$L,TRUE,'APP DATA'!$E:$E,$A30)</f>
        <v>0</v>
      </c>
      <c r="P30" s="274"/>
      <c r="Q30" s="242">
        <f>_xlfn.MINIFS('APP DATA'!$BO:$BO,'APP DATA'!$E:$E,$A30,'APP DATA'!$BL:$BL,$C$2)</f>
        <v>8.75</v>
      </c>
      <c r="R30" s="242">
        <f>_xlfn.MAXIFS('APP DATA'!$BO:$BO,'APP DATA'!$E:$E,$A30,'APP DATA'!$BL:$BL,$C$2)</f>
        <v>35</v>
      </c>
      <c r="S30" s="242">
        <f t="shared" si="2"/>
        <v>9.8725925925925928</v>
      </c>
      <c r="T30" s="242">
        <f t="array" ref="T30">_xlfn.STDEV.P(IF('APP DATA'!$E$5:$E$675=$A30,IF('APP DATA'!$BL$5:$BL$675=$C$2,'APP DATA'!$BO$5:$BO$675)))</f>
        <v>12.306584506768004</v>
      </c>
      <c r="U30" s="274">
        <f>COUNTIFS('APP DATA'!$M:$M,TRUE,'APP DATA'!$E:$E,$A30)</f>
        <v>1</v>
      </c>
      <c r="V30" s="274" t="s">
        <v>3365</v>
      </c>
    </row>
    <row r="38" spans="1:10">
      <c r="A38"/>
      <c r="B38"/>
      <c r="C38"/>
      <c r="D38"/>
      <c r="E38"/>
      <c r="F38"/>
      <c r="G38"/>
      <c r="H38"/>
      <c r="I38"/>
      <c r="J38"/>
    </row>
    <row r="39" spans="1:10">
      <c r="A39"/>
      <c r="B39"/>
      <c r="C39"/>
      <c r="D39"/>
      <c r="E39"/>
      <c r="F39"/>
      <c r="G39"/>
      <c r="H39"/>
      <c r="I39"/>
      <c r="J39"/>
    </row>
    <row r="40" spans="1:10">
      <c r="A40"/>
      <c r="B40"/>
      <c r="C40"/>
      <c r="D40"/>
      <c r="E40"/>
      <c r="F40"/>
      <c r="G40"/>
      <c r="H40"/>
      <c r="I40"/>
      <c r="J40"/>
    </row>
    <row r="41" spans="1:10">
      <c r="A41"/>
      <c r="B41"/>
      <c r="C41"/>
      <c r="D41"/>
      <c r="E41"/>
      <c r="F41"/>
      <c r="G41"/>
      <c r="H41"/>
      <c r="I41"/>
      <c r="J41"/>
    </row>
    <row r="42" spans="1:10">
      <c r="A42"/>
      <c r="B42"/>
      <c r="C42"/>
      <c r="D42"/>
      <c r="E42"/>
      <c r="F42"/>
      <c r="G42"/>
      <c r="H42"/>
      <c r="I42"/>
      <c r="J42"/>
    </row>
    <row r="43" spans="1:10">
      <c r="A43"/>
      <c r="B43"/>
      <c r="C43"/>
      <c r="D43"/>
      <c r="E43"/>
      <c r="F43"/>
      <c r="G43"/>
      <c r="H43"/>
      <c r="I43"/>
      <c r="J43"/>
    </row>
    <row r="44" spans="1:10">
      <c r="A44"/>
      <c r="B44"/>
      <c r="C44"/>
      <c r="D44"/>
      <c r="E44"/>
      <c r="F44"/>
      <c r="G44"/>
      <c r="H44"/>
      <c r="I44"/>
      <c r="J44"/>
    </row>
    <row r="45" spans="1:10">
      <c r="A45"/>
      <c r="B45"/>
      <c r="C45"/>
      <c r="D45"/>
      <c r="E45"/>
      <c r="F45"/>
      <c r="G45"/>
      <c r="H45"/>
      <c r="I45"/>
      <c r="J45"/>
    </row>
    <row r="46" spans="1:10">
      <c r="A46"/>
      <c r="B46"/>
      <c r="C46"/>
      <c r="D46"/>
      <c r="E46"/>
      <c r="F46"/>
      <c r="G46"/>
      <c r="H46"/>
      <c r="I46"/>
      <c r="J46"/>
    </row>
    <row r="47" spans="1:10">
      <c r="A47"/>
      <c r="B47"/>
      <c r="C47"/>
      <c r="D47"/>
      <c r="E47"/>
      <c r="F47"/>
      <c r="G47"/>
      <c r="H47"/>
      <c r="I47"/>
      <c r="J47"/>
    </row>
    <row r="48" spans="1:10">
      <c r="A48"/>
      <c r="B48"/>
      <c r="C48"/>
      <c r="D48"/>
      <c r="E48"/>
      <c r="F48"/>
      <c r="G48"/>
      <c r="H48"/>
      <c r="I48"/>
      <c r="J48"/>
    </row>
    <row r="49" spans="1:10">
      <c r="A49"/>
      <c r="B49"/>
      <c r="C49"/>
      <c r="D49"/>
      <c r="E49"/>
      <c r="F49"/>
      <c r="G49"/>
      <c r="H49"/>
      <c r="I49"/>
      <c r="J49"/>
    </row>
    <row r="50" spans="1:10">
      <c r="A50"/>
      <c r="B50"/>
      <c r="C50"/>
      <c r="D50"/>
      <c r="E50"/>
      <c r="F50"/>
      <c r="G50"/>
      <c r="H50"/>
      <c r="I50"/>
      <c r="J50"/>
    </row>
    <row r="51" spans="1:10">
      <c r="A51"/>
      <c r="B51"/>
      <c r="C51"/>
      <c r="D51"/>
      <c r="E51"/>
      <c r="F51"/>
      <c r="G51"/>
      <c r="H51"/>
      <c r="I51"/>
      <c r="J51"/>
    </row>
    <row r="52" spans="1:10">
      <c r="A52"/>
      <c r="B52"/>
      <c r="C52"/>
      <c r="D52"/>
      <c r="E52"/>
      <c r="F52"/>
      <c r="G52"/>
      <c r="H52"/>
      <c r="I52"/>
      <c r="J52"/>
    </row>
    <row r="53" spans="1:10">
      <c r="A53"/>
      <c r="B53"/>
      <c r="C53"/>
      <c r="D53"/>
      <c r="E53"/>
      <c r="F53"/>
      <c r="G53"/>
      <c r="H53"/>
      <c r="I53"/>
      <c r="J53"/>
    </row>
    <row r="54" spans="1:10">
      <c r="A54"/>
      <c r="B54"/>
      <c r="C54"/>
      <c r="D54"/>
      <c r="E54"/>
      <c r="F54"/>
      <c r="G54"/>
      <c r="H54"/>
      <c r="I54"/>
      <c r="J54"/>
    </row>
    <row r="55" spans="1:10">
      <c r="A55"/>
      <c r="B55"/>
      <c r="C55"/>
      <c r="D55"/>
      <c r="E55"/>
      <c r="F55"/>
      <c r="G55"/>
      <c r="H55"/>
      <c r="I55"/>
      <c r="J55"/>
    </row>
    <row r="56" spans="1:10">
      <c r="A56"/>
      <c r="B56"/>
      <c r="C56"/>
      <c r="D56"/>
      <c r="E56"/>
      <c r="F56"/>
      <c r="G56"/>
      <c r="H56"/>
      <c r="I56"/>
      <c r="J56"/>
    </row>
    <row r="57" spans="1:10">
      <c r="A57"/>
      <c r="B57"/>
      <c r="C57"/>
      <c r="D57"/>
      <c r="E57"/>
      <c r="F57"/>
      <c r="G57"/>
      <c r="H57"/>
      <c r="I57"/>
      <c r="J57"/>
    </row>
    <row r="58" spans="1:10">
      <c r="A58"/>
      <c r="B58"/>
      <c r="C58"/>
      <c r="D58"/>
      <c r="E58"/>
      <c r="F58"/>
      <c r="G58"/>
      <c r="H58"/>
      <c r="I58"/>
      <c r="J58"/>
    </row>
    <row r="59" spans="1:10">
      <c r="A59"/>
      <c r="B59"/>
      <c r="C59"/>
      <c r="D59"/>
      <c r="E59"/>
      <c r="F59"/>
      <c r="G59"/>
      <c r="H59"/>
      <c r="I59"/>
      <c r="J59"/>
    </row>
    <row r="60" spans="1:10">
      <c r="A60"/>
      <c r="B60"/>
      <c r="C60"/>
      <c r="D60"/>
      <c r="E60"/>
      <c r="F60"/>
      <c r="G60"/>
      <c r="H60"/>
      <c r="I60"/>
      <c r="J60"/>
    </row>
    <row r="61" spans="1:10">
      <c r="A61"/>
      <c r="B61"/>
      <c r="C61"/>
      <c r="D61"/>
      <c r="E61"/>
      <c r="F61"/>
      <c r="G61"/>
      <c r="H61"/>
      <c r="I61"/>
      <c r="J61"/>
    </row>
    <row r="62" spans="1:10">
      <c r="A62"/>
      <c r="B62"/>
      <c r="C62"/>
      <c r="D62"/>
      <c r="E62"/>
      <c r="F62"/>
      <c r="G62"/>
      <c r="H62"/>
      <c r="I62"/>
      <c r="J62"/>
    </row>
    <row r="63" spans="1:10">
      <c r="A63"/>
      <c r="B63"/>
      <c r="C63"/>
      <c r="D63"/>
      <c r="E63"/>
      <c r="F63"/>
      <c r="G63"/>
      <c r="H63"/>
      <c r="I63"/>
      <c r="J63"/>
    </row>
    <row r="64" spans="1:10">
      <c r="A64"/>
      <c r="B64"/>
      <c r="C64"/>
      <c r="D64"/>
      <c r="E64"/>
      <c r="F64"/>
      <c r="G64"/>
      <c r="H64"/>
      <c r="I64"/>
      <c r="J64"/>
    </row>
    <row r="65" spans="1:10">
      <c r="E65" s="242"/>
      <c r="F65" s="242"/>
      <c r="G65" s="242"/>
      <c r="H65" s="242"/>
    </row>
    <row r="66" spans="1:10">
      <c r="E66" s="242"/>
      <c r="F66" s="242"/>
      <c r="G66" s="242"/>
      <c r="H66" s="242"/>
    </row>
    <row r="71" spans="1:10">
      <c r="A71"/>
      <c r="B71"/>
      <c r="C71"/>
      <c r="D71"/>
      <c r="E71"/>
      <c r="F71"/>
      <c r="G71"/>
      <c r="H71"/>
      <c r="I71"/>
      <c r="J71"/>
    </row>
    <row r="72" spans="1:10">
      <c r="A72"/>
      <c r="B72"/>
      <c r="C72"/>
      <c r="D72"/>
      <c r="E72"/>
      <c r="F72"/>
      <c r="G72"/>
      <c r="H72"/>
      <c r="I72"/>
      <c r="J72"/>
    </row>
    <row r="73" spans="1:10">
      <c r="A73"/>
      <c r="B73"/>
      <c r="C73"/>
      <c r="D73"/>
      <c r="E73"/>
      <c r="F73"/>
      <c r="G73"/>
      <c r="H73"/>
      <c r="I73"/>
      <c r="J73"/>
    </row>
    <row r="74" spans="1:10">
      <c r="A74"/>
      <c r="B74"/>
      <c r="C74"/>
      <c r="D74"/>
      <c r="E74"/>
      <c r="F74"/>
      <c r="G74"/>
      <c r="H74"/>
      <c r="I74"/>
      <c r="J74"/>
    </row>
    <row r="75" spans="1:10">
      <c r="A75"/>
      <c r="B75"/>
      <c r="C75"/>
      <c r="D75"/>
      <c r="E75"/>
      <c r="F75"/>
      <c r="G75"/>
      <c r="H75"/>
      <c r="I75"/>
      <c r="J75"/>
    </row>
    <row r="76" spans="1:10">
      <c r="A76"/>
      <c r="B76"/>
      <c r="C76"/>
      <c r="D76"/>
      <c r="E76"/>
      <c r="F76"/>
      <c r="G76"/>
      <c r="H76"/>
      <c r="I76"/>
      <c r="J76"/>
    </row>
    <row r="77" spans="1:10">
      <c r="A77"/>
      <c r="B77"/>
      <c r="C77"/>
      <c r="D77"/>
      <c r="E77"/>
      <c r="F77"/>
      <c r="G77"/>
      <c r="H77"/>
      <c r="I77"/>
      <c r="J77"/>
    </row>
    <row r="78" spans="1:10">
      <c r="A78"/>
      <c r="B78"/>
      <c r="C78"/>
      <c r="D78"/>
      <c r="E78"/>
      <c r="F78"/>
      <c r="G78"/>
      <c r="H78"/>
      <c r="I78"/>
      <c r="J78"/>
    </row>
    <row r="79" spans="1:10">
      <c r="A79"/>
      <c r="B79"/>
      <c r="C79"/>
      <c r="D79"/>
      <c r="E79"/>
      <c r="F79"/>
      <c r="G79"/>
      <c r="H79"/>
      <c r="I79"/>
      <c r="J79"/>
    </row>
    <row r="80" spans="1:10">
      <c r="A80"/>
      <c r="B80"/>
      <c r="C80"/>
      <c r="D80"/>
      <c r="E80"/>
      <c r="F80"/>
      <c r="G80"/>
      <c r="H80"/>
      <c r="I80"/>
      <c r="J80"/>
    </row>
    <row r="81" spans="1:10">
      <c r="A81"/>
      <c r="B81"/>
      <c r="C81"/>
      <c r="D81"/>
      <c r="E81"/>
      <c r="F81"/>
      <c r="G81"/>
      <c r="H81"/>
      <c r="I81"/>
      <c r="J81"/>
    </row>
    <row r="82" spans="1:10">
      <c r="A82"/>
      <c r="B82"/>
      <c r="C82"/>
      <c r="D82"/>
      <c r="E82"/>
      <c r="F82"/>
      <c r="G82"/>
      <c r="H82"/>
      <c r="I82"/>
      <c r="J82"/>
    </row>
    <row r="83" spans="1:10">
      <c r="A83"/>
      <c r="B83"/>
      <c r="C83"/>
      <c r="D83"/>
      <c r="E83"/>
      <c r="F83"/>
      <c r="G83"/>
      <c r="H83"/>
      <c r="I83"/>
      <c r="J83"/>
    </row>
    <row r="84" spans="1:10">
      <c r="A84"/>
      <c r="B84"/>
      <c r="C84"/>
      <c r="D84"/>
      <c r="E84"/>
      <c r="F84"/>
      <c r="G84"/>
      <c r="H84"/>
      <c r="I84"/>
      <c r="J84"/>
    </row>
    <row r="85" spans="1:10">
      <c r="A85"/>
      <c r="B85"/>
      <c r="C85"/>
      <c r="D85"/>
      <c r="E85"/>
      <c r="F85"/>
      <c r="G85"/>
      <c r="H85"/>
      <c r="I85"/>
      <c r="J85"/>
    </row>
    <row r="86" spans="1:10">
      <c r="A86"/>
      <c r="B86"/>
      <c r="C86"/>
      <c r="D86"/>
      <c r="E86"/>
      <c r="F86"/>
      <c r="G86"/>
      <c r="H86"/>
      <c r="I86"/>
      <c r="J86"/>
    </row>
    <row r="87" spans="1:10">
      <c r="A87"/>
      <c r="B87"/>
      <c r="C87"/>
      <c r="D87"/>
      <c r="E87"/>
      <c r="F87"/>
      <c r="G87"/>
      <c r="H87"/>
      <c r="I87"/>
      <c r="J87"/>
    </row>
    <row r="88" spans="1:10">
      <c r="A88"/>
      <c r="B88"/>
      <c r="C88"/>
      <c r="D88"/>
      <c r="E88"/>
      <c r="F88"/>
      <c r="G88"/>
      <c r="H88"/>
      <c r="I88"/>
      <c r="J88"/>
    </row>
    <row r="89" spans="1:10">
      <c r="A89"/>
      <c r="B89"/>
      <c r="C89"/>
      <c r="D89"/>
      <c r="E89"/>
      <c r="F89"/>
      <c r="G89"/>
      <c r="H89"/>
      <c r="I89"/>
      <c r="J89"/>
    </row>
    <row r="90" spans="1:10">
      <c r="A90"/>
      <c r="B90"/>
      <c r="C90"/>
      <c r="D90"/>
      <c r="E90"/>
      <c r="F90"/>
      <c r="G90"/>
      <c r="H90"/>
      <c r="I90"/>
      <c r="J90"/>
    </row>
    <row r="91" spans="1:10">
      <c r="A91"/>
      <c r="B91"/>
      <c r="C91"/>
      <c r="D91"/>
      <c r="E91"/>
      <c r="F91"/>
      <c r="G91"/>
      <c r="H91"/>
      <c r="I91"/>
      <c r="J91"/>
    </row>
    <row r="92" spans="1:10">
      <c r="A92"/>
      <c r="B92"/>
      <c r="C92"/>
      <c r="D92"/>
      <c r="E92"/>
      <c r="F92"/>
      <c r="G92"/>
      <c r="H92"/>
      <c r="I92"/>
      <c r="J92"/>
    </row>
    <row r="93" spans="1:10">
      <c r="A93"/>
      <c r="B93"/>
      <c r="C93"/>
      <c r="D93"/>
      <c r="E93"/>
      <c r="F93"/>
      <c r="G93"/>
      <c r="H93"/>
      <c r="I93"/>
      <c r="J93"/>
    </row>
    <row r="94" spans="1:10">
      <c r="A94"/>
      <c r="B94"/>
      <c r="C94"/>
      <c r="D94"/>
      <c r="E94"/>
      <c r="F94"/>
      <c r="G94"/>
      <c r="H94"/>
      <c r="I94"/>
      <c r="J94"/>
    </row>
    <row r="95" spans="1:10">
      <c r="A95"/>
      <c r="B95"/>
      <c r="C95"/>
      <c r="D95"/>
      <c r="E95"/>
      <c r="F95"/>
      <c r="G95"/>
      <c r="H95"/>
      <c r="I95"/>
      <c r="J95"/>
    </row>
    <row r="96" spans="1:10">
      <c r="A96"/>
      <c r="B96"/>
      <c r="C96"/>
      <c r="D96"/>
      <c r="E96"/>
      <c r="F96"/>
      <c r="G96"/>
      <c r="H96"/>
      <c r="I96"/>
      <c r="J96"/>
    </row>
    <row r="97" spans="1:10">
      <c r="A97"/>
      <c r="B97"/>
      <c r="C97"/>
      <c r="D97"/>
      <c r="E97"/>
      <c r="F97"/>
      <c r="G97"/>
      <c r="H97"/>
      <c r="I97"/>
      <c r="J9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E277"/>
  <sheetViews>
    <sheetView showGridLines="0" zoomScaleNormal="100" workbookViewId="0">
      <selection activeCell="Q34" sqref="Q34"/>
    </sheetView>
  </sheetViews>
  <sheetFormatPr defaultColWidth="9.109375" defaultRowHeight="11.4"/>
  <cols>
    <col min="1" max="1" width="9.109375" style="170"/>
    <col min="2" max="2" width="12.33203125" style="170" hidden="1" customWidth="1"/>
    <col min="3" max="3" width="11.33203125" style="170" hidden="1" customWidth="1"/>
    <col min="4" max="4" width="24.5546875" style="170" hidden="1" customWidth="1"/>
    <col min="5" max="5" width="16.88671875" style="170" hidden="1" customWidth="1"/>
    <col min="6" max="6" width="38.44140625" style="170" hidden="1" customWidth="1"/>
    <col min="7" max="7" width="11.88671875" style="170" hidden="1" customWidth="1"/>
    <col min="8" max="8" width="8.88671875" style="170" hidden="1" customWidth="1"/>
    <col min="9" max="10" width="9.109375" style="170"/>
    <col min="11" max="11" width="38.44140625" style="170" bestFit="1" customWidth="1"/>
    <col min="12" max="12" width="13" style="170" customWidth="1"/>
    <col min="13" max="13" width="11.6640625" style="170" customWidth="1"/>
    <col min="14" max="14" width="15.109375" style="170" bestFit="1" customWidth="1"/>
    <col min="15" max="16" width="8" style="170" bestFit="1" customWidth="1"/>
    <col min="17" max="17" width="5.6640625" style="170" customWidth="1"/>
    <col min="18" max="18" width="10" style="170" hidden="1" customWidth="1"/>
    <col min="19" max="19" width="12" style="170" hidden="1" customWidth="1"/>
    <col min="20" max="20" width="12.44140625" style="170" hidden="1" customWidth="1"/>
    <col min="21" max="21" width="33.33203125" style="170" hidden="1" customWidth="1"/>
    <col min="22" max="22" width="12" style="170" hidden="1" customWidth="1"/>
    <col min="23" max="23" width="9.109375" style="170" hidden="1" customWidth="1"/>
    <col min="24" max="24" width="22.88671875" style="170" customWidth="1"/>
    <col min="25" max="26" width="9.109375" style="170" customWidth="1"/>
    <col min="27" max="16384" width="9.109375" style="170"/>
  </cols>
  <sheetData>
    <row r="1" spans="1:25" ht="12">
      <c r="A1" s="329" t="str">
        <f ca="1">IFERROR(VALUE(MID(CELL("filename",$A$1),FIND("]",CELL("filename",$A$1))+1,255)),MID(CELL("filename",$A$1),FIND("]",CELL("filename",$A$1))+1,255))</f>
        <v>Tables</v>
      </c>
    </row>
    <row r="2" spans="1:25">
      <c r="A2" s="330" t="str">
        <f>HYPERLINK("#'Contents'!a1","Return to Contents")</f>
        <v>Return to Contents</v>
      </c>
    </row>
    <row r="4" spans="1:25" hidden="1">
      <c r="B4" s="174" t="s">
        <v>8</v>
      </c>
      <c r="C4" s="169" t="s">
        <v>3</v>
      </c>
      <c r="D4" s="169" t="s">
        <v>5</v>
      </c>
      <c r="E4" s="169" t="s">
        <v>141</v>
      </c>
      <c r="F4" s="169" t="s">
        <v>2</v>
      </c>
      <c r="G4" s="169" t="s">
        <v>57</v>
      </c>
      <c r="L4" s="170" t="s">
        <v>282</v>
      </c>
      <c r="M4" s="170" t="s">
        <v>167</v>
      </c>
      <c r="S4" s="199" t="s">
        <v>198</v>
      </c>
    </row>
    <row r="5" spans="1:25" ht="12">
      <c r="B5" s="174"/>
      <c r="C5" s="169"/>
      <c r="D5" s="169"/>
      <c r="E5" s="169"/>
      <c r="F5" s="169"/>
      <c r="G5" s="169"/>
      <c r="I5" s="171" t="s">
        <v>164</v>
      </c>
      <c r="J5" s="171"/>
      <c r="K5" s="172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</row>
    <row r="6" spans="1:25">
      <c r="B6" s="169"/>
      <c r="C6" s="169"/>
      <c r="D6" s="169"/>
      <c r="E6" s="169"/>
      <c r="F6" s="169"/>
      <c r="G6" s="169"/>
      <c r="K6" s="173"/>
    </row>
    <row r="7" spans="1:25">
      <c r="B7" s="169"/>
      <c r="C7" s="169"/>
      <c r="D7" s="169"/>
      <c r="E7" s="169"/>
      <c r="F7" s="169"/>
      <c r="G7" s="169"/>
      <c r="J7" s="170" t="s">
        <v>165</v>
      </c>
      <c r="K7" s="173"/>
    </row>
    <row r="8" spans="1:25">
      <c r="B8" s="169"/>
      <c r="C8" s="169"/>
      <c r="D8" s="169"/>
      <c r="E8" s="169"/>
      <c r="F8" s="169"/>
      <c r="G8" s="169"/>
      <c r="K8" s="173"/>
    </row>
    <row r="9" spans="1:25" s="175" customFormat="1" ht="12">
      <c r="B9" s="174"/>
      <c r="C9" s="169"/>
      <c r="D9" s="169"/>
      <c r="E9" s="169"/>
      <c r="F9" s="169"/>
      <c r="G9" s="169"/>
      <c r="K9" s="176" t="s">
        <v>3</v>
      </c>
      <c r="L9" s="177" t="s">
        <v>166</v>
      </c>
      <c r="M9" s="177" t="s">
        <v>167</v>
      </c>
      <c r="N9" s="177" t="s">
        <v>168</v>
      </c>
    </row>
    <row r="10" spans="1:25">
      <c r="B10" s="169" t="str">
        <f t="shared" ref="B10:B18" si="0">C10&amp;"_"&amp;D10&amp;"_"&amp;E10&amp;"_"&amp;F10&amp;"_"&amp;G10</f>
        <v>Residential_All_All_All_2017</v>
      </c>
      <c r="C10" s="169" t="s">
        <v>1</v>
      </c>
      <c r="D10" s="169" t="s">
        <v>28</v>
      </c>
      <c r="E10" s="169" t="s">
        <v>28</v>
      </c>
      <c r="F10" s="169" t="s">
        <v>28</v>
      </c>
      <c r="G10" s="169">
        <v>2017</v>
      </c>
      <c r="K10" s="178" t="s">
        <v>1</v>
      </c>
      <c r="L10" s="179">
        <f>SUM(L24:L30)</f>
        <v>241733.02499999999</v>
      </c>
      <c r="M10" s="191">
        <f ca="1">INDEX(Analysis!$AP:$AP,MATCH($B10&amp;"_"&amp;M$4,Analysis!$B:$B,0))-SUMIFS(M$12:M$15,$C$12:$C$15,$C10)</f>
        <v>126027.81720000003</v>
      </c>
      <c r="N10" s="180">
        <f t="shared" ref="N10:N18" ca="1" si="1">IFERROR(M10/L10,0)</f>
        <v>0.52135126013501898</v>
      </c>
    </row>
    <row r="11" spans="1:25">
      <c r="B11" s="169" t="str">
        <f t="shared" si="0"/>
        <v>C&amp;I_All_All_All_2017</v>
      </c>
      <c r="C11" s="169" t="s">
        <v>142</v>
      </c>
      <c r="D11" s="169" t="s">
        <v>28</v>
      </c>
      <c r="E11" s="169" t="s">
        <v>28</v>
      </c>
      <c r="F11" s="169" t="s">
        <v>28</v>
      </c>
      <c r="G11" s="169">
        <v>2017</v>
      </c>
      <c r="K11" s="178" t="s">
        <v>169</v>
      </c>
      <c r="L11" s="179">
        <f>SUM(L32:L33)</f>
        <v>477289.53749999998</v>
      </c>
      <c r="M11" s="191">
        <f ca="1">INDEX(Analysis!$AP:$AP,MATCH($B11&amp;"_"&amp;M$4,Analysis!$B:$B,0))-SUMIFS(M$12:M$15,$C$12:$C$15,$C11)</f>
        <v>480082.96030000009</v>
      </c>
      <c r="N11" s="180">
        <f t="shared" ca="1" si="1"/>
        <v>1.005852679726926</v>
      </c>
      <c r="S11" s="170" t="s">
        <v>3418</v>
      </c>
    </row>
    <row r="12" spans="1:25" hidden="1">
      <c r="B12" s="286" t="str">
        <f t="shared" si="0"/>
        <v>Residential_Cross Marketing and Training_All_All_2017</v>
      </c>
      <c r="C12" s="286" t="s">
        <v>1</v>
      </c>
      <c r="D12" s="286" t="s">
        <v>162</v>
      </c>
      <c r="E12" s="286" t="s">
        <v>28</v>
      </c>
      <c r="F12" s="286" t="s">
        <v>28</v>
      </c>
      <c r="G12" s="286">
        <v>2017</v>
      </c>
      <c r="H12" s="287"/>
      <c r="I12" s="287"/>
      <c r="J12" s="287"/>
      <c r="K12" s="288"/>
      <c r="L12" s="289"/>
      <c r="M12" s="290">
        <f ca="1">INDEX(Analysis!$AP:$AP,MATCH($B12&amp;"_"&amp;M$4,Analysis!$B:$B,0))</f>
        <v>54955.978000000003</v>
      </c>
      <c r="N12" s="291">
        <f t="shared" ref="N12:N15" ca="1" si="2">IFERROR(M12/L12,0)</f>
        <v>0</v>
      </c>
    </row>
    <row r="13" spans="1:25" hidden="1">
      <c r="B13" s="286" t="str">
        <f t="shared" si="0"/>
        <v>Residential_General Administration_All_All_2017</v>
      </c>
      <c r="C13" s="286" t="s">
        <v>1</v>
      </c>
      <c r="D13" s="286" t="s">
        <v>163</v>
      </c>
      <c r="E13" s="286" t="s">
        <v>28</v>
      </c>
      <c r="F13" s="286" t="s">
        <v>28</v>
      </c>
      <c r="G13" s="286">
        <v>2017</v>
      </c>
      <c r="H13" s="287"/>
      <c r="I13" s="287"/>
      <c r="J13" s="287"/>
      <c r="K13" s="288"/>
      <c r="L13" s="289"/>
      <c r="M13" s="290">
        <f ca="1">INDEX(Analysis!$AP:$AP,MATCH($B13&amp;"_"&amp;M$4,Analysis!$B:$B,0))</f>
        <v>41089.020000000004</v>
      </c>
      <c r="N13" s="291">
        <f t="shared" ca="1" si="2"/>
        <v>0</v>
      </c>
    </row>
    <row r="14" spans="1:25" hidden="1">
      <c r="B14" s="286" t="str">
        <f t="shared" si="0"/>
        <v>C&amp;I_Cross Marketing and Training_All_All_2017</v>
      </c>
      <c r="C14" s="286" t="s">
        <v>142</v>
      </c>
      <c r="D14" s="286" t="s">
        <v>162</v>
      </c>
      <c r="E14" s="286" t="s">
        <v>28</v>
      </c>
      <c r="F14" s="286" t="s">
        <v>28</v>
      </c>
      <c r="G14" s="286">
        <v>2017</v>
      </c>
      <c r="H14" s="287"/>
      <c r="I14" s="287"/>
      <c r="J14" s="287"/>
      <c r="K14" s="288"/>
      <c r="L14" s="289"/>
      <c r="M14" s="290">
        <f ca="1">INDEX(Analysis!$AP:$AP,MATCH($B14&amp;"_"&amp;M$4,Analysis!$B:$B,0))</f>
        <v>23552.562000000005</v>
      </c>
      <c r="N14" s="291">
        <f t="shared" ca="1" si="2"/>
        <v>0</v>
      </c>
    </row>
    <row r="15" spans="1:25" hidden="1">
      <c r="B15" s="286" t="str">
        <f t="shared" si="0"/>
        <v>C&amp;I_General Administration_All_All_2017</v>
      </c>
      <c r="C15" s="286" t="s">
        <v>142</v>
      </c>
      <c r="D15" s="286" t="s">
        <v>163</v>
      </c>
      <c r="E15" s="286" t="s">
        <v>28</v>
      </c>
      <c r="F15" s="286" t="s">
        <v>28</v>
      </c>
      <c r="G15" s="286">
        <v>2017</v>
      </c>
      <c r="H15" s="287"/>
      <c r="I15" s="287"/>
      <c r="J15" s="287"/>
      <c r="K15" s="288"/>
      <c r="L15" s="289"/>
      <c r="M15" s="290">
        <f ca="1">INDEX(Analysis!$AP:$AP,MATCH($B15&amp;"_"&amp;M$4,Analysis!$B:$B,0))</f>
        <v>41089.020000000004</v>
      </c>
      <c r="N15" s="291">
        <f t="shared" ca="1" si="2"/>
        <v>0</v>
      </c>
    </row>
    <row r="16" spans="1:25">
      <c r="B16" s="169" t="str">
        <f t="shared" si="0"/>
        <v>All_Cross Marketing and Training_All_All_2017</v>
      </c>
      <c r="C16" s="169" t="s">
        <v>28</v>
      </c>
      <c r="D16" s="169" t="s">
        <v>162</v>
      </c>
      <c r="E16" s="169" t="s">
        <v>28</v>
      </c>
      <c r="F16" s="169" t="s">
        <v>28</v>
      </c>
      <c r="G16" s="169">
        <v>2017</v>
      </c>
      <c r="K16" s="178" t="s">
        <v>170</v>
      </c>
      <c r="L16" s="179">
        <f>L34</f>
        <v>119987</v>
      </c>
      <c r="M16" s="191">
        <f ca="1">INDEX(Analysis!$AP:$AP,MATCH($B16&amp;"_"&amp;M$4,Analysis!$B:$B,0))</f>
        <v>78508.540000000008</v>
      </c>
      <c r="N16" s="180">
        <f t="shared" ca="1" si="1"/>
        <v>0.65430871677765101</v>
      </c>
    </row>
    <row r="17" spans="2:31">
      <c r="B17" s="169" t="str">
        <f t="shared" si="0"/>
        <v>All_General Administration_All_All_2017</v>
      </c>
      <c r="C17" s="169" t="s">
        <v>28</v>
      </c>
      <c r="D17" s="169" t="s">
        <v>163</v>
      </c>
      <c r="E17" s="169" t="s">
        <v>28</v>
      </c>
      <c r="F17" s="169" t="s">
        <v>28</v>
      </c>
      <c r="G17" s="169">
        <v>2017</v>
      </c>
      <c r="K17" s="178" t="s">
        <v>163</v>
      </c>
      <c r="L17" s="179">
        <f>L35</f>
        <v>64047</v>
      </c>
      <c r="M17" s="191">
        <f ca="1">INDEX(Analysis!$AP:$AP,MATCH($B17&amp;"_"&amp;M$4,Analysis!$B:$B,0))</f>
        <v>82178.040000000008</v>
      </c>
      <c r="N17" s="180">
        <f t="shared" ca="1" si="1"/>
        <v>1.2830896060705421</v>
      </c>
      <c r="S17" s="573" t="s">
        <v>282</v>
      </c>
      <c r="T17" s="574" t="s">
        <v>167</v>
      </c>
      <c r="U17" s="575" t="s">
        <v>3416</v>
      </c>
    </row>
    <row r="18" spans="2:31" ht="12">
      <c r="B18" s="169" t="str">
        <f t="shared" si="0"/>
        <v>All_All_All_All_2017</v>
      </c>
      <c r="C18" s="169" t="s">
        <v>28</v>
      </c>
      <c r="D18" s="169" t="s">
        <v>28</v>
      </c>
      <c r="E18" s="169" t="s">
        <v>28</v>
      </c>
      <c r="F18" s="169" t="s">
        <v>28</v>
      </c>
      <c r="G18" s="169">
        <v>2017</v>
      </c>
      <c r="K18" s="581" t="s">
        <v>171</v>
      </c>
      <c r="L18" s="582">
        <f>SUM(L10:L17)</f>
        <v>903056.5625</v>
      </c>
      <c r="M18" s="582">
        <f ca="1">INDEX(Analysis!$AP:$AP,MATCH($B18&amp;"_"&amp;M$4,Analysis!$B:$B,0))</f>
        <v>766797.35750000016</v>
      </c>
      <c r="N18" s="583">
        <f t="shared" ca="1" si="1"/>
        <v>0.84911332173614562</v>
      </c>
      <c r="S18" s="576">
        <f>L18/'BHP SD PY2-3 Plan Adj'!W4-1</f>
        <v>0</v>
      </c>
      <c r="T18" s="571">
        <f ca="1">M18/'VDSM Executive Summary'!H40-1</f>
        <v>-3.2603136856934611E-9</v>
      </c>
      <c r="U18" s="577" t="s">
        <v>3417</v>
      </c>
      <c r="V18" s="271"/>
    </row>
    <row r="19" spans="2:31">
      <c r="B19" s="169"/>
      <c r="C19" s="169"/>
      <c r="D19" s="169"/>
      <c r="E19" s="169"/>
      <c r="F19" s="169"/>
      <c r="G19" s="169"/>
      <c r="K19" s="173"/>
      <c r="S19" s="576">
        <f>L43/'BHP SD PY2-3 Plan Adj'!D4-1</f>
        <v>0</v>
      </c>
      <c r="T19" s="571">
        <f ca="1">M43/'VDSM Executive Summary'!D64-1</f>
        <v>-6.8572692433804816E-3</v>
      </c>
      <c r="U19" s="577" t="s">
        <v>3414</v>
      </c>
    </row>
    <row r="20" spans="2:31">
      <c r="B20" s="169"/>
      <c r="C20" s="169"/>
      <c r="D20" s="169"/>
      <c r="E20" s="169"/>
      <c r="F20" s="169"/>
      <c r="G20" s="169"/>
      <c r="J20" s="170" t="s">
        <v>172</v>
      </c>
      <c r="K20" s="173"/>
      <c r="S20" s="576">
        <f>L64/'BHP SD PY2-3 Plan Adj'!E4-1</f>
        <v>0</v>
      </c>
      <c r="T20" s="571">
        <f ca="1">M64/'VDSM Executive Summary'!G64-1</f>
        <v>-2.9306723248276878E-3</v>
      </c>
      <c r="U20" s="577" t="s">
        <v>3415</v>
      </c>
    </row>
    <row r="21" spans="2:31">
      <c r="B21" s="169"/>
      <c r="C21" s="169"/>
      <c r="D21" s="169"/>
      <c r="E21" s="169"/>
      <c r="F21" s="169"/>
      <c r="G21" s="169"/>
      <c r="K21" s="173"/>
      <c r="S21" s="576">
        <f>SUMIFS(L:L,$K:$K,"Energy Impacts (kWh)")/L43-1</f>
        <v>0</v>
      </c>
      <c r="T21" s="571">
        <f ca="1">SUMIFS(M:M,$K:$K,"Energy Impacts (kWh)")/M43-1</f>
        <v>0</v>
      </c>
      <c r="U21" s="577" t="s">
        <v>3411</v>
      </c>
    </row>
    <row r="22" spans="2:31" s="175" customFormat="1" ht="12">
      <c r="B22" s="174"/>
      <c r="C22" s="174"/>
      <c r="D22" s="174"/>
      <c r="E22" s="174"/>
      <c r="F22" s="174"/>
      <c r="G22" s="174"/>
      <c r="K22" s="176" t="s">
        <v>5</v>
      </c>
      <c r="L22" s="177" t="s">
        <v>166</v>
      </c>
      <c r="M22" s="177" t="s">
        <v>167</v>
      </c>
      <c r="N22" s="177" t="s">
        <v>168</v>
      </c>
      <c r="S22" s="576">
        <f>SUMIFS(L:L,$K:$K,"Demand Impacts (kW)")/L64-1</f>
        <v>0</v>
      </c>
      <c r="T22" s="571">
        <f ca="1">SUMIFS(M:M,$K:$K,"Demand Impacts (kW)")/M64-1</f>
        <v>0</v>
      </c>
      <c r="U22" s="577" t="s">
        <v>3412</v>
      </c>
      <c r="Z22" s="170"/>
      <c r="AA22" s="170"/>
      <c r="AB22" s="170"/>
      <c r="AC22" s="170"/>
      <c r="AD22" s="170"/>
      <c r="AE22" s="170"/>
    </row>
    <row r="23" spans="2:31">
      <c r="B23" s="169"/>
      <c r="C23" s="169"/>
      <c r="D23" s="169"/>
      <c r="E23" s="169"/>
      <c r="F23" s="169"/>
      <c r="G23" s="169"/>
      <c r="K23" s="601" t="s">
        <v>173</v>
      </c>
      <c r="L23" s="602"/>
      <c r="M23" s="602"/>
      <c r="N23" s="603"/>
      <c r="S23" s="576">
        <f>SUMIFS(L:L,$K:$K,"Expenditures")/(L36-SUM(L16:L17))-1</f>
        <v>0</v>
      </c>
      <c r="T23" s="571">
        <f ca="1">SUMIFS(M:M,$K:$K,"Expenditures")/(M36-SUM(M16:M17))-1</f>
        <v>0</v>
      </c>
      <c r="U23" s="577" t="s">
        <v>3413</v>
      </c>
    </row>
    <row r="24" spans="2:31">
      <c r="B24" s="169" t="str">
        <f>C24&amp;"_"&amp;D24&amp;"_"&amp;E24&amp;"_"&amp;F24&amp;"_"&amp;G24</f>
        <v>Residential_Residential Lighting_All_All_2017</v>
      </c>
      <c r="C24" s="169" t="s">
        <v>1</v>
      </c>
      <c r="D24" s="169" t="s">
        <v>145</v>
      </c>
      <c r="E24" s="169" t="s">
        <v>28</v>
      </c>
      <c r="F24" s="169" t="s">
        <v>28</v>
      </c>
      <c r="G24" s="169">
        <v>2017</v>
      </c>
      <c r="K24" s="181" t="str">
        <f>D24</f>
        <v>Residential Lighting</v>
      </c>
      <c r="L24" s="179">
        <f>'BHP SD PY2-3 Plan Adj'!$W$8</f>
        <v>36203.199999999997</v>
      </c>
      <c r="M24" s="179">
        <f ca="1">INDEX(Analysis!$AP:$AP,MATCH($B24&amp;"_"&amp;M$4,Analysis!$B:$B,0))</f>
        <v>13112.677199999998</v>
      </c>
      <c r="N24" s="180">
        <f t="shared" ref="N24:N36" ca="1" si="3">IFERROR(M24/L24,0)</f>
        <v>0.36219663455164181</v>
      </c>
      <c r="S24" s="587" t="s">
        <v>140</v>
      </c>
      <c r="T24" s="571">
        <f ca="1">SUMIFS('VDSM Executive Summary'!$H$15:$H$39,'VDSM Executive Summary'!$M$15:$M$39,K24)/M24-1</f>
        <v>2.1353381618460787E-7</v>
      </c>
      <c r="U24" s="577" t="str">
        <f>$J$20&amp;", "&amp;K24</f>
        <v>Budget by Program, Residential Lighting</v>
      </c>
    </row>
    <row r="25" spans="2:31">
      <c r="B25" s="169" t="str">
        <f>C25&amp;"_"&amp;D25&amp;"_"&amp;E25&amp;"_"&amp;F25&amp;"_"&amp;G25</f>
        <v>Residential_Appliance Recycling_All_All_2017</v>
      </c>
      <c r="C25" s="169" t="s">
        <v>1</v>
      </c>
      <c r="D25" s="169" t="s">
        <v>203</v>
      </c>
      <c r="E25" s="169" t="s">
        <v>28</v>
      </c>
      <c r="F25" s="169" t="s">
        <v>28</v>
      </c>
      <c r="G25" s="169">
        <v>2017</v>
      </c>
      <c r="K25" s="181" t="str">
        <f t="shared" ref="K25:K30" si="4">D25</f>
        <v>Appliance Recycling</v>
      </c>
      <c r="L25" s="179">
        <f>'BHP SD PY2-3 Plan Adj'!$W$12</f>
        <v>12630</v>
      </c>
      <c r="M25" s="179">
        <f ca="1">INDEX(Analysis!$AP:$AP,MATCH($B25&amp;"_"&amp;M$4,Analysis!$B:$B,0))</f>
        <v>7544.1899999999987</v>
      </c>
      <c r="N25" s="180">
        <f t="shared" ca="1" si="3"/>
        <v>0.59732304038004735</v>
      </c>
      <c r="S25" s="587" t="s">
        <v>140</v>
      </c>
      <c r="T25" s="571">
        <f ca="1">SUMIFS('VDSM Executive Summary'!$H$15:$H$39,'VDSM Executive Summary'!$M$15:$M$39,K25)/M25-1</f>
        <v>0</v>
      </c>
      <c r="U25" s="577" t="str">
        <f t="shared" ref="U25:U35" si="5">$J$20&amp;", "&amp;K25</f>
        <v>Budget by Program, Appliance Recycling</v>
      </c>
    </row>
    <row r="26" spans="2:31">
      <c r="B26" s="169" t="str">
        <f>C26&amp;"_"&amp;D26&amp;"_"&amp;E26&amp;"_"&amp;F26&amp;"_"&amp;G26</f>
        <v>Residential_High Efficiency HVAC_All_All_2017</v>
      </c>
      <c r="C26" s="169" t="s">
        <v>1</v>
      </c>
      <c r="D26" s="169" t="s">
        <v>205</v>
      </c>
      <c r="E26" s="169" t="s">
        <v>28</v>
      </c>
      <c r="F26" s="169" t="s">
        <v>28</v>
      </c>
      <c r="G26" s="169">
        <v>2017</v>
      </c>
      <c r="K26" s="181" t="str">
        <f t="shared" si="4"/>
        <v>High Efficiency HVAC</v>
      </c>
      <c r="L26" s="179">
        <f>'BHP SD PY2-3 Plan Adj'!$W$15</f>
        <v>62479.95</v>
      </c>
      <c r="M26" s="179">
        <f ca="1">INDEX(Analysis!$AP:$AP,MATCH($B26&amp;"_"&amp;M$4,Analysis!$B:$B,0))</f>
        <v>15471.25</v>
      </c>
      <c r="N26" s="180">
        <f t="shared" ca="1" si="3"/>
        <v>0.24761943631516992</v>
      </c>
      <c r="S26" s="587" t="s">
        <v>140</v>
      </c>
      <c r="T26" s="571">
        <f ca="1">SUMIFS('VDSM Executive Summary'!$H$15:$H$39,'VDSM Executive Summary'!$M$15:$M$39,K26)/M26-1</f>
        <v>0</v>
      </c>
      <c r="U26" s="577" t="str">
        <f t="shared" si="5"/>
        <v>Budget by Program, High Efficiency HVAC</v>
      </c>
    </row>
    <row r="27" spans="2:31">
      <c r="B27" s="169" t="str">
        <f>C27&amp;"_"&amp;D27&amp;"_"&amp;E27&amp;"_"&amp;F27&amp;"_"&amp;G27</f>
        <v>Residential_Whole House Efficiency_All_All_2017</v>
      </c>
      <c r="C27" s="169" t="s">
        <v>1</v>
      </c>
      <c r="D27" s="169" t="s">
        <v>147</v>
      </c>
      <c r="E27" s="169" t="s">
        <v>28</v>
      </c>
      <c r="F27" s="169" t="s">
        <v>28</v>
      </c>
      <c r="G27" s="169">
        <v>2017</v>
      </c>
      <c r="K27" s="181" t="str">
        <f t="shared" si="4"/>
        <v>Whole House Efficiency</v>
      </c>
      <c r="L27" s="179">
        <f>'BHP SD PY2-3 Plan Adj'!$W$26</f>
        <v>33015.625</v>
      </c>
      <c r="M27" s="179">
        <f ca="1">INDEX(Analysis!$AP:$AP,MATCH($B27&amp;"_"&amp;M$4,Analysis!$B:$B,0))</f>
        <v>14765.66</v>
      </c>
      <c r="N27" s="180">
        <f t="shared" ca="1" si="3"/>
        <v>0.44723248461902509</v>
      </c>
      <c r="S27" s="587" t="s">
        <v>140</v>
      </c>
      <c r="T27" s="571">
        <f ca="1">SUMIFS('VDSM Executive Summary'!$H$15:$H$39,'VDSM Executive Summary'!$M$15:$M$39,K27)/M27-1</f>
        <v>0</v>
      </c>
      <c r="U27" s="577" t="str">
        <f t="shared" si="5"/>
        <v>Budget by Program, Whole House Efficiency</v>
      </c>
      <c r="X27" s="570"/>
    </row>
    <row r="28" spans="2:31">
      <c r="B28" s="169" t="str">
        <f>C28&amp;"_"&amp;D28&amp;"_"&amp;E28&amp;"_"&amp;F28&amp;"_"&amp;G28</f>
        <v>Residential_Residential Audit_All_All_2017</v>
      </c>
      <c r="C28" s="169" t="s">
        <v>1</v>
      </c>
      <c r="D28" s="169" t="s">
        <v>144</v>
      </c>
      <c r="E28" s="169" t="s">
        <v>28</v>
      </c>
      <c r="F28" s="169" t="s">
        <v>28</v>
      </c>
      <c r="G28" s="169">
        <v>2017</v>
      </c>
      <c r="K28" s="181" t="str">
        <f t="shared" si="4"/>
        <v>Residential Audit</v>
      </c>
      <c r="L28" s="179">
        <f>'BHP SD PY2-3 Plan Adj'!$W$36</f>
        <v>23203</v>
      </c>
      <c r="M28" s="179">
        <f ca="1">INDEX(Analysis!$AP:$AP,MATCH($B28&amp;"_"&amp;M$4,Analysis!$B:$B,0))</f>
        <v>12780</v>
      </c>
      <c r="N28" s="180">
        <f t="shared" ca="1" si="3"/>
        <v>0.55079084601129169</v>
      </c>
      <c r="S28" s="587" t="s">
        <v>140</v>
      </c>
      <c r="T28" s="571">
        <f ca="1">SUMIFS('VDSM Executive Summary'!$H$15:$H$39,'VDSM Executive Summary'!$M$15:$M$39,K28)/M28-1</f>
        <v>0</v>
      </c>
      <c r="U28" s="577" t="str">
        <f t="shared" si="5"/>
        <v>Budget by Program, Residential Audit</v>
      </c>
    </row>
    <row r="29" spans="2:31">
      <c r="B29" s="169" t="str">
        <f t="shared" ref="B29:B35" si="6">C29&amp;"_"&amp;D29&amp;"_"&amp;E29&amp;"_"&amp;F29&amp;"_"&amp;G29</f>
        <v>Residential_School-Based Education_All_All_2017</v>
      </c>
      <c r="C29" s="169" t="s">
        <v>1</v>
      </c>
      <c r="D29" s="169" t="s">
        <v>224</v>
      </c>
      <c r="E29" s="169" t="s">
        <v>28</v>
      </c>
      <c r="F29" s="169" t="s">
        <v>28</v>
      </c>
      <c r="G29" s="169">
        <v>2017</v>
      </c>
      <c r="K29" s="181" t="str">
        <f t="shared" si="4"/>
        <v>School-Based Education</v>
      </c>
      <c r="L29" s="179">
        <f>'BHP SD PY2-3 Plan Adj'!$W$42</f>
        <v>63150</v>
      </c>
      <c r="M29" s="179">
        <f ca="1">INDEX(Analysis!$AP:$AP,MATCH($B29&amp;"_"&amp;M$4,Analysis!$B:$B,0))</f>
        <v>62222.55</v>
      </c>
      <c r="N29" s="180">
        <f t="shared" ca="1" si="3"/>
        <v>0.98531353919239906</v>
      </c>
      <c r="S29" s="587" t="s">
        <v>140</v>
      </c>
      <c r="T29" s="571">
        <f ca="1">SUMIFS('VDSM Executive Summary'!$H$15:$H$39,'VDSM Executive Summary'!$M$15:$M$39,K29)/M29-1</f>
        <v>0</v>
      </c>
      <c r="U29" s="577" t="str">
        <f t="shared" si="5"/>
        <v>Budget by Program, School-Based Education</v>
      </c>
    </row>
    <row r="30" spans="2:31">
      <c r="B30" s="169" t="str">
        <f t="shared" si="6"/>
        <v>Residential_Weatherization_All_All_2017</v>
      </c>
      <c r="C30" s="169" t="s">
        <v>1</v>
      </c>
      <c r="D30" s="169" t="s">
        <v>83</v>
      </c>
      <c r="E30" s="169" t="s">
        <v>28</v>
      </c>
      <c r="F30" s="169" t="s">
        <v>28</v>
      </c>
      <c r="G30" s="169">
        <v>2017</v>
      </c>
      <c r="K30" s="181" t="str">
        <f t="shared" si="4"/>
        <v>Weatherization</v>
      </c>
      <c r="L30" s="179">
        <f>'BHP SD PY2-3 Plan Adj'!$W$43</f>
        <v>11051.25</v>
      </c>
      <c r="M30" s="179">
        <f ca="1">INDEX(Analysis!$AP:$AP,MATCH($B30&amp;"_"&amp;M$4,Analysis!$B:$B,0))</f>
        <v>131.49</v>
      </c>
      <c r="N30" s="180">
        <f t="shared" ca="1" si="3"/>
        <v>1.1898201560909399E-2</v>
      </c>
      <c r="S30" s="587" t="s">
        <v>140</v>
      </c>
      <c r="T30" s="571">
        <f ca="1">SUMIFS('VDSM Executive Summary'!$H$15:$H$39,'VDSM Executive Summary'!$M$15:$M$39,K30)/M30-1</f>
        <v>0</v>
      </c>
      <c r="U30" s="577" t="str">
        <f t="shared" si="5"/>
        <v>Budget by Program, Weatherization</v>
      </c>
    </row>
    <row r="31" spans="2:31">
      <c r="B31" s="169"/>
      <c r="C31" s="169"/>
      <c r="D31" s="169"/>
      <c r="E31" s="169"/>
      <c r="F31" s="169"/>
      <c r="G31" s="169"/>
      <c r="K31" s="601" t="s">
        <v>174</v>
      </c>
      <c r="L31" s="602"/>
      <c r="M31" s="602"/>
      <c r="N31" s="603"/>
      <c r="S31" s="587"/>
      <c r="T31" s="196"/>
      <c r="U31" s="577"/>
    </row>
    <row r="32" spans="2:31">
      <c r="B32" s="169" t="str">
        <f t="shared" si="6"/>
        <v>C&amp;I_C&amp;I Prescriptive_All_All_2017</v>
      </c>
      <c r="C32" s="169" t="s">
        <v>142</v>
      </c>
      <c r="D32" s="169" t="s">
        <v>228</v>
      </c>
      <c r="E32" s="169" t="s">
        <v>28</v>
      </c>
      <c r="F32" s="169" t="s">
        <v>28</v>
      </c>
      <c r="G32" s="169">
        <v>2017</v>
      </c>
      <c r="K32" s="181" t="str">
        <f>D32</f>
        <v>C&amp;I Prescriptive</v>
      </c>
      <c r="L32" s="179">
        <f>'BHP SD PY2-3 Plan Adj'!$W$55</f>
        <v>217562.21249999999</v>
      </c>
      <c r="M32" s="179">
        <f ca="1">INDEX(Analysis!$AP:$AP,MATCH($B32&amp;"_"&amp;M$4,Analysis!$B:$B,0))</f>
        <v>240109.03034000003</v>
      </c>
      <c r="N32" s="180">
        <f t="shared" ca="1" si="3"/>
        <v>1.1036338874334624</v>
      </c>
      <c r="S32" s="587" t="s">
        <v>140</v>
      </c>
      <c r="T32" s="571">
        <f ca="1">SUMIFS('VDSM Executive Summary'!$H$15:$H$39,'VDSM Executive Summary'!$M$15:$M$39,K32)/M32-1</f>
        <v>-1.4160235206617244E-9</v>
      </c>
      <c r="U32" s="577" t="str">
        <f t="shared" si="5"/>
        <v>Budget by Program, C&amp;I Prescriptive</v>
      </c>
    </row>
    <row r="33" spans="2:31">
      <c r="B33" s="169" t="str">
        <f t="shared" si="6"/>
        <v>C&amp;I_C&amp;I Custom_All_All_2017</v>
      </c>
      <c r="C33" s="169" t="s">
        <v>142</v>
      </c>
      <c r="D33" s="169" t="s">
        <v>187</v>
      </c>
      <c r="E33" s="169" t="s">
        <v>28</v>
      </c>
      <c r="F33" s="169" t="s">
        <v>28</v>
      </c>
      <c r="G33" s="169">
        <v>2017</v>
      </c>
      <c r="K33" s="181" t="str">
        <f>D33</f>
        <v>C&amp;I Custom</v>
      </c>
      <c r="L33" s="179">
        <f>'BHP SD PY2-3 Plan Adj'!$W$54</f>
        <v>259727.32500000001</v>
      </c>
      <c r="M33" s="179">
        <f ca="1">INDEX(Analysis!$AP:$AP,MATCH($B33&amp;"_"&amp;M$4,Analysis!$B:$B,0))</f>
        <v>239973.92996000004</v>
      </c>
      <c r="N33" s="180">
        <f t="shared" ca="1" si="3"/>
        <v>0.92394564168402393</v>
      </c>
      <c r="S33" s="587" t="s">
        <v>140</v>
      </c>
      <c r="T33" s="571">
        <f ca="1">SUMIFS('VDSM Executive Summary'!$H$15:$H$39,'VDSM Executive Summary'!$M$15:$M$39,K33)/M33-1</f>
        <v>1.6668488811433235E-10</v>
      </c>
      <c r="U33" s="577" t="str">
        <f t="shared" si="5"/>
        <v>Budget by Program, C&amp;I Custom</v>
      </c>
    </row>
    <row r="34" spans="2:31">
      <c r="B34" s="169" t="str">
        <f t="shared" si="6"/>
        <v>All_Cross Marketing and Training_All_All_2017</v>
      </c>
      <c r="C34" s="169" t="s">
        <v>28</v>
      </c>
      <c r="D34" s="169" t="s">
        <v>162</v>
      </c>
      <c r="E34" s="169" t="s">
        <v>28</v>
      </c>
      <c r="F34" s="169" t="s">
        <v>28</v>
      </c>
      <c r="G34" s="169">
        <v>2017</v>
      </c>
      <c r="K34" s="178" t="s">
        <v>162</v>
      </c>
      <c r="L34" s="179">
        <f>'BHP SD PY2-3 Plan Adj'!$W$5</f>
        <v>119987</v>
      </c>
      <c r="M34" s="179">
        <f ca="1">INDEX(Analysis!$AP:$AP,MATCH($B34&amp;"_"&amp;M$4,Analysis!$B:$B,0))</f>
        <v>78508.540000000008</v>
      </c>
      <c r="N34" s="180">
        <f t="shared" ca="1" si="3"/>
        <v>0.65430871677765101</v>
      </c>
      <c r="S34" s="587" t="s">
        <v>140</v>
      </c>
      <c r="T34" s="571">
        <f ca="1">SUMIFS('VDSM Executive Summary'!$H$15:$H$39,'VDSM Executive Summary'!$M$15:$M$39,K34)/M34-1</f>
        <v>0</v>
      </c>
      <c r="U34" s="577" t="str">
        <f t="shared" si="5"/>
        <v>Budget by Program, Cross Marketing and Training</v>
      </c>
    </row>
    <row r="35" spans="2:31">
      <c r="B35" s="169" t="str">
        <f t="shared" si="6"/>
        <v>All_General Administration_All_All_2017</v>
      </c>
      <c r="C35" s="169" t="s">
        <v>28</v>
      </c>
      <c r="D35" s="169" t="s">
        <v>163</v>
      </c>
      <c r="E35" s="169" t="s">
        <v>28</v>
      </c>
      <c r="F35" s="169" t="s">
        <v>28</v>
      </c>
      <c r="G35" s="169">
        <v>2017</v>
      </c>
      <c r="K35" s="178" t="s">
        <v>163</v>
      </c>
      <c r="L35" s="179">
        <f>'BHP SD PY2-3 Plan Adj'!$W$6</f>
        <v>64047</v>
      </c>
      <c r="M35" s="179">
        <f ca="1">INDEX(Analysis!$AP:$AP,MATCH($B35&amp;"_"&amp;M$4,Analysis!$B:$B,0))</f>
        <v>82178.040000000008</v>
      </c>
      <c r="N35" s="180">
        <f t="shared" ca="1" si="3"/>
        <v>1.2830896060705421</v>
      </c>
      <c r="S35" s="588" t="s">
        <v>140</v>
      </c>
      <c r="T35" s="578">
        <f ca="1">SUMIFS('VDSM Executive Summary'!$H$15:$H$39,'VDSM Executive Summary'!$M$15:$M$39,K35)/M35-1</f>
        <v>0</v>
      </c>
      <c r="U35" s="579" t="str">
        <f t="shared" si="5"/>
        <v>Budget by Program, General Administration</v>
      </c>
    </row>
    <row r="36" spans="2:31" ht="12">
      <c r="B36" s="169"/>
      <c r="C36" s="169"/>
      <c r="D36" s="169"/>
      <c r="E36" s="169"/>
      <c r="F36" s="169"/>
      <c r="G36" s="169"/>
      <c r="K36" s="581" t="s">
        <v>171</v>
      </c>
      <c r="L36" s="582">
        <f>SUM(L24:L35)</f>
        <v>903056.5625</v>
      </c>
      <c r="M36" s="582">
        <f t="shared" ref="M36" ca="1" si="7">SUM(M24:M35)</f>
        <v>766797.35750000016</v>
      </c>
      <c r="N36" s="583">
        <f t="shared" ca="1" si="3"/>
        <v>0.84911332173614562</v>
      </c>
    </row>
    <row r="37" spans="2:31">
      <c r="B37" s="169"/>
      <c r="C37" s="169"/>
      <c r="D37" s="169"/>
      <c r="E37" s="169"/>
      <c r="F37" s="169"/>
      <c r="G37" s="169"/>
      <c r="K37" s="173"/>
    </row>
    <row r="38" spans="2:31">
      <c r="B38" s="169"/>
      <c r="C38" s="169"/>
      <c r="D38" s="169"/>
      <c r="E38" s="169"/>
      <c r="F38" s="169"/>
      <c r="G38" s="169"/>
      <c r="J38" s="170" t="s">
        <v>175</v>
      </c>
      <c r="K38" s="173"/>
    </row>
    <row r="39" spans="2:31">
      <c r="B39" s="169"/>
      <c r="C39" s="169"/>
      <c r="D39" s="169"/>
      <c r="E39" s="169"/>
      <c r="F39" s="169"/>
      <c r="G39" s="169"/>
      <c r="K39" s="173"/>
    </row>
    <row r="40" spans="2:31" s="175" customFormat="1" ht="12">
      <c r="B40" s="174"/>
      <c r="C40" s="174"/>
      <c r="D40" s="174"/>
      <c r="E40" s="174"/>
      <c r="F40" s="174"/>
      <c r="G40" s="174"/>
      <c r="K40" s="176" t="s">
        <v>3</v>
      </c>
      <c r="L40" s="177" t="s">
        <v>166</v>
      </c>
      <c r="M40" s="177" t="s">
        <v>167</v>
      </c>
      <c r="N40" s="177" t="s">
        <v>168</v>
      </c>
      <c r="Z40" s="170"/>
      <c r="AA40" s="170"/>
      <c r="AB40" s="170"/>
      <c r="AC40" s="170"/>
      <c r="AD40" s="170"/>
      <c r="AE40" s="170"/>
    </row>
    <row r="41" spans="2:31">
      <c r="B41" s="169" t="str">
        <f>C41&amp;"_"&amp;D41&amp;"_"&amp;E41&amp;"_"&amp;F41&amp;"_"&amp;G41</f>
        <v>Residential_All_All_All_2017</v>
      </c>
      <c r="C41" s="169" t="s">
        <v>1</v>
      </c>
      <c r="D41" s="169" t="s">
        <v>28</v>
      </c>
      <c r="E41" s="169" t="s">
        <v>28</v>
      </c>
      <c r="F41" s="169" t="s">
        <v>28</v>
      </c>
      <c r="G41" s="169">
        <v>2017</v>
      </c>
      <c r="K41" s="178" t="str">
        <f>C41</f>
        <v>Residential</v>
      </c>
      <c r="L41" s="182">
        <f>SUM(L48:L54)</f>
        <v>1332460.5390879116</v>
      </c>
      <c r="M41" s="182">
        <f ca="1">INDEX(Analysis!$S:$S,MATCH($B41&amp;"_"&amp;M$4,Analysis!$B:$B,0))</f>
        <v>807391.91512999998</v>
      </c>
      <c r="N41" s="180">
        <f t="shared" ref="N41:N43" ca="1" si="8">IFERROR(M41/L41,0)</f>
        <v>0.60594058243756421</v>
      </c>
      <c r="V41" s="196"/>
    </row>
    <row r="42" spans="2:31">
      <c r="B42" s="169" t="str">
        <f>C42&amp;"_"&amp;D42&amp;"_"&amp;E42&amp;"_"&amp;F42&amp;"_"&amp;G42</f>
        <v>C&amp;I_All_All_All_2017</v>
      </c>
      <c r="C42" s="169" t="s">
        <v>142</v>
      </c>
      <c r="D42" s="169" t="s">
        <v>28</v>
      </c>
      <c r="E42" s="169" t="s">
        <v>28</v>
      </c>
      <c r="F42" s="169" t="s">
        <v>28</v>
      </c>
      <c r="G42" s="169">
        <v>2017</v>
      </c>
      <c r="K42" s="178" t="str">
        <f>C42</f>
        <v>C&amp;I</v>
      </c>
      <c r="L42" s="182">
        <f>SUM(L55:L56)</f>
        <v>5759481.7498756815</v>
      </c>
      <c r="M42" s="182">
        <f ca="1">INDEX(Analysis!$S:$S,MATCH($B42&amp;"_"&amp;M$4,Analysis!$B:$B,0))</f>
        <v>3843016.9483999992</v>
      </c>
      <c r="N42" s="180">
        <f t="shared" ca="1" si="8"/>
        <v>0.66725047761162726</v>
      </c>
    </row>
    <row r="43" spans="2:31" ht="12">
      <c r="B43" s="169" t="str">
        <f>C43&amp;"_"&amp;D43&amp;"_"&amp;E43&amp;"_"&amp;F43&amp;"_"&amp;G43</f>
        <v>All_All_All_All_2017</v>
      </c>
      <c r="C43" s="169" t="s">
        <v>28</v>
      </c>
      <c r="D43" s="169" t="s">
        <v>28</v>
      </c>
      <c r="E43" s="169" t="s">
        <v>28</v>
      </c>
      <c r="F43" s="169" t="s">
        <v>28</v>
      </c>
      <c r="G43" s="169">
        <v>2017</v>
      </c>
      <c r="K43" s="581" t="s">
        <v>171</v>
      </c>
      <c r="L43" s="584">
        <f>SUM(L41:L42)</f>
        <v>7091942.2889635935</v>
      </c>
      <c r="M43" s="584">
        <f ca="1">INDEX(Analysis!$S:$S,MATCH($B43&amp;"_"&amp;M$4,Analysis!$B:$B,0))</f>
        <v>4650408.8635299997</v>
      </c>
      <c r="N43" s="583">
        <f t="shared" ca="1" si="8"/>
        <v>0.65573134608933825</v>
      </c>
    </row>
    <row r="44" spans="2:31">
      <c r="B44" s="169"/>
      <c r="C44" s="169"/>
      <c r="D44" s="169"/>
      <c r="E44" s="169"/>
      <c r="F44" s="169"/>
      <c r="G44" s="169"/>
      <c r="K44" s="173"/>
      <c r="W44" s="198"/>
    </row>
    <row r="45" spans="2:31">
      <c r="B45" s="169"/>
      <c r="C45" s="169"/>
      <c r="D45" s="169"/>
      <c r="E45" s="169"/>
      <c r="F45" s="169"/>
      <c r="G45" s="169"/>
      <c r="J45" s="170" t="s">
        <v>176</v>
      </c>
      <c r="K45" s="173"/>
      <c r="W45" s="198"/>
    </row>
    <row r="46" spans="2:31">
      <c r="B46" s="169"/>
      <c r="C46" s="169"/>
      <c r="D46" s="169"/>
      <c r="E46" s="169"/>
      <c r="F46" s="169"/>
      <c r="G46" s="169"/>
      <c r="K46" s="173"/>
      <c r="W46" s="198"/>
      <c r="Y46" s="201"/>
    </row>
    <row r="47" spans="2:31" s="175" customFormat="1" ht="12">
      <c r="B47" s="174"/>
      <c r="C47" s="174"/>
      <c r="D47" s="174"/>
      <c r="E47" s="174"/>
      <c r="F47" s="174"/>
      <c r="G47" s="174"/>
      <c r="K47" s="176" t="s">
        <v>5</v>
      </c>
      <c r="L47" s="177" t="s">
        <v>166</v>
      </c>
      <c r="M47" s="177" t="s">
        <v>167</v>
      </c>
      <c r="N47" s="177" t="s">
        <v>168</v>
      </c>
      <c r="Z47" s="170"/>
      <c r="AA47" s="170"/>
      <c r="AB47" s="170"/>
      <c r="AC47" s="170"/>
      <c r="AD47" s="170"/>
      <c r="AE47" s="170"/>
    </row>
    <row r="48" spans="2:31">
      <c r="B48" s="169" t="str">
        <f>C48&amp;"_"&amp;D48&amp;"_"&amp;E48&amp;"_"&amp;F48&amp;"_"&amp;G48</f>
        <v>Residential_Residential Lighting_All_All_2017</v>
      </c>
      <c r="C48" s="169" t="s">
        <v>1</v>
      </c>
      <c r="D48" s="169" t="s">
        <v>145</v>
      </c>
      <c r="E48" s="169" t="s">
        <v>28</v>
      </c>
      <c r="F48" s="169" t="s">
        <v>28</v>
      </c>
      <c r="G48" s="169">
        <v>2017</v>
      </c>
      <c r="K48" s="178" t="str">
        <f>D48</f>
        <v>Residential Lighting</v>
      </c>
      <c r="L48" s="182">
        <f>'BHP SD PY2-3 Plan Adj'!$D$8</f>
        <v>193950.86</v>
      </c>
      <c r="M48" s="182">
        <f ca="1">INDEX(Analysis!$S:$S,MATCH($B48&amp;"_"&amp;M$4,Analysis!$B:$B,0))</f>
        <v>72337.012300000002</v>
      </c>
      <c r="N48" s="180">
        <f t="shared" ref="N48:N57" ca="1" si="9">IFERROR(M48/L48,0)</f>
        <v>0.37296566924219882</v>
      </c>
    </row>
    <row r="49" spans="2:25">
      <c r="B49" s="169" t="str">
        <f t="shared" ref="B49:B56" si="10">C49&amp;"_"&amp;D49&amp;"_"&amp;E49&amp;"_"&amp;F49&amp;"_"&amp;G49</f>
        <v>Residential_Appliance Recycling_All_All_2017</v>
      </c>
      <c r="C49" s="169" t="s">
        <v>1</v>
      </c>
      <c r="D49" s="169" t="s">
        <v>203</v>
      </c>
      <c r="E49" s="169" t="s">
        <v>28</v>
      </c>
      <c r="F49" s="169" t="s">
        <v>28</v>
      </c>
      <c r="G49" s="169">
        <v>2017</v>
      </c>
      <c r="K49" s="178" t="str">
        <f t="shared" ref="K49:K56" si="11">D49</f>
        <v>Appliance Recycling</v>
      </c>
      <c r="L49" s="182">
        <f>'BHP SD PY2-3 Plan Adj'!$D$12</f>
        <v>97600</v>
      </c>
      <c r="M49" s="182">
        <f ca="1">INDEX(Analysis!$S:$S,MATCH($B49&amp;"_"&amp;M$4,Analysis!$B:$B,0))</f>
        <v>55428</v>
      </c>
      <c r="N49" s="180">
        <f t="shared" ca="1" si="9"/>
        <v>0.56790983606557377</v>
      </c>
    </row>
    <row r="50" spans="2:25">
      <c r="B50" s="169" t="str">
        <f t="shared" si="10"/>
        <v>Residential_High Efficiency HVAC_All_All_2017</v>
      </c>
      <c r="C50" s="169" t="s">
        <v>1</v>
      </c>
      <c r="D50" s="169" t="s">
        <v>205</v>
      </c>
      <c r="E50" s="169" t="s">
        <v>28</v>
      </c>
      <c r="F50" s="169" t="s">
        <v>28</v>
      </c>
      <c r="G50" s="169">
        <v>2017</v>
      </c>
      <c r="K50" s="178" t="str">
        <f t="shared" si="11"/>
        <v>High Efficiency HVAC</v>
      </c>
      <c r="L50" s="182">
        <f>'BHP SD PY2-3 Plan Adj'!$D$15</f>
        <v>321873.85994562705</v>
      </c>
      <c r="M50" s="182">
        <f ca="1">INDEX(Analysis!$S:$S,MATCH($B50&amp;"_"&amp;M$4,Analysis!$B:$B,0))</f>
        <v>111458.90283000001</v>
      </c>
      <c r="N50" s="180">
        <f t="shared" ca="1" si="9"/>
        <v>0.34628131296163145</v>
      </c>
    </row>
    <row r="51" spans="2:25">
      <c r="B51" s="169" t="str">
        <f t="shared" si="10"/>
        <v>Residential_Whole House Efficiency_All_All_2017</v>
      </c>
      <c r="C51" s="169" t="s">
        <v>1</v>
      </c>
      <c r="D51" s="169" t="s">
        <v>147</v>
      </c>
      <c r="E51" s="169" t="s">
        <v>28</v>
      </c>
      <c r="F51" s="169" t="s">
        <v>28</v>
      </c>
      <c r="G51" s="169">
        <v>2017</v>
      </c>
      <c r="K51" s="178" t="str">
        <f t="shared" si="11"/>
        <v>Whole House Efficiency</v>
      </c>
      <c r="L51" s="182">
        <f>'BHP SD PY2-3 Plan Adj'!$D$26</f>
        <v>113463.16177002643</v>
      </c>
      <c r="M51" s="182">
        <f ca="1">INDEX(Analysis!$S:$S,MATCH($B51&amp;"_"&amp;M$4,Analysis!$B:$B,0))</f>
        <v>36257</v>
      </c>
      <c r="N51" s="180">
        <f t="shared" ca="1" si="9"/>
        <v>0.31954864851631531</v>
      </c>
    </row>
    <row r="52" spans="2:25">
      <c r="B52" s="169" t="str">
        <f t="shared" si="10"/>
        <v>Residential_Residential Audit_All_All_2017</v>
      </c>
      <c r="C52" s="169" t="s">
        <v>1</v>
      </c>
      <c r="D52" s="169" t="s">
        <v>144</v>
      </c>
      <c r="E52" s="169" t="s">
        <v>28</v>
      </c>
      <c r="F52" s="169" t="s">
        <v>28</v>
      </c>
      <c r="G52" s="169">
        <v>2017</v>
      </c>
      <c r="K52" s="178" t="str">
        <f t="shared" si="11"/>
        <v>Residential Audit</v>
      </c>
      <c r="L52" s="182">
        <f>'BHP SD PY2-3 Plan Adj'!$D$36</f>
        <v>79399.544077264174</v>
      </c>
      <c r="M52" s="182">
        <f ca="1">INDEX(Analysis!$S:$S,MATCH($B52&amp;"_"&amp;M$4,Analysis!$B:$B,0))</f>
        <v>47025</v>
      </c>
      <c r="N52" s="180">
        <f t="shared" ca="1" si="9"/>
        <v>0.59225780886398649</v>
      </c>
    </row>
    <row r="53" spans="2:25">
      <c r="B53" s="169" t="str">
        <f t="shared" si="10"/>
        <v>Residential_School-Based Education_All_All_2017</v>
      </c>
      <c r="C53" s="169" t="s">
        <v>1</v>
      </c>
      <c r="D53" s="169" t="s">
        <v>224</v>
      </c>
      <c r="E53" s="169" t="s">
        <v>28</v>
      </c>
      <c r="F53" s="169" t="s">
        <v>28</v>
      </c>
      <c r="G53" s="169">
        <v>2017</v>
      </c>
      <c r="K53" s="178" t="str">
        <f t="shared" si="11"/>
        <v>School-Based Education</v>
      </c>
      <c r="L53" s="182">
        <f>'BHP SD PY2-3 Plan Adj'!$D$42</f>
        <v>476397.26446358504</v>
      </c>
      <c r="M53" s="182">
        <f ca="1">INDEX(Analysis!$S:$S,MATCH($B53&amp;"_"&amp;M$4,Analysis!$B:$B,0))</f>
        <v>477194</v>
      </c>
      <c r="N53" s="180">
        <f t="shared" ca="1" si="9"/>
        <v>1.0016724183698076</v>
      </c>
    </row>
    <row r="54" spans="2:25">
      <c r="B54" s="169" t="str">
        <f t="shared" si="10"/>
        <v>Residential_Weatherization_All_All_2017</v>
      </c>
      <c r="C54" s="169" t="s">
        <v>1</v>
      </c>
      <c r="D54" s="169" t="s">
        <v>83</v>
      </c>
      <c r="E54" s="169" t="s">
        <v>28</v>
      </c>
      <c r="F54" s="169" t="s">
        <v>28</v>
      </c>
      <c r="G54" s="169">
        <v>2017</v>
      </c>
      <c r="K54" s="178" t="str">
        <f t="shared" si="11"/>
        <v>Weatherization</v>
      </c>
      <c r="L54" s="182">
        <f>'BHP SD PY2-3 Plan Adj'!$D$43</f>
        <v>49775.848831409006</v>
      </c>
      <c r="M54" s="182">
        <f ca="1">INDEX(Analysis!$S:$S,MATCH($B54&amp;"_"&amp;M$4,Analysis!$B:$B,0))</f>
        <v>7692</v>
      </c>
      <c r="N54" s="180">
        <f t="shared" ca="1" si="9"/>
        <v>0.15453277403772328</v>
      </c>
    </row>
    <row r="55" spans="2:25">
      <c r="B55" s="169" t="str">
        <f t="shared" si="10"/>
        <v>C&amp;I_C&amp;I Prescriptive_All_All_2017</v>
      </c>
      <c r="C55" s="169" t="s">
        <v>142</v>
      </c>
      <c r="D55" s="169" t="s">
        <v>228</v>
      </c>
      <c r="E55" s="169" t="s">
        <v>28</v>
      </c>
      <c r="F55" s="169" t="s">
        <v>28</v>
      </c>
      <c r="G55" s="169">
        <v>2017</v>
      </c>
      <c r="K55" s="178" t="str">
        <f t="shared" si="11"/>
        <v>C&amp;I Prescriptive</v>
      </c>
      <c r="L55" s="182">
        <f>'BHP SD PY2-3 Plan Adj'!$D$55</f>
        <v>3384728.1598756816</v>
      </c>
      <c r="M55" s="182">
        <f ca="1">INDEX(Analysis!$S:$S,MATCH($B55&amp;"_"&amp;M$4,Analysis!$B:$B,0))</f>
        <v>1831274.4109999996</v>
      </c>
      <c r="N55" s="180">
        <f t="shared" ca="1" si="9"/>
        <v>0.54104032126091361</v>
      </c>
    </row>
    <row r="56" spans="2:25">
      <c r="B56" s="169" t="str">
        <f t="shared" si="10"/>
        <v>C&amp;I_C&amp;I Custom_All_All_2017</v>
      </c>
      <c r="C56" s="169" t="s">
        <v>142</v>
      </c>
      <c r="D56" s="169" t="s">
        <v>187</v>
      </c>
      <c r="E56" s="169" t="s">
        <v>28</v>
      </c>
      <c r="F56" s="169" t="s">
        <v>28</v>
      </c>
      <c r="G56" s="169">
        <v>2017</v>
      </c>
      <c r="K56" s="178" t="str">
        <f t="shared" si="11"/>
        <v>C&amp;I Custom</v>
      </c>
      <c r="L56" s="182">
        <f>'BHP SD PY2-3 Plan Adj'!$D$54</f>
        <v>2374753.59</v>
      </c>
      <c r="M56" s="182">
        <f ca="1">INDEX(Analysis!$S:$S,MATCH($B56&amp;"_"&amp;M$4,Analysis!$B:$B,0))</f>
        <v>2011742.5373999998</v>
      </c>
      <c r="N56" s="180">
        <f t="shared" ca="1" si="9"/>
        <v>0.84713738127247129</v>
      </c>
    </row>
    <row r="57" spans="2:25" ht="12">
      <c r="B57" s="169" t="str">
        <f t="shared" ref="B57" si="12">C57&amp;"_"&amp;D57&amp;"_"&amp;E57&amp;"_"&amp;F57&amp;"_"&amp;G57</f>
        <v>All_All_All_All_2017</v>
      </c>
      <c r="C57" s="169" t="s">
        <v>28</v>
      </c>
      <c r="D57" s="169" t="s">
        <v>28</v>
      </c>
      <c r="E57" s="169" t="s">
        <v>28</v>
      </c>
      <c r="F57" s="169" t="s">
        <v>28</v>
      </c>
      <c r="G57" s="169">
        <v>2017</v>
      </c>
      <c r="K57" s="581" t="s">
        <v>171</v>
      </c>
      <c r="L57" s="584">
        <f>SUM(L48:L56)</f>
        <v>7091942.2889635935</v>
      </c>
      <c r="M57" s="584">
        <f ca="1">INDEX(Analysis!$S:$S,MATCH($B57&amp;"_"&amp;M$4,Analysis!$B:$B,0))</f>
        <v>4650408.8635299997</v>
      </c>
      <c r="N57" s="583">
        <f t="shared" ca="1" si="9"/>
        <v>0.65573134608933825</v>
      </c>
      <c r="S57" s="170" t="b">
        <f>L57=L43</f>
        <v>1</v>
      </c>
      <c r="T57" s="170" t="s">
        <v>3419</v>
      </c>
    </row>
    <row r="58" spans="2:25">
      <c r="B58" s="169"/>
      <c r="C58" s="169"/>
      <c r="D58" s="169"/>
      <c r="E58" s="169"/>
      <c r="F58" s="169"/>
      <c r="G58" s="169"/>
      <c r="K58" s="173"/>
    </row>
    <row r="59" spans="2:25">
      <c r="B59" s="169"/>
      <c r="C59" s="169"/>
      <c r="D59" s="169"/>
      <c r="E59" s="169"/>
      <c r="F59" s="169"/>
      <c r="G59" s="169"/>
      <c r="J59" s="170" t="s">
        <v>177</v>
      </c>
      <c r="K59" s="173"/>
    </row>
    <row r="60" spans="2:25">
      <c r="B60" s="169"/>
      <c r="C60" s="169"/>
      <c r="D60" s="169"/>
      <c r="E60" s="169"/>
      <c r="F60" s="169"/>
      <c r="G60" s="169"/>
      <c r="K60" s="173"/>
    </row>
    <row r="61" spans="2:25" s="175" customFormat="1" ht="12">
      <c r="B61" s="174"/>
      <c r="C61" s="174"/>
      <c r="D61" s="174"/>
      <c r="E61" s="174"/>
      <c r="F61" s="174"/>
      <c r="G61" s="174"/>
      <c r="K61" s="176" t="s">
        <v>3</v>
      </c>
      <c r="L61" s="177" t="s">
        <v>166</v>
      </c>
      <c r="M61" s="177" t="s">
        <v>167</v>
      </c>
      <c r="N61" s="177" t="s">
        <v>168</v>
      </c>
      <c r="V61" s="170"/>
      <c r="W61" s="170"/>
      <c r="X61" s="170"/>
      <c r="Y61" s="170"/>
    </row>
    <row r="62" spans="2:25">
      <c r="B62" s="169" t="str">
        <f>C62&amp;"_"&amp;D62&amp;"_"&amp;E62&amp;"_"&amp;F62&amp;"_"&amp;G62</f>
        <v>Residential_All_All_All_2017</v>
      </c>
      <c r="C62" s="169" t="s">
        <v>1</v>
      </c>
      <c r="D62" s="169" t="s">
        <v>28</v>
      </c>
      <c r="E62" s="169" t="s">
        <v>28</v>
      </c>
      <c r="F62" s="169" t="s">
        <v>28</v>
      </c>
      <c r="G62" s="169">
        <v>2017</v>
      </c>
      <c r="K62" s="178" t="str">
        <f>C62</f>
        <v>Residential</v>
      </c>
      <c r="L62" s="182">
        <f>SUM(L69:L75)</f>
        <v>238.34497743321069</v>
      </c>
      <c r="M62" s="182">
        <f ca="1">INDEX(Analysis!$AA:$AA,MATCH($B62&amp;"_"&amp;M$4,Analysis!$B:$B,0))</f>
        <v>120.49245728000001</v>
      </c>
      <c r="N62" s="180">
        <f t="shared" ref="N62:N64" ca="1" si="13">IFERROR(M62/L62,0)</f>
        <v>0.50553805906719618</v>
      </c>
    </row>
    <row r="63" spans="2:25">
      <c r="B63" s="169" t="str">
        <f>C63&amp;"_"&amp;D63&amp;"_"&amp;E63&amp;"_"&amp;F63&amp;"_"&amp;G63</f>
        <v>C&amp;I_All_All_All_2017</v>
      </c>
      <c r="C63" s="169" t="s">
        <v>142</v>
      </c>
      <c r="D63" s="169" t="s">
        <v>28</v>
      </c>
      <c r="E63" s="169" t="s">
        <v>28</v>
      </c>
      <c r="F63" s="169" t="s">
        <v>28</v>
      </c>
      <c r="G63" s="169">
        <v>2017</v>
      </c>
      <c r="K63" s="178" t="str">
        <f>C63</f>
        <v>C&amp;I</v>
      </c>
      <c r="L63" s="182">
        <f>SUM(L76:L77)</f>
        <v>1314.9880014708524</v>
      </c>
      <c r="M63" s="182">
        <f ca="1">INDEX(Analysis!$AA:$AA,MATCH($B63&amp;"_"&amp;M$4,Analysis!$B:$B,0))</f>
        <v>891.63746299999991</v>
      </c>
      <c r="N63" s="180">
        <f t="shared" ca="1" si="13"/>
        <v>0.67805748950003908</v>
      </c>
    </row>
    <row r="64" spans="2:25" ht="12">
      <c r="B64" s="169" t="str">
        <f>C64&amp;"_"&amp;D64&amp;"_"&amp;E64&amp;"_"&amp;F64&amp;"_"&amp;G64</f>
        <v>All_All_All_All_2017</v>
      </c>
      <c r="C64" s="169" t="s">
        <v>28</v>
      </c>
      <c r="D64" s="169" t="s">
        <v>28</v>
      </c>
      <c r="E64" s="169" t="s">
        <v>28</v>
      </c>
      <c r="F64" s="169" t="s">
        <v>28</v>
      </c>
      <c r="G64" s="169">
        <v>2017</v>
      </c>
      <c r="K64" s="581" t="s">
        <v>171</v>
      </c>
      <c r="L64" s="584">
        <f>SUM(L62:L63)</f>
        <v>1553.3329789040631</v>
      </c>
      <c r="M64" s="584">
        <f ca="1">INDEX(Analysis!$AA:$AA,MATCH($B64&amp;"_"&amp;M$4,Analysis!$B:$B,0))</f>
        <v>1012.12992028</v>
      </c>
      <c r="N64" s="583">
        <f t="shared" ca="1" si="13"/>
        <v>0.6515859342625282</v>
      </c>
    </row>
    <row r="65" spans="2:25">
      <c r="B65" s="169"/>
      <c r="C65" s="169"/>
      <c r="D65" s="169"/>
      <c r="E65" s="169"/>
      <c r="F65" s="169"/>
      <c r="G65" s="169"/>
      <c r="K65" s="173"/>
    </row>
    <row r="66" spans="2:25">
      <c r="B66" s="169"/>
      <c r="C66" s="169"/>
      <c r="D66" s="169"/>
      <c r="E66" s="169"/>
      <c r="F66" s="169"/>
      <c r="G66" s="169"/>
      <c r="J66" s="170" t="s">
        <v>178</v>
      </c>
      <c r="K66" s="173"/>
    </row>
    <row r="67" spans="2:25">
      <c r="B67" s="169"/>
      <c r="C67" s="169"/>
      <c r="D67" s="169"/>
      <c r="E67" s="169"/>
      <c r="F67" s="169"/>
      <c r="G67" s="169"/>
      <c r="K67" s="173"/>
    </row>
    <row r="68" spans="2:25" s="175" customFormat="1" ht="12">
      <c r="B68" s="174"/>
      <c r="C68" s="174"/>
      <c r="D68" s="174"/>
      <c r="E68" s="174"/>
      <c r="F68" s="174"/>
      <c r="G68" s="174"/>
      <c r="K68" s="176" t="s">
        <v>5</v>
      </c>
      <c r="L68" s="177" t="s">
        <v>166</v>
      </c>
      <c r="M68" s="177" t="s">
        <v>167</v>
      </c>
      <c r="N68" s="177" t="s">
        <v>168</v>
      </c>
      <c r="V68" s="170"/>
      <c r="W68" s="170"/>
      <c r="X68" s="170"/>
      <c r="Y68" s="170"/>
    </row>
    <row r="69" spans="2:25">
      <c r="B69" s="169" t="str">
        <f>C69&amp;"_"&amp;D69&amp;"_"&amp;E69&amp;"_"&amp;F69&amp;"_"&amp;G69</f>
        <v>Residential_Residential Lighting_All_All_2017</v>
      </c>
      <c r="C69" s="169" t="s">
        <v>1</v>
      </c>
      <c r="D69" s="169" t="s">
        <v>145</v>
      </c>
      <c r="E69" s="169" t="s">
        <v>28</v>
      </c>
      <c r="F69" s="169" t="s">
        <v>28</v>
      </c>
      <c r="G69" s="169">
        <v>2017</v>
      </c>
      <c r="K69" s="178" t="str">
        <f>D69</f>
        <v>Residential Lighting</v>
      </c>
      <c r="L69" s="182">
        <f>'BHP SD PY2-3 Plan Adj'!$E$8</f>
        <v>22.821440368074065</v>
      </c>
      <c r="M69" s="182">
        <f ca="1">INDEX(Analysis!$AA:$AA,MATCH($B69&amp;"_"&amp;M$4,Analysis!$B:$B,0))</f>
        <v>8.5052572799999986</v>
      </c>
      <c r="N69" s="180">
        <f t="shared" ref="N69:N78" ca="1" si="14">IFERROR(M69/L69,0)</f>
        <v>0.37268713730700292</v>
      </c>
    </row>
    <row r="70" spans="2:25">
      <c r="B70" s="169" t="str">
        <f t="shared" ref="B70:B78" si="15">C70&amp;"_"&amp;D70&amp;"_"&amp;E70&amp;"_"&amp;F70&amp;"_"&amp;G70</f>
        <v>Residential_Appliance Recycling_All_All_2017</v>
      </c>
      <c r="C70" s="169" t="s">
        <v>1</v>
      </c>
      <c r="D70" s="169" t="s">
        <v>203</v>
      </c>
      <c r="E70" s="169" t="s">
        <v>28</v>
      </c>
      <c r="F70" s="169" t="s">
        <v>28</v>
      </c>
      <c r="G70" s="169">
        <v>2017</v>
      </c>
      <c r="K70" s="178" t="str">
        <f t="shared" ref="K70:K77" si="16">D70</f>
        <v>Appliance Recycling</v>
      </c>
      <c r="L70" s="182">
        <f>'BHP SD PY2-3 Plan Adj'!$E$12</f>
        <v>11.141552511415526</v>
      </c>
      <c r="M70" s="182">
        <f ca="1">INDEX(Analysis!$AA:$AA,MATCH($B70&amp;"_"&amp;M$4,Analysis!$B:$B,0))</f>
        <v>6.320999999999998</v>
      </c>
      <c r="N70" s="180">
        <f t="shared" ca="1" si="14"/>
        <v>0.56733565573770472</v>
      </c>
    </row>
    <row r="71" spans="2:25">
      <c r="B71" s="169" t="str">
        <f t="shared" si="15"/>
        <v>Residential_High Efficiency HVAC_All_All_2017</v>
      </c>
      <c r="C71" s="169" t="s">
        <v>1</v>
      </c>
      <c r="D71" s="169" t="s">
        <v>205</v>
      </c>
      <c r="E71" s="169" t="s">
        <v>28</v>
      </c>
      <c r="F71" s="169" t="s">
        <v>28</v>
      </c>
      <c r="G71" s="169">
        <v>2017</v>
      </c>
      <c r="K71" s="178" t="str">
        <f t="shared" si="16"/>
        <v>High Efficiency HVAC</v>
      </c>
      <c r="L71" s="182">
        <f>'BHP SD PY2-3 Plan Adj'!$E$15</f>
        <v>112.39992286241764</v>
      </c>
      <c r="M71" s="182">
        <f ca="1">INDEX(Analysis!$AA:$AA,MATCH($B71&amp;"_"&amp;M$4,Analysis!$B:$B,0))</f>
        <v>42.024200000000008</v>
      </c>
      <c r="N71" s="180">
        <f t="shared" ca="1" si="14"/>
        <v>0.37388103950426588</v>
      </c>
    </row>
    <row r="72" spans="2:25">
      <c r="B72" s="169" t="str">
        <f t="shared" si="15"/>
        <v>Residential_Whole House Efficiency_All_All_2017</v>
      </c>
      <c r="C72" s="169" t="s">
        <v>1</v>
      </c>
      <c r="D72" s="169" t="s">
        <v>147</v>
      </c>
      <c r="E72" s="169" t="s">
        <v>28</v>
      </c>
      <c r="F72" s="169" t="s">
        <v>28</v>
      </c>
      <c r="G72" s="169">
        <v>2017</v>
      </c>
      <c r="K72" s="178" t="str">
        <f t="shared" si="16"/>
        <v>Whole House Efficiency</v>
      </c>
      <c r="L72" s="182">
        <f>'BHP SD PY2-3 Plan Adj'!$E$26</f>
        <v>28.905120123802426</v>
      </c>
      <c r="M72" s="182">
        <f ca="1">INDEX(Analysis!$AA:$AA,MATCH($B72&amp;"_"&amp;M$4,Analysis!$B:$B,0))</f>
        <v>9.4180000000000081</v>
      </c>
      <c r="N72" s="180">
        <f t="shared" ca="1" si="14"/>
        <v>0.32582462759753733</v>
      </c>
    </row>
    <row r="73" spans="2:25">
      <c r="B73" s="169" t="str">
        <f t="shared" si="15"/>
        <v>Residential_Residential Audit_All_All_2017</v>
      </c>
      <c r="C73" s="169" t="s">
        <v>1</v>
      </c>
      <c r="D73" s="169" t="s">
        <v>144</v>
      </c>
      <c r="E73" s="169" t="s">
        <v>28</v>
      </c>
      <c r="F73" s="169" t="s">
        <v>28</v>
      </c>
      <c r="G73" s="169">
        <v>2017</v>
      </c>
      <c r="K73" s="178" t="str">
        <f t="shared" si="16"/>
        <v>Residential Audit</v>
      </c>
      <c r="L73" s="182">
        <f>'BHP SD PY2-3 Plan Adj'!$E$36</f>
        <v>8.0018171584689668</v>
      </c>
      <c r="M73" s="182">
        <f ca="1">INDEX(Analysis!$AA:$AA,MATCH($B73&amp;"_"&amp;M$4,Analysis!$B:$B,0))</f>
        <v>4.9499999999999993</v>
      </c>
      <c r="N73" s="180">
        <f t="shared" ca="1" si="14"/>
        <v>0.61860948606667621</v>
      </c>
    </row>
    <row r="74" spans="2:25">
      <c r="B74" s="169" t="str">
        <f t="shared" si="15"/>
        <v>Residential_School-Based Education_All_All_2017</v>
      </c>
      <c r="C74" s="169" t="s">
        <v>1</v>
      </c>
      <c r="D74" s="169" t="s">
        <v>224</v>
      </c>
      <c r="E74" s="169" t="s">
        <v>28</v>
      </c>
      <c r="F74" s="169" t="s">
        <v>28</v>
      </c>
      <c r="G74" s="169">
        <v>2017</v>
      </c>
      <c r="K74" s="178" t="str">
        <f t="shared" si="16"/>
        <v>School-Based Education</v>
      </c>
      <c r="L74" s="182">
        <f>'BHP SD PY2-3 Plan Adj'!$E$42</f>
        <v>48.010902950813801</v>
      </c>
      <c r="M74" s="182">
        <f ca="1">INDEX(Analysis!$AA:$AA,MATCH($B74&amp;"_"&amp;M$4,Analysis!$B:$B,0))</f>
        <v>48.079999999999984</v>
      </c>
      <c r="N74" s="180">
        <f t="shared" ca="1" si="14"/>
        <v>1.0014391949523835</v>
      </c>
      <c r="W74" s="183"/>
    </row>
    <row r="75" spans="2:25">
      <c r="B75" s="169" t="str">
        <f t="shared" si="15"/>
        <v>Residential_Weatherization_All_All_2017</v>
      </c>
      <c r="C75" s="169" t="s">
        <v>1</v>
      </c>
      <c r="D75" s="169" t="s">
        <v>83</v>
      </c>
      <c r="E75" s="169" t="s">
        <v>28</v>
      </c>
      <c r="F75" s="169" t="s">
        <v>28</v>
      </c>
      <c r="G75" s="169">
        <v>2017</v>
      </c>
      <c r="K75" s="178" t="str">
        <f t="shared" si="16"/>
        <v>Weatherization</v>
      </c>
      <c r="L75" s="182">
        <f>'BHP SD PY2-3 Plan Adj'!$E$43</f>
        <v>7.0642214582183032</v>
      </c>
      <c r="M75" s="182">
        <f ca="1">INDEX(Analysis!$AA:$AA,MATCH($B75&amp;"_"&amp;M$4,Analysis!$B:$B,0))</f>
        <v>1.194</v>
      </c>
      <c r="N75" s="180">
        <f t="shared" ca="1" si="14"/>
        <v>0.16902074872113984</v>
      </c>
      <c r="W75" s="183"/>
    </row>
    <row r="76" spans="2:25">
      <c r="B76" s="169" t="str">
        <f t="shared" si="15"/>
        <v>C&amp;I_C&amp;I Prescriptive_All_All_2017</v>
      </c>
      <c r="C76" s="169" t="s">
        <v>142</v>
      </c>
      <c r="D76" s="169" t="s">
        <v>228</v>
      </c>
      <c r="E76" s="169" t="s">
        <v>28</v>
      </c>
      <c r="F76" s="169" t="s">
        <v>28</v>
      </c>
      <c r="G76" s="169">
        <v>2017</v>
      </c>
      <c r="K76" s="178" t="str">
        <f t="shared" si="16"/>
        <v>C&amp;I Prescriptive</v>
      </c>
      <c r="L76" s="182">
        <f>'BHP SD PY2-3 Plan Adj'!$E$55</f>
        <v>725.89583480418582</v>
      </c>
      <c r="M76" s="182">
        <f ca="1">INDEX(Analysis!$AA:$AA,MATCH($B76&amp;"_"&amp;M$4,Analysis!$B:$B,0))</f>
        <v>397.78709299999991</v>
      </c>
      <c r="N76" s="180">
        <f t="shared" ca="1" si="14"/>
        <v>0.5479947313753426</v>
      </c>
      <c r="U76" s="183"/>
      <c r="W76" s="183"/>
    </row>
    <row r="77" spans="2:25">
      <c r="B77" s="169" t="str">
        <f t="shared" si="15"/>
        <v>C&amp;I_C&amp;I Custom_All_All_2017</v>
      </c>
      <c r="C77" s="169" t="s">
        <v>142</v>
      </c>
      <c r="D77" s="169" t="s">
        <v>187</v>
      </c>
      <c r="E77" s="169" t="s">
        <v>28</v>
      </c>
      <c r="F77" s="169" t="s">
        <v>28</v>
      </c>
      <c r="G77" s="169">
        <v>2017</v>
      </c>
      <c r="K77" s="178" t="str">
        <f t="shared" si="16"/>
        <v>C&amp;I Custom</v>
      </c>
      <c r="L77" s="182">
        <f>'BHP SD PY2-3 Plan Adj'!$E$54</f>
        <v>589.09216666666669</v>
      </c>
      <c r="M77" s="182">
        <f ca="1">INDEX(Analysis!$AA:$AA,MATCH($B77&amp;"_"&amp;M$4,Analysis!$B:$B,0))</f>
        <v>493.85037</v>
      </c>
      <c r="N77" s="180">
        <f t="shared" ca="1" si="14"/>
        <v>0.83832445573740155</v>
      </c>
      <c r="U77" s="183"/>
      <c r="V77" s="183"/>
      <c r="W77" s="183"/>
    </row>
    <row r="78" spans="2:25" ht="12">
      <c r="B78" s="169" t="str">
        <f t="shared" si="15"/>
        <v>All_All_All_All_2017</v>
      </c>
      <c r="C78" s="169" t="s">
        <v>28</v>
      </c>
      <c r="D78" s="169" t="s">
        <v>28</v>
      </c>
      <c r="E78" s="169" t="s">
        <v>28</v>
      </c>
      <c r="F78" s="169" t="s">
        <v>28</v>
      </c>
      <c r="G78" s="169">
        <v>2017</v>
      </c>
      <c r="K78" s="581" t="s">
        <v>171</v>
      </c>
      <c r="L78" s="584">
        <f>SUM(L69:L77)</f>
        <v>1553.3329789040631</v>
      </c>
      <c r="M78" s="584">
        <f ca="1">INDEX(Analysis!$AA:$AA,MATCH($B78&amp;"_"&amp;M$4,Analysis!$B:$B,0))</f>
        <v>1012.12992028</v>
      </c>
      <c r="N78" s="583">
        <f t="shared" ca="1" si="14"/>
        <v>0.6515859342625282</v>
      </c>
      <c r="S78" s="170" t="b">
        <f>L78=L64</f>
        <v>1</v>
      </c>
      <c r="T78" s="170" t="s">
        <v>3419</v>
      </c>
      <c r="U78" s="183"/>
      <c r="V78" s="183"/>
      <c r="W78" s="183"/>
    </row>
    <row r="79" spans="2:25">
      <c r="B79" s="169"/>
      <c r="C79" s="169"/>
      <c r="D79" s="169"/>
      <c r="E79" s="169"/>
      <c r="F79" s="169"/>
      <c r="G79" s="169"/>
      <c r="K79" s="184"/>
      <c r="L79" s="185"/>
      <c r="M79" s="185"/>
      <c r="N79" s="186"/>
      <c r="U79" s="183"/>
      <c r="V79" s="183"/>
    </row>
    <row r="80" spans="2:25">
      <c r="B80" s="169"/>
      <c r="C80" s="169"/>
      <c r="D80" s="169"/>
      <c r="E80" s="169"/>
      <c r="F80" s="169"/>
      <c r="G80" s="169"/>
      <c r="J80" s="170" t="s">
        <v>179</v>
      </c>
      <c r="K80" s="184"/>
      <c r="L80" s="185"/>
      <c r="M80" s="185"/>
      <c r="N80" s="186"/>
      <c r="U80" s="183"/>
      <c r="V80" s="183"/>
    </row>
    <row r="81" spans="2:26">
      <c r="B81" s="169"/>
      <c r="C81" s="169"/>
      <c r="D81" s="169"/>
      <c r="E81" s="169"/>
      <c r="F81" s="169"/>
      <c r="G81" s="169"/>
      <c r="K81" s="184"/>
      <c r="L81" s="185">
        <v>1</v>
      </c>
      <c r="M81" s="185">
        <v>2</v>
      </c>
      <c r="N81" s="185">
        <v>3</v>
      </c>
      <c r="O81" s="198">
        <v>4</v>
      </c>
      <c r="P81" s="198">
        <v>5</v>
      </c>
      <c r="S81" s="183"/>
    </row>
    <row r="82" spans="2:26" s="175" customFormat="1" ht="12">
      <c r="B82" s="174"/>
      <c r="C82" s="174"/>
      <c r="D82" s="174"/>
      <c r="E82" s="174"/>
      <c r="F82" s="174"/>
      <c r="G82" s="174"/>
      <c r="K82" s="176" t="s">
        <v>3</v>
      </c>
      <c r="L82" s="177" t="s">
        <v>4</v>
      </c>
      <c r="M82" s="177" t="s">
        <v>15</v>
      </c>
      <c r="N82" s="177" t="s">
        <v>180</v>
      </c>
      <c r="O82" s="177" t="s">
        <v>16</v>
      </c>
      <c r="P82" s="177" t="s">
        <v>6</v>
      </c>
    </row>
    <row r="83" spans="2:26">
      <c r="B83" s="169" t="str">
        <f>C83&amp;"_"&amp;D83&amp;"_"&amp;E83&amp;"_"&amp;F83&amp;"_"&amp;G83</f>
        <v>Residential_All_All_All_2017</v>
      </c>
      <c r="C83" s="169" t="s">
        <v>1</v>
      </c>
      <c r="D83" s="169" t="s">
        <v>28</v>
      </c>
      <c r="E83" s="169" t="s">
        <v>28</v>
      </c>
      <c r="F83" s="169" t="s">
        <v>28</v>
      </c>
      <c r="G83" s="169">
        <v>2017</v>
      </c>
      <c r="K83" s="187" t="str">
        <f>C83</f>
        <v>Residential</v>
      </c>
      <c r="L83" s="188">
        <f ca="1">INDEX(Analysis!$HB:$HB,MATCH($B83&amp;"_"&amp;$M$9,Analysis!$B:$B,0))</f>
        <v>0.83437708076722727</v>
      </c>
      <c r="M83" s="188">
        <f ca="1">INDEX(Analysis!HC:HC,MATCH($B83&amp;"_"&amp;$M$9,Analysis!$B:$B,0))</f>
        <v>0.97928922550745157</v>
      </c>
      <c r="N83" s="188">
        <f ca="1">INDEX(Analysis!HD:HD,MATCH($B83&amp;"_"&amp;$M$9,Analysis!$B:$B,0))</f>
        <v>1.0387143555092924</v>
      </c>
      <c r="O83" s="188">
        <f ca="1">INDEX(Analysis!HE:HE,MATCH($B83&amp;"_"&amp;$M$9,Analysis!$B:$B,0))</f>
        <v>10.717266211346564</v>
      </c>
      <c r="P83" s="188">
        <f ca="1">INDEX(Analysis!HF:HF,MATCH($B83&amp;"_"&amp;$M$9,Analysis!$B:$B,0))</f>
        <v>0.24997239517820893</v>
      </c>
      <c r="T83" s="580"/>
      <c r="U83" s="580"/>
      <c r="V83" s="580"/>
      <c r="W83" s="580"/>
      <c r="X83" s="580"/>
      <c r="Y83" s="580"/>
      <c r="Z83" s="580"/>
    </row>
    <row r="84" spans="2:26">
      <c r="B84" s="169" t="str">
        <f>C84&amp;"_"&amp;D84&amp;"_"&amp;E84&amp;"_"&amp;F84&amp;"_"&amp;G84</f>
        <v>C&amp;I_All_All_All_2017</v>
      </c>
      <c r="C84" s="169" t="s">
        <v>142</v>
      </c>
      <c r="D84" s="169" t="s">
        <v>28</v>
      </c>
      <c r="E84" s="169" t="s">
        <v>28</v>
      </c>
      <c r="F84" s="169" t="s">
        <v>28</v>
      </c>
      <c r="G84" s="169">
        <v>2017</v>
      </c>
      <c r="K84" s="178" t="str">
        <f>C84</f>
        <v>C&amp;I</v>
      </c>
      <c r="L84" s="188">
        <f ca="1">INDEX(Analysis!$HB:$HB,MATCH($B84&amp;"_"&amp;$M$9,Analysis!$B:$B,0))</f>
        <v>1.9889148908644831</v>
      </c>
      <c r="M84" s="188">
        <f ca="1">INDEX(Analysis!HC:HC,MATCH($B84&amp;"_"&amp;$M$9,Analysis!$B:$B,0))</f>
        <v>3.1657578653540321</v>
      </c>
      <c r="N84" s="188">
        <f ca="1">INDEX(Analysis!HD:HD,MATCH($B84&amp;"_"&amp;$M$9,Analysis!$B:$B,0))</f>
        <v>2.4497923458669142</v>
      </c>
      <c r="O84" s="188">
        <f ca="1">INDEX(Analysis!HE:HE,MATCH($B84&amp;"_"&amp;$M$9,Analysis!$B:$B,0))</f>
        <v>5.806893965594079</v>
      </c>
      <c r="P84" s="188">
        <f ca="1">INDEX(Analysis!HF:HF,MATCH($B84&amp;"_"&amp;$M$9,Analysis!$B:$B,0))</f>
        <v>0.38674775765126451</v>
      </c>
      <c r="T84" s="580"/>
      <c r="U84" s="580"/>
      <c r="V84" s="580"/>
      <c r="W84" s="580"/>
      <c r="X84" s="580"/>
      <c r="Y84" s="580"/>
      <c r="Z84" s="580"/>
    </row>
    <row r="85" spans="2:26" ht="12">
      <c r="B85" s="169" t="str">
        <f>C85&amp;"_"&amp;D85&amp;"_"&amp;E85&amp;"_"&amp;F85&amp;"_"&amp;G85</f>
        <v>All_All_All_All_2017</v>
      </c>
      <c r="C85" s="169" t="s">
        <v>28</v>
      </c>
      <c r="D85" s="169" t="s">
        <v>28</v>
      </c>
      <c r="E85" s="169" t="s">
        <v>28</v>
      </c>
      <c r="F85" s="169" t="s">
        <v>28</v>
      </c>
      <c r="G85" s="169">
        <v>2017</v>
      </c>
      <c r="K85" s="585" t="s">
        <v>171</v>
      </c>
      <c r="L85" s="586">
        <f ca="1">INDEX(Analysis!$HB:$HB,MATCH($B85&amp;"_"&amp;$M$9,Analysis!$B:$B,0))</f>
        <v>1.7220655431106615</v>
      </c>
      <c r="M85" s="586">
        <f ca="1">INDEX(Analysis!HC:HC,MATCH($B85&amp;"_"&amp;$M$9,Analysis!$B:$B,0))</f>
        <v>2.5325328790547736</v>
      </c>
      <c r="N85" s="586">
        <f ca="1">INDEX(Analysis!HD:HD,MATCH($B85&amp;"_"&amp;$M$9,Analysis!$B:$B,0))</f>
        <v>2.1236486387803657</v>
      </c>
      <c r="O85" s="586">
        <f ca="1">INDEX(Analysis!HE:HE,MATCH($B85&amp;"_"&amp;$M$9,Analysis!$B:$B,0))</f>
        <v>6.1870699288762951</v>
      </c>
      <c r="P85" s="586">
        <f ca="1">INDEX(Analysis!HF:HF,MATCH($B85&amp;"_"&amp;$M$9,Analysis!$B:$B,0))</f>
        <v>0.36441788818394022</v>
      </c>
      <c r="T85" s="580"/>
      <c r="U85" s="580"/>
      <c r="V85" s="580"/>
      <c r="W85" s="580"/>
      <c r="X85" s="580"/>
      <c r="Y85" s="580"/>
      <c r="Z85" s="580"/>
    </row>
    <row r="86" spans="2:26">
      <c r="B86" s="169"/>
      <c r="C86" s="169"/>
      <c r="D86" s="169"/>
      <c r="E86" s="169"/>
      <c r="F86" s="169"/>
      <c r="G86" s="169"/>
      <c r="K86" s="173"/>
    </row>
    <row r="87" spans="2:26" ht="12">
      <c r="B87" s="169"/>
      <c r="C87" s="169"/>
      <c r="D87" s="169"/>
      <c r="E87" s="169"/>
      <c r="F87" s="169"/>
      <c r="G87" s="169"/>
      <c r="I87" s="171" t="s">
        <v>145</v>
      </c>
      <c r="J87" s="171"/>
      <c r="K87" s="172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</row>
    <row r="88" spans="2:26">
      <c r="B88" s="169"/>
      <c r="C88" s="169"/>
      <c r="D88" s="169"/>
      <c r="E88" s="169"/>
      <c r="F88" s="169"/>
      <c r="G88" s="169"/>
      <c r="K88" s="173"/>
    </row>
    <row r="89" spans="2:26">
      <c r="B89" s="169"/>
      <c r="C89" s="169"/>
      <c r="D89" s="169"/>
      <c r="E89" s="169"/>
      <c r="F89" s="169"/>
      <c r="G89" s="169"/>
      <c r="J89" s="170" t="s">
        <v>181</v>
      </c>
      <c r="K89" s="173"/>
    </row>
    <row r="90" spans="2:26">
      <c r="B90" s="169"/>
      <c r="C90" s="169"/>
      <c r="D90" s="169"/>
      <c r="E90" s="169"/>
      <c r="F90" s="169"/>
      <c r="G90" s="169"/>
      <c r="K90" s="173"/>
    </row>
    <row r="91" spans="2:26" s="175" customFormat="1" ht="12">
      <c r="B91" s="174"/>
      <c r="C91" s="174"/>
      <c r="D91" s="174"/>
      <c r="E91" s="174"/>
      <c r="F91" s="174"/>
      <c r="G91" s="174"/>
      <c r="K91" s="176"/>
      <c r="L91" s="177" t="s">
        <v>166</v>
      </c>
      <c r="M91" s="177" t="s">
        <v>167</v>
      </c>
      <c r="N91" s="177" t="s">
        <v>168</v>
      </c>
    </row>
    <row r="92" spans="2:26">
      <c r="B92" s="169"/>
      <c r="C92" s="169" t="s">
        <v>3</v>
      </c>
      <c r="D92" s="169" t="s">
        <v>5</v>
      </c>
      <c r="E92" s="169" t="s">
        <v>141</v>
      </c>
      <c r="F92" s="169" t="s">
        <v>2</v>
      </c>
      <c r="G92" s="169" t="s">
        <v>57</v>
      </c>
      <c r="K92" s="187" t="s">
        <v>7</v>
      </c>
      <c r="L92" s="189"/>
      <c r="M92" s="189"/>
      <c r="N92" s="189"/>
      <c r="P92" s="198"/>
      <c r="Q92" s="198"/>
      <c r="R92" s="333"/>
    </row>
    <row r="93" spans="2:26">
      <c r="B93" s="169" t="str">
        <f t="shared" ref="B93:B98" si="17">C93&amp;"_"&amp;D93&amp;"_"&amp;E93&amp;"_"&amp;F93&amp;"_"&amp;G93</f>
        <v>Residential_Residential Lighting_Lighting_LED_2017</v>
      </c>
      <c r="C93" s="169" t="s">
        <v>1</v>
      </c>
      <c r="D93" s="169" t="s">
        <v>145</v>
      </c>
      <c r="E93" s="169" t="s">
        <v>86</v>
      </c>
      <c r="F93" s="169" t="s">
        <v>151</v>
      </c>
      <c r="G93" s="169">
        <v>2017</v>
      </c>
      <c r="K93" s="190" t="str">
        <f>F93</f>
        <v>LED</v>
      </c>
      <c r="L93" s="182">
        <v>4000</v>
      </c>
      <c r="M93" s="182">
        <f ca="1">INDEX(Analysis!$L:$L,MATCH($B93&amp;"_"&amp;M$4,Analysis!$B:$B,0))</f>
        <v>1147</v>
      </c>
      <c r="N93" s="180">
        <f t="shared" ref="N93" ca="1" si="18">IFERROR(M93/L93,0)</f>
        <v>0.28675</v>
      </c>
      <c r="R93" s="183"/>
    </row>
    <row r="94" spans="2:26">
      <c r="B94" s="169" t="str">
        <f t="shared" si="17"/>
        <v>Residential_Residential Lighting_Lighting_ENERGY STAR Fixture_2017</v>
      </c>
      <c r="C94" s="169" t="s">
        <v>1</v>
      </c>
      <c r="D94" s="169" t="s">
        <v>145</v>
      </c>
      <c r="E94" s="169" t="s">
        <v>86</v>
      </c>
      <c r="F94" s="169" t="s">
        <v>201</v>
      </c>
      <c r="G94" s="169">
        <v>2017</v>
      </c>
      <c r="K94" s="190" t="str">
        <f>F94</f>
        <v>ENERGY STAR Fixture</v>
      </c>
      <c r="L94" s="182">
        <v>550</v>
      </c>
      <c r="M94" s="182">
        <f ca="1">INDEX(Analysis!$L:$L,MATCH($B94&amp;"_"&amp;M$4,Analysis!$B:$B,0))</f>
        <v>391</v>
      </c>
      <c r="N94" s="180">
        <f t="shared" ref="N94" ca="1" si="19">IFERROR(M94/L94,0)</f>
        <v>0.71090909090909093</v>
      </c>
      <c r="R94" s="183"/>
    </row>
    <row r="95" spans="2:26">
      <c r="B95" s="169" t="str">
        <f t="shared" ref="B95" si="20">C95&amp;"_"&amp;D95&amp;"_"&amp;E95&amp;"_"&amp;F95&amp;"_"&amp;G95</f>
        <v>Residential_Residential Lighting_Lighting_Advanced Power Strip_2017</v>
      </c>
      <c r="C95" s="169" t="s">
        <v>1</v>
      </c>
      <c r="D95" s="169" t="s">
        <v>145</v>
      </c>
      <c r="E95" s="169" t="s">
        <v>86</v>
      </c>
      <c r="F95" s="169" t="s">
        <v>202</v>
      </c>
      <c r="G95" s="169">
        <v>2017</v>
      </c>
      <c r="K95" s="190" t="str">
        <f>F95</f>
        <v>Advanced Power Strip</v>
      </c>
      <c r="L95" s="182">
        <v>10</v>
      </c>
      <c r="M95" s="182">
        <f ca="1">INDEX(Analysis!$L:$L,MATCH($B95&amp;"_"&amp;M$4,Analysis!$B:$B,0))</f>
        <v>0</v>
      </c>
      <c r="N95" s="180">
        <f t="shared" ref="N95" ca="1" si="21">IFERROR(M95/L95,0)</f>
        <v>0</v>
      </c>
      <c r="R95" s="183"/>
    </row>
    <row r="96" spans="2:26">
      <c r="B96" s="169" t="str">
        <f t="shared" si="17"/>
        <v>Residential_Residential Lighting_All_All_2017</v>
      </c>
      <c r="C96" s="169" t="s">
        <v>1</v>
      </c>
      <c r="D96" s="169" t="s">
        <v>145</v>
      </c>
      <c r="E96" s="169" t="s">
        <v>28</v>
      </c>
      <c r="F96" s="169" t="s">
        <v>28</v>
      </c>
      <c r="G96" s="169">
        <v>2017</v>
      </c>
      <c r="K96" s="187" t="s">
        <v>182</v>
      </c>
      <c r="L96" s="191">
        <f>INDEX($L$24:$L$36,MATCH($D96,$K$24:$K$36,0))</f>
        <v>36203.199999999997</v>
      </c>
      <c r="M96" s="191">
        <f ca="1">INDEX(Analysis!$AP:$AP,MATCH($B96&amp;"_"&amp;M$4,Analysis!$B:$B,0))</f>
        <v>13112.677199999998</v>
      </c>
      <c r="N96" s="180">
        <f ca="1">IFERROR(M96/L96,0)</f>
        <v>0.36219663455164181</v>
      </c>
      <c r="O96" s="272"/>
      <c r="S96" s="198"/>
      <c r="T96" s="198"/>
    </row>
    <row r="97" spans="2:24">
      <c r="B97" s="169" t="str">
        <f t="shared" si="17"/>
        <v>Residential_Residential Lighting_All_All_2017</v>
      </c>
      <c r="C97" s="169" t="s">
        <v>1</v>
      </c>
      <c r="D97" s="169" t="s">
        <v>145</v>
      </c>
      <c r="E97" s="169" t="s">
        <v>28</v>
      </c>
      <c r="F97" s="169" t="s">
        <v>28</v>
      </c>
      <c r="G97" s="169">
        <v>2017</v>
      </c>
      <c r="K97" s="187" t="s">
        <v>183</v>
      </c>
      <c r="L97" s="182">
        <f>INDEX($L$48:$L$57,MATCH($D97,$K$48:$K$57,0))</f>
        <v>193950.86</v>
      </c>
      <c r="M97" s="192">
        <f ca="1">INDEX(Analysis!$S:$S,MATCH($B97&amp;"_"&amp;M$4,Analysis!$B:$B,0))</f>
        <v>72337.012300000002</v>
      </c>
      <c r="N97" s="180">
        <f ca="1">IFERROR(M97/L97,0)</f>
        <v>0.37296566924219882</v>
      </c>
      <c r="R97" s="183"/>
    </row>
    <row r="98" spans="2:24">
      <c r="B98" s="169" t="str">
        <f t="shared" si="17"/>
        <v>Residential_Residential Lighting_All_All_2017</v>
      </c>
      <c r="C98" s="169" t="s">
        <v>1</v>
      </c>
      <c r="D98" s="169" t="s">
        <v>145</v>
      </c>
      <c r="E98" s="169" t="s">
        <v>28</v>
      </c>
      <c r="F98" s="169" t="s">
        <v>28</v>
      </c>
      <c r="G98" s="169">
        <v>2017</v>
      </c>
      <c r="K98" s="187" t="s">
        <v>184</v>
      </c>
      <c r="L98" s="192">
        <f>INDEX($L$69:$L$78,MATCH($D98,$K$69:$K$78,0))</f>
        <v>22.821440368074065</v>
      </c>
      <c r="M98" s="192">
        <f ca="1">INDEX(Analysis!$AA:$AA,MATCH($B98&amp;"_"&amp;M$4,Analysis!$B:$B,0))</f>
        <v>8.5052572799999986</v>
      </c>
      <c r="N98" s="180">
        <f ca="1">IFERROR(M98/L98,0)</f>
        <v>0.37268713730700292</v>
      </c>
    </row>
    <row r="99" spans="2:24">
      <c r="B99" s="169"/>
      <c r="C99" s="169"/>
      <c r="D99" s="169"/>
      <c r="E99" s="169"/>
      <c r="F99" s="169"/>
      <c r="G99" s="169"/>
      <c r="K99" s="173"/>
    </row>
    <row r="100" spans="2:24">
      <c r="B100" s="169"/>
      <c r="C100" s="169"/>
      <c r="D100" s="169"/>
      <c r="E100" s="169"/>
      <c r="F100" s="169"/>
      <c r="G100" s="169"/>
      <c r="J100" s="170" t="s">
        <v>185</v>
      </c>
      <c r="K100" s="173"/>
    </row>
    <row r="101" spans="2:24">
      <c r="B101" s="169"/>
      <c r="C101" s="169"/>
      <c r="D101" s="169"/>
      <c r="E101" s="169"/>
      <c r="F101" s="169"/>
      <c r="G101" s="169"/>
      <c r="K101" s="173"/>
    </row>
    <row r="102" spans="2:24" s="175" customFormat="1" ht="12">
      <c r="B102" s="174"/>
      <c r="C102" s="174"/>
      <c r="D102" s="174"/>
      <c r="E102" s="174"/>
      <c r="F102" s="174"/>
      <c r="G102" s="174"/>
      <c r="L102" s="176" t="s">
        <v>186</v>
      </c>
      <c r="M102" s="177" t="s">
        <v>167</v>
      </c>
      <c r="N102" s="170"/>
      <c r="O102" s="170"/>
    </row>
    <row r="103" spans="2:24">
      <c r="B103" s="169" t="str">
        <f t="shared" ref="B103:B107" si="22">C103&amp;"_"&amp;D103&amp;"_"&amp;E103&amp;"_"&amp;F103&amp;"_"&amp;G103</f>
        <v>Residential_Residential Lighting_All_All_2017</v>
      </c>
      <c r="C103" s="169" t="s">
        <v>1</v>
      </c>
      <c r="D103" s="169" t="s">
        <v>145</v>
      </c>
      <c r="E103" s="169" t="s">
        <v>28</v>
      </c>
      <c r="F103" s="169" t="s">
        <v>28</v>
      </c>
      <c r="G103" s="169">
        <v>2017</v>
      </c>
      <c r="J103" s="193"/>
      <c r="L103" s="187" t="s">
        <v>4</v>
      </c>
      <c r="M103" s="188">
        <f ca="1">INDEX(Analysis!$HB:$HF,MATCH($B103&amp;"_"&amp;M$4,Analysis!$B:$B,0),SUMIFS($L$81:$P$81,$L$82:$P$82,$L103))</f>
        <v>1.0992965119410067</v>
      </c>
    </row>
    <row r="104" spans="2:24">
      <c r="B104" s="169" t="str">
        <f t="shared" si="22"/>
        <v>Residential_Residential Lighting_All_All_2017</v>
      </c>
      <c r="C104" s="169" t="str">
        <f>C103</f>
        <v>Residential</v>
      </c>
      <c r="D104" s="169" t="str">
        <f t="shared" ref="D104:G107" si="23">D103</f>
        <v>Residential Lighting</v>
      </c>
      <c r="E104" s="169" t="str">
        <f t="shared" si="23"/>
        <v>All</v>
      </c>
      <c r="F104" s="169" t="str">
        <f t="shared" si="23"/>
        <v>All</v>
      </c>
      <c r="G104" s="169">
        <f t="shared" si="23"/>
        <v>2017</v>
      </c>
      <c r="J104" s="193"/>
      <c r="L104" s="187" t="s">
        <v>15</v>
      </c>
      <c r="M104" s="188">
        <f ca="1">INDEX(Analysis!$HB:$HF,MATCH($B104&amp;"_"&amp;M$4,Analysis!$B:$B,0),SUMIFS($L$81:$P$81,$L$82:$P$82,$L104))</f>
        <v>1.8709861819037519</v>
      </c>
    </row>
    <row r="105" spans="2:24">
      <c r="B105" s="169" t="str">
        <f t="shared" si="22"/>
        <v>Residential_Residential Lighting_All_All_2017</v>
      </c>
      <c r="C105" s="169" t="str">
        <f t="shared" ref="C105:C107" si="24">C104</f>
        <v>Residential</v>
      </c>
      <c r="D105" s="169" t="str">
        <f t="shared" si="23"/>
        <v>Residential Lighting</v>
      </c>
      <c r="E105" s="169" t="str">
        <f t="shared" si="23"/>
        <v>All</v>
      </c>
      <c r="F105" s="169" t="str">
        <f t="shared" si="23"/>
        <v>All</v>
      </c>
      <c r="G105" s="169">
        <f t="shared" si="23"/>
        <v>2017</v>
      </c>
      <c r="J105" s="193"/>
      <c r="L105" s="187" t="s">
        <v>180</v>
      </c>
      <c r="M105" s="188">
        <f ca="1">INDEX(Analysis!$HB:$HF,MATCH($B105&amp;"_"&amp;M$4,Analysis!$B:$B,0),SUMIFS($L$81:$P$81,$L$82:$P$82,$L105))</f>
        <v>1.3714379129445375</v>
      </c>
    </row>
    <row r="106" spans="2:24">
      <c r="B106" s="169" t="str">
        <f t="shared" si="22"/>
        <v>Residential_Residential Lighting_All_All_2017</v>
      </c>
      <c r="C106" s="169" t="str">
        <f t="shared" si="24"/>
        <v>Residential</v>
      </c>
      <c r="D106" s="169" t="str">
        <f t="shared" si="23"/>
        <v>Residential Lighting</v>
      </c>
      <c r="E106" s="169" t="str">
        <f t="shared" si="23"/>
        <v>All</v>
      </c>
      <c r="F106" s="169" t="str">
        <f t="shared" si="23"/>
        <v>All</v>
      </c>
      <c r="G106" s="169">
        <f t="shared" si="23"/>
        <v>2017</v>
      </c>
      <c r="J106" s="193"/>
      <c r="L106" s="187" t="s">
        <v>16</v>
      </c>
      <c r="M106" s="188">
        <f ca="1">INDEX(Analysis!$HB:$HF,MATCH($B106&amp;"_"&amp;M$4,Analysis!$B:$B,0),SUMIFS($L$81:$P$81,$L$82:$P$82,$L106))</f>
        <v>4.7689738247046556</v>
      </c>
    </row>
    <row r="107" spans="2:24">
      <c r="B107" s="169" t="str">
        <f t="shared" si="22"/>
        <v>Residential_Residential Lighting_All_All_2017</v>
      </c>
      <c r="C107" s="169" t="str">
        <f t="shared" si="24"/>
        <v>Residential</v>
      </c>
      <c r="D107" s="169" t="str">
        <f t="shared" si="23"/>
        <v>Residential Lighting</v>
      </c>
      <c r="E107" s="169" t="str">
        <f t="shared" si="23"/>
        <v>All</v>
      </c>
      <c r="F107" s="169" t="str">
        <f t="shared" si="23"/>
        <v>All</v>
      </c>
      <c r="G107" s="169">
        <f t="shared" si="23"/>
        <v>2017</v>
      </c>
      <c r="J107" s="193"/>
      <c r="L107" s="187" t="s">
        <v>6</v>
      </c>
      <c r="M107" s="188">
        <f ca="1">INDEX(Analysis!$HB:$HF,MATCH($B107&amp;"_"&amp;M$4,Analysis!$B:$B,0),SUMIFS($L$81:$P$81,$L$82:$P$82,$L107))</f>
        <v>0.27989584237461651</v>
      </c>
    </row>
    <row r="108" spans="2:24">
      <c r="B108" s="169"/>
      <c r="C108" s="169"/>
      <c r="D108" s="169"/>
      <c r="E108" s="169"/>
      <c r="F108" s="169"/>
      <c r="G108" s="169"/>
      <c r="K108" s="173"/>
    </row>
    <row r="109" spans="2:24" ht="12">
      <c r="B109" s="169"/>
      <c r="C109" s="169"/>
      <c r="D109" s="169"/>
      <c r="E109" s="169"/>
      <c r="F109" s="169"/>
      <c r="G109" s="169"/>
      <c r="I109" s="171" t="s">
        <v>203</v>
      </c>
      <c r="J109" s="171"/>
      <c r="K109" s="172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</row>
    <row r="110" spans="2:24">
      <c r="B110" s="169"/>
      <c r="C110" s="169"/>
      <c r="D110" s="169"/>
      <c r="E110" s="169"/>
      <c r="F110" s="169"/>
      <c r="G110" s="169"/>
      <c r="K110" s="173"/>
    </row>
    <row r="111" spans="2:24">
      <c r="B111" s="169"/>
      <c r="C111" s="169"/>
      <c r="D111" s="169"/>
      <c r="E111" s="169"/>
      <c r="F111" s="169"/>
      <c r="G111" s="169"/>
      <c r="J111" s="170" t="s">
        <v>181</v>
      </c>
      <c r="K111" s="173"/>
    </row>
    <row r="112" spans="2:24">
      <c r="B112" s="169"/>
      <c r="C112" s="169"/>
      <c r="D112" s="169"/>
      <c r="E112" s="169"/>
      <c r="F112" s="169"/>
      <c r="G112" s="169"/>
      <c r="K112" s="173"/>
    </row>
    <row r="113" spans="2:14" ht="12">
      <c r="B113" s="169"/>
      <c r="C113" s="169"/>
      <c r="D113" s="169"/>
      <c r="E113" s="169"/>
      <c r="F113" s="169"/>
      <c r="G113" s="169"/>
      <c r="K113" s="176"/>
      <c r="L113" s="177" t="s">
        <v>166</v>
      </c>
      <c r="M113" s="177" t="s">
        <v>167</v>
      </c>
      <c r="N113" s="177" t="s">
        <v>168</v>
      </c>
    </row>
    <row r="114" spans="2:14">
      <c r="B114" s="169"/>
      <c r="C114" s="169"/>
      <c r="D114" s="169"/>
      <c r="E114" s="169"/>
      <c r="F114" s="169"/>
      <c r="G114" s="169"/>
      <c r="K114" s="187" t="s">
        <v>7</v>
      </c>
      <c r="L114" s="189"/>
      <c r="M114" s="189"/>
      <c r="N114" s="189"/>
    </row>
    <row r="115" spans="2:14">
      <c r="B115" s="194" t="str">
        <f t="shared" ref="B115:B119" si="25">C115&amp;"_"&amp;D115&amp;"_"&amp;E115&amp;"_"&amp;F115&amp;"_"&amp;G115</f>
        <v>Residential_Appliance Recycling_Appliance Recycling_Refrigerator Recycle_2017</v>
      </c>
      <c r="C115" s="195" t="s">
        <v>1</v>
      </c>
      <c r="D115" s="195" t="s">
        <v>203</v>
      </c>
      <c r="E115" s="195" t="s">
        <v>203</v>
      </c>
      <c r="F115" s="195" t="s">
        <v>148</v>
      </c>
      <c r="G115" s="194">
        <v>2017</v>
      </c>
      <c r="K115" s="190" t="str">
        <f>F115</f>
        <v>Refrigerator Recycle</v>
      </c>
      <c r="L115" s="182">
        <f>'BHP SD PY2-3 Plan Adj'!C13</f>
        <v>50</v>
      </c>
      <c r="M115" s="182">
        <f ca="1">INDEX(Analysis!$L:$L,MATCH($B115&amp;"_"&amp;M$4,Analysis!$B:$B,0))</f>
        <v>37</v>
      </c>
      <c r="N115" s="180">
        <f ca="1">IFERROR(M115/L115,0)</f>
        <v>0.74</v>
      </c>
    </row>
    <row r="116" spans="2:14">
      <c r="B116" s="194" t="str">
        <f t="shared" si="25"/>
        <v>Residential_Appliance Recycling_Appliance Recycling_Freezer Recycle_2017</v>
      </c>
      <c r="C116" s="195" t="s">
        <v>1</v>
      </c>
      <c r="D116" s="195" t="s">
        <v>203</v>
      </c>
      <c r="E116" s="195" t="s">
        <v>203</v>
      </c>
      <c r="F116" s="195" t="s">
        <v>154</v>
      </c>
      <c r="G116" s="194">
        <v>2017</v>
      </c>
      <c r="K116" s="190" t="str">
        <f>F116</f>
        <v>Freezer Recycle</v>
      </c>
      <c r="L116" s="182">
        <f>'BHP SD PY2-3 Plan Adj'!C14</f>
        <v>30</v>
      </c>
      <c r="M116" s="182">
        <f ca="1">INDEX(Analysis!$L:$L,MATCH($B116&amp;"_"&amp;M$4,Analysis!$B:$B,0))</f>
        <v>7</v>
      </c>
      <c r="N116" s="180">
        <f ca="1">IFERROR(M116/L116,0)</f>
        <v>0.23333333333333334</v>
      </c>
    </row>
    <row r="117" spans="2:14">
      <c r="B117" s="194" t="str">
        <f t="shared" si="25"/>
        <v>Residential_Appliance Recycling_All_All_2017</v>
      </c>
      <c r="C117" s="194" t="s">
        <v>1</v>
      </c>
      <c r="D117" s="194" t="s">
        <v>203</v>
      </c>
      <c r="E117" s="194" t="s">
        <v>28</v>
      </c>
      <c r="F117" s="194" t="s">
        <v>28</v>
      </c>
      <c r="G117" s="194">
        <v>2017</v>
      </c>
      <c r="K117" s="187" t="s">
        <v>182</v>
      </c>
      <c r="L117" s="191">
        <f>INDEX($L$24:$L$36,MATCH($D117,$K$24:$K$36,0))</f>
        <v>12630</v>
      </c>
      <c r="M117" s="191">
        <f ca="1">INDEX(Analysis!$AP:$AP,MATCH($B117&amp;"_"&amp;M$4,Analysis!$B:$B,0))</f>
        <v>7544.1899999999987</v>
      </c>
      <c r="N117" s="180">
        <f t="shared" ref="N117:N119" ca="1" si="26">IFERROR(M117/L117,0)</f>
        <v>0.59732304038004735</v>
      </c>
    </row>
    <row r="118" spans="2:14">
      <c r="B118" s="194" t="str">
        <f t="shared" si="25"/>
        <v>Residential_Appliance Recycling_All_All_2017</v>
      </c>
      <c r="C118" s="194" t="s">
        <v>1</v>
      </c>
      <c r="D118" s="194" t="s">
        <v>203</v>
      </c>
      <c r="E118" s="194" t="s">
        <v>28</v>
      </c>
      <c r="F118" s="194" t="s">
        <v>28</v>
      </c>
      <c r="G118" s="194">
        <v>2017</v>
      </c>
      <c r="K118" s="187" t="s">
        <v>183</v>
      </c>
      <c r="L118" s="182">
        <f>INDEX($L$48:$L$57,MATCH($D118,$K$48:$K$57,0))</f>
        <v>97600</v>
      </c>
      <c r="M118" s="192">
        <f ca="1">INDEX(Analysis!$S:$S,MATCH($B118&amp;"_"&amp;M$4,Analysis!$B:$B,0))</f>
        <v>55428</v>
      </c>
      <c r="N118" s="180">
        <f t="shared" ca="1" si="26"/>
        <v>0.56790983606557377</v>
      </c>
    </row>
    <row r="119" spans="2:14">
      <c r="B119" s="194" t="str">
        <f t="shared" si="25"/>
        <v>Residential_Appliance Recycling_All_All_2017</v>
      </c>
      <c r="C119" s="194" t="s">
        <v>1</v>
      </c>
      <c r="D119" s="194" t="s">
        <v>203</v>
      </c>
      <c r="E119" s="194" t="s">
        <v>28</v>
      </c>
      <c r="F119" s="194" t="s">
        <v>28</v>
      </c>
      <c r="G119" s="194">
        <v>2017</v>
      </c>
      <c r="K119" s="187" t="s">
        <v>184</v>
      </c>
      <c r="L119" s="192">
        <f>INDEX($L$69:$L$78,MATCH($D119,$K$69:$K$78,0))</f>
        <v>11.141552511415526</v>
      </c>
      <c r="M119" s="192">
        <f ca="1">INDEX(Analysis!$AA:$AA,MATCH($B119&amp;"_"&amp;M$4,Analysis!$B:$B,0))</f>
        <v>6.320999999999998</v>
      </c>
      <c r="N119" s="180">
        <f t="shared" ca="1" si="26"/>
        <v>0.56733565573770472</v>
      </c>
    </row>
    <row r="120" spans="2:14">
      <c r="B120" s="169"/>
      <c r="C120" s="169"/>
      <c r="D120" s="169"/>
      <c r="E120" s="169"/>
      <c r="F120" s="169"/>
      <c r="G120" s="169"/>
      <c r="K120" s="173"/>
    </row>
    <row r="121" spans="2:14">
      <c r="B121" s="169"/>
      <c r="C121" s="169"/>
      <c r="D121" s="169"/>
      <c r="E121" s="169"/>
      <c r="F121" s="169"/>
      <c r="G121" s="169"/>
      <c r="J121" s="170" t="s">
        <v>185</v>
      </c>
      <c r="K121" s="173"/>
    </row>
    <row r="122" spans="2:14">
      <c r="B122" s="169"/>
      <c r="C122" s="169"/>
      <c r="D122" s="169"/>
      <c r="E122" s="169"/>
      <c r="F122" s="169"/>
      <c r="G122" s="169"/>
      <c r="K122" s="173"/>
    </row>
    <row r="123" spans="2:14" ht="12">
      <c r="B123" s="169"/>
      <c r="C123" s="169"/>
      <c r="D123" s="169"/>
      <c r="E123" s="169"/>
      <c r="F123" s="169"/>
      <c r="G123" s="169"/>
      <c r="L123" s="176" t="s">
        <v>186</v>
      </c>
      <c r="M123" s="177" t="s">
        <v>167</v>
      </c>
    </row>
    <row r="124" spans="2:14">
      <c r="B124" s="169" t="str">
        <f t="shared" ref="B124:B128" si="27">C124&amp;"_"&amp;D124&amp;"_"&amp;E124&amp;"_"&amp;F124&amp;"_"&amp;G124</f>
        <v>Residential_Appliance Recycling_All_All_2017</v>
      </c>
      <c r="C124" s="169" t="str">
        <f t="shared" ref="C124:F124" si="28">C119</f>
        <v>Residential</v>
      </c>
      <c r="D124" s="169" t="str">
        <f t="shared" si="28"/>
        <v>Appliance Recycling</v>
      </c>
      <c r="E124" s="169" t="str">
        <f t="shared" si="28"/>
        <v>All</v>
      </c>
      <c r="F124" s="169" t="str">
        <f t="shared" si="28"/>
        <v>All</v>
      </c>
      <c r="G124" s="169">
        <f>G119</f>
        <v>2017</v>
      </c>
      <c r="J124" s="193"/>
      <c r="L124" s="187" t="s">
        <v>4</v>
      </c>
      <c r="M124" s="188">
        <f ca="1">INDEX(Analysis!$HB:$HF,MATCH($B124&amp;"_"&amp;M$4,Analysis!$B:$B,0),SUMIFS($L$81:$P$81,$L$82:$P$82,$L124))</f>
        <v>1.6944853294331126</v>
      </c>
    </row>
    <row r="125" spans="2:14">
      <c r="B125" s="169" t="str">
        <f t="shared" si="27"/>
        <v>Residential_Appliance Recycling_All_All_2017</v>
      </c>
      <c r="C125" s="169" t="str">
        <f>C124</f>
        <v>Residential</v>
      </c>
      <c r="D125" s="169" t="str">
        <f t="shared" ref="D125:G128" si="29">D124</f>
        <v>Appliance Recycling</v>
      </c>
      <c r="E125" s="169" t="str">
        <f t="shared" si="29"/>
        <v>All</v>
      </c>
      <c r="F125" s="169" t="str">
        <f t="shared" si="29"/>
        <v>All</v>
      </c>
      <c r="G125" s="169">
        <f t="shared" si="29"/>
        <v>2017</v>
      </c>
      <c r="J125" s="193"/>
      <c r="L125" s="187" t="s">
        <v>15</v>
      </c>
      <c r="M125" s="188">
        <f ca="1">INDEX(Analysis!$HB:$HF,MATCH($B125&amp;"_"&amp;M$4,Analysis!$B:$B,0),SUMIFS($L$81:$P$81,$L$82:$P$82,$L125))</f>
        <v>2.1194436408339987</v>
      </c>
    </row>
    <row r="126" spans="2:14">
      <c r="B126" s="169" t="str">
        <f t="shared" si="27"/>
        <v>Residential_Appliance Recycling_All_All_2017</v>
      </c>
      <c r="C126" s="169" t="str">
        <f t="shared" ref="C126:C128" si="30">C125</f>
        <v>Residential</v>
      </c>
      <c r="D126" s="169" t="str">
        <f t="shared" si="29"/>
        <v>Appliance Recycling</v>
      </c>
      <c r="E126" s="169" t="str">
        <f t="shared" si="29"/>
        <v>All</v>
      </c>
      <c r="F126" s="169" t="str">
        <f t="shared" si="29"/>
        <v>All</v>
      </c>
      <c r="G126" s="169">
        <f t="shared" si="29"/>
        <v>2017</v>
      </c>
      <c r="J126" s="193"/>
      <c r="L126" s="187" t="s">
        <v>180</v>
      </c>
      <c r="M126" s="188">
        <f ca="1">INDEX(Analysis!$HB:$HF,MATCH($B126&amp;"_"&amp;M$4,Analysis!$B:$B,0),SUMIFS($L$81:$P$81,$L$82:$P$82,$L126))</f>
        <v>2.119362047468349</v>
      </c>
    </row>
    <row r="127" spans="2:14">
      <c r="B127" s="169" t="str">
        <f t="shared" si="27"/>
        <v>Residential_Appliance Recycling_All_All_2017</v>
      </c>
      <c r="C127" s="169" t="str">
        <f t="shared" si="30"/>
        <v>Residential</v>
      </c>
      <c r="D127" s="169" t="str">
        <f t="shared" si="29"/>
        <v>Appliance Recycling</v>
      </c>
      <c r="E127" s="169" t="str">
        <f t="shared" si="29"/>
        <v>All</v>
      </c>
      <c r="F127" s="169" t="str">
        <f t="shared" si="29"/>
        <v>All</v>
      </c>
      <c r="G127" s="169">
        <f t="shared" si="29"/>
        <v>2017</v>
      </c>
      <c r="J127" s="193"/>
      <c r="L127" s="187" t="s">
        <v>16</v>
      </c>
      <c r="M127" s="188">
        <f ca="1">INDEX(Analysis!$HB:$HF,MATCH($B127&amp;"_"&amp;M$4,Analysis!$B:$B,0),SUMIFS($L$81:$P$81,$L$82:$P$82,$L127))</f>
        <v>12.424860705447369</v>
      </c>
    </row>
    <row r="128" spans="2:14">
      <c r="B128" s="169" t="str">
        <f t="shared" si="27"/>
        <v>Residential_Appliance Recycling_All_All_2017</v>
      </c>
      <c r="C128" s="169" t="str">
        <f t="shared" si="30"/>
        <v>Residential</v>
      </c>
      <c r="D128" s="169" t="str">
        <f t="shared" si="29"/>
        <v>Appliance Recycling</v>
      </c>
      <c r="E128" s="169" t="str">
        <f t="shared" si="29"/>
        <v>All</v>
      </c>
      <c r="F128" s="169" t="str">
        <f t="shared" si="29"/>
        <v>All</v>
      </c>
      <c r="G128" s="169">
        <f t="shared" si="29"/>
        <v>2017</v>
      </c>
      <c r="J128" s="193"/>
      <c r="L128" s="187" t="s">
        <v>6</v>
      </c>
      <c r="M128" s="188">
        <f ca="1">INDEX(Analysis!$HB:$HF,MATCH($B128&amp;"_"&amp;M$4,Analysis!$B:$B,0),SUMIFS($L$81:$P$81,$L$82:$P$82,$L128))</f>
        <v>0.28457766388284339</v>
      </c>
    </row>
    <row r="129" spans="2:24">
      <c r="B129" s="169"/>
      <c r="C129" s="169"/>
      <c r="D129" s="169"/>
      <c r="E129" s="169"/>
      <c r="F129" s="169"/>
      <c r="G129" s="169"/>
      <c r="K129" s="173"/>
    </row>
    <row r="130" spans="2:24" ht="12">
      <c r="B130" s="169"/>
      <c r="C130" s="169"/>
      <c r="D130" s="169"/>
      <c r="E130" s="169"/>
      <c r="F130" s="169"/>
      <c r="G130" s="169"/>
      <c r="I130" s="171" t="s">
        <v>205</v>
      </c>
      <c r="J130" s="171"/>
      <c r="K130" s="172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</row>
    <row r="131" spans="2:24">
      <c r="B131" s="169"/>
      <c r="C131" s="169"/>
      <c r="D131" s="169"/>
      <c r="E131" s="169"/>
      <c r="F131" s="169"/>
      <c r="G131" s="169"/>
      <c r="K131" s="173"/>
    </row>
    <row r="132" spans="2:24">
      <c r="B132" s="169"/>
      <c r="C132" s="169"/>
      <c r="D132" s="169"/>
      <c r="E132" s="169"/>
      <c r="F132" s="169"/>
      <c r="G132" s="169"/>
      <c r="J132" s="170" t="s">
        <v>7</v>
      </c>
      <c r="K132" s="173"/>
    </row>
    <row r="133" spans="2:24">
      <c r="B133" s="169"/>
      <c r="C133" s="169"/>
      <c r="D133" s="169"/>
      <c r="E133" s="169"/>
      <c r="F133" s="169"/>
      <c r="G133" s="169"/>
      <c r="K133" s="173"/>
    </row>
    <row r="134" spans="2:24" ht="12">
      <c r="B134" s="169"/>
      <c r="C134" s="194"/>
      <c r="D134" s="194"/>
      <c r="E134" s="194"/>
      <c r="F134" s="194"/>
      <c r="G134" s="194"/>
      <c r="H134" s="196"/>
      <c r="K134" s="176"/>
      <c r="L134" s="177" t="s">
        <v>166</v>
      </c>
      <c r="M134" s="177" t="s">
        <v>167</v>
      </c>
      <c r="N134" s="177" t="s">
        <v>168</v>
      </c>
    </row>
    <row r="135" spans="2:24">
      <c r="B135" s="169"/>
      <c r="C135" s="194"/>
      <c r="D135" s="194"/>
      <c r="E135" s="194"/>
      <c r="F135" s="194"/>
      <c r="G135" s="194"/>
      <c r="H135" s="196"/>
      <c r="K135" s="187" t="s">
        <v>7</v>
      </c>
      <c r="L135" s="189"/>
      <c r="M135" s="189"/>
      <c r="N135" s="189"/>
    </row>
    <row r="136" spans="2:24">
      <c r="B136" s="169" t="str">
        <f t="shared" ref="B136:B148" si="31">C136&amp;"_"&amp;D136&amp;"_"&amp;E136&amp;"_"&amp;F136&amp;"_"&amp;G136</f>
        <v>Residential_High Efficiency HVAC_HVAC_Heat Pump SEER 15_2017</v>
      </c>
      <c r="C136" s="195" t="s">
        <v>1</v>
      </c>
      <c r="D136" s="195" t="s">
        <v>205</v>
      </c>
      <c r="E136" s="195" t="s">
        <v>85</v>
      </c>
      <c r="F136" s="195" t="s">
        <v>206</v>
      </c>
      <c r="G136" s="194">
        <v>2017</v>
      </c>
      <c r="H136" s="196"/>
      <c r="K136" s="190" t="str">
        <f t="shared" ref="K136:K145" si="32">F136</f>
        <v>Heat Pump SEER 15</v>
      </c>
      <c r="L136" s="182">
        <f>INDEX('BHP SD PY2-3 Plan Adj'!$C$16:$C$25,MATCH($K136,'BHP SD PY2-3 Plan Adj'!$A$16:$A$25,0))</f>
        <v>60</v>
      </c>
      <c r="M136" s="182">
        <f ca="1">INDEX(Analysis!$L:$L,MATCH($B136&amp;"_"&amp;M$4,Analysis!$B:$B,0))</f>
        <v>8</v>
      </c>
      <c r="N136" s="180">
        <f ca="1">IFERROR(M136/L136,0)</f>
        <v>0.13333333333333333</v>
      </c>
    </row>
    <row r="137" spans="2:24">
      <c r="B137" s="169" t="str">
        <f t="shared" si="31"/>
        <v>Residential_High Efficiency HVAC_HVAC_Early Retirement Heat Pump SEER 15_2017</v>
      </c>
      <c r="C137" s="195" t="s">
        <v>1</v>
      </c>
      <c r="D137" s="195" t="s">
        <v>205</v>
      </c>
      <c r="E137" s="195" t="s">
        <v>85</v>
      </c>
      <c r="F137" s="195" t="s">
        <v>207</v>
      </c>
      <c r="G137" s="194">
        <v>2017</v>
      </c>
      <c r="H137" s="196"/>
      <c r="K137" s="190" t="str">
        <f t="shared" si="32"/>
        <v>Early Retirement Heat Pump SEER 15</v>
      </c>
      <c r="L137" s="182">
        <f>INDEX('BHP SD PY2-3 Plan Adj'!$C$16:$C$25,MATCH($K137,'BHP SD PY2-3 Plan Adj'!$A$16:$A$25,0))</f>
        <v>8</v>
      </c>
      <c r="M137" s="182">
        <f ca="1">INDEX(Analysis!$L:$L,MATCH($B137&amp;"_"&amp;M$4,Analysis!$B:$B,0))</f>
        <v>9</v>
      </c>
      <c r="N137" s="180">
        <f t="shared" ref="N137:N148" ca="1" si="33">IFERROR(M137/L137,0)</f>
        <v>1.125</v>
      </c>
    </row>
    <row r="138" spans="2:24">
      <c r="B138" s="169" t="str">
        <f t="shared" si="31"/>
        <v>Residential_High Efficiency HVAC_HVAC_Heat Pump SEER 15 Replace Electric Furnace_2017</v>
      </c>
      <c r="C138" s="195" t="s">
        <v>1</v>
      </c>
      <c r="D138" s="195" t="s">
        <v>205</v>
      </c>
      <c r="E138" s="195" t="s">
        <v>85</v>
      </c>
      <c r="F138" s="195" t="s">
        <v>208</v>
      </c>
      <c r="G138" s="194">
        <v>2017</v>
      </c>
      <c r="H138" s="196"/>
      <c r="K138" s="190" t="str">
        <f t="shared" si="32"/>
        <v>Heat Pump SEER 15 Replace Electric Furnace</v>
      </c>
      <c r="L138" s="182">
        <f>INDEX('BHP SD PY2-3 Plan Adj'!$C$16:$C$25,MATCH($K138,'BHP SD PY2-3 Plan Adj'!$A$16:$A$25,0))</f>
        <v>8</v>
      </c>
      <c r="M138" s="182">
        <f ca="1">INDEX(Analysis!$L:$L,MATCH($B138&amp;"_"&amp;M$4,Analysis!$B:$B,0))</f>
        <v>0</v>
      </c>
      <c r="N138" s="180">
        <f t="shared" ca="1" si="33"/>
        <v>0</v>
      </c>
    </row>
    <row r="139" spans="2:24">
      <c r="B139" s="169" t="str">
        <f t="shared" si="31"/>
        <v>Residential_High Efficiency HVAC_HVAC_Ductless Mini-Split AC SEER ≥19_2017</v>
      </c>
      <c r="C139" s="195" t="s">
        <v>1</v>
      </c>
      <c r="D139" s="195" t="s">
        <v>205</v>
      </c>
      <c r="E139" s="195" t="s">
        <v>85</v>
      </c>
      <c r="F139" s="195" t="s">
        <v>210</v>
      </c>
      <c r="G139" s="194">
        <v>2017</v>
      </c>
      <c r="H139" s="196"/>
      <c r="K139" s="190" t="str">
        <f t="shared" si="32"/>
        <v>Ductless Mini-Split AC SEER ≥19</v>
      </c>
      <c r="L139" s="182">
        <f>INDEX('BHP SD PY2-3 Plan Adj'!$C$16:$C$25,MATCH($K139,'BHP SD PY2-3 Plan Adj'!$A$16:$A$25,0))</f>
        <v>10</v>
      </c>
      <c r="M139" s="182">
        <f ca="1">INDEX(Analysis!$L:$L,MATCH($B139&amp;"_"&amp;M$4,Analysis!$B:$B,0))</f>
        <v>0</v>
      </c>
      <c r="N139" s="180">
        <f t="shared" ca="1" si="33"/>
        <v>0</v>
      </c>
    </row>
    <row r="140" spans="2:24">
      <c r="B140" s="169" t="str">
        <f t="shared" si="31"/>
        <v>Residential_High Efficiency HVAC_HVAC_Ductless Mini-Split HP SEER ≥19_2017</v>
      </c>
      <c r="C140" s="195" t="s">
        <v>1</v>
      </c>
      <c r="D140" s="195" t="s">
        <v>205</v>
      </c>
      <c r="E140" s="195" t="s">
        <v>85</v>
      </c>
      <c r="F140" s="195" t="s">
        <v>211</v>
      </c>
      <c r="G140" s="194">
        <v>2017</v>
      </c>
      <c r="H140" s="196"/>
      <c r="K140" s="190" t="str">
        <f t="shared" si="32"/>
        <v>Ductless Mini-Split HP SEER ≥19</v>
      </c>
      <c r="L140" s="182">
        <f>INDEX('BHP SD PY2-3 Plan Adj'!$C$16:$C$25,MATCH($K140,'BHP SD PY2-3 Plan Adj'!$A$16:$A$25,0))</f>
        <v>10</v>
      </c>
      <c r="M140" s="182">
        <f ca="1">INDEX(Analysis!$L:$L,MATCH($B140&amp;"_"&amp;M$4,Analysis!$B:$B,0))</f>
        <v>14</v>
      </c>
      <c r="N140" s="180">
        <f t="shared" ca="1" si="33"/>
        <v>1.4</v>
      </c>
    </row>
    <row r="141" spans="2:24">
      <c r="B141" s="169" t="str">
        <f t="shared" si="31"/>
        <v>Residential_High Efficiency HVAC_Water Heating_Heat Pump Water Heater_2017</v>
      </c>
      <c r="C141" s="195" t="s">
        <v>1</v>
      </c>
      <c r="D141" s="195" t="s">
        <v>205</v>
      </c>
      <c r="E141" s="195" t="s">
        <v>284</v>
      </c>
      <c r="F141" s="195" t="s">
        <v>212</v>
      </c>
      <c r="G141" s="194">
        <v>2017</v>
      </c>
      <c r="H141" s="196"/>
      <c r="K141" s="190" t="str">
        <f t="shared" si="32"/>
        <v>Heat Pump Water Heater</v>
      </c>
      <c r="L141" s="182">
        <f>INDEX('BHP SD PY2-3 Plan Adj'!$C$16:$C$25,MATCH($K141,'BHP SD PY2-3 Plan Adj'!$A$16:$A$25,0))</f>
        <v>15</v>
      </c>
      <c r="M141" s="182">
        <f ca="1">INDEX(Analysis!$L:$L,MATCH($B141&amp;"_"&amp;M$4,Analysis!$B:$B,0))</f>
        <v>7</v>
      </c>
      <c r="N141" s="180">
        <f t="shared" ca="1" si="33"/>
        <v>0.46666666666666667</v>
      </c>
    </row>
    <row r="142" spans="2:24">
      <c r="B142" s="169" t="str">
        <f t="shared" si="31"/>
        <v>Residential_High Efficiency HVAC_Water Heating_Electric Storage Water Heater EF &gt;0.95_2017</v>
      </c>
      <c r="C142" s="195" t="s">
        <v>1</v>
      </c>
      <c r="D142" s="195" t="s">
        <v>205</v>
      </c>
      <c r="E142" s="195" t="s">
        <v>284</v>
      </c>
      <c r="F142" s="195" t="s">
        <v>214</v>
      </c>
      <c r="G142" s="194">
        <v>2017</v>
      </c>
      <c r="H142" s="196"/>
      <c r="K142" s="190" t="str">
        <f t="shared" si="32"/>
        <v>Electric Storage Water Heater EF &gt;0.95</v>
      </c>
      <c r="L142" s="182">
        <f>INDEX('BHP SD PY2-3 Plan Adj'!$C$16:$C$25,MATCH($K142,'BHP SD PY2-3 Plan Adj'!$A$16:$A$25,0))</f>
        <v>10</v>
      </c>
      <c r="M142" s="182">
        <f ca="1">INDEX(Analysis!$L:$L,MATCH($B142&amp;"_"&amp;M$4,Analysis!$B:$B,0))</f>
        <v>32</v>
      </c>
      <c r="N142" s="180">
        <f t="shared" ca="1" si="33"/>
        <v>3.2</v>
      </c>
    </row>
    <row r="143" spans="2:24">
      <c r="B143" s="169" t="str">
        <f t="shared" si="31"/>
        <v>Residential_High Efficiency HVAC_Water Heating_Electric Storage Water Heater EF 0.95_2017</v>
      </c>
      <c r="C143" s="195" t="s">
        <v>1</v>
      </c>
      <c r="D143" s="195" t="s">
        <v>205</v>
      </c>
      <c r="E143" s="195" t="s">
        <v>284</v>
      </c>
      <c r="F143" s="195" t="s">
        <v>213</v>
      </c>
      <c r="G143" s="194">
        <v>2017</v>
      </c>
      <c r="H143" s="196"/>
      <c r="K143" s="190" t="str">
        <f t="shared" si="32"/>
        <v>Electric Storage Water Heater EF 0.95</v>
      </c>
      <c r="L143" s="182">
        <f>INDEX('BHP SD PY2-3 Plan Adj'!$C$16:$C$25,MATCH($K143,'BHP SD PY2-3 Plan Adj'!$A$16:$A$25,0))</f>
        <v>10</v>
      </c>
      <c r="M143" s="182">
        <f ca="1">INDEX(Analysis!$L:$L,MATCH($B143&amp;"_"&amp;M$4,Analysis!$B:$B,0))</f>
        <v>1</v>
      </c>
      <c r="N143" s="180">
        <f t="shared" ca="1" si="33"/>
        <v>0.1</v>
      </c>
    </row>
    <row r="144" spans="2:24">
      <c r="B144" s="169" t="str">
        <f t="shared" si="31"/>
        <v>Residential_High Efficiency HVAC_HVAC_Geothermal EER ≥21_2017</v>
      </c>
      <c r="C144" s="195" t="s">
        <v>1</v>
      </c>
      <c r="D144" s="195" t="s">
        <v>205</v>
      </c>
      <c r="E144" s="195" t="s">
        <v>85</v>
      </c>
      <c r="F144" s="195" t="s">
        <v>215</v>
      </c>
      <c r="G144" s="194">
        <v>2017</v>
      </c>
      <c r="H144" s="196"/>
      <c r="K144" s="190" t="str">
        <f t="shared" si="32"/>
        <v>Geothermal EER ≥21</v>
      </c>
      <c r="L144" s="182">
        <f>INDEX('BHP SD PY2-3 Plan Adj'!$C$16:$C$25,MATCH($K144,'BHP SD PY2-3 Plan Adj'!$A$16:$A$25,0))</f>
        <v>15</v>
      </c>
      <c r="M144" s="182">
        <f ca="1">INDEX(Analysis!$L:$L,MATCH($B144&amp;"_"&amp;M$4,Analysis!$B:$B,0))</f>
        <v>0</v>
      </c>
      <c r="N144" s="180">
        <f t="shared" ca="1" si="33"/>
        <v>0</v>
      </c>
    </row>
    <row r="145" spans="2:24">
      <c r="B145" s="169" t="str">
        <f t="shared" si="31"/>
        <v>Residential_High Efficiency HVAC_HVAC_Early Retirement Geothermal EER ≥21_2017</v>
      </c>
      <c r="C145" s="195" t="s">
        <v>1</v>
      </c>
      <c r="D145" s="195" t="s">
        <v>205</v>
      </c>
      <c r="E145" s="195" t="s">
        <v>85</v>
      </c>
      <c r="F145" s="195" t="s">
        <v>216</v>
      </c>
      <c r="G145" s="194">
        <v>2017</v>
      </c>
      <c r="K145" s="190" t="str">
        <f t="shared" si="32"/>
        <v>Early Retirement Geothermal EER ≥21</v>
      </c>
      <c r="L145" s="182">
        <f>INDEX('BHP SD PY2-3 Plan Adj'!$C$16:$C$25,MATCH($K145,'BHP SD PY2-3 Plan Adj'!$A$16:$A$25,0))</f>
        <v>8</v>
      </c>
      <c r="M145" s="182">
        <f ca="1">INDEX(Analysis!$L:$L,MATCH($B145&amp;"_"&amp;M$4,Analysis!$B:$B,0))</f>
        <v>0</v>
      </c>
      <c r="N145" s="180">
        <f t="shared" ca="1" si="33"/>
        <v>0</v>
      </c>
    </row>
    <row r="146" spans="2:24">
      <c r="B146" s="169" t="str">
        <f t="shared" si="31"/>
        <v>Residential_High Efficiency HVAC_All_All_2017</v>
      </c>
      <c r="C146" s="195" t="s">
        <v>1</v>
      </c>
      <c r="D146" s="195" t="s">
        <v>205</v>
      </c>
      <c r="E146" s="195" t="s">
        <v>28</v>
      </c>
      <c r="F146" s="195" t="s">
        <v>28</v>
      </c>
      <c r="G146" s="194">
        <v>2017</v>
      </c>
      <c r="K146" s="187" t="s">
        <v>182</v>
      </c>
      <c r="L146" s="191">
        <f>INDEX($L$24:$L$36,MATCH($D146,$K$24:$K$36,0))</f>
        <v>62479.95</v>
      </c>
      <c r="M146" s="191">
        <f ca="1">INDEX(Analysis!$AP:$AP,MATCH($B146&amp;"_"&amp;M$4,Analysis!$B:$B,0))</f>
        <v>15471.25</v>
      </c>
      <c r="N146" s="180">
        <f t="shared" ca="1" si="33"/>
        <v>0.24761943631516992</v>
      </c>
    </row>
    <row r="147" spans="2:24">
      <c r="B147" s="169" t="str">
        <f t="shared" si="31"/>
        <v>Residential_High Efficiency HVAC_All_All_2017</v>
      </c>
      <c r="C147" s="169" t="s">
        <v>1</v>
      </c>
      <c r="D147" s="169" t="s">
        <v>205</v>
      </c>
      <c r="E147" s="169" t="s">
        <v>28</v>
      </c>
      <c r="F147" s="169" t="s">
        <v>28</v>
      </c>
      <c r="G147" s="194">
        <v>2017</v>
      </c>
      <c r="K147" s="187" t="s">
        <v>183</v>
      </c>
      <c r="L147" s="182">
        <f>INDEX($L$48:$L$57,MATCH($D147,$K$48:$K$57,0))</f>
        <v>321873.85994562705</v>
      </c>
      <c r="M147" s="192">
        <f ca="1">INDEX(Analysis!$S:$S,MATCH($B147&amp;"_"&amp;M$4,Analysis!$B:$B,0))</f>
        <v>111458.90283000001</v>
      </c>
      <c r="N147" s="180">
        <f t="shared" ca="1" si="33"/>
        <v>0.34628131296163145</v>
      </c>
    </row>
    <row r="148" spans="2:24">
      <c r="B148" s="169" t="str">
        <f t="shared" si="31"/>
        <v>Residential_High Efficiency HVAC_All_All_2017</v>
      </c>
      <c r="C148" s="169" t="str">
        <f t="shared" ref="C148" si="34">C147</f>
        <v>Residential</v>
      </c>
      <c r="D148" s="169" t="str">
        <f t="shared" ref="D148:F148" si="35">D147</f>
        <v>High Efficiency HVAC</v>
      </c>
      <c r="E148" s="169" t="str">
        <f t="shared" si="35"/>
        <v>All</v>
      </c>
      <c r="F148" s="169" t="str">
        <f t="shared" si="35"/>
        <v>All</v>
      </c>
      <c r="G148" s="194">
        <v>2017</v>
      </c>
      <c r="K148" s="187" t="s">
        <v>184</v>
      </c>
      <c r="L148" s="192">
        <f>INDEX($L$69:$L$78,MATCH($D148,$K$69:$K$78,0))</f>
        <v>112.39992286241764</v>
      </c>
      <c r="M148" s="192">
        <f ca="1">INDEX(Analysis!$AA:$AA,MATCH($B148&amp;"_"&amp;M$4,Analysis!$B:$B,0))</f>
        <v>42.024200000000008</v>
      </c>
      <c r="N148" s="180">
        <f t="shared" ca="1" si="33"/>
        <v>0.37388103950426588</v>
      </c>
    </row>
    <row r="149" spans="2:24">
      <c r="B149" s="169"/>
      <c r="C149" s="169"/>
      <c r="D149" s="169"/>
      <c r="E149" s="169"/>
      <c r="F149" s="169"/>
      <c r="G149" s="169"/>
      <c r="K149" s="173"/>
    </row>
    <row r="150" spans="2:24">
      <c r="B150" s="169"/>
      <c r="C150" s="169"/>
      <c r="D150" s="169"/>
      <c r="E150" s="169"/>
      <c r="F150" s="169"/>
      <c r="G150" s="169"/>
      <c r="J150" s="170" t="s">
        <v>185</v>
      </c>
      <c r="K150" s="173"/>
    </row>
    <row r="151" spans="2:24">
      <c r="B151" s="169"/>
      <c r="C151" s="169"/>
      <c r="D151" s="169"/>
      <c r="E151" s="169"/>
      <c r="F151" s="169"/>
      <c r="G151" s="169"/>
      <c r="K151" s="173"/>
    </row>
    <row r="152" spans="2:24" ht="12">
      <c r="B152" s="169"/>
      <c r="C152" s="169"/>
      <c r="D152" s="169"/>
      <c r="E152" s="169"/>
      <c r="F152" s="169"/>
      <c r="G152" s="169"/>
      <c r="L152" s="176" t="s">
        <v>186</v>
      </c>
      <c r="M152" s="177" t="s">
        <v>167</v>
      </c>
    </row>
    <row r="153" spans="2:24">
      <c r="B153" s="169" t="str">
        <f t="shared" ref="B153:B157" si="36">C153&amp;"_"&amp;D153&amp;"_"&amp;E153&amp;"_"&amp;F153&amp;"_"&amp;G153</f>
        <v>Residential_High Efficiency HVAC_All_All_2017</v>
      </c>
      <c r="C153" s="169" t="str">
        <f>C148</f>
        <v>Residential</v>
      </c>
      <c r="D153" s="169" t="str">
        <f>D148</f>
        <v>High Efficiency HVAC</v>
      </c>
      <c r="E153" s="169" t="str">
        <f>E148</f>
        <v>All</v>
      </c>
      <c r="F153" s="169" t="str">
        <f>F148</f>
        <v>All</v>
      </c>
      <c r="G153" s="169">
        <f>G148</f>
        <v>2017</v>
      </c>
      <c r="J153" s="193"/>
      <c r="L153" s="187" t="s">
        <v>4</v>
      </c>
      <c r="M153" s="188">
        <f ca="1">INDEX(Analysis!$HB:$HF,MATCH($B153&amp;"_"&amp;M$4,Analysis!$B:$B,0),SUMIFS($L$81:$P$81,$L$82:$P$82,$L153))</f>
        <v>1.1478798417699532</v>
      </c>
    </row>
    <row r="154" spans="2:24">
      <c r="B154" s="169" t="str">
        <f t="shared" si="36"/>
        <v>Residential_High Efficiency HVAC_All_All_2017</v>
      </c>
      <c r="C154" s="169" t="str">
        <f>C153</f>
        <v>Residential</v>
      </c>
      <c r="D154" s="169" t="str">
        <f t="shared" ref="D154:G157" si="37">D153</f>
        <v>High Efficiency HVAC</v>
      </c>
      <c r="E154" s="169" t="str">
        <f t="shared" si="37"/>
        <v>All</v>
      </c>
      <c r="F154" s="169" t="str">
        <f t="shared" si="37"/>
        <v>All</v>
      </c>
      <c r="G154" s="169">
        <f t="shared" si="37"/>
        <v>2017</v>
      </c>
      <c r="J154" s="193"/>
      <c r="L154" s="187" t="s">
        <v>15</v>
      </c>
      <c r="M154" s="188">
        <f ca="1">INDEX(Analysis!$HB:$HF,MATCH($B154&amp;"_"&amp;M$4,Analysis!$B:$B,0),SUMIFS($L$81:$P$81,$L$82:$P$82,$L154))</f>
        <v>3.1861514251346965</v>
      </c>
    </row>
    <row r="155" spans="2:24">
      <c r="B155" s="169" t="str">
        <f t="shared" si="36"/>
        <v>Residential_High Efficiency HVAC_All_All_2017</v>
      </c>
      <c r="C155" s="169" t="str">
        <f t="shared" ref="C155:C157" si="38">C154</f>
        <v>Residential</v>
      </c>
      <c r="D155" s="169" t="str">
        <f t="shared" si="37"/>
        <v>High Efficiency HVAC</v>
      </c>
      <c r="E155" s="169" t="str">
        <f t="shared" si="37"/>
        <v>All</v>
      </c>
      <c r="F155" s="169" t="str">
        <f t="shared" si="37"/>
        <v>All</v>
      </c>
      <c r="G155" s="169">
        <f t="shared" si="37"/>
        <v>2017</v>
      </c>
      <c r="J155" s="193"/>
      <c r="L155" s="187" t="s">
        <v>180</v>
      </c>
      <c r="M155" s="188">
        <f ca="1">INDEX(Analysis!$HB:$HF,MATCH($B155&amp;"_"&amp;M$4,Analysis!$B:$B,0),SUMIFS($L$81:$P$81,$L$82:$P$82,$L155))</f>
        <v>1.4025463263335389</v>
      </c>
    </row>
    <row r="156" spans="2:24">
      <c r="B156" s="169" t="str">
        <f t="shared" si="36"/>
        <v>Residential_High Efficiency HVAC_All_All_2017</v>
      </c>
      <c r="C156" s="169" t="str">
        <f t="shared" si="38"/>
        <v>Residential</v>
      </c>
      <c r="D156" s="169" t="str">
        <f t="shared" si="37"/>
        <v>High Efficiency HVAC</v>
      </c>
      <c r="E156" s="169" t="str">
        <f t="shared" si="37"/>
        <v>All</v>
      </c>
      <c r="F156" s="169" t="str">
        <f t="shared" si="37"/>
        <v>All</v>
      </c>
      <c r="G156" s="169">
        <f t="shared" si="37"/>
        <v>2017</v>
      </c>
      <c r="J156" s="193"/>
      <c r="L156" s="187" t="s">
        <v>16</v>
      </c>
      <c r="M156" s="188">
        <f ca="1">INDEX(Analysis!$HB:$HF,MATCH($B156&amp;"_"&amp;M$4,Analysis!$B:$B,0),SUMIFS($L$81:$P$81,$L$82:$P$82,$L156))</f>
        <v>3.661386959200513</v>
      </c>
    </row>
    <row r="157" spans="2:24">
      <c r="B157" s="169" t="str">
        <f t="shared" si="36"/>
        <v>Residential_High Efficiency HVAC_All_All_2017</v>
      </c>
      <c r="C157" s="169" t="str">
        <f t="shared" si="38"/>
        <v>Residential</v>
      </c>
      <c r="D157" s="169" t="str">
        <f t="shared" si="37"/>
        <v>High Efficiency HVAC</v>
      </c>
      <c r="E157" s="169" t="str">
        <f t="shared" si="37"/>
        <v>All</v>
      </c>
      <c r="F157" s="169" t="str">
        <f t="shared" si="37"/>
        <v>All</v>
      </c>
      <c r="G157" s="169">
        <f t="shared" si="37"/>
        <v>2017</v>
      </c>
      <c r="J157" s="193"/>
      <c r="L157" s="187" t="s">
        <v>6</v>
      </c>
      <c r="M157" s="188">
        <f ca="1">INDEX(Analysis!$HB:$HF,MATCH($B157&amp;"_"&amp;M$4,Analysis!$B:$B,0),SUMIFS($L$81:$P$81,$L$82:$P$82,$L157))</f>
        <v>0.32258726864961063</v>
      </c>
    </row>
    <row r="158" spans="2:24">
      <c r="B158" s="169"/>
      <c r="C158" s="169"/>
      <c r="D158" s="169"/>
      <c r="E158" s="169"/>
      <c r="F158" s="169"/>
      <c r="G158" s="169"/>
      <c r="K158" s="173"/>
    </row>
    <row r="159" spans="2:24" ht="12">
      <c r="B159" s="169"/>
      <c r="C159" s="169"/>
      <c r="D159" s="169"/>
      <c r="E159" s="169"/>
      <c r="F159" s="169"/>
      <c r="G159" s="169"/>
      <c r="I159" s="171" t="s">
        <v>147</v>
      </c>
      <c r="J159" s="171"/>
      <c r="K159" s="172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</row>
    <row r="160" spans="2:24">
      <c r="B160" s="169"/>
      <c r="C160" s="169"/>
      <c r="D160" s="169"/>
      <c r="E160" s="169"/>
      <c r="F160" s="169"/>
      <c r="G160" s="169"/>
      <c r="K160" s="173"/>
    </row>
    <row r="161" spans="2:17">
      <c r="B161" s="169"/>
      <c r="C161" s="169"/>
      <c r="D161" s="169"/>
      <c r="E161" s="169"/>
      <c r="F161" s="169"/>
      <c r="G161" s="169"/>
      <c r="J161" s="170" t="s">
        <v>181</v>
      </c>
      <c r="K161" s="173"/>
    </row>
    <row r="162" spans="2:17">
      <c r="B162" s="169"/>
      <c r="C162" s="169"/>
      <c r="D162" s="169"/>
      <c r="E162" s="169"/>
      <c r="F162" s="169"/>
      <c r="G162" s="169"/>
      <c r="K162" s="173"/>
    </row>
    <row r="163" spans="2:17" ht="12">
      <c r="B163" s="169"/>
      <c r="C163" s="169"/>
      <c r="D163" s="169"/>
      <c r="E163" s="169"/>
      <c r="F163" s="169"/>
      <c r="G163" s="169"/>
      <c r="K163" s="176"/>
      <c r="L163" s="177" t="s">
        <v>166</v>
      </c>
      <c r="M163" s="177" t="s">
        <v>167</v>
      </c>
      <c r="N163" s="177" t="s">
        <v>168</v>
      </c>
      <c r="Q163" s="592"/>
    </row>
    <row r="164" spans="2:17">
      <c r="B164" s="194" t="str">
        <f>C164&amp;"_"&amp;D164&amp;"_"&amp;E164&amp;"_"&amp;F164&amp;"_"&amp;G164</f>
        <v>Residential_Whole House Efficiency_Various_Measures_2017</v>
      </c>
      <c r="C164" s="195" t="s">
        <v>1</v>
      </c>
      <c r="D164" s="195" t="s">
        <v>147</v>
      </c>
      <c r="E164" s="195" t="s">
        <v>155</v>
      </c>
      <c r="F164" s="195" t="s">
        <v>283</v>
      </c>
      <c r="G164" s="194">
        <v>2017</v>
      </c>
      <c r="K164" s="187" t="s">
        <v>7</v>
      </c>
      <c r="L164" s="182">
        <f>'BHP SD PY2-3 Plan Adj'!$C$27</f>
        <v>125</v>
      </c>
      <c r="M164" s="182">
        <f ca="1">INDEX(Analysis!$L:$L,MATCH($B164&amp;"_"&amp;M$4,Analysis!$B:$B,0))</f>
        <v>41</v>
      </c>
      <c r="N164" s="180">
        <f ca="1">IFERROR(M164/L164,0)</f>
        <v>0.32800000000000001</v>
      </c>
    </row>
    <row r="165" spans="2:17">
      <c r="B165" s="194" t="str">
        <f t="shared" ref="B165:B167" si="39">C165&amp;"_"&amp;D165&amp;"_"&amp;E165&amp;"_"&amp;F165&amp;"_"&amp;G165</f>
        <v>Residential_Whole House Efficiency_All_All_2017</v>
      </c>
      <c r="C165" s="194" t="str">
        <f>C164</f>
        <v>Residential</v>
      </c>
      <c r="D165" s="194" t="str">
        <f>D164</f>
        <v>Whole House Efficiency</v>
      </c>
      <c r="E165" s="194" t="s">
        <v>28</v>
      </c>
      <c r="F165" s="194" t="s">
        <v>28</v>
      </c>
      <c r="G165" s="194">
        <v>2017</v>
      </c>
      <c r="K165" s="187" t="s">
        <v>182</v>
      </c>
      <c r="L165" s="191">
        <f>INDEX($L$24:$L$36,MATCH($D165,$K$24:$K$36,0))</f>
        <v>33015.625</v>
      </c>
      <c r="M165" s="191">
        <f ca="1">INDEX(Analysis!$AP:$AP,MATCH($B165&amp;"_"&amp;M$4,Analysis!$B:$B,0))</f>
        <v>14765.66</v>
      </c>
      <c r="N165" s="180">
        <f t="shared" ref="N165:N167" ca="1" si="40">IFERROR(M165/L165,0)</f>
        <v>0.44723248461902509</v>
      </c>
    </row>
    <row r="166" spans="2:17">
      <c r="B166" s="194" t="str">
        <f t="shared" si="39"/>
        <v>Residential_Whole House Efficiency_All_All_2017</v>
      </c>
      <c r="C166" s="194" t="str">
        <f>C165</f>
        <v>Residential</v>
      </c>
      <c r="D166" s="194" t="str">
        <f t="shared" ref="D166:D167" si="41">D165</f>
        <v>Whole House Efficiency</v>
      </c>
      <c r="E166" s="194" t="s">
        <v>28</v>
      </c>
      <c r="F166" s="194" t="str">
        <f t="shared" ref="F166:F167" si="42">F165</f>
        <v>All</v>
      </c>
      <c r="G166" s="194">
        <v>2017</v>
      </c>
      <c r="K166" s="187" t="s">
        <v>183</v>
      </c>
      <c r="L166" s="182">
        <f>INDEX($L$48:$L$57,MATCH($D166,$K$48:$K$57,0))</f>
        <v>113463.16177002643</v>
      </c>
      <c r="M166" s="182">
        <f ca="1">INDEX(Analysis!$S:$S,MATCH($B166&amp;"_"&amp;M$4,Analysis!$B:$B,0))</f>
        <v>36257</v>
      </c>
      <c r="N166" s="180">
        <f t="shared" ca="1" si="40"/>
        <v>0.31954864851631531</v>
      </c>
    </row>
    <row r="167" spans="2:17">
      <c r="B167" s="194" t="str">
        <f t="shared" si="39"/>
        <v>Residential_Whole House Efficiency_All_All_2017</v>
      </c>
      <c r="C167" s="194" t="str">
        <f t="shared" ref="C167" si="43">C166</f>
        <v>Residential</v>
      </c>
      <c r="D167" s="194" t="str">
        <f t="shared" si="41"/>
        <v>Whole House Efficiency</v>
      </c>
      <c r="E167" s="194" t="s">
        <v>28</v>
      </c>
      <c r="F167" s="194" t="str">
        <f t="shared" si="42"/>
        <v>All</v>
      </c>
      <c r="G167" s="194">
        <v>2017</v>
      </c>
      <c r="K167" s="187" t="s">
        <v>184</v>
      </c>
      <c r="L167" s="192">
        <f>INDEX($L$69:$L$78,MATCH($D167,$K$69:$K$78,0))</f>
        <v>28.905120123802426</v>
      </c>
      <c r="M167" s="192">
        <f ca="1">INDEX(Analysis!$AA:$AA,MATCH($B167&amp;"_"&amp;M$4,Analysis!$B:$B,0))</f>
        <v>9.4180000000000081</v>
      </c>
      <c r="N167" s="180">
        <f t="shared" ca="1" si="40"/>
        <v>0.32582462759753733</v>
      </c>
    </row>
    <row r="168" spans="2:17">
      <c r="B168" s="169"/>
      <c r="C168" s="169"/>
      <c r="D168" s="169"/>
      <c r="E168" s="169"/>
      <c r="F168" s="169"/>
      <c r="G168" s="169"/>
      <c r="K168" s="173"/>
    </row>
    <row r="169" spans="2:17">
      <c r="B169" s="169"/>
      <c r="C169" s="169"/>
      <c r="D169" s="169"/>
      <c r="E169" s="169"/>
      <c r="F169" s="169"/>
      <c r="G169" s="169"/>
      <c r="J169" s="170" t="s">
        <v>185</v>
      </c>
      <c r="K169" s="173"/>
    </row>
    <row r="170" spans="2:17">
      <c r="B170" s="169"/>
      <c r="C170" s="169"/>
      <c r="D170" s="169"/>
      <c r="E170" s="169"/>
      <c r="F170" s="169"/>
      <c r="G170" s="169"/>
      <c r="K170" s="173"/>
      <c r="O170" s="272"/>
    </row>
    <row r="171" spans="2:17" ht="12">
      <c r="B171" s="169"/>
      <c r="C171" s="169"/>
      <c r="D171" s="169"/>
      <c r="E171" s="169"/>
      <c r="F171" s="169"/>
      <c r="G171" s="169"/>
      <c r="L171" s="176" t="s">
        <v>186</v>
      </c>
      <c r="M171" s="177" t="s">
        <v>167</v>
      </c>
    </row>
    <row r="172" spans="2:17">
      <c r="B172" s="169" t="str">
        <f t="shared" ref="B172:B176" si="44">C172&amp;"_"&amp;D172&amp;"_"&amp;E172&amp;"_"&amp;F172&amp;"_"&amp;G172</f>
        <v>Residential_Whole House Efficiency_All_All_2017</v>
      </c>
      <c r="C172" s="169" t="str">
        <f t="shared" ref="C172:F172" si="45">C167</f>
        <v>Residential</v>
      </c>
      <c r="D172" s="169" t="str">
        <f t="shared" si="45"/>
        <v>Whole House Efficiency</v>
      </c>
      <c r="E172" s="169" t="s">
        <v>28</v>
      </c>
      <c r="F172" s="169" t="str">
        <f t="shared" si="45"/>
        <v>All</v>
      </c>
      <c r="G172" s="169">
        <f>G167</f>
        <v>2017</v>
      </c>
      <c r="J172" s="193"/>
      <c r="L172" s="187" t="s">
        <v>4</v>
      </c>
      <c r="M172" s="188">
        <f ca="1">INDEX(Analysis!$HB:$HF,MATCH($B172&amp;"_"&amp;M$4,Analysis!$B:$B,0),SUMIFS($L$81:$P$81,$L$82:$P$82,$L172))</f>
        <v>0.97321587798232245</v>
      </c>
    </row>
    <row r="173" spans="2:17">
      <c r="B173" s="169" t="str">
        <f t="shared" si="44"/>
        <v>Residential_Whole House Efficiency_All_All_2017</v>
      </c>
      <c r="C173" s="169" t="str">
        <f>C172</f>
        <v>Residential</v>
      </c>
      <c r="D173" s="169" t="str">
        <f t="shared" ref="D173:D176" si="46">D172</f>
        <v>Whole House Efficiency</v>
      </c>
      <c r="E173" s="169" t="s">
        <v>28</v>
      </c>
      <c r="F173" s="169" t="str">
        <f t="shared" ref="F173:G176" si="47">F172</f>
        <v>All</v>
      </c>
      <c r="G173" s="169">
        <f t="shared" si="47"/>
        <v>2017</v>
      </c>
      <c r="J173" s="193"/>
      <c r="L173" s="187" t="s">
        <v>15</v>
      </c>
      <c r="M173" s="188">
        <f ca="1">INDEX(Analysis!$HB:$HF,MATCH($B173&amp;"_"&amp;M$4,Analysis!$B:$B,0),SUMIFS($L$81:$P$81,$L$82:$P$82,$L173))</f>
        <v>0.97321587798232245</v>
      </c>
    </row>
    <row r="174" spans="2:17">
      <c r="B174" s="169" t="str">
        <f t="shared" si="44"/>
        <v>Residential_Whole House Efficiency_All_All_2017</v>
      </c>
      <c r="C174" s="169" t="str">
        <f t="shared" ref="C174:C176" si="48">C173</f>
        <v>Residential</v>
      </c>
      <c r="D174" s="169" t="str">
        <f t="shared" si="46"/>
        <v>Whole House Efficiency</v>
      </c>
      <c r="E174" s="169" t="s">
        <v>28</v>
      </c>
      <c r="F174" s="169" t="str">
        <f t="shared" si="47"/>
        <v>All</v>
      </c>
      <c r="G174" s="169">
        <f t="shared" si="47"/>
        <v>2017</v>
      </c>
      <c r="J174" s="193"/>
      <c r="L174" s="187" t="s">
        <v>180</v>
      </c>
      <c r="M174" s="188">
        <f ca="1">INDEX(Analysis!$HB:$HF,MATCH($B174&amp;"_"&amp;M$4,Analysis!$B:$B,0),SUMIFS($L$81:$P$81,$L$82:$P$82,$L174))</f>
        <v>1.1993236569840255</v>
      </c>
    </row>
    <row r="175" spans="2:17">
      <c r="B175" s="169" t="str">
        <f t="shared" si="44"/>
        <v>Residential_Whole House Efficiency_All_All_2017</v>
      </c>
      <c r="C175" s="169" t="str">
        <f t="shared" si="48"/>
        <v>Residential</v>
      </c>
      <c r="D175" s="169" t="str">
        <f t="shared" si="46"/>
        <v>Whole House Efficiency</v>
      </c>
      <c r="E175" s="169" t="s">
        <v>28</v>
      </c>
      <c r="F175" s="169" t="str">
        <f t="shared" si="47"/>
        <v>All</v>
      </c>
      <c r="G175" s="169">
        <f t="shared" si="47"/>
        <v>2017</v>
      </c>
      <c r="J175" s="193"/>
      <c r="L175" s="187" t="s">
        <v>16</v>
      </c>
      <c r="M175" s="188" t="str">
        <f ca="1">INDEX(Analysis!$HB:$HF,MATCH($B175&amp;"_"&amp;M$4,Analysis!$B:$B,0),SUMIFS($L$81:$P$81,$L$82:$P$82,$L175))</f>
        <v>n/a</v>
      </c>
    </row>
    <row r="176" spans="2:17">
      <c r="B176" s="169" t="str">
        <f t="shared" si="44"/>
        <v>Residential_Whole House Efficiency_All_All_2017</v>
      </c>
      <c r="C176" s="169" t="str">
        <f t="shared" si="48"/>
        <v>Residential</v>
      </c>
      <c r="D176" s="169" t="str">
        <f t="shared" si="46"/>
        <v>Whole House Efficiency</v>
      </c>
      <c r="E176" s="169" t="s">
        <v>28</v>
      </c>
      <c r="F176" s="169" t="str">
        <f t="shared" si="47"/>
        <v>All</v>
      </c>
      <c r="G176" s="169">
        <f t="shared" si="47"/>
        <v>2017</v>
      </c>
      <c r="J176" s="193"/>
      <c r="L176" s="187" t="s">
        <v>6</v>
      </c>
      <c r="M176" s="188">
        <f ca="1">INDEX(Analysis!$HB:$HF,MATCH($B176&amp;"_"&amp;M$4,Analysis!$B:$B,0),SUMIFS($L$81:$P$81,$L$82:$P$82,$L176))</f>
        <v>0.25596074432367433</v>
      </c>
    </row>
    <row r="177" spans="2:24">
      <c r="B177" s="169"/>
      <c r="C177" s="169"/>
      <c r="D177" s="169"/>
      <c r="E177" s="169"/>
      <c r="F177" s="169"/>
      <c r="G177" s="169"/>
      <c r="K177" s="173"/>
    </row>
    <row r="178" spans="2:24" ht="12">
      <c r="B178" s="169"/>
      <c r="C178" s="169"/>
      <c r="D178" s="169"/>
      <c r="E178" s="169"/>
      <c r="F178" s="169"/>
      <c r="G178" s="169"/>
      <c r="I178" s="171" t="s">
        <v>144</v>
      </c>
      <c r="J178" s="171"/>
      <c r="K178" s="172"/>
      <c r="L178" s="171"/>
      <c r="M178" s="171"/>
      <c r="N178" s="171"/>
      <c r="O178" s="171"/>
      <c r="P178" s="171"/>
      <c r="Q178" s="171"/>
      <c r="R178" s="171"/>
      <c r="S178" s="171"/>
      <c r="T178" s="171"/>
      <c r="U178" s="171"/>
      <c r="V178" s="171"/>
      <c r="W178" s="171"/>
      <c r="X178" s="171"/>
    </row>
    <row r="179" spans="2:24">
      <c r="B179" s="169"/>
      <c r="C179" s="169"/>
      <c r="D179" s="169"/>
      <c r="E179" s="169"/>
      <c r="F179" s="169"/>
      <c r="G179" s="169"/>
      <c r="K179" s="173"/>
    </row>
    <row r="180" spans="2:24">
      <c r="B180" s="169"/>
      <c r="C180" s="169"/>
      <c r="D180" s="169"/>
      <c r="E180" s="169"/>
      <c r="F180" s="169"/>
      <c r="G180" s="169"/>
      <c r="J180" s="170" t="s">
        <v>181</v>
      </c>
      <c r="K180" s="173"/>
    </row>
    <row r="181" spans="2:24">
      <c r="B181" s="169"/>
      <c r="C181" s="169"/>
      <c r="D181" s="169"/>
      <c r="E181" s="169"/>
      <c r="F181" s="169"/>
      <c r="G181" s="169"/>
      <c r="K181" s="173"/>
    </row>
    <row r="182" spans="2:24" ht="12">
      <c r="B182" s="169"/>
      <c r="C182" s="169"/>
      <c r="D182" s="169"/>
      <c r="E182" s="169"/>
      <c r="F182" s="169"/>
      <c r="G182" s="169"/>
      <c r="K182" s="176"/>
      <c r="L182" s="177" t="s">
        <v>166</v>
      </c>
      <c r="M182" s="177" t="s">
        <v>167</v>
      </c>
      <c r="N182" s="177" t="s">
        <v>168</v>
      </c>
    </row>
    <row r="183" spans="2:24">
      <c r="B183" s="194" t="str">
        <f>C183&amp;"_"&amp;D183&amp;"_"&amp;E183&amp;"_"&amp;F183&amp;"_"&amp;G183</f>
        <v>Residential_Residential Audit_All_All_2017</v>
      </c>
      <c r="C183" s="195" t="s">
        <v>1</v>
      </c>
      <c r="D183" s="195" t="s">
        <v>144</v>
      </c>
      <c r="E183" s="195" t="s">
        <v>28</v>
      </c>
      <c r="F183" s="195" t="s">
        <v>28</v>
      </c>
      <c r="G183" s="194">
        <v>2017</v>
      </c>
      <c r="K183" s="187" t="s">
        <v>7</v>
      </c>
      <c r="L183" s="182">
        <f>'BHP SD PY2-3 Plan Adj'!$C$36</f>
        <v>400</v>
      </c>
      <c r="M183" s="182">
        <f ca="1">INDEX(Analysis!$L:$L,MATCH($B183&amp;"_"&amp;M$4,Analysis!$B:$B,0))</f>
        <v>225</v>
      </c>
      <c r="N183" s="180">
        <f ca="1">IFERROR(M183/L183,0)</f>
        <v>0.5625</v>
      </c>
      <c r="T183" s="580"/>
      <c r="U183" s="580"/>
      <c r="V183" s="580"/>
      <c r="W183" s="580"/>
    </row>
    <row r="184" spans="2:24">
      <c r="B184" s="194" t="str">
        <f t="shared" ref="B184:B186" si="49">C184&amp;"_"&amp;D184&amp;"_"&amp;E184&amp;"_"&amp;F184&amp;"_"&amp;G184</f>
        <v>Residential_Residential Audit_All_All_2017</v>
      </c>
      <c r="C184" s="194" t="str">
        <f>C183</f>
        <v>Residential</v>
      </c>
      <c r="D184" s="194" t="str">
        <f>D183</f>
        <v>Residential Audit</v>
      </c>
      <c r="E184" s="194" t="s">
        <v>28</v>
      </c>
      <c r="F184" s="194" t="s">
        <v>28</v>
      </c>
      <c r="G184" s="194">
        <v>2017</v>
      </c>
      <c r="K184" s="187" t="s">
        <v>182</v>
      </c>
      <c r="L184" s="191">
        <f>INDEX($L$24:$L$36,MATCH($D184,$K$24:$K$36,0))</f>
        <v>23203</v>
      </c>
      <c r="M184" s="191">
        <f ca="1">INDEX(Analysis!$AP:$AP,MATCH($B184&amp;"_"&amp;M$4,Analysis!$B:$B,0))</f>
        <v>12780</v>
      </c>
      <c r="N184" s="180">
        <f t="shared" ref="N184:N186" ca="1" si="50">IFERROR(M184/L184,0)</f>
        <v>0.55079084601129169</v>
      </c>
      <c r="T184" s="580"/>
      <c r="U184" s="580"/>
      <c r="V184" s="580"/>
      <c r="W184" s="580"/>
    </row>
    <row r="185" spans="2:24">
      <c r="B185" s="194" t="str">
        <f t="shared" si="49"/>
        <v>Residential_Residential Audit_All_All_2017</v>
      </c>
      <c r="C185" s="194" t="str">
        <f>C184</f>
        <v>Residential</v>
      </c>
      <c r="D185" s="194" t="str">
        <f t="shared" ref="D185:F186" si="51">D184</f>
        <v>Residential Audit</v>
      </c>
      <c r="E185" s="194" t="str">
        <f t="shared" si="51"/>
        <v>All</v>
      </c>
      <c r="F185" s="194" t="str">
        <f t="shared" si="51"/>
        <v>All</v>
      </c>
      <c r="G185" s="194">
        <v>2017</v>
      </c>
      <c r="K185" s="187" t="s">
        <v>183</v>
      </c>
      <c r="L185" s="182">
        <f>INDEX($L$48:$L$57,MATCH($D185,$K$48:$K$57,0))</f>
        <v>79399.544077264174</v>
      </c>
      <c r="M185" s="182">
        <f ca="1">INDEX(Analysis!$S:$S,MATCH($B185&amp;"_"&amp;M$4,Analysis!$B:$B,0))</f>
        <v>47025</v>
      </c>
      <c r="N185" s="180">
        <f t="shared" ca="1" si="50"/>
        <v>0.59225780886398649</v>
      </c>
      <c r="T185" s="580"/>
      <c r="U185" s="580"/>
      <c r="V185" s="580"/>
      <c r="W185" s="580"/>
    </row>
    <row r="186" spans="2:24">
      <c r="B186" s="194" t="str">
        <f t="shared" si="49"/>
        <v>Residential_Residential Audit_All_All_2017</v>
      </c>
      <c r="C186" s="194" t="str">
        <f t="shared" ref="C186" si="52">C185</f>
        <v>Residential</v>
      </c>
      <c r="D186" s="194" t="str">
        <f t="shared" si="51"/>
        <v>Residential Audit</v>
      </c>
      <c r="E186" s="194" t="str">
        <f t="shared" si="51"/>
        <v>All</v>
      </c>
      <c r="F186" s="194" t="str">
        <f t="shared" si="51"/>
        <v>All</v>
      </c>
      <c r="G186" s="194">
        <v>2017</v>
      </c>
      <c r="K186" s="187" t="s">
        <v>184</v>
      </c>
      <c r="L186" s="192">
        <f>INDEX($L$69:$L$78,MATCH($D186,$K$69:$K$78,0))</f>
        <v>8.0018171584689668</v>
      </c>
      <c r="M186" s="192">
        <f ca="1">INDEX(Analysis!$AA:$AA,MATCH($B186&amp;"_"&amp;M$4,Analysis!$B:$B,0))</f>
        <v>4.9499999999999993</v>
      </c>
      <c r="N186" s="180">
        <f t="shared" ca="1" si="50"/>
        <v>0.61860948606667621</v>
      </c>
      <c r="T186" s="580"/>
      <c r="U186" s="580"/>
      <c r="V186" s="580"/>
      <c r="W186" s="580"/>
    </row>
    <row r="187" spans="2:24">
      <c r="B187" s="169"/>
      <c r="C187" s="169"/>
      <c r="D187" s="169"/>
      <c r="E187" s="169"/>
      <c r="F187" s="169"/>
      <c r="G187" s="169"/>
      <c r="K187" s="173"/>
    </row>
    <row r="188" spans="2:24">
      <c r="B188" s="169"/>
      <c r="C188" s="169"/>
      <c r="D188" s="169"/>
      <c r="E188" s="169"/>
      <c r="F188" s="169"/>
      <c r="G188" s="169"/>
      <c r="J188" s="170" t="s">
        <v>185</v>
      </c>
      <c r="K188" s="173"/>
    </row>
    <row r="189" spans="2:24">
      <c r="B189" s="169"/>
      <c r="C189" s="169"/>
      <c r="D189" s="169"/>
      <c r="E189" s="169"/>
      <c r="F189" s="169"/>
      <c r="G189" s="169"/>
      <c r="K189" s="173"/>
    </row>
    <row r="190" spans="2:24" ht="12">
      <c r="B190" s="169"/>
      <c r="C190" s="169"/>
      <c r="D190" s="169"/>
      <c r="E190" s="169"/>
      <c r="F190" s="169"/>
      <c r="G190" s="169"/>
      <c r="L190" s="176" t="s">
        <v>186</v>
      </c>
      <c r="M190" s="177" t="s">
        <v>167</v>
      </c>
    </row>
    <row r="191" spans="2:24">
      <c r="B191" s="169" t="str">
        <f t="shared" ref="B191:B195" si="53">C191&amp;"_"&amp;D191&amp;"_"&amp;E191&amp;"_"&amp;F191&amp;"_"&amp;G191</f>
        <v>Residential_Residential Audit_All_All_2017</v>
      </c>
      <c r="C191" s="169" t="str">
        <f t="shared" ref="C191:F191" si="54">C186</f>
        <v>Residential</v>
      </c>
      <c r="D191" s="169" t="str">
        <f t="shared" si="54"/>
        <v>Residential Audit</v>
      </c>
      <c r="E191" s="169" t="str">
        <f t="shared" si="54"/>
        <v>All</v>
      </c>
      <c r="F191" s="169" t="str">
        <f t="shared" si="54"/>
        <v>All</v>
      </c>
      <c r="G191" s="169">
        <f>G186</f>
        <v>2017</v>
      </c>
      <c r="J191" s="193"/>
      <c r="L191" s="187" t="s">
        <v>4</v>
      </c>
      <c r="M191" s="188">
        <f ca="1">INDEX(Analysis!$HB:$HF,MATCH($B191&amp;"_"&amp;M$4,Analysis!$B:$B,0),SUMIFS($L$81:$P$81,$L$82:$P$82,$L191))</f>
        <v>1.2424205702288291</v>
      </c>
    </row>
    <row r="192" spans="2:24">
      <c r="B192" s="169" t="str">
        <f t="shared" si="53"/>
        <v>Residential_Residential Audit_All_All_2017</v>
      </c>
      <c r="C192" s="169" t="str">
        <f>C191</f>
        <v>Residential</v>
      </c>
      <c r="D192" s="169" t="str">
        <f t="shared" ref="D192:G195" si="55">D191</f>
        <v>Residential Audit</v>
      </c>
      <c r="E192" s="169" t="str">
        <f t="shared" si="55"/>
        <v>All</v>
      </c>
      <c r="F192" s="169" t="str">
        <f t="shared" si="55"/>
        <v>All</v>
      </c>
      <c r="G192" s="169">
        <f t="shared" si="55"/>
        <v>2017</v>
      </c>
      <c r="J192" s="193"/>
      <c r="L192" s="187" t="s">
        <v>15</v>
      </c>
      <c r="M192" s="188">
        <f ca="1">INDEX(Analysis!$HB:$HF,MATCH($B192&amp;"_"&amp;M$4,Analysis!$B:$B,0),SUMIFS($L$81:$P$81,$L$82:$P$82,$L192))</f>
        <v>1.2424205702288291</v>
      </c>
    </row>
    <row r="193" spans="2:24">
      <c r="B193" s="169" t="str">
        <f t="shared" si="53"/>
        <v>Residential_Residential Audit_All_All_2017</v>
      </c>
      <c r="C193" s="169" t="str">
        <f t="shared" ref="C193:C195" si="56">C192</f>
        <v>Residential</v>
      </c>
      <c r="D193" s="169" t="str">
        <f t="shared" si="55"/>
        <v>Residential Audit</v>
      </c>
      <c r="E193" s="169" t="str">
        <f t="shared" si="55"/>
        <v>All</v>
      </c>
      <c r="F193" s="169" t="str">
        <f t="shared" si="55"/>
        <v>All</v>
      </c>
      <c r="G193" s="169">
        <f t="shared" si="55"/>
        <v>2017</v>
      </c>
      <c r="J193" s="193"/>
      <c r="L193" s="187" t="s">
        <v>180</v>
      </c>
      <c r="M193" s="188">
        <f ca="1">INDEX(Analysis!$HB:$HF,MATCH($B193&amp;"_"&amp;M$4,Analysis!$B:$B,0),SUMIFS($L$81:$P$81,$L$82:$P$82,$L193))</f>
        <v>1.551364096683558</v>
      </c>
    </row>
    <row r="194" spans="2:24">
      <c r="B194" s="169" t="str">
        <f t="shared" si="53"/>
        <v>Residential_Residential Audit_All_All_2017</v>
      </c>
      <c r="C194" s="169" t="str">
        <f t="shared" si="56"/>
        <v>Residential</v>
      </c>
      <c r="D194" s="169" t="str">
        <f t="shared" si="55"/>
        <v>Residential Audit</v>
      </c>
      <c r="E194" s="169" t="str">
        <f t="shared" si="55"/>
        <v>All</v>
      </c>
      <c r="F194" s="169" t="str">
        <f t="shared" si="55"/>
        <v>All</v>
      </c>
      <c r="G194" s="169">
        <f t="shared" si="55"/>
        <v>2017</v>
      </c>
      <c r="J194" s="193"/>
      <c r="L194" s="187" t="s">
        <v>16</v>
      </c>
      <c r="M194" s="188" t="str">
        <f ca="1">INDEX(Analysis!$HB:$HF,MATCH($B194&amp;"_"&amp;M$4,Analysis!$B:$B,0),SUMIFS($L$81:$P$81,$L$82:$P$82,$L194))</f>
        <v>n/a</v>
      </c>
    </row>
    <row r="195" spans="2:24">
      <c r="B195" s="169" t="str">
        <f t="shared" si="53"/>
        <v>Residential_Residential Audit_All_All_2017</v>
      </c>
      <c r="C195" s="169" t="str">
        <f t="shared" si="56"/>
        <v>Residential</v>
      </c>
      <c r="D195" s="169" t="str">
        <f t="shared" si="55"/>
        <v>Residential Audit</v>
      </c>
      <c r="E195" s="169" t="str">
        <f t="shared" si="55"/>
        <v>All</v>
      </c>
      <c r="F195" s="169" t="str">
        <f t="shared" si="55"/>
        <v>All</v>
      </c>
      <c r="G195" s="169">
        <f t="shared" si="55"/>
        <v>2017</v>
      </c>
      <c r="J195" s="193"/>
      <c r="L195" s="187" t="s">
        <v>6</v>
      </c>
      <c r="M195" s="188">
        <f ca="1">INDEX(Analysis!$HB:$HF,MATCH($B195&amp;"_"&amp;M$4,Analysis!$B:$B,0),SUMIFS($L$81:$P$81,$L$82:$P$82,$L195))</f>
        <v>0.25928919129590683</v>
      </c>
    </row>
    <row r="196" spans="2:24">
      <c r="B196" s="169"/>
      <c r="C196" s="169"/>
      <c r="D196" s="169"/>
      <c r="E196" s="169"/>
      <c r="F196" s="169"/>
      <c r="G196" s="169"/>
      <c r="K196" s="173"/>
    </row>
    <row r="197" spans="2:24" ht="12">
      <c r="B197" s="169"/>
      <c r="C197" s="169"/>
      <c r="D197" s="169"/>
      <c r="E197" s="169"/>
      <c r="F197" s="169"/>
      <c r="G197" s="169"/>
      <c r="I197" s="171" t="s">
        <v>224</v>
      </c>
      <c r="J197" s="171"/>
      <c r="K197" s="172"/>
      <c r="L197" s="171"/>
      <c r="M197" s="171"/>
      <c r="N197" s="171"/>
      <c r="O197" s="171"/>
      <c r="P197" s="171"/>
      <c r="Q197" s="171"/>
      <c r="R197" s="171"/>
      <c r="S197" s="171"/>
      <c r="T197" s="171"/>
      <c r="U197" s="171"/>
      <c r="V197" s="171"/>
      <c r="W197" s="171"/>
      <c r="X197" s="171"/>
    </row>
    <row r="198" spans="2:24">
      <c r="B198" s="169"/>
      <c r="C198" s="169"/>
      <c r="D198" s="169"/>
      <c r="E198" s="169"/>
      <c r="F198" s="169"/>
      <c r="G198" s="169"/>
      <c r="K198" s="173"/>
    </row>
    <row r="199" spans="2:24">
      <c r="B199" s="169"/>
      <c r="C199" s="169"/>
      <c r="D199" s="169"/>
      <c r="E199" s="169"/>
      <c r="F199" s="169"/>
      <c r="G199" s="169"/>
      <c r="J199" s="170" t="s">
        <v>181</v>
      </c>
      <c r="K199" s="173"/>
    </row>
    <row r="200" spans="2:24">
      <c r="B200" s="169"/>
      <c r="C200" s="169"/>
      <c r="D200" s="169"/>
      <c r="E200" s="169"/>
      <c r="F200" s="169"/>
      <c r="G200" s="169"/>
      <c r="K200" s="173"/>
    </row>
    <row r="201" spans="2:24" ht="12">
      <c r="B201" s="169"/>
      <c r="C201" s="169"/>
      <c r="D201" s="169"/>
      <c r="E201" s="169"/>
      <c r="F201" s="169"/>
      <c r="G201" s="169"/>
      <c r="K201" s="176"/>
      <c r="L201" s="177" t="s">
        <v>166</v>
      </c>
      <c r="M201" s="177" t="s">
        <v>167</v>
      </c>
      <c r="N201" s="177" t="s">
        <v>168</v>
      </c>
    </row>
    <row r="202" spans="2:24">
      <c r="B202" s="194" t="str">
        <f>C202&amp;"_"&amp;D202&amp;"_"&amp;E202&amp;"_"&amp;F202&amp;"_"&amp;G202</f>
        <v>Residential_School-Based Education_Various_EE Kit/Education Materials_2017</v>
      </c>
      <c r="C202" s="195" t="s">
        <v>1</v>
      </c>
      <c r="D202" s="195" t="s">
        <v>224</v>
      </c>
      <c r="E202" s="195" t="s">
        <v>155</v>
      </c>
      <c r="F202" s="195" t="s">
        <v>152</v>
      </c>
      <c r="G202" s="194">
        <v>2017</v>
      </c>
      <c r="K202" s="187" t="s">
        <v>7</v>
      </c>
      <c r="L202" s="182">
        <f>'BHP SD PY2-3 Plan Adj'!$C$42</f>
        <v>1200</v>
      </c>
      <c r="M202" s="182">
        <f ca="1">INDEX(Analysis!$L:$L,MATCH($B202&amp;"_"&amp;M$4,Analysis!$B:$B,0))</f>
        <v>1202</v>
      </c>
      <c r="N202" s="180">
        <f ca="1">IFERROR(M202/L202,0)</f>
        <v>1.0016666666666667</v>
      </c>
    </row>
    <row r="203" spans="2:24">
      <c r="B203" s="194" t="str">
        <f t="shared" ref="B203:B205" si="57">C203&amp;"_"&amp;D203&amp;"_"&amp;E203&amp;"_"&amp;F203&amp;"_"&amp;G203</f>
        <v>Residential_School-Based Education_All_All_2017</v>
      </c>
      <c r="C203" s="194" t="str">
        <f>C202</f>
        <v>Residential</v>
      </c>
      <c r="D203" s="194" t="str">
        <f>D202</f>
        <v>School-Based Education</v>
      </c>
      <c r="E203" s="194" t="s">
        <v>28</v>
      </c>
      <c r="F203" s="194" t="s">
        <v>28</v>
      </c>
      <c r="G203" s="194">
        <v>2017</v>
      </c>
      <c r="K203" s="187" t="s">
        <v>182</v>
      </c>
      <c r="L203" s="191">
        <f>INDEX($L$24:$L$36,MATCH($D203,$K$24:$K$36,0))</f>
        <v>63150</v>
      </c>
      <c r="M203" s="191">
        <f ca="1">INDEX(Analysis!$AP:$AP,MATCH($B203&amp;"_"&amp;M$4,Analysis!$B:$B,0))</f>
        <v>62222.55</v>
      </c>
      <c r="N203" s="180">
        <f t="shared" ref="N203:N205" ca="1" si="58">IFERROR(M203/L203,0)</f>
        <v>0.98531353919239906</v>
      </c>
    </row>
    <row r="204" spans="2:24">
      <c r="B204" s="194" t="str">
        <f t="shared" si="57"/>
        <v>Residential_School-Based Education_All_All_2017</v>
      </c>
      <c r="C204" s="194" t="str">
        <f>C203</f>
        <v>Residential</v>
      </c>
      <c r="D204" s="194" t="str">
        <f t="shared" ref="D204:F205" si="59">D203</f>
        <v>School-Based Education</v>
      </c>
      <c r="E204" s="194" t="str">
        <f t="shared" si="59"/>
        <v>All</v>
      </c>
      <c r="F204" s="194" t="str">
        <f t="shared" si="59"/>
        <v>All</v>
      </c>
      <c r="G204" s="194">
        <v>2017</v>
      </c>
      <c r="K204" s="187" t="s">
        <v>183</v>
      </c>
      <c r="L204" s="182">
        <f>INDEX($L$48:$L$57,MATCH($D204,$K$48:$K$57,0))</f>
        <v>476397.26446358504</v>
      </c>
      <c r="M204" s="182">
        <f ca="1">INDEX(Analysis!$S:$S,MATCH($B204&amp;"_"&amp;M$4,Analysis!$B:$B,0))</f>
        <v>477194</v>
      </c>
      <c r="N204" s="180">
        <f t="shared" ca="1" si="58"/>
        <v>1.0016724183698076</v>
      </c>
    </row>
    <row r="205" spans="2:24">
      <c r="B205" s="194" t="str">
        <f t="shared" si="57"/>
        <v>Residential_School-Based Education_All_All_2017</v>
      </c>
      <c r="C205" s="194" t="str">
        <f t="shared" ref="C205" si="60">C204</f>
        <v>Residential</v>
      </c>
      <c r="D205" s="194" t="str">
        <f t="shared" si="59"/>
        <v>School-Based Education</v>
      </c>
      <c r="E205" s="194" t="str">
        <f t="shared" si="59"/>
        <v>All</v>
      </c>
      <c r="F205" s="194" t="str">
        <f t="shared" si="59"/>
        <v>All</v>
      </c>
      <c r="G205" s="194">
        <v>2017</v>
      </c>
      <c r="K205" s="187" t="s">
        <v>184</v>
      </c>
      <c r="L205" s="192">
        <f>INDEX($L$69:$L$78,MATCH($D205,$K$69:$K$78,0))</f>
        <v>48.010902950813801</v>
      </c>
      <c r="M205" s="192">
        <f ca="1">INDEX(Analysis!$AA:$AA,MATCH($B205&amp;"_"&amp;M$4,Analysis!$B:$B,0))</f>
        <v>48.079999999999984</v>
      </c>
      <c r="N205" s="180">
        <f t="shared" ca="1" si="58"/>
        <v>1.0014391949523835</v>
      </c>
    </row>
    <row r="206" spans="2:24">
      <c r="B206" s="169"/>
      <c r="C206" s="169"/>
      <c r="D206" s="169"/>
      <c r="E206" s="169"/>
      <c r="F206" s="169"/>
      <c r="G206" s="169"/>
      <c r="K206" s="173"/>
    </row>
    <row r="207" spans="2:24">
      <c r="B207" s="169"/>
      <c r="C207" s="169"/>
      <c r="D207" s="169"/>
      <c r="E207" s="169"/>
      <c r="F207" s="169"/>
      <c r="G207" s="169"/>
      <c r="J207" s="170" t="s">
        <v>185</v>
      </c>
      <c r="K207" s="173"/>
    </row>
    <row r="208" spans="2:24">
      <c r="B208" s="169"/>
      <c r="C208" s="169"/>
      <c r="D208" s="169"/>
      <c r="E208" s="169"/>
      <c r="F208" s="169"/>
      <c r="G208" s="169"/>
      <c r="K208" s="173"/>
    </row>
    <row r="209" spans="2:24" ht="12">
      <c r="B209" s="169"/>
      <c r="C209" s="169"/>
      <c r="D209" s="169"/>
      <c r="E209" s="169"/>
      <c r="F209" s="169"/>
      <c r="G209" s="169"/>
      <c r="L209" s="176" t="s">
        <v>186</v>
      </c>
      <c r="M209" s="177" t="s">
        <v>167</v>
      </c>
    </row>
    <row r="210" spans="2:24">
      <c r="B210" s="169" t="str">
        <f t="shared" ref="B210:B214" si="61">C210&amp;"_"&amp;D210&amp;"_"&amp;E210&amp;"_"&amp;F210&amp;"_"&amp;G210</f>
        <v>Residential_School-Based Education_All_All_2017</v>
      </c>
      <c r="C210" s="169" t="str">
        <f t="shared" ref="C210:F210" si="62">C205</f>
        <v>Residential</v>
      </c>
      <c r="D210" s="169" t="str">
        <f t="shared" si="62"/>
        <v>School-Based Education</v>
      </c>
      <c r="E210" s="169" t="str">
        <f t="shared" si="62"/>
        <v>All</v>
      </c>
      <c r="F210" s="169" t="str">
        <f t="shared" si="62"/>
        <v>All</v>
      </c>
      <c r="G210" s="169">
        <f>G205</f>
        <v>2017</v>
      </c>
      <c r="J210" s="193"/>
      <c r="L210" s="187" t="s">
        <v>4</v>
      </c>
      <c r="M210" s="188">
        <f ca="1">INDEX(Analysis!$HB:$HF,MATCH($B210&amp;"_"&amp;M$4,Analysis!$B:$B,0),SUMIFS($L$81:$P$81,$L$82:$P$82,$L210))</f>
        <v>1.5160118435053322</v>
      </c>
    </row>
    <row r="211" spans="2:24">
      <c r="B211" s="169" t="str">
        <f t="shared" si="61"/>
        <v>Residential_School-Based Education_All_All_2017</v>
      </c>
      <c r="C211" s="169" t="str">
        <f>C210</f>
        <v>Residential</v>
      </c>
      <c r="D211" s="169" t="str">
        <f t="shared" ref="D211:G214" si="63">D210</f>
        <v>School-Based Education</v>
      </c>
      <c r="E211" s="169" t="str">
        <f t="shared" si="63"/>
        <v>All</v>
      </c>
      <c r="F211" s="169" t="str">
        <f t="shared" si="63"/>
        <v>All</v>
      </c>
      <c r="G211" s="169">
        <f t="shared" si="63"/>
        <v>2017</v>
      </c>
      <c r="J211" s="193"/>
      <c r="L211" s="187" t="s">
        <v>15</v>
      </c>
      <c r="M211" s="188">
        <f ca="1">INDEX(Analysis!$HB:$HF,MATCH($B211&amp;"_"&amp;M$4,Analysis!$B:$B,0),SUMIFS($L$81:$P$81,$L$82:$P$82,$L211))</f>
        <v>1.5160118435053322</v>
      </c>
    </row>
    <row r="212" spans="2:24">
      <c r="B212" s="169" t="str">
        <f t="shared" si="61"/>
        <v>Residential_School-Based Education_All_All_2017</v>
      </c>
      <c r="C212" s="169" t="str">
        <f t="shared" ref="C212:C214" si="64">C211</f>
        <v>Residential</v>
      </c>
      <c r="D212" s="169" t="str">
        <f t="shared" si="63"/>
        <v>School-Based Education</v>
      </c>
      <c r="E212" s="169" t="str">
        <f t="shared" si="63"/>
        <v>All</v>
      </c>
      <c r="F212" s="169" t="str">
        <f t="shared" si="63"/>
        <v>All</v>
      </c>
      <c r="G212" s="169">
        <f t="shared" si="63"/>
        <v>2017</v>
      </c>
      <c r="J212" s="193"/>
      <c r="L212" s="187" t="s">
        <v>180</v>
      </c>
      <c r="M212" s="188">
        <f ca="1">INDEX(Analysis!$HB:$HF,MATCH($B212&amp;"_"&amp;M$4,Analysis!$B:$B,0),SUMIFS($L$81:$P$81,$L$82:$P$82,$L212))</f>
        <v>1.9051493743348591</v>
      </c>
    </row>
    <row r="213" spans="2:24">
      <c r="B213" s="169" t="str">
        <f t="shared" si="61"/>
        <v>Residential_School-Based Education_All_All_2017</v>
      </c>
      <c r="C213" s="169" t="str">
        <f t="shared" si="64"/>
        <v>Residential</v>
      </c>
      <c r="D213" s="169" t="str">
        <f t="shared" si="63"/>
        <v>School-Based Education</v>
      </c>
      <c r="E213" s="169" t="str">
        <f t="shared" si="63"/>
        <v>All</v>
      </c>
      <c r="F213" s="169" t="str">
        <f t="shared" si="63"/>
        <v>All</v>
      </c>
      <c r="G213" s="169">
        <f t="shared" si="63"/>
        <v>2017</v>
      </c>
      <c r="J213" s="193"/>
      <c r="L213" s="187" t="s">
        <v>16</v>
      </c>
      <c r="M213" s="188" t="str">
        <f ca="1">INDEX(Analysis!$HB:$HF,MATCH($B213&amp;"_"&amp;M$4,Analysis!$B:$B,0),SUMIFS($L$81:$P$81,$L$82:$P$82,$L213))</f>
        <v>n/a</v>
      </c>
    </row>
    <row r="214" spans="2:24">
      <c r="B214" s="169" t="str">
        <f t="shared" si="61"/>
        <v>Residential_School-Based Education_All_All_2017</v>
      </c>
      <c r="C214" s="169" t="str">
        <f t="shared" si="64"/>
        <v>Residential</v>
      </c>
      <c r="D214" s="169" t="str">
        <f t="shared" si="63"/>
        <v>School-Based Education</v>
      </c>
      <c r="E214" s="169" t="str">
        <f t="shared" si="63"/>
        <v>All</v>
      </c>
      <c r="F214" s="169" t="str">
        <f t="shared" si="63"/>
        <v>All</v>
      </c>
      <c r="G214" s="169">
        <f t="shared" si="63"/>
        <v>2017</v>
      </c>
      <c r="J214" s="193"/>
      <c r="L214" s="187" t="s">
        <v>6</v>
      </c>
      <c r="M214" s="188">
        <f ca="1">INDEX(Analysis!$HB:$HF,MATCH($B214&amp;"_"&amp;M$4,Analysis!$B:$B,0),SUMIFS($L$81:$P$81,$L$82:$P$82,$L214))</f>
        <v>0.26907560520681623</v>
      </c>
    </row>
    <row r="215" spans="2:24">
      <c r="B215" s="169"/>
      <c r="C215" s="169"/>
      <c r="D215" s="169"/>
      <c r="E215" s="169"/>
      <c r="F215" s="169"/>
      <c r="G215" s="169"/>
      <c r="K215" s="173"/>
    </row>
    <row r="216" spans="2:24" ht="12">
      <c r="B216" s="169"/>
      <c r="C216" s="169"/>
      <c r="D216" s="169"/>
      <c r="E216" s="169"/>
      <c r="F216" s="169"/>
      <c r="G216" s="169"/>
      <c r="I216" s="171" t="s">
        <v>83</v>
      </c>
      <c r="J216" s="171"/>
      <c r="K216" s="172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</row>
    <row r="217" spans="2:24">
      <c r="B217" s="169"/>
      <c r="C217" s="169"/>
      <c r="D217" s="169"/>
      <c r="E217" s="169"/>
      <c r="F217" s="169"/>
      <c r="G217" s="169"/>
      <c r="K217" s="173"/>
    </row>
    <row r="218" spans="2:24">
      <c r="B218" s="169"/>
      <c r="C218" s="169"/>
      <c r="D218" s="169"/>
      <c r="E218" s="169"/>
      <c r="F218" s="169"/>
      <c r="G218" s="169"/>
      <c r="J218" s="170" t="s">
        <v>181</v>
      </c>
      <c r="K218" s="173"/>
    </row>
    <row r="219" spans="2:24">
      <c r="B219" s="169"/>
      <c r="C219" s="169"/>
      <c r="D219" s="169"/>
      <c r="E219" s="169"/>
      <c r="F219" s="169"/>
      <c r="G219" s="169"/>
      <c r="K219" s="173"/>
    </row>
    <row r="220" spans="2:24" ht="12">
      <c r="B220" s="169"/>
      <c r="C220" s="169"/>
      <c r="D220" s="169"/>
      <c r="E220" s="169"/>
      <c r="F220" s="169"/>
      <c r="G220" s="169"/>
      <c r="K220" s="176"/>
      <c r="L220" s="177" t="s">
        <v>166</v>
      </c>
      <c r="M220" s="177" t="s">
        <v>167</v>
      </c>
      <c r="N220" s="177" t="s">
        <v>168</v>
      </c>
    </row>
    <row r="221" spans="2:24">
      <c r="B221" s="194" t="str">
        <f>C221&amp;"_"&amp;D221&amp;"_"&amp;E221&amp;"_"&amp;F221&amp;"_"&amp;G221</f>
        <v>Residential_Weatherization_Various_Measures_2017</v>
      </c>
      <c r="C221" s="195" t="s">
        <v>1</v>
      </c>
      <c r="D221" s="195" t="s">
        <v>83</v>
      </c>
      <c r="E221" s="195" t="s">
        <v>155</v>
      </c>
      <c r="F221" s="195" t="s">
        <v>283</v>
      </c>
      <c r="G221" s="194">
        <v>2017</v>
      </c>
      <c r="K221" s="187" t="s">
        <v>7</v>
      </c>
      <c r="L221" s="182">
        <f>'BHP SD PY2-3 Plan Adj'!$C$43</f>
        <v>30</v>
      </c>
      <c r="M221" s="182">
        <f ca="1">INDEX(Analysis!$L:$L,MATCH($B221&amp;"_"&amp;M$4,Analysis!$B:$B,0))</f>
        <v>6</v>
      </c>
      <c r="N221" s="180">
        <f ca="1">IFERROR(M221/L221,0)</f>
        <v>0.2</v>
      </c>
      <c r="S221" s="580"/>
      <c r="T221" s="580"/>
      <c r="U221" s="580"/>
      <c r="V221" s="580"/>
      <c r="W221" s="580"/>
      <c r="X221" s="580"/>
    </row>
    <row r="222" spans="2:24">
      <c r="B222" s="194" t="str">
        <f t="shared" ref="B222:B224" si="65">C222&amp;"_"&amp;D222&amp;"_"&amp;E222&amp;"_"&amp;F222&amp;"_"&amp;G222</f>
        <v>Residential_Weatherization_All_All_2017</v>
      </c>
      <c r="C222" s="194" t="s">
        <v>1</v>
      </c>
      <c r="D222" s="194" t="s">
        <v>83</v>
      </c>
      <c r="E222" s="194" t="s">
        <v>28</v>
      </c>
      <c r="F222" s="194" t="s">
        <v>28</v>
      </c>
      <c r="G222" s="194">
        <v>2017</v>
      </c>
      <c r="K222" s="187" t="s">
        <v>182</v>
      </c>
      <c r="L222" s="191">
        <f>INDEX($L$24:$L$36,MATCH($D222,$K$24:$K$36,0))</f>
        <v>11051.25</v>
      </c>
      <c r="M222" s="191">
        <f ca="1">INDEX(Analysis!$AP:$AP,MATCH($B222&amp;"_"&amp;M$4,Analysis!$B:$B,0))</f>
        <v>131.49</v>
      </c>
      <c r="N222" s="180">
        <f t="shared" ref="N222:N224" ca="1" si="66">IFERROR(M222/L222,0)</f>
        <v>1.1898201560909399E-2</v>
      </c>
      <c r="S222" s="580"/>
      <c r="T222" s="580"/>
      <c r="U222" s="580"/>
      <c r="V222" s="580"/>
      <c r="W222" s="580"/>
      <c r="X222" s="580"/>
    </row>
    <row r="223" spans="2:24">
      <c r="B223" s="194" t="str">
        <f t="shared" si="65"/>
        <v>Residential_Weatherization_All_All_2017</v>
      </c>
      <c r="C223" s="194" t="s">
        <v>1</v>
      </c>
      <c r="D223" s="194" t="s">
        <v>83</v>
      </c>
      <c r="E223" s="194" t="str">
        <f t="shared" ref="E223:E224" si="67">E222</f>
        <v>All</v>
      </c>
      <c r="F223" s="194" t="s">
        <v>28</v>
      </c>
      <c r="G223" s="194">
        <v>2017</v>
      </c>
      <c r="K223" s="187" t="s">
        <v>183</v>
      </c>
      <c r="L223" s="182">
        <f>INDEX($L$48:$L$57,MATCH($D223,$K$48:$K$57,0))</f>
        <v>49775.848831409006</v>
      </c>
      <c r="M223" s="182">
        <f ca="1">INDEX(Analysis!$S:$S,MATCH($B223&amp;"_"&amp;M$4,Analysis!$B:$B,0))</f>
        <v>7692</v>
      </c>
      <c r="N223" s="180">
        <f t="shared" ca="1" si="66"/>
        <v>0.15453277403772328</v>
      </c>
      <c r="S223" s="580"/>
      <c r="T223" s="580"/>
      <c r="U223" s="580"/>
      <c r="V223" s="580"/>
      <c r="W223" s="580"/>
      <c r="X223" s="580"/>
    </row>
    <row r="224" spans="2:24">
      <c r="B224" s="194" t="str">
        <f t="shared" si="65"/>
        <v>Residential_Weatherization_All_All_2017</v>
      </c>
      <c r="C224" s="194" t="s">
        <v>1</v>
      </c>
      <c r="D224" s="194" t="s">
        <v>83</v>
      </c>
      <c r="E224" s="194" t="str">
        <f t="shared" si="67"/>
        <v>All</v>
      </c>
      <c r="F224" s="194" t="s">
        <v>28</v>
      </c>
      <c r="G224" s="194">
        <v>2017</v>
      </c>
      <c r="K224" s="187" t="s">
        <v>184</v>
      </c>
      <c r="L224" s="192">
        <f>INDEX($L$69:$L$78,MATCH($D224,$K$69:$K$78,0))</f>
        <v>7.0642214582183032</v>
      </c>
      <c r="M224" s="192">
        <f ca="1">INDEX(Analysis!$AA:$AA,MATCH($B224&amp;"_"&amp;M$4,Analysis!$B:$B,0))</f>
        <v>1.194</v>
      </c>
      <c r="N224" s="180">
        <f t="shared" ca="1" si="66"/>
        <v>0.16902074872113984</v>
      </c>
      <c r="S224" s="580"/>
      <c r="T224" s="580"/>
      <c r="U224" s="580"/>
      <c r="V224" s="580"/>
      <c r="W224" s="580"/>
      <c r="X224" s="580"/>
    </row>
    <row r="225" spans="2:24">
      <c r="B225" s="169"/>
      <c r="C225" s="169"/>
      <c r="D225" s="169"/>
      <c r="E225" s="169"/>
      <c r="F225" s="169"/>
      <c r="G225" s="169"/>
      <c r="K225" s="173"/>
      <c r="S225" s="580"/>
      <c r="T225" s="580"/>
      <c r="U225" s="580"/>
      <c r="V225" s="580"/>
      <c r="W225" s="580"/>
      <c r="X225" s="580"/>
    </row>
    <row r="226" spans="2:24">
      <c r="B226" s="169"/>
      <c r="C226" s="169"/>
      <c r="D226" s="169"/>
      <c r="E226" s="169"/>
      <c r="F226" s="169"/>
      <c r="G226" s="169"/>
      <c r="J226" s="170" t="s">
        <v>185</v>
      </c>
      <c r="K226" s="173"/>
      <c r="S226" s="580"/>
      <c r="T226" s="580"/>
      <c r="U226" s="580"/>
      <c r="V226" s="580"/>
      <c r="W226" s="580"/>
      <c r="X226" s="580"/>
    </row>
    <row r="227" spans="2:24">
      <c r="B227" s="169"/>
      <c r="C227" s="169"/>
      <c r="D227" s="169"/>
      <c r="E227" s="169"/>
      <c r="F227" s="169"/>
      <c r="G227" s="169"/>
      <c r="K227" s="173"/>
      <c r="S227" s="580"/>
      <c r="T227" s="580"/>
      <c r="U227" s="580"/>
      <c r="V227" s="580"/>
      <c r="W227" s="580"/>
      <c r="X227" s="580"/>
    </row>
    <row r="228" spans="2:24" ht="12">
      <c r="B228" s="169"/>
      <c r="C228" s="169"/>
      <c r="D228" s="169"/>
      <c r="E228" s="169"/>
      <c r="F228" s="169"/>
      <c r="G228" s="169"/>
      <c r="L228" s="176" t="s">
        <v>186</v>
      </c>
      <c r="M228" s="177" t="s">
        <v>167</v>
      </c>
    </row>
    <row r="229" spans="2:24">
      <c r="B229" s="169" t="str">
        <f t="shared" ref="B229:B233" si="68">C229&amp;"_"&amp;D229&amp;"_"&amp;E229&amp;"_"&amp;F229&amp;"_"&amp;G229</f>
        <v>Residential_Weatherization_All_All_2017</v>
      </c>
      <c r="C229" s="169" t="str">
        <f t="shared" ref="C229:F229" si="69">C224</f>
        <v>Residential</v>
      </c>
      <c r="D229" s="169" t="str">
        <f t="shared" si="69"/>
        <v>Weatherization</v>
      </c>
      <c r="E229" s="169" t="str">
        <f t="shared" si="69"/>
        <v>All</v>
      </c>
      <c r="F229" s="169" t="str">
        <f t="shared" si="69"/>
        <v>All</v>
      </c>
      <c r="G229" s="169">
        <f>G224</f>
        <v>2017</v>
      </c>
      <c r="J229" s="193"/>
      <c r="L229" s="187" t="s">
        <v>4</v>
      </c>
      <c r="M229" s="188">
        <f ca="1">INDEX(Analysis!$HB:$HF,MATCH($B229&amp;"_"&amp;M$4,Analysis!$B:$B,0),SUMIFS($L$81:$P$81,$L$82:$P$82,$L229))</f>
        <v>23.410253373859991</v>
      </c>
    </row>
    <row r="230" spans="2:24">
      <c r="B230" s="169" t="str">
        <f t="shared" si="68"/>
        <v>Residential_Weatherization_All_All_2017</v>
      </c>
      <c r="C230" s="169" t="str">
        <f>C229</f>
        <v>Residential</v>
      </c>
      <c r="D230" s="169" t="str">
        <f t="shared" ref="D230:G233" si="70">D229</f>
        <v>Weatherization</v>
      </c>
      <c r="E230" s="169" t="str">
        <f t="shared" si="70"/>
        <v>All</v>
      </c>
      <c r="F230" s="169" t="str">
        <f t="shared" si="70"/>
        <v>All</v>
      </c>
      <c r="G230" s="169">
        <f t="shared" si="70"/>
        <v>2017</v>
      </c>
      <c r="J230" s="193"/>
      <c r="L230" s="187" t="s">
        <v>15</v>
      </c>
      <c r="M230" s="188">
        <f ca="1">INDEX(Analysis!$HB:$HF,MATCH($B230&amp;"_"&amp;M$4,Analysis!$B:$B,0),SUMIFS($L$81:$P$81,$L$82:$P$82,$L230))</f>
        <v>23.410253373859991</v>
      </c>
    </row>
    <row r="231" spans="2:24">
      <c r="B231" s="169" t="str">
        <f t="shared" si="68"/>
        <v>Residential_Weatherization_All_All_2017</v>
      </c>
      <c r="C231" s="169" t="str">
        <f t="shared" ref="C231:C233" si="71">C230</f>
        <v>Residential</v>
      </c>
      <c r="D231" s="169" t="str">
        <f t="shared" si="70"/>
        <v>Weatherization</v>
      </c>
      <c r="E231" s="169" t="str">
        <f t="shared" si="70"/>
        <v>All</v>
      </c>
      <c r="F231" s="169" t="str">
        <f t="shared" si="70"/>
        <v>All</v>
      </c>
      <c r="G231" s="169">
        <f t="shared" si="70"/>
        <v>2017</v>
      </c>
      <c r="J231" s="193"/>
      <c r="L231" s="187" t="s">
        <v>180</v>
      </c>
      <c r="M231" s="188">
        <f ca="1">INDEX(Analysis!$HB:$HF,MATCH($B231&amp;"_"&amp;M$4,Analysis!$B:$B,0),SUMIFS($L$81:$P$81,$L$82:$P$82,$L231))</f>
        <v>29.036507829454688</v>
      </c>
    </row>
    <row r="232" spans="2:24">
      <c r="B232" s="169" t="str">
        <f t="shared" si="68"/>
        <v>Residential_Weatherization_All_All_2017</v>
      </c>
      <c r="C232" s="169" t="str">
        <f t="shared" si="71"/>
        <v>Residential</v>
      </c>
      <c r="D232" s="169" t="str">
        <f t="shared" si="70"/>
        <v>Weatherization</v>
      </c>
      <c r="E232" s="169" t="str">
        <f t="shared" si="70"/>
        <v>All</v>
      </c>
      <c r="F232" s="169" t="str">
        <f t="shared" si="70"/>
        <v>All</v>
      </c>
      <c r="G232" s="169">
        <f t="shared" si="70"/>
        <v>2017</v>
      </c>
      <c r="J232" s="193"/>
      <c r="L232" s="187" t="s">
        <v>16</v>
      </c>
      <c r="M232" s="188" t="str">
        <f ca="1">INDEX(Analysis!$HB:$HF,MATCH($B232&amp;"_"&amp;M$4,Analysis!$B:$B,0),SUMIFS($L$81:$P$81,$L$82:$P$82,$L232))</f>
        <v>n/a</v>
      </c>
    </row>
    <row r="233" spans="2:24">
      <c r="B233" s="169" t="str">
        <f t="shared" si="68"/>
        <v>Residential_Weatherization_All_All_2017</v>
      </c>
      <c r="C233" s="169" t="str">
        <f t="shared" si="71"/>
        <v>Residential</v>
      </c>
      <c r="D233" s="169" t="str">
        <f t="shared" si="70"/>
        <v>Weatherization</v>
      </c>
      <c r="E233" s="169" t="str">
        <f t="shared" si="70"/>
        <v>All</v>
      </c>
      <c r="F233" s="169" t="str">
        <f t="shared" si="70"/>
        <v>All</v>
      </c>
      <c r="G233" s="169">
        <f t="shared" si="70"/>
        <v>2017</v>
      </c>
      <c r="J233" s="193"/>
      <c r="L233" s="187" t="s">
        <v>6</v>
      </c>
      <c r="M233" s="188">
        <f ca="1">INDEX(Analysis!$HB:$HF,MATCH($B233&amp;"_"&amp;M$4,Analysis!$B:$B,0),SUMIFS($L$81:$P$81,$L$82:$P$82,$L233))</f>
        <v>0.32929634439319866</v>
      </c>
    </row>
    <row r="234" spans="2:24">
      <c r="B234" s="169"/>
      <c r="C234" s="169"/>
      <c r="D234" s="169"/>
      <c r="E234" s="169"/>
      <c r="F234" s="169"/>
      <c r="G234" s="169"/>
      <c r="K234" s="173"/>
    </row>
    <row r="235" spans="2:24" ht="12">
      <c r="B235" s="169"/>
      <c r="C235" s="169"/>
      <c r="D235" s="169"/>
      <c r="E235" s="169"/>
      <c r="F235" s="169"/>
      <c r="G235" s="169"/>
      <c r="I235" s="171" t="s">
        <v>228</v>
      </c>
      <c r="J235" s="171"/>
      <c r="K235" s="172"/>
      <c r="L235" s="171"/>
      <c r="M235" s="171"/>
      <c r="N235" s="171"/>
      <c r="O235" s="171"/>
      <c r="P235" s="171"/>
      <c r="Q235" s="171"/>
      <c r="R235" s="171"/>
      <c r="S235" s="171"/>
      <c r="T235" s="171"/>
      <c r="U235" s="171"/>
      <c r="V235" s="171"/>
      <c r="W235" s="171"/>
      <c r="X235" s="171"/>
    </row>
    <row r="236" spans="2:24">
      <c r="B236" s="169"/>
      <c r="C236" s="169"/>
      <c r="D236" s="169"/>
      <c r="E236" s="169"/>
      <c r="F236" s="169"/>
      <c r="G236" s="169"/>
      <c r="K236" s="173"/>
    </row>
    <row r="237" spans="2:24">
      <c r="B237" s="169"/>
      <c r="C237" s="169"/>
      <c r="D237" s="169"/>
      <c r="E237" s="169"/>
      <c r="F237" s="169"/>
      <c r="G237" s="169"/>
      <c r="J237" s="170" t="s">
        <v>181</v>
      </c>
      <c r="K237" s="173"/>
    </row>
    <row r="238" spans="2:24">
      <c r="B238" s="169"/>
      <c r="C238" s="169"/>
      <c r="D238" s="169"/>
      <c r="E238" s="169"/>
      <c r="F238" s="169"/>
      <c r="G238" s="169"/>
      <c r="K238" s="173"/>
    </row>
    <row r="239" spans="2:24" ht="12">
      <c r="B239" s="169"/>
      <c r="C239" s="169"/>
      <c r="D239" s="169"/>
      <c r="E239" s="169"/>
      <c r="F239" s="169"/>
      <c r="G239" s="169"/>
      <c r="K239" s="176"/>
      <c r="L239" s="177" t="s">
        <v>166</v>
      </c>
      <c r="M239" s="177" t="s">
        <v>167</v>
      </c>
      <c r="N239" s="177" t="s">
        <v>168</v>
      </c>
      <c r="S239" s="580"/>
      <c r="T239" s="580"/>
      <c r="U239" s="580"/>
      <c r="V239" s="580"/>
      <c r="W239" s="580"/>
    </row>
    <row r="240" spans="2:24">
      <c r="B240" s="169"/>
      <c r="C240" s="169"/>
      <c r="D240" s="169"/>
      <c r="E240" s="169"/>
      <c r="F240" s="169"/>
      <c r="G240" s="169"/>
      <c r="K240" s="187" t="s">
        <v>7</v>
      </c>
      <c r="L240" s="189"/>
      <c r="M240" s="189"/>
      <c r="N240" s="189"/>
      <c r="S240" s="580"/>
      <c r="T240" s="580"/>
      <c r="U240" s="580"/>
      <c r="V240" s="580"/>
      <c r="W240" s="580"/>
    </row>
    <row r="241" spans="2:23">
      <c r="B241" s="194" t="str">
        <f t="shared" ref="B241:B246" si="72">C241&amp;"_"&amp;D241&amp;"_"&amp;E241&amp;"_"&amp;F241&amp;"_"&amp;G241</f>
        <v>C&amp;I_C&amp;I Prescriptive_Lighting_All_2017</v>
      </c>
      <c r="C241" s="195" t="s">
        <v>142</v>
      </c>
      <c r="D241" s="195" t="s">
        <v>228</v>
      </c>
      <c r="E241" s="195" t="s">
        <v>86</v>
      </c>
      <c r="F241" s="195" t="s">
        <v>28</v>
      </c>
      <c r="G241" s="194">
        <v>2017</v>
      </c>
      <c r="K241" s="190" t="str">
        <f>E241</f>
        <v>Lighting</v>
      </c>
      <c r="L241" s="182">
        <f>'BHP SD PY2-3 Plan Adj'!C56</f>
        <v>100</v>
      </c>
      <c r="M241" s="182">
        <v>66</v>
      </c>
      <c r="N241" s="180">
        <f>IFERROR(M241/L241,0)</f>
        <v>0.66</v>
      </c>
      <c r="S241" s="580"/>
      <c r="T241" s="580"/>
      <c r="U241" s="580"/>
      <c r="V241" s="580"/>
      <c r="W241" s="580"/>
    </row>
    <row r="242" spans="2:23">
      <c r="B242" s="194" t="str">
        <f t="shared" ref="B242:B243" si="73">C242&amp;"_"&amp;D242&amp;"_"&amp;E242&amp;"_"&amp;F242&amp;"_"&amp;G242</f>
        <v>C&amp;I_C&amp;I Prescriptive_HVAC_All_2017</v>
      </c>
      <c r="C242" s="195" t="s">
        <v>142</v>
      </c>
      <c r="D242" s="195" t="s">
        <v>228</v>
      </c>
      <c r="E242" s="195" t="s">
        <v>85</v>
      </c>
      <c r="F242" s="195" t="s">
        <v>28</v>
      </c>
      <c r="G242" s="194">
        <v>2017</v>
      </c>
      <c r="K242" s="190" t="str">
        <f>E242</f>
        <v>HVAC</v>
      </c>
      <c r="L242" s="182">
        <f>SUM('BHP SD PY2-3 Plan Adj'!$C$89:$C$92)</f>
        <v>24</v>
      </c>
      <c r="M242" s="182">
        <f ca="1">INDEX(Analysis!$L:$L,MATCH($B242&amp;"_"&amp;M$4,Analysis!$B:$B,0))</f>
        <v>0</v>
      </c>
      <c r="N242" s="180">
        <f ca="1">IFERROR(M242/L242,0)</f>
        <v>0</v>
      </c>
      <c r="S242" s="580"/>
      <c r="T242" s="580"/>
      <c r="U242" s="580"/>
      <c r="V242" s="580"/>
      <c r="W242" s="580"/>
    </row>
    <row r="243" spans="2:23">
      <c r="B243" s="194" t="str">
        <f t="shared" si="73"/>
        <v>C&amp;I_C&amp;I Prescriptive_Motors_All_2017</v>
      </c>
      <c r="C243" s="195" t="s">
        <v>142</v>
      </c>
      <c r="D243" s="195" t="s">
        <v>228</v>
      </c>
      <c r="E243" s="195" t="s">
        <v>270</v>
      </c>
      <c r="F243" s="195" t="s">
        <v>28</v>
      </c>
      <c r="G243" s="194">
        <v>2017</v>
      </c>
      <c r="K243" s="190" t="str">
        <f>E243</f>
        <v>Motors</v>
      </c>
      <c r="L243" s="182">
        <f>SUM('BHP SD PY2-3 Plan Adj'!$C$94:$C$95)</f>
        <v>12</v>
      </c>
      <c r="M243" s="182">
        <f ca="1">INDEX(Analysis!$L:$L,MATCH($B243&amp;"_"&amp;M$4,Analysis!$B:$B,0))</f>
        <v>0</v>
      </c>
      <c r="N243" s="180">
        <f ca="1">IFERROR(M243/L243,0)</f>
        <v>0</v>
      </c>
      <c r="S243" s="580"/>
      <c r="T243" s="580"/>
      <c r="U243" s="580"/>
      <c r="V243" s="580"/>
      <c r="W243" s="580"/>
    </row>
    <row r="244" spans="2:23">
      <c r="B244" s="194" t="str">
        <f t="shared" si="72"/>
        <v>C&amp;I_C&amp;I Prescriptive_All_All_2017</v>
      </c>
      <c r="C244" s="194" t="str">
        <f>C241</f>
        <v>C&amp;I</v>
      </c>
      <c r="D244" s="194" t="str">
        <f>D241</f>
        <v>C&amp;I Prescriptive</v>
      </c>
      <c r="E244" s="194" t="s">
        <v>28</v>
      </c>
      <c r="F244" s="194" t="s">
        <v>28</v>
      </c>
      <c r="G244" s="194">
        <v>2017</v>
      </c>
      <c r="K244" s="187" t="s">
        <v>182</v>
      </c>
      <c r="L244" s="191">
        <f>INDEX($L$24:$L$36,MATCH($D244,$K$24:$K$36,0))</f>
        <v>217562.21249999999</v>
      </c>
      <c r="M244" s="191">
        <f ca="1">INDEX(Analysis!$AP:$AP,MATCH($B244&amp;"_"&amp;M$4,Analysis!$B:$B,0))</f>
        <v>240109.03034000003</v>
      </c>
      <c r="N244" s="180">
        <f t="shared" ref="N244:N246" ca="1" si="74">IFERROR(M244/L244,0)</f>
        <v>1.1036338874334624</v>
      </c>
      <c r="S244" s="580"/>
      <c r="T244" s="580"/>
      <c r="U244" s="580"/>
      <c r="V244" s="580"/>
      <c r="W244" s="580"/>
    </row>
    <row r="245" spans="2:23">
      <c r="B245" s="194" t="str">
        <f t="shared" si="72"/>
        <v>C&amp;I_C&amp;I Prescriptive_All_All_2017</v>
      </c>
      <c r="C245" s="194" t="str">
        <f>C244</f>
        <v>C&amp;I</v>
      </c>
      <c r="D245" s="194" t="str">
        <f t="shared" ref="D245:F246" si="75">D244</f>
        <v>C&amp;I Prescriptive</v>
      </c>
      <c r="E245" s="194" t="str">
        <f t="shared" si="75"/>
        <v>All</v>
      </c>
      <c r="F245" s="194" t="str">
        <f t="shared" si="75"/>
        <v>All</v>
      </c>
      <c r="G245" s="194">
        <v>2017</v>
      </c>
      <c r="K245" s="187" t="s">
        <v>183</v>
      </c>
      <c r="L245" s="182">
        <f>INDEX($L$48:$L$57,MATCH($D245,$K$48:$K$57,0))</f>
        <v>3384728.1598756816</v>
      </c>
      <c r="M245" s="182">
        <f ca="1">INDEX(Analysis!$S:$S,MATCH($B245&amp;"_"&amp;M$4,Analysis!$B:$B,0))</f>
        <v>1831274.4109999996</v>
      </c>
      <c r="N245" s="180">
        <f t="shared" ca="1" si="74"/>
        <v>0.54104032126091361</v>
      </c>
      <c r="S245" s="580"/>
      <c r="T245" s="580"/>
      <c r="U245" s="580"/>
      <c r="V245" s="580"/>
      <c r="W245" s="580"/>
    </row>
    <row r="246" spans="2:23">
      <c r="B246" s="194" t="str">
        <f t="shared" si="72"/>
        <v>C&amp;I_C&amp;I Prescriptive_All_All_2017</v>
      </c>
      <c r="C246" s="194" t="str">
        <f t="shared" ref="C246" si="76">C245</f>
        <v>C&amp;I</v>
      </c>
      <c r="D246" s="194" t="str">
        <f t="shared" si="75"/>
        <v>C&amp;I Prescriptive</v>
      </c>
      <c r="E246" s="194" t="str">
        <f t="shared" si="75"/>
        <v>All</v>
      </c>
      <c r="F246" s="194" t="str">
        <f t="shared" si="75"/>
        <v>All</v>
      </c>
      <c r="G246" s="194">
        <v>2017</v>
      </c>
      <c r="K246" s="187" t="s">
        <v>184</v>
      </c>
      <c r="L246" s="192">
        <f>INDEX($L$69:$L$78,MATCH($D246,$K$69:$K$78,0))</f>
        <v>725.89583480418582</v>
      </c>
      <c r="M246" s="192">
        <f ca="1">INDEX(Analysis!$AA:$AA,MATCH($B246&amp;"_"&amp;M$4,Analysis!$B:$B,0))</f>
        <v>397.78709299999991</v>
      </c>
      <c r="N246" s="180">
        <f t="shared" ca="1" si="74"/>
        <v>0.5479947313753426</v>
      </c>
      <c r="S246" s="580"/>
      <c r="T246" s="580"/>
      <c r="U246" s="580"/>
      <c r="V246" s="580"/>
      <c r="W246" s="580"/>
    </row>
    <row r="247" spans="2:23">
      <c r="B247" s="169"/>
      <c r="C247" s="169"/>
      <c r="D247" s="169"/>
      <c r="E247" s="169"/>
      <c r="F247" s="169"/>
      <c r="G247" s="169"/>
      <c r="K247" s="173"/>
      <c r="S247" s="580"/>
      <c r="T247" s="580"/>
      <c r="U247" s="580"/>
      <c r="V247" s="580"/>
      <c r="W247" s="580"/>
    </row>
    <row r="248" spans="2:23">
      <c r="B248" s="169"/>
      <c r="C248" s="169"/>
      <c r="D248" s="169"/>
      <c r="E248" s="169"/>
      <c r="F248" s="169"/>
      <c r="G248" s="169"/>
      <c r="J248" s="170" t="s">
        <v>185</v>
      </c>
      <c r="K248" s="173"/>
      <c r="S248" s="580"/>
      <c r="T248" s="580"/>
      <c r="U248" s="580"/>
      <c r="V248" s="580"/>
      <c r="W248" s="580"/>
    </row>
    <row r="249" spans="2:23">
      <c r="B249" s="169"/>
      <c r="C249" s="169"/>
      <c r="D249" s="169"/>
      <c r="E249" s="169"/>
      <c r="F249" s="169"/>
      <c r="G249" s="169"/>
      <c r="K249" s="173"/>
      <c r="S249" s="580"/>
      <c r="T249" s="580"/>
      <c r="U249" s="580"/>
      <c r="V249" s="580"/>
      <c r="W249" s="580"/>
    </row>
    <row r="250" spans="2:23" ht="12">
      <c r="B250" s="169"/>
      <c r="C250" s="169"/>
      <c r="D250" s="169"/>
      <c r="E250" s="169"/>
      <c r="F250" s="169"/>
      <c r="G250" s="169"/>
      <c r="L250" s="176" t="s">
        <v>186</v>
      </c>
      <c r="M250" s="177" t="s">
        <v>167</v>
      </c>
    </row>
    <row r="251" spans="2:23">
      <c r="B251" s="169" t="str">
        <f t="shared" ref="B251:B255" si="77">C251&amp;"_"&amp;D251&amp;"_"&amp;E251&amp;"_"&amp;F251&amp;"_"&amp;G251</f>
        <v>C&amp;I_C&amp;I Prescriptive_All_All_2017</v>
      </c>
      <c r="C251" s="169" t="str">
        <f t="shared" ref="C251:F251" si="78">C246</f>
        <v>C&amp;I</v>
      </c>
      <c r="D251" s="169" t="str">
        <f t="shared" si="78"/>
        <v>C&amp;I Prescriptive</v>
      </c>
      <c r="E251" s="169" t="str">
        <f t="shared" si="78"/>
        <v>All</v>
      </c>
      <c r="F251" s="169" t="str">
        <f t="shared" si="78"/>
        <v>All</v>
      </c>
      <c r="G251" s="169">
        <f>G246</f>
        <v>2017</v>
      </c>
      <c r="J251" s="193"/>
      <c r="L251" s="187" t="s">
        <v>4</v>
      </c>
      <c r="M251" s="188">
        <f ca="1">INDEX(Analysis!$HB:$HF,MATCH($B251&amp;"_"&amp;M$4,Analysis!$B:$B,0),SUMIFS($L$81:$P$81,$L$82:$P$82,$L251))</f>
        <v>1.9044669361263025</v>
      </c>
    </row>
    <row r="252" spans="2:23">
      <c r="B252" s="169" t="str">
        <f t="shared" si="77"/>
        <v>C&amp;I_C&amp;I Prescriptive_All_All_2017</v>
      </c>
      <c r="C252" s="169" t="str">
        <f>C251</f>
        <v>C&amp;I</v>
      </c>
      <c r="D252" s="169" t="str">
        <f t="shared" ref="D252:G255" si="79">D251</f>
        <v>C&amp;I Prescriptive</v>
      </c>
      <c r="E252" s="169" t="str">
        <f t="shared" si="79"/>
        <v>All</v>
      </c>
      <c r="F252" s="169" t="str">
        <f t="shared" si="79"/>
        <v>All</v>
      </c>
      <c r="G252" s="169">
        <f t="shared" si="79"/>
        <v>2017</v>
      </c>
      <c r="J252" s="193"/>
      <c r="L252" s="187" t="s">
        <v>15</v>
      </c>
      <c r="M252" s="188">
        <f ca="1">INDEX(Analysis!$HB:$HF,MATCH($B252&amp;"_"&amp;M$4,Analysis!$B:$B,0),SUMIFS($L$81:$P$81,$L$82:$P$82,$L252))</f>
        <v>3.3423326655672554</v>
      </c>
    </row>
    <row r="253" spans="2:23">
      <c r="B253" s="169" t="str">
        <f t="shared" si="77"/>
        <v>C&amp;I_C&amp;I Prescriptive_All_All_2017</v>
      </c>
      <c r="C253" s="169" t="str">
        <f t="shared" ref="C253:C255" si="80">C252</f>
        <v>C&amp;I</v>
      </c>
      <c r="D253" s="169" t="str">
        <f t="shared" si="79"/>
        <v>C&amp;I Prescriptive</v>
      </c>
      <c r="E253" s="169" t="str">
        <f t="shared" si="79"/>
        <v>All</v>
      </c>
      <c r="F253" s="169" t="str">
        <f t="shared" si="79"/>
        <v>All</v>
      </c>
      <c r="G253" s="169">
        <f t="shared" si="79"/>
        <v>2017</v>
      </c>
      <c r="J253" s="193"/>
      <c r="L253" s="187" t="s">
        <v>180</v>
      </c>
      <c r="M253" s="188">
        <f ca="1">INDEX(Analysis!$HB:$HF,MATCH($B253&amp;"_"&amp;M$4,Analysis!$B:$B,0),SUMIFS($L$81:$P$81,$L$82:$P$82,$L253))</f>
        <v>2.3480761627450701</v>
      </c>
    </row>
    <row r="254" spans="2:23">
      <c r="B254" s="169" t="str">
        <f t="shared" si="77"/>
        <v>C&amp;I_C&amp;I Prescriptive_All_All_2017</v>
      </c>
      <c r="C254" s="169" t="str">
        <f t="shared" si="80"/>
        <v>C&amp;I</v>
      </c>
      <c r="D254" s="169" t="str">
        <f t="shared" si="79"/>
        <v>C&amp;I Prescriptive</v>
      </c>
      <c r="E254" s="169" t="str">
        <f t="shared" si="79"/>
        <v>All</v>
      </c>
      <c r="F254" s="169" t="str">
        <f t="shared" si="79"/>
        <v>All</v>
      </c>
      <c r="G254" s="169">
        <f t="shared" si="79"/>
        <v>2017</v>
      </c>
      <c r="J254" s="193"/>
      <c r="L254" s="187" t="s">
        <v>16</v>
      </c>
      <c r="M254" s="188">
        <f ca="1">INDEX(Analysis!$HB:$HF,MATCH($B254&amp;"_"&amp;M$4,Analysis!$B:$B,0),SUMIFS($L$81:$P$81,$L$82:$P$82,$L254))</f>
        <v>5.1865603423311368</v>
      </c>
    </row>
    <row r="255" spans="2:23">
      <c r="B255" s="169" t="str">
        <f t="shared" si="77"/>
        <v>C&amp;I_C&amp;I Prescriptive_All_All_2017</v>
      </c>
      <c r="C255" s="169" t="str">
        <f t="shared" si="80"/>
        <v>C&amp;I</v>
      </c>
      <c r="D255" s="169" t="str">
        <f t="shared" si="79"/>
        <v>C&amp;I Prescriptive</v>
      </c>
      <c r="E255" s="169" t="str">
        <f t="shared" si="79"/>
        <v>All</v>
      </c>
      <c r="F255" s="169" t="str">
        <f t="shared" si="79"/>
        <v>All</v>
      </c>
      <c r="G255" s="169">
        <f t="shared" si="79"/>
        <v>2017</v>
      </c>
      <c r="J255" s="193"/>
      <c r="L255" s="187" t="s">
        <v>6</v>
      </c>
      <c r="M255" s="188">
        <f ca="1">INDEX(Analysis!$HB:$HF,MATCH($B255&amp;"_"&amp;M$4,Analysis!$B:$B,0),SUMIFS($L$81:$P$81,$L$82:$P$82,$L255))</f>
        <v>0.3876418285552648</v>
      </c>
    </row>
    <row r="256" spans="2:23">
      <c r="B256" s="169"/>
      <c r="C256" s="169"/>
      <c r="D256" s="169"/>
      <c r="E256" s="169"/>
      <c r="F256" s="169"/>
      <c r="G256" s="169"/>
      <c r="K256" s="173"/>
    </row>
    <row r="257" spans="2:24" ht="12">
      <c r="B257" s="169"/>
      <c r="C257" s="169"/>
      <c r="D257" s="169"/>
      <c r="E257" s="169"/>
      <c r="F257" s="169"/>
      <c r="G257" s="169"/>
      <c r="I257" s="171" t="s">
        <v>187</v>
      </c>
      <c r="J257" s="171"/>
      <c r="K257" s="172"/>
      <c r="L257" s="171"/>
      <c r="M257" s="171"/>
      <c r="N257" s="171"/>
      <c r="O257" s="171"/>
      <c r="P257" s="171"/>
      <c r="Q257" s="171"/>
      <c r="R257" s="171"/>
      <c r="S257" s="171"/>
      <c r="T257" s="171"/>
      <c r="U257" s="171"/>
      <c r="V257" s="171"/>
      <c r="W257" s="171"/>
      <c r="X257" s="171"/>
    </row>
    <row r="258" spans="2:24">
      <c r="B258" s="169"/>
      <c r="C258" s="169"/>
      <c r="D258" s="169"/>
      <c r="E258" s="169"/>
      <c r="F258" s="169"/>
      <c r="G258" s="169"/>
      <c r="K258" s="173"/>
    </row>
    <row r="259" spans="2:24">
      <c r="B259" s="169"/>
      <c r="C259" s="169"/>
      <c r="D259" s="169"/>
      <c r="E259" s="169"/>
      <c r="F259" s="169"/>
      <c r="G259" s="169"/>
      <c r="J259" s="170" t="s">
        <v>181</v>
      </c>
      <c r="K259" s="173"/>
    </row>
    <row r="260" spans="2:24">
      <c r="B260" s="169"/>
      <c r="C260" s="169"/>
      <c r="D260" s="169"/>
      <c r="E260" s="169"/>
      <c r="F260" s="169"/>
      <c r="G260" s="169"/>
      <c r="K260" s="173"/>
    </row>
    <row r="261" spans="2:24" ht="12">
      <c r="B261" s="169"/>
      <c r="C261" s="169"/>
      <c r="D261" s="169"/>
      <c r="E261" s="169"/>
      <c r="F261" s="169"/>
      <c r="G261" s="169"/>
      <c r="K261" s="176"/>
      <c r="L261" s="177" t="s">
        <v>166</v>
      </c>
      <c r="M261" s="177" t="s">
        <v>167</v>
      </c>
      <c r="N261" s="177" t="s">
        <v>168</v>
      </c>
    </row>
    <row r="262" spans="2:24">
      <c r="B262" s="194" t="str">
        <f>C262&amp;"_"&amp;D262&amp;"_"&amp;E262&amp;"_"&amp;F262&amp;"_"&amp;G262</f>
        <v>C&amp;I_C&amp;I Custom_Various_C&amp;I Custom_2017</v>
      </c>
      <c r="C262" s="195" t="s">
        <v>142</v>
      </c>
      <c r="D262" s="195" t="s">
        <v>187</v>
      </c>
      <c r="E262" s="195" t="s">
        <v>155</v>
      </c>
      <c r="F262" s="195" t="s">
        <v>187</v>
      </c>
      <c r="G262" s="194">
        <v>2017</v>
      </c>
      <c r="K262" s="187" t="s">
        <v>7</v>
      </c>
      <c r="L262" s="182">
        <f>'BHP SD PY2-3 Plan Adj'!$C$54</f>
        <v>55</v>
      </c>
      <c r="M262" s="182">
        <f ca="1">INDEX(Analysis!$L:$L,MATCH($B262&amp;"_"&amp;M$4,Analysis!$B:$B,0))</f>
        <v>48</v>
      </c>
      <c r="N262" s="180">
        <f ca="1">IFERROR(M262/L262,0)</f>
        <v>0.87272727272727268</v>
      </c>
    </row>
    <row r="263" spans="2:24">
      <c r="B263" s="194" t="str">
        <f t="shared" ref="B263:B265" si="81">C263&amp;"_"&amp;D263&amp;"_"&amp;E263&amp;"_"&amp;F263&amp;"_"&amp;G263</f>
        <v>C&amp;I_C&amp;I Custom_All_All_2017</v>
      </c>
      <c r="C263" s="194" t="s">
        <v>142</v>
      </c>
      <c r="D263" s="194" t="str">
        <f>D262</f>
        <v>C&amp;I Custom</v>
      </c>
      <c r="E263" s="194" t="s">
        <v>28</v>
      </c>
      <c r="F263" s="194" t="s">
        <v>28</v>
      </c>
      <c r="G263" s="194">
        <v>2017</v>
      </c>
      <c r="K263" s="187" t="s">
        <v>182</v>
      </c>
      <c r="L263" s="191">
        <f>INDEX($L$24:$L$36,MATCH($D263,$K$24:$K$36,0))</f>
        <v>259727.32500000001</v>
      </c>
      <c r="M263" s="191">
        <f ca="1">INDEX(Analysis!$AP:$AP,MATCH($B263&amp;"_"&amp;M$4,Analysis!$B:$B,0))</f>
        <v>239973.92996000004</v>
      </c>
      <c r="N263" s="180">
        <f t="shared" ref="N263:N265" ca="1" si="82">IFERROR(M263/L263,0)</f>
        <v>0.92394564168402393</v>
      </c>
    </row>
    <row r="264" spans="2:24">
      <c r="B264" s="194" t="str">
        <f t="shared" si="81"/>
        <v>C&amp;I_C&amp;I Custom_All_All_2017</v>
      </c>
      <c r="C264" s="194" t="s">
        <v>142</v>
      </c>
      <c r="D264" s="194" t="str">
        <f t="shared" ref="D264:F265" si="83">D263</f>
        <v>C&amp;I Custom</v>
      </c>
      <c r="E264" s="194" t="str">
        <f t="shared" si="83"/>
        <v>All</v>
      </c>
      <c r="F264" s="194" t="str">
        <f t="shared" si="83"/>
        <v>All</v>
      </c>
      <c r="G264" s="194">
        <v>2017</v>
      </c>
      <c r="K264" s="187" t="s">
        <v>183</v>
      </c>
      <c r="L264" s="182">
        <f>INDEX($L$48:$L$57,MATCH($D264,$K$48:$K$57,0))</f>
        <v>2374753.59</v>
      </c>
      <c r="M264" s="182">
        <f ca="1">INDEX(Analysis!$S:$S,MATCH($B264&amp;"_"&amp;M$4,Analysis!$B:$B,0))</f>
        <v>2011742.5373999998</v>
      </c>
      <c r="N264" s="180">
        <f t="shared" ca="1" si="82"/>
        <v>0.84713738127247129</v>
      </c>
    </row>
    <row r="265" spans="2:24">
      <c r="B265" s="194" t="str">
        <f t="shared" si="81"/>
        <v>C&amp;I_C&amp;I Custom_All_All_2017</v>
      </c>
      <c r="C265" s="194" t="s">
        <v>142</v>
      </c>
      <c r="D265" s="194" t="str">
        <f t="shared" si="83"/>
        <v>C&amp;I Custom</v>
      </c>
      <c r="E265" s="194" t="str">
        <f t="shared" si="83"/>
        <v>All</v>
      </c>
      <c r="F265" s="194" t="str">
        <f t="shared" si="83"/>
        <v>All</v>
      </c>
      <c r="G265" s="194">
        <v>2017</v>
      </c>
      <c r="K265" s="187" t="s">
        <v>184</v>
      </c>
      <c r="L265" s="192">
        <f>INDEX($L$69:$L$78,MATCH($D265,$K$69:$K$78,0))</f>
        <v>589.09216666666669</v>
      </c>
      <c r="M265" s="192">
        <f ca="1">INDEX(Analysis!$AA:$AA,MATCH($B265&amp;"_"&amp;M$4,Analysis!$B:$B,0))</f>
        <v>493.85037</v>
      </c>
      <c r="N265" s="180">
        <f t="shared" ca="1" si="82"/>
        <v>0.83832445573740155</v>
      </c>
    </row>
    <row r="266" spans="2:24">
      <c r="B266" s="169"/>
      <c r="C266" s="169"/>
      <c r="D266" s="169"/>
      <c r="E266" s="169"/>
      <c r="F266" s="169"/>
      <c r="G266" s="169"/>
      <c r="K266" s="173"/>
    </row>
    <row r="267" spans="2:24">
      <c r="B267" s="169"/>
      <c r="C267" s="169"/>
      <c r="D267" s="169"/>
      <c r="E267" s="169"/>
      <c r="F267" s="169"/>
      <c r="G267" s="169"/>
      <c r="J267" s="170" t="s">
        <v>185</v>
      </c>
      <c r="K267" s="173"/>
    </row>
    <row r="268" spans="2:24">
      <c r="B268" s="169"/>
      <c r="C268" s="169"/>
      <c r="D268" s="169"/>
      <c r="E268" s="169"/>
      <c r="F268" s="169"/>
      <c r="G268" s="169"/>
      <c r="K268" s="173"/>
    </row>
    <row r="269" spans="2:24" ht="12">
      <c r="B269" s="169"/>
      <c r="C269" s="169"/>
      <c r="D269" s="169"/>
      <c r="E269" s="169"/>
      <c r="F269" s="169"/>
      <c r="G269" s="169"/>
      <c r="L269" s="176" t="s">
        <v>186</v>
      </c>
      <c r="M269" s="177" t="s">
        <v>167</v>
      </c>
    </row>
    <row r="270" spans="2:24">
      <c r="B270" s="169" t="str">
        <f t="shared" ref="B270:B274" si="84">C270&amp;"_"&amp;D270&amp;"_"&amp;E270&amp;"_"&amp;F270&amp;"_"&amp;G270</f>
        <v>C&amp;I_C&amp;I Custom_All_All_2017</v>
      </c>
      <c r="C270" s="169" t="str">
        <f>C265</f>
        <v>C&amp;I</v>
      </c>
      <c r="D270" s="169" t="str">
        <f>D265</f>
        <v>C&amp;I Custom</v>
      </c>
      <c r="E270" s="169" t="str">
        <f t="shared" ref="E270:F270" si="85">E265</f>
        <v>All</v>
      </c>
      <c r="F270" s="169" t="str">
        <f t="shared" si="85"/>
        <v>All</v>
      </c>
      <c r="G270" s="169">
        <f>G265</f>
        <v>2017</v>
      </c>
      <c r="J270" s="193"/>
      <c r="L270" s="187" t="s">
        <v>4</v>
      </c>
      <c r="M270" s="188">
        <f ca="1">INDEX(Analysis!$HB:$HF,MATCH($B270&amp;"_"&amp;M$4,Analysis!$B:$B,0),SUMIFS($L$81:$P$81,$L$82:$P$82,$L270))</f>
        <v>2.4197530872258546</v>
      </c>
    </row>
    <row r="271" spans="2:24">
      <c r="B271" s="169" t="str">
        <f t="shared" si="84"/>
        <v>C&amp;I_C&amp;I Custom_All_All_2017</v>
      </c>
      <c r="C271" s="169" t="str">
        <f>C270</f>
        <v>C&amp;I</v>
      </c>
      <c r="D271" s="169" t="str">
        <f t="shared" ref="D271:G274" si="86">D270</f>
        <v>C&amp;I Custom</v>
      </c>
      <c r="E271" s="169" t="str">
        <f t="shared" si="86"/>
        <v>All</v>
      </c>
      <c r="F271" s="169" t="str">
        <f t="shared" si="86"/>
        <v>All</v>
      </c>
      <c r="G271" s="169">
        <f t="shared" si="86"/>
        <v>2017</v>
      </c>
      <c r="J271" s="193"/>
      <c r="L271" s="187" t="s">
        <v>15</v>
      </c>
      <c r="M271" s="188">
        <f ca="1">INDEX(Analysis!$HB:$HF,MATCH($B271&amp;"_"&amp;M$4,Analysis!$B:$B,0),SUMIFS($L$81:$P$81,$L$82:$P$82,$L271))</f>
        <v>3.8418412741259549</v>
      </c>
    </row>
    <row r="272" spans="2:24">
      <c r="B272" s="169" t="str">
        <f t="shared" si="84"/>
        <v>C&amp;I_C&amp;I Custom_All_All_2017</v>
      </c>
      <c r="C272" s="169" t="str">
        <f t="shared" ref="C272:C274" si="87">C271</f>
        <v>C&amp;I</v>
      </c>
      <c r="D272" s="169" t="str">
        <f t="shared" si="86"/>
        <v>C&amp;I Custom</v>
      </c>
      <c r="E272" s="169" t="str">
        <f t="shared" si="86"/>
        <v>All</v>
      </c>
      <c r="F272" s="169" t="str">
        <f t="shared" si="86"/>
        <v>All</v>
      </c>
      <c r="G272" s="169">
        <f t="shared" si="86"/>
        <v>2017</v>
      </c>
      <c r="J272" s="193"/>
      <c r="L272" s="187" t="s">
        <v>180</v>
      </c>
      <c r="M272" s="188">
        <f ca="1">INDEX(Analysis!$HB:$HF,MATCH($B272&amp;"_"&amp;M$4,Analysis!$B:$B,0),SUMIFS($L$81:$P$81,$L$82:$P$82,$L272))</f>
        <v>2.9779215628060367</v>
      </c>
    </row>
    <row r="273" spans="2:19">
      <c r="B273" s="169" t="str">
        <f t="shared" si="84"/>
        <v>C&amp;I_C&amp;I Custom_All_All_2017</v>
      </c>
      <c r="C273" s="169" t="str">
        <f t="shared" si="87"/>
        <v>C&amp;I</v>
      </c>
      <c r="D273" s="169" t="str">
        <f t="shared" si="86"/>
        <v>C&amp;I Custom</v>
      </c>
      <c r="E273" s="169" t="str">
        <f t="shared" si="86"/>
        <v>All</v>
      </c>
      <c r="F273" s="169" t="str">
        <f t="shared" si="86"/>
        <v>All</v>
      </c>
      <c r="G273" s="169">
        <f t="shared" si="86"/>
        <v>2017</v>
      </c>
      <c r="J273" s="193"/>
      <c r="L273" s="187" t="s">
        <v>16</v>
      </c>
      <c r="M273" s="188">
        <f ca="1">INDEX(Analysis!$HB:$HF,MATCH($B273&amp;"_"&amp;M$4,Analysis!$B:$B,0),SUMIFS($L$81:$P$81,$L$82:$P$82,$L273))</f>
        <v>6.4982758416619859</v>
      </c>
    </row>
    <row r="274" spans="2:19">
      <c r="B274" s="169" t="str">
        <f t="shared" si="84"/>
        <v>C&amp;I_C&amp;I Custom_All_All_2017</v>
      </c>
      <c r="C274" s="169" t="str">
        <f t="shared" si="87"/>
        <v>C&amp;I</v>
      </c>
      <c r="D274" s="169" t="str">
        <f t="shared" si="86"/>
        <v>C&amp;I Custom</v>
      </c>
      <c r="E274" s="169" t="str">
        <f t="shared" si="86"/>
        <v>All</v>
      </c>
      <c r="F274" s="169" t="str">
        <f t="shared" si="86"/>
        <v>All</v>
      </c>
      <c r="G274" s="169">
        <f t="shared" si="86"/>
        <v>2017</v>
      </c>
      <c r="J274" s="193"/>
      <c r="L274" s="187" t="s">
        <v>6</v>
      </c>
      <c r="M274" s="188">
        <f ca="1">INDEX(Analysis!$HB:$HF,MATCH($B274&amp;"_"&amp;M$4,Analysis!$B:$B,0),SUMIFS($L$81:$P$81,$L$82:$P$82,$L274))</f>
        <v>0.39670870844678718</v>
      </c>
    </row>
    <row r="275" spans="2:19">
      <c r="B275" s="169"/>
      <c r="C275" s="169"/>
      <c r="D275" s="169"/>
      <c r="E275" s="169"/>
      <c r="F275" s="169"/>
      <c r="G275" s="169"/>
      <c r="K275" s="173"/>
    </row>
    <row r="276" spans="2:19">
      <c r="B276" s="169"/>
      <c r="C276" s="169"/>
      <c r="D276" s="169"/>
      <c r="E276" s="169"/>
      <c r="F276" s="169"/>
      <c r="G276" s="169"/>
      <c r="K276" s="173"/>
      <c r="S276" s="200"/>
    </row>
    <row r="277" spans="2:19">
      <c r="B277" s="169"/>
      <c r="C277" s="169"/>
      <c r="D277" s="169"/>
      <c r="E277" s="169"/>
      <c r="F277" s="169"/>
      <c r="G277" s="169"/>
      <c r="K277" s="173"/>
    </row>
  </sheetData>
  <mergeCells count="2">
    <mergeCell ref="K23:N23"/>
    <mergeCell ref="K31:N3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/>
  </sheetPr>
  <dimension ref="A1:CI56"/>
  <sheetViews>
    <sheetView showGridLines="0" zoomScaleNormal="100" workbookViewId="0"/>
  </sheetViews>
  <sheetFormatPr defaultColWidth="33.88671875" defaultRowHeight="14.4"/>
  <cols>
    <col min="1" max="1" width="17" style="6" bestFit="1" customWidth="1"/>
    <col min="2" max="2" width="11" style="6" customWidth="1"/>
    <col min="3" max="3" width="18.109375" style="6" customWidth="1"/>
    <col min="4" max="4" width="34" style="6" customWidth="1"/>
    <col min="5" max="5" width="22.88671875" style="6" bestFit="1" customWidth="1"/>
    <col min="6" max="6" width="2.33203125" style="6" customWidth="1"/>
    <col min="7" max="7" width="26.109375" style="6" bestFit="1" customWidth="1"/>
    <col min="8" max="8" width="37.5546875" style="6" bestFit="1" customWidth="1"/>
    <col min="9" max="9" width="11.33203125" style="6" bestFit="1" customWidth="1"/>
    <col min="10" max="10" width="46" style="6" bestFit="1" customWidth="1"/>
    <col min="11" max="11" width="12.109375" style="7" customWidth="1"/>
    <col min="12" max="12" width="13.109375" style="7" bestFit="1" customWidth="1"/>
    <col min="13" max="14" width="12.44140625" style="7" bestFit="1" customWidth="1"/>
    <col min="15" max="15" width="12" style="7" bestFit="1" customWidth="1"/>
    <col min="16" max="16" width="12.88671875" style="7" bestFit="1" customWidth="1"/>
    <col min="17" max="17" width="12.44140625" style="7" bestFit="1" customWidth="1"/>
    <col min="18" max="20" width="12.44140625" style="6" bestFit="1" customWidth="1"/>
    <col min="21" max="21" width="12.88671875" style="6" bestFit="1" customWidth="1"/>
    <col min="22" max="22" width="12.44140625" style="6" bestFit="1" customWidth="1"/>
    <col min="23" max="26" width="12.88671875" style="6" bestFit="1" customWidth="1"/>
    <col min="27" max="27" width="12.44140625" style="6" bestFit="1" customWidth="1"/>
    <col min="28" max="30" width="12.88671875" style="6" bestFit="1" customWidth="1"/>
    <col min="31" max="31" width="12.44140625" style="6" bestFit="1" customWidth="1"/>
    <col min="32" max="32" width="12.88671875" style="6" bestFit="1" customWidth="1"/>
    <col min="33" max="37" width="12.44140625" style="6" bestFit="1" customWidth="1"/>
    <col min="38" max="55" width="9.33203125" style="6" customWidth="1"/>
    <col min="56" max="56" width="9.33203125" style="6" bestFit="1" customWidth="1"/>
    <col min="57" max="57" width="8.6640625" style="6" bestFit="1" customWidth="1"/>
    <col min="58" max="66" width="9.33203125" style="6" bestFit="1" customWidth="1"/>
    <col min="67" max="67" width="8.6640625" style="6" bestFit="1" customWidth="1"/>
    <col min="68" max="70" width="9.33203125" style="6" bestFit="1" customWidth="1"/>
    <col min="71" max="71" width="8.44140625" style="6" bestFit="1" customWidth="1"/>
    <col min="72" max="72" width="9" style="6" bestFit="1" customWidth="1"/>
    <col min="73" max="87" width="8.6640625" style="6" bestFit="1" customWidth="1"/>
    <col min="88" max="16384" width="33.88671875" style="6"/>
  </cols>
  <sheetData>
    <row r="1" spans="1:36">
      <c r="A1" s="10" t="str">
        <f ca="1">IFERROR(VALUE(MID(CELL("filename",$A$1),FIND("]",CELL("filename",$A$1))+1,255)),MID(CELL("filename",$A$1),FIND("]",CELL("filename",$A$1))+1,255))</f>
        <v>General Inputs</v>
      </c>
      <c r="B1" s="10"/>
      <c r="C1" s="10"/>
    </row>
    <row r="2" spans="1:36">
      <c r="A2" s="13" t="str">
        <f>HYPERLINK("#'Contents'!a1","Return to Contents")</f>
        <v>Return to Contents</v>
      </c>
      <c r="B2" s="13"/>
      <c r="C2" s="13"/>
    </row>
    <row r="4" spans="1:36">
      <c r="C4" s="607" t="s">
        <v>23</v>
      </c>
      <c r="D4" s="608"/>
      <c r="E4" s="11" t="s">
        <v>25</v>
      </c>
      <c r="F4" s="607" t="s">
        <v>129</v>
      </c>
      <c r="G4" s="608"/>
      <c r="H4"/>
      <c r="I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C5" s="604" t="s">
        <v>41</v>
      </c>
      <c r="D5" s="32" t="s">
        <v>31</v>
      </c>
      <c r="E5" s="20">
        <v>2017</v>
      </c>
      <c r="F5" s="156"/>
      <c r="G5" s="157"/>
      <c r="H5"/>
      <c r="I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C6" s="605"/>
      <c r="D6" s="22" t="s">
        <v>32</v>
      </c>
      <c r="E6" s="20">
        <v>2069</v>
      </c>
      <c r="F6" s="156"/>
      <c r="G6" s="157"/>
      <c r="H6"/>
      <c r="I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C7" s="605"/>
      <c r="D7" s="22" t="s">
        <v>30</v>
      </c>
      <c r="E7" s="20">
        <v>2017</v>
      </c>
      <c r="F7" s="156"/>
      <c r="G7" s="157"/>
      <c r="H7"/>
      <c r="I7"/>
      <c r="K7" s="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C8" s="606"/>
      <c r="D8" s="22" t="s">
        <v>33</v>
      </c>
      <c r="E8" s="20">
        <v>2018</v>
      </c>
      <c r="F8" s="156"/>
      <c r="G8" s="157"/>
      <c r="H8"/>
      <c r="I8"/>
      <c r="K8" s="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D9" s="25"/>
      <c r="E9" s="26"/>
      <c r="F9" s="138"/>
      <c r="G9" s="138"/>
      <c r="H9"/>
      <c r="I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14.4" customHeight="1">
      <c r="C10" s="609" t="s">
        <v>47</v>
      </c>
      <c r="D10" s="22" t="s">
        <v>123</v>
      </c>
      <c r="E10" s="21">
        <v>8.8400000000000006E-2</v>
      </c>
      <c r="F10" s="158"/>
      <c r="G10" s="159"/>
      <c r="H10"/>
      <c r="I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C11" s="610"/>
      <c r="D11" s="22" t="s">
        <v>91</v>
      </c>
      <c r="E11" s="21"/>
      <c r="F11" s="158"/>
      <c r="G11" s="159"/>
      <c r="H11"/>
      <c r="I11"/>
      <c r="K11" s="8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C12" s="611"/>
      <c r="D12" s="22" t="s">
        <v>89</v>
      </c>
      <c r="E12" s="21"/>
      <c r="F12" s="158"/>
      <c r="G12" s="159"/>
      <c r="H12"/>
      <c r="I12"/>
      <c r="K12" s="8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C13" s="29"/>
      <c r="D13" s="26"/>
      <c r="E13" s="30"/>
      <c r="F13" s="138"/>
      <c r="G13" s="138"/>
      <c r="H13"/>
      <c r="I13"/>
      <c r="K13" s="31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C14" s="604" t="s">
        <v>40</v>
      </c>
      <c r="D14" s="22" t="s">
        <v>1</v>
      </c>
      <c r="E14" s="166">
        <v>1.0469999999999999</v>
      </c>
      <c r="F14" s="154"/>
      <c r="G14" s="155"/>
      <c r="H14"/>
      <c r="I14"/>
      <c r="K14" s="42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C15" s="606"/>
      <c r="D15" s="22" t="s">
        <v>142</v>
      </c>
      <c r="E15" s="166">
        <v>1.0469999999999999</v>
      </c>
      <c r="F15" s="154"/>
      <c r="G15" s="155"/>
      <c r="H15"/>
      <c r="I15"/>
      <c r="K15" s="42"/>
      <c r="L15" s="42"/>
      <c r="M15" s="42"/>
      <c r="N15" s="42"/>
      <c r="O15" s="6"/>
      <c r="P15" s="6"/>
      <c r="Q15" s="6"/>
    </row>
    <row r="16" spans="1:36" customFormat="1"/>
    <row r="17" spans="3:87">
      <c r="C17" s="604" t="s">
        <v>14</v>
      </c>
      <c r="D17" s="22" t="s">
        <v>134</v>
      </c>
      <c r="E17" s="44" t="s">
        <v>12</v>
      </c>
      <c r="F17"/>
      <c r="G17"/>
      <c r="H17"/>
      <c r="I17"/>
      <c r="K17" s="42"/>
      <c r="L17" s="42"/>
      <c r="M17" s="42"/>
      <c r="N17" s="42"/>
      <c r="O17" s="6"/>
      <c r="P17" s="6"/>
      <c r="Q17" s="6"/>
    </row>
    <row r="18" spans="3:87">
      <c r="C18" s="605"/>
      <c r="D18" s="22" t="s">
        <v>135</v>
      </c>
      <c r="E18" s="44" t="s">
        <v>13</v>
      </c>
      <c r="F18"/>
      <c r="G18"/>
      <c r="H18"/>
      <c r="I18"/>
      <c r="K18" s="42"/>
      <c r="L18" s="42"/>
      <c r="M18" s="42"/>
      <c r="N18" s="42"/>
      <c r="O18" s="6"/>
      <c r="P18" s="6"/>
      <c r="Q18" s="6"/>
    </row>
    <row r="19" spans="3:87">
      <c r="C19" s="605"/>
      <c r="D19" s="22" t="s">
        <v>136</v>
      </c>
      <c r="E19" s="44" t="s">
        <v>138</v>
      </c>
      <c r="F19"/>
      <c r="G19"/>
      <c r="H19"/>
      <c r="I19"/>
      <c r="K19" s="42"/>
      <c r="L19" s="42"/>
      <c r="M19" s="42"/>
      <c r="N19" s="42"/>
      <c r="O19" s="6"/>
      <c r="P19" s="6"/>
      <c r="Q19" s="6"/>
    </row>
    <row r="20" spans="3:87">
      <c r="C20" s="606"/>
      <c r="D20" s="22" t="s">
        <v>137</v>
      </c>
      <c r="E20" s="44" t="s">
        <v>138</v>
      </c>
      <c r="F20"/>
      <c r="G20"/>
      <c r="H20"/>
      <c r="I20"/>
      <c r="K20" s="42"/>
      <c r="L20" s="42"/>
      <c r="M20" s="42"/>
      <c r="N20" s="42"/>
      <c r="O20" s="6"/>
      <c r="P20" s="6"/>
      <c r="Q20" s="6"/>
    </row>
    <row r="21" spans="3:87">
      <c r="C21" s="61"/>
      <c r="D21" s="62"/>
      <c r="E21"/>
      <c r="F21"/>
      <c r="G21"/>
      <c r="H21"/>
      <c r="I21"/>
      <c r="J21" s="63"/>
      <c r="K21" s="8"/>
      <c r="L21" s="65"/>
      <c r="M21" s="6"/>
      <c r="N21" s="6"/>
      <c r="O21" s="43"/>
      <c r="P21" s="70"/>
      <c r="Q21" s="6"/>
    </row>
    <row r="22" spans="3:87">
      <c r="C22" s="47"/>
      <c r="D22" s="134"/>
      <c r="E22" s="135"/>
      <c r="J22" s="94" t="s">
        <v>80</v>
      </c>
      <c r="K22" s="93">
        <f t="shared" ref="K22:AP22" si="0">IF(K26=BaseYear,0,J22+1)</f>
        <v>0</v>
      </c>
      <c r="L22" s="93">
        <f t="shared" si="0"/>
        <v>1</v>
      </c>
      <c r="M22" s="93">
        <f t="shared" si="0"/>
        <v>2</v>
      </c>
      <c r="N22" s="93">
        <f t="shared" si="0"/>
        <v>3</v>
      </c>
      <c r="O22" s="93">
        <f t="shared" si="0"/>
        <v>4</v>
      </c>
      <c r="P22" s="93">
        <f t="shared" si="0"/>
        <v>5</v>
      </c>
      <c r="Q22" s="93">
        <f t="shared" si="0"/>
        <v>6</v>
      </c>
      <c r="R22" s="93">
        <f t="shared" si="0"/>
        <v>7</v>
      </c>
      <c r="S22" s="93">
        <f t="shared" si="0"/>
        <v>8</v>
      </c>
      <c r="T22" s="93">
        <f t="shared" si="0"/>
        <v>9</v>
      </c>
      <c r="U22" s="93">
        <f t="shared" si="0"/>
        <v>10</v>
      </c>
      <c r="V22" s="93">
        <f t="shared" si="0"/>
        <v>11</v>
      </c>
      <c r="W22" s="93">
        <f t="shared" si="0"/>
        <v>12</v>
      </c>
      <c r="X22" s="93">
        <f t="shared" si="0"/>
        <v>13</v>
      </c>
      <c r="Y22" s="93">
        <f t="shared" si="0"/>
        <v>14</v>
      </c>
      <c r="Z22" s="93">
        <f t="shared" si="0"/>
        <v>15</v>
      </c>
      <c r="AA22" s="93">
        <f t="shared" si="0"/>
        <v>16</v>
      </c>
      <c r="AB22" s="93">
        <f t="shared" si="0"/>
        <v>17</v>
      </c>
      <c r="AC22" s="93">
        <f t="shared" si="0"/>
        <v>18</v>
      </c>
      <c r="AD22" s="93">
        <f t="shared" si="0"/>
        <v>19</v>
      </c>
      <c r="AE22" s="93">
        <f t="shared" si="0"/>
        <v>20</v>
      </c>
      <c r="AF22" s="93">
        <f t="shared" si="0"/>
        <v>21</v>
      </c>
      <c r="AG22" s="93">
        <f t="shared" si="0"/>
        <v>22</v>
      </c>
      <c r="AH22" s="93">
        <f t="shared" si="0"/>
        <v>23</v>
      </c>
      <c r="AI22" s="93">
        <f t="shared" si="0"/>
        <v>24</v>
      </c>
      <c r="AJ22" s="93">
        <f t="shared" si="0"/>
        <v>25</v>
      </c>
      <c r="AK22" s="93">
        <f t="shared" si="0"/>
        <v>26</v>
      </c>
      <c r="AL22" s="93">
        <f t="shared" si="0"/>
        <v>27</v>
      </c>
      <c r="AM22" s="93">
        <f t="shared" si="0"/>
        <v>28</v>
      </c>
      <c r="AN22" s="93">
        <f t="shared" si="0"/>
        <v>29</v>
      </c>
      <c r="AO22" s="93">
        <f t="shared" si="0"/>
        <v>30</v>
      </c>
      <c r="AP22" s="93">
        <f t="shared" si="0"/>
        <v>31</v>
      </c>
      <c r="AQ22" s="93">
        <f t="shared" ref="AQ22:BK22" si="1">IF(AQ26=BaseYear,0,AP22+1)</f>
        <v>32</v>
      </c>
      <c r="AR22" s="93">
        <f t="shared" si="1"/>
        <v>33</v>
      </c>
      <c r="AS22" s="93">
        <f t="shared" si="1"/>
        <v>34</v>
      </c>
      <c r="AT22" s="93">
        <f t="shared" si="1"/>
        <v>35</v>
      </c>
      <c r="AU22" s="93">
        <f t="shared" si="1"/>
        <v>36</v>
      </c>
      <c r="AV22" s="93">
        <f t="shared" si="1"/>
        <v>37</v>
      </c>
      <c r="AW22" s="93">
        <f t="shared" si="1"/>
        <v>38</v>
      </c>
      <c r="AX22" s="93">
        <f t="shared" si="1"/>
        <v>39</v>
      </c>
      <c r="AY22" s="93">
        <f t="shared" si="1"/>
        <v>40</v>
      </c>
      <c r="AZ22" s="93">
        <f t="shared" si="1"/>
        <v>41</v>
      </c>
      <c r="BA22" s="93">
        <f t="shared" si="1"/>
        <v>42</v>
      </c>
      <c r="BB22" s="93">
        <f t="shared" si="1"/>
        <v>43</v>
      </c>
      <c r="BC22" s="93">
        <f t="shared" si="1"/>
        <v>44</v>
      </c>
      <c r="BD22" s="93">
        <f t="shared" si="1"/>
        <v>45</v>
      </c>
      <c r="BE22" s="93">
        <f t="shared" si="1"/>
        <v>46</v>
      </c>
      <c r="BF22" s="93">
        <f t="shared" si="1"/>
        <v>47</v>
      </c>
      <c r="BG22" s="93">
        <f t="shared" si="1"/>
        <v>48</v>
      </c>
      <c r="BH22" s="93">
        <f t="shared" si="1"/>
        <v>49</v>
      </c>
      <c r="BI22" s="93">
        <f t="shared" si="1"/>
        <v>50</v>
      </c>
      <c r="BJ22" s="93">
        <f t="shared" si="1"/>
        <v>51</v>
      </c>
      <c r="BK22" s="93">
        <f t="shared" si="1"/>
        <v>52</v>
      </c>
    </row>
    <row r="23" spans="3:87">
      <c r="C23" s="136"/>
      <c r="D23" s="134"/>
      <c r="E23" s="135"/>
      <c r="K23" s="43"/>
      <c r="L23" s="67"/>
      <c r="M23" s="66"/>
      <c r="N23" s="66"/>
      <c r="O23" s="68"/>
      <c r="P23" s="6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8"/>
      <c r="AH23" s="8"/>
    </row>
    <row r="24" spans="3:87">
      <c r="C24" s="47"/>
      <c r="D24" s="135"/>
      <c r="E24" s="135"/>
      <c r="G24" s="57" t="s">
        <v>3384</v>
      </c>
      <c r="I24"/>
      <c r="K24" s="42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8"/>
      <c r="AH24" s="8"/>
    </row>
    <row r="25" spans="3:87">
      <c r="C25" s="47"/>
      <c r="D25" s="135"/>
      <c r="E25" s="135"/>
      <c r="I25"/>
      <c r="J25" s="57"/>
      <c r="K25" s="42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8"/>
      <c r="AH25" s="8"/>
    </row>
    <row r="26" spans="3:87">
      <c r="C26" s="135"/>
      <c r="D26" s="136"/>
      <c r="E26" s="136"/>
      <c r="F26"/>
      <c r="G26"/>
      <c r="H26" s="11" t="s">
        <v>129</v>
      </c>
      <c r="I26" s="11" t="s">
        <v>139</v>
      </c>
      <c r="J26" s="19" t="s">
        <v>63</v>
      </c>
      <c r="K26" s="19">
        <f>BaseYear</f>
        <v>2017</v>
      </c>
      <c r="L26" s="19">
        <f t="shared" ref="L26:AA26" si="2">K26+1</f>
        <v>2018</v>
      </c>
      <c r="M26" s="19">
        <f t="shared" si="2"/>
        <v>2019</v>
      </c>
      <c r="N26" s="19">
        <f t="shared" si="2"/>
        <v>2020</v>
      </c>
      <c r="O26" s="19">
        <f t="shared" si="2"/>
        <v>2021</v>
      </c>
      <c r="P26" s="19">
        <f t="shared" si="2"/>
        <v>2022</v>
      </c>
      <c r="Q26" s="19">
        <f t="shared" si="2"/>
        <v>2023</v>
      </c>
      <c r="R26" s="19">
        <f t="shared" si="2"/>
        <v>2024</v>
      </c>
      <c r="S26" s="19">
        <f t="shared" si="2"/>
        <v>2025</v>
      </c>
      <c r="T26" s="19">
        <f t="shared" si="2"/>
        <v>2026</v>
      </c>
      <c r="U26" s="19">
        <f t="shared" si="2"/>
        <v>2027</v>
      </c>
      <c r="V26" s="19">
        <f t="shared" si="2"/>
        <v>2028</v>
      </c>
      <c r="W26" s="19">
        <f t="shared" si="2"/>
        <v>2029</v>
      </c>
      <c r="X26" s="19">
        <f t="shared" si="2"/>
        <v>2030</v>
      </c>
      <c r="Y26" s="19">
        <f t="shared" si="2"/>
        <v>2031</v>
      </c>
      <c r="Z26" s="19">
        <f t="shared" si="2"/>
        <v>2032</v>
      </c>
      <c r="AA26" s="19">
        <f t="shared" si="2"/>
        <v>2033</v>
      </c>
      <c r="AB26" s="19">
        <f t="shared" ref="AB26:AK26" si="3">AA26+1</f>
        <v>2034</v>
      </c>
      <c r="AC26" s="19">
        <f t="shared" si="3"/>
        <v>2035</v>
      </c>
      <c r="AD26" s="19">
        <f t="shared" si="3"/>
        <v>2036</v>
      </c>
      <c r="AE26" s="19">
        <f t="shared" si="3"/>
        <v>2037</v>
      </c>
      <c r="AF26" s="19">
        <f t="shared" si="3"/>
        <v>2038</v>
      </c>
      <c r="AG26" s="19">
        <f t="shared" si="3"/>
        <v>2039</v>
      </c>
      <c r="AH26" s="19">
        <f t="shared" si="3"/>
        <v>2040</v>
      </c>
      <c r="AI26" s="19">
        <f t="shared" si="3"/>
        <v>2041</v>
      </c>
      <c r="AJ26" s="19">
        <f t="shared" si="3"/>
        <v>2042</v>
      </c>
      <c r="AK26" s="19">
        <f t="shared" si="3"/>
        <v>2043</v>
      </c>
      <c r="AL26" s="19">
        <f t="shared" ref="AL26:BK26" si="4">AK26+1</f>
        <v>2044</v>
      </c>
      <c r="AM26" s="19">
        <f t="shared" si="4"/>
        <v>2045</v>
      </c>
      <c r="AN26" s="19">
        <f t="shared" si="4"/>
        <v>2046</v>
      </c>
      <c r="AO26" s="19">
        <f t="shared" si="4"/>
        <v>2047</v>
      </c>
      <c r="AP26" s="19">
        <f t="shared" si="4"/>
        <v>2048</v>
      </c>
      <c r="AQ26" s="19">
        <f t="shared" si="4"/>
        <v>2049</v>
      </c>
      <c r="AR26" s="19">
        <f t="shared" si="4"/>
        <v>2050</v>
      </c>
      <c r="AS26" s="19">
        <f t="shared" si="4"/>
        <v>2051</v>
      </c>
      <c r="AT26" s="19">
        <f t="shared" si="4"/>
        <v>2052</v>
      </c>
      <c r="AU26" s="19">
        <f t="shared" si="4"/>
        <v>2053</v>
      </c>
      <c r="AV26" s="19">
        <f t="shared" si="4"/>
        <v>2054</v>
      </c>
      <c r="AW26" s="19">
        <f t="shared" si="4"/>
        <v>2055</v>
      </c>
      <c r="AX26" s="19">
        <f t="shared" si="4"/>
        <v>2056</v>
      </c>
      <c r="AY26" s="19">
        <f t="shared" si="4"/>
        <v>2057</v>
      </c>
      <c r="AZ26" s="19">
        <f t="shared" si="4"/>
        <v>2058</v>
      </c>
      <c r="BA26" s="19">
        <f t="shared" si="4"/>
        <v>2059</v>
      </c>
      <c r="BB26" s="19">
        <f t="shared" si="4"/>
        <v>2060</v>
      </c>
      <c r="BC26" s="19">
        <f t="shared" si="4"/>
        <v>2061</v>
      </c>
      <c r="BD26" s="19">
        <f t="shared" si="4"/>
        <v>2062</v>
      </c>
      <c r="BE26" s="19">
        <f t="shared" si="4"/>
        <v>2063</v>
      </c>
      <c r="BF26" s="19">
        <f t="shared" si="4"/>
        <v>2064</v>
      </c>
      <c r="BG26" s="19">
        <f t="shared" si="4"/>
        <v>2065</v>
      </c>
      <c r="BH26" s="19">
        <f t="shared" si="4"/>
        <v>2066</v>
      </c>
      <c r="BI26" s="19">
        <f t="shared" si="4"/>
        <v>2067</v>
      </c>
      <c r="BJ26" s="19">
        <f t="shared" si="4"/>
        <v>2068</v>
      </c>
      <c r="BK26" s="19">
        <f t="shared" si="4"/>
        <v>2069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3:87">
      <c r="C27" s="135"/>
      <c r="D27" s="136"/>
      <c r="E27" s="136"/>
      <c r="F27"/>
      <c r="G27"/>
      <c r="H27" s="139" t="s">
        <v>158</v>
      </c>
      <c r="I27" s="140"/>
      <c r="J27" s="41" t="s">
        <v>159</v>
      </c>
      <c r="K27" s="168">
        <v>4.16308290041041E-2</v>
      </c>
      <c r="L27" s="168">
        <v>4.2255291439165656E-2</v>
      </c>
      <c r="M27" s="168">
        <v>4.2889120810753134E-2</v>
      </c>
      <c r="N27" s="168">
        <v>4.3532457622914425E-2</v>
      </c>
      <c r="O27" s="168">
        <v>4.4185444487258134E-2</v>
      </c>
      <c r="P27" s="168">
        <v>4.4848226154567003E-2</v>
      </c>
      <c r="Q27" s="168">
        <v>4.55209495468855E-2</v>
      </c>
      <c r="R27" s="168">
        <v>4.6203763790088781E-2</v>
      </c>
      <c r="S27" s="168">
        <v>4.6896820246940106E-2</v>
      </c>
      <c r="T27" s="168">
        <v>4.7600272550644203E-2</v>
      </c>
      <c r="U27" s="168">
        <v>4.8314276638903864E-2</v>
      </c>
      <c r="V27" s="168">
        <v>4.9038990788487419E-2</v>
      </c>
      <c r="W27" s="168">
        <v>4.9774575650314727E-2</v>
      </c>
      <c r="X27" s="168">
        <v>5.0521194285069446E-2</v>
      </c>
      <c r="Y27" s="168">
        <v>5.1279012199345483E-2</v>
      </c>
      <c r="Z27" s="168">
        <v>5.2048197382335661E-2</v>
      </c>
      <c r="AA27" s="168">
        <v>5.2828920343070691E-2</v>
      </c>
      <c r="AB27" s="168">
        <v>5.3621354148216747E-2</v>
      </c>
      <c r="AC27" s="168">
        <v>5.4425674460439992E-2</v>
      </c>
      <c r="AD27" s="168">
        <v>5.5242059577346583E-2</v>
      </c>
      <c r="AE27" s="168">
        <v>5.6070690471006775E-2</v>
      </c>
      <c r="AF27" s="168">
        <v>5.6911750828071872E-2</v>
      </c>
      <c r="AG27" s="168">
        <v>5.7765427090492948E-2</v>
      </c>
      <c r="AH27" s="168">
        <v>5.8631908496850335E-2</v>
      </c>
      <c r="AI27" s="168">
        <v>5.9511387124303088E-2</v>
      </c>
      <c r="AJ27" s="168">
        <v>6.0404057931167626E-2</v>
      </c>
      <c r="AK27" s="168">
        <v>6.1310118800135135E-2</v>
      </c>
      <c r="AL27" s="168">
        <v>6.2229770582137155E-2</v>
      </c>
      <c r="AM27" s="168">
        <v>6.3163217140869213E-2</v>
      </c>
      <c r="AN27" s="168">
        <v>6.4110665397982242E-2</v>
      </c>
      <c r="AO27" s="168">
        <v>6.5072325378951967E-2</v>
      </c>
      <c r="AP27" s="168">
        <v>6.6048410259636245E-2</v>
      </c>
      <c r="AQ27" s="168">
        <v>6.7039136413530778E-2</v>
      </c>
      <c r="AR27" s="168">
        <v>6.8044723459733752E-2</v>
      </c>
      <c r="AS27" s="168">
        <v>6.9065394311629738E-2</v>
      </c>
      <c r="AT27" s="168">
        <v>7.0101375226304177E-2</v>
      </c>
      <c r="AU27" s="168">
        <v>7.1152895854698736E-2</v>
      </c>
      <c r="AV27" s="168">
        <v>7.2220189292519207E-2</v>
      </c>
      <c r="AW27" s="168">
        <v>7.3303492131906983E-2</v>
      </c>
      <c r="AX27" s="168">
        <v>7.4403044513885574E-2</v>
      </c>
      <c r="AY27" s="168">
        <v>7.5519090181593848E-2</v>
      </c>
      <c r="AZ27" s="168">
        <v>7.6651876534317751E-2</v>
      </c>
      <c r="BA27" s="168">
        <v>7.7801654682332508E-2</v>
      </c>
      <c r="BB27" s="168">
        <v>7.8968679502567488E-2</v>
      </c>
      <c r="BC27" s="168">
        <v>8.015320969510599E-2</v>
      </c>
      <c r="BD27" s="168">
        <v>8.1355507840532568E-2</v>
      </c>
      <c r="BE27" s="168">
        <v>8.2575840458140551E-2</v>
      </c>
      <c r="BF27" s="168">
        <v>8.3814478065012646E-2</v>
      </c>
      <c r="BG27" s="168">
        <v>8.5071695235987829E-2</v>
      </c>
      <c r="BH27" s="168">
        <v>8.6347770664527632E-2</v>
      </c>
      <c r="BI27" s="168">
        <v>8.7642987224495539E-2</v>
      </c>
      <c r="BJ27" s="168">
        <v>8.8957632032862957E-2</v>
      </c>
      <c r="BK27" s="168">
        <v>9.0291996513355899E-2</v>
      </c>
      <c r="BL27" s="49">
        <v>9.1646376461056223E-2</v>
      </c>
      <c r="BM27" s="49">
        <v>9.3021072107972058E-2</v>
      </c>
      <c r="BN27" s="49">
        <v>9.4416388189591624E-2</v>
      </c>
      <c r="BO27" s="49">
        <v>9.5832634012435483E-2</v>
      </c>
      <c r="BP27" s="49">
        <v>9.7270123522622001E-2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3:87">
      <c r="C28" s="135"/>
      <c r="D28" s="136"/>
      <c r="E28" s="136"/>
      <c r="F28"/>
      <c r="G28"/>
      <c r="H28" s="139" t="s">
        <v>158</v>
      </c>
      <c r="I28" s="140"/>
      <c r="J28" s="41" t="s">
        <v>160</v>
      </c>
      <c r="K28" s="168">
        <v>15.658032022409515</v>
      </c>
      <c r="L28" s="168">
        <v>15.892902502745656</v>
      </c>
      <c r="M28" s="168">
        <v>16.131296040286838</v>
      </c>
      <c r="N28" s="168">
        <v>16.373265480891138</v>
      </c>
      <c r="O28" s="168">
        <v>16.618864463104504</v>
      </c>
      <c r="P28" s="168">
        <v>16.868147430051071</v>
      </c>
      <c r="Q28" s="168">
        <v>17.121169641501837</v>
      </c>
      <c r="R28" s="168">
        <v>17.377987186124361</v>
      </c>
      <c r="S28" s="168">
        <v>17.638656993916225</v>
      </c>
      <c r="T28" s="168">
        <v>17.903236848824967</v>
      </c>
      <c r="U28" s="168">
        <v>18.17178540155734</v>
      </c>
      <c r="V28" s="168">
        <v>18.444362182580697</v>
      </c>
      <c r="W28" s="168">
        <v>18.721027615319407</v>
      </c>
      <c r="X28" s="168">
        <v>19.001843029549196</v>
      </c>
      <c r="Y28" s="168">
        <v>19.286870674992432</v>
      </c>
      <c r="Z28" s="168">
        <v>19.576173735117315</v>
      </c>
      <c r="AA28" s="168">
        <v>19.869816341144073</v>
      </c>
      <c r="AB28" s="168">
        <v>20.167863586261234</v>
      </c>
      <c r="AC28" s="168">
        <v>20.470381540055151</v>
      </c>
      <c r="AD28" s="168">
        <v>20.777437263155974</v>
      </c>
      <c r="AE28" s="168">
        <v>21.089098822103313</v>
      </c>
      <c r="AF28" s="168">
        <v>21.40543530443486</v>
      </c>
      <c r="AG28" s="168">
        <v>21.72651683400138</v>
      </c>
      <c r="AH28" s="168">
        <v>22.0524145865114</v>
      </c>
      <c r="AI28" s="168">
        <v>22.38320080530907</v>
      </c>
      <c r="AJ28" s="168">
        <v>22.718948817388704</v>
      </c>
      <c r="AK28" s="168">
        <v>23.05973304964953</v>
      </c>
      <c r="AL28" s="168">
        <v>23.405629045394271</v>
      </c>
      <c r="AM28" s="168">
        <v>23.756713481075181</v>
      </c>
      <c r="AN28" s="168">
        <v>24.113064183291307</v>
      </c>
      <c r="AO28" s="168">
        <v>24.474760146040673</v>
      </c>
      <c r="AP28" s="168">
        <v>24.841881548231282</v>
      </c>
      <c r="AQ28" s="168">
        <v>25.214509771454747</v>
      </c>
      <c r="AR28" s="168">
        <v>25.592727418026566</v>
      </c>
      <c r="AS28" s="168">
        <v>25.976618329296961</v>
      </c>
      <c r="AT28" s="168">
        <v>26.366267604236413</v>
      </c>
      <c r="AU28" s="168">
        <v>26.761761618299957</v>
      </c>
      <c r="AV28" s="168">
        <v>27.163188042574454</v>
      </c>
      <c r="AW28" s="168">
        <v>27.570635863213067</v>
      </c>
      <c r="AX28" s="168">
        <v>27.984195401161259</v>
      </c>
      <c r="AY28" s="168">
        <v>28.403958332178675</v>
      </c>
      <c r="AZ28" s="168">
        <v>28.830017707161353</v>
      </c>
      <c r="BA28" s="168">
        <v>29.262467972768771</v>
      </c>
      <c r="BB28" s="168">
        <v>29.701404992360299</v>
      </c>
      <c r="BC28" s="168">
        <v>30.146926067245701</v>
      </c>
      <c r="BD28" s="168">
        <v>30.599129958254384</v>
      </c>
      <c r="BE28" s="168">
        <v>31.058116907628197</v>
      </c>
      <c r="BF28" s="168">
        <v>31.523988661242615</v>
      </c>
      <c r="BG28" s="168">
        <v>31.996848491161252</v>
      </c>
      <c r="BH28" s="168">
        <v>32.476801218528671</v>
      </c>
      <c r="BI28" s="168">
        <v>32.963953236806603</v>
      </c>
      <c r="BJ28" s="168">
        <v>33.45841253535869</v>
      </c>
      <c r="BK28" s="168">
        <v>33.96028872338907</v>
      </c>
      <c r="BL28" s="49">
        <v>34.469693054239904</v>
      </c>
      <c r="BM28" s="49">
        <v>34.986738450053501</v>
      </c>
      <c r="BN28" s="49">
        <v>35.511539526804299</v>
      </c>
      <c r="BO28" s="49">
        <v>36.044212619706357</v>
      </c>
      <c r="BP28" s="49">
        <v>36.58487580900195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</row>
    <row r="29" spans="3:87">
      <c r="C29" s="135"/>
      <c r="D29" s="136"/>
      <c r="E29" s="136"/>
      <c r="F29"/>
      <c r="G29"/>
      <c r="H29" s="139" t="s">
        <v>158</v>
      </c>
      <c r="I29" s="140"/>
      <c r="J29" s="41" t="s">
        <v>161</v>
      </c>
      <c r="K29" s="168">
        <v>1.14E-2</v>
      </c>
      <c r="L29" s="168">
        <v>1.14E-2</v>
      </c>
      <c r="M29" s="168">
        <v>1.14E-2</v>
      </c>
      <c r="N29" s="168">
        <v>1.14E-2</v>
      </c>
      <c r="O29" s="168">
        <v>1.14E-2</v>
      </c>
      <c r="P29" s="168">
        <v>1.14E-2</v>
      </c>
      <c r="Q29" s="168">
        <v>1.14E-2</v>
      </c>
      <c r="R29" s="168">
        <v>1.14E-2</v>
      </c>
      <c r="S29" s="168">
        <v>1.14E-2</v>
      </c>
      <c r="T29" s="168">
        <v>1.14E-2</v>
      </c>
      <c r="U29" s="168">
        <v>1.14E-2</v>
      </c>
      <c r="V29" s="168">
        <v>1.14E-2</v>
      </c>
      <c r="W29" s="168">
        <v>1.14E-2</v>
      </c>
      <c r="X29" s="168">
        <v>1.14E-2</v>
      </c>
      <c r="Y29" s="168">
        <v>1.14E-2</v>
      </c>
      <c r="Z29" s="168">
        <v>1.14E-2</v>
      </c>
      <c r="AA29" s="168">
        <v>1.14E-2</v>
      </c>
      <c r="AB29" s="168">
        <v>1.14E-2</v>
      </c>
      <c r="AC29" s="168">
        <v>1.14E-2</v>
      </c>
      <c r="AD29" s="168">
        <v>1.14E-2</v>
      </c>
      <c r="AE29" s="168">
        <v>1.14E-2</v>
      </c>
      <c r="AF29" s="168">
        <v>1.14E-2</v>
      </c>
      <c r="AG29" s="168">
        <v>1.14E-2</v>
      </c>
      <c r="AH29" s="168">
        <v>1.14E-2</v>
      </c>
      <c r="AI29" s="168">
        <v>1.14E-2</v>
      </c>
      <c r="AJ29" s="168">
        <v>1.14E-2</v>
      </c>
      <c r="AK29" s="168">
        <v>1.14E-2</v>
      </c>
      <c r="AL29" s="168">
        <v>1.14E-2</v>
      </c>
      <c r="AM29" s="168">
        <v>1.14E-2</v>
      </c>
      <c r="AN29" s="168">
        <v>1.14E-2</v>
      </c>
      <c r="AO29" s="168">
        <v>1.14E-2</v>
      </c>
      <c r="AP29" s="168">
        <v>1.14E-2</v>
      </c>
      <c r="AQ29" s="168">
        <v>1.14E-2</v>
      </c>
      <c r="AR29" s="168">
        <v>1.14E-2</v>
      </c>
      <c r="AS29" s="168">
        <v>1.14E-2</v>
      </c>
      <c r="AT29" s="168">
        <v>1.14E-2</v>
      </c>
      <c r="AU29" s="168">
        <v>1.14E-2</v>
      </c>
      <c r="AV29" s="168">
        <v>1.14E-2</v>
      </c>
      <c r="AW29" s="168">
        <v>1.14E-2</v>
      </c>
      <c r="AX29" s="168">
        <v>1.14E-2</v>
      </c>
      <c r="AY29" s="168">
        <v>1.14E-2</v>
      </c>
      <c r="AZ29" s="168">
        <v>1.14E-2</v>
      </c>
      <c r="BA29" s="168">
        <v>1.14E-2</v>
      </c>
      <c r="BB29" s="168">
        <v>1.14E-2</v>
      </c>
      <c r="BC29" s="168">
        <v>1.14E-2</v>
      </c>
      <c r="BD29" s="168">
        <v>1.14E-2</v>
      </c>
      <c r="BE29" s="168">
        <v>1.14E-2</v>
      </c>
      <c r="BF29" s="168">
        <v>1.14E-2</v>
      </c>
      <c r="BG29" s="168">
        <v>1.14E-2</v>
      </c>
      <c r="BH29" s="168">
        <v>1.14E-2</v>
      </c>
      <c r="BI29" s="168">
        <v>1.14E-2</v>
      </c>
      <c r="BJ29" s="168">
        <v>1.14E-2</v>
      </c>
      <c r="BK29" s="168">
        <v>1.14E-2</v>
      </c>
      <c r="BL29" s="49">
        <v>1.14E-2</v>
      </c>
      <c r="BM29" s="49">
        <v>1.14E-2</v>
      </c>
      <c r="BN29" s="49">
        <v>1.14E-2</v>
      </c>
      <c r="BO29" s="49">
        <v>1.14E-2</v>
      </c>
      <c r="BP29" s="49">
        <v>1.14E-2</v>
      </c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3:87">
      <c r="C30" s="135"/>
      <c r="D30" s="135"/>
      <c r="E30" s="136"/>
      <c r="F30"/>
      <c r="G30"/>
      <c r="H30"/>
      <c r="I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3:87">
      <c r="C31" s="135"/>
      <c r="D31" s="135"/>
      <c r="E31" s="136"/>
      <c r="F31"/>
      <c r="G31" s="57" t="s">
        <v>128</v>
      </c>
      <c r="H31"/>
      <c r="I31"/>
      <c r="K31" s="8"/>
      <c r="L31" s="8"/>
      <c r="M31" s="8"/>
      <c r="N31" s="8"/>
      <c r="O31" s="8"/>
      <c r="P31" s="8"/>
      <c r="Q31" s="8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3:87">
      <c r="C32" s="135"/>
      <c r="D32" s="135"/>
      <c r="E32" s="136"/>
      <c r="F32"/>
      <c r="G32" t="s">
        <v>12</v>
      </c>
      <c r="H32"/>
      <c r="I32"/>
      <c r="K32" s="8"/>
      <c r="L32" s="8"/>
      <c r="M32" s="8"/>
      <c r="N32" s="8"/>
      <c r="O32" s="8"/>
      <c r="P32" s="8"/>
      <c r="Q32" s="8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3:87">
      <c r="C33" s="136"/>
      <c r="D33" s="136"/>
      <c r="E33" s="136"/>
      <c r="F33"/>
      <c r="G33"/>
      <c r="H33" s="11" t="s">
        <v>129</v>
      </c>
      <c r="I33" s="11" t="s">
        <v>139</v>
      </c>
      <c r="J33" s="19" t="s">
        <v>63</v>
      </c>
      <c r="K33" s="19">
        <f t="shared" ref="K33:AP33" si="5">K26</f>
        <v>2017</v>
      </c>
      <c r="L33" s="19">
        <f t="shared" si="5"/>
        <v>2018</v>
      </c>
      <c r="M33" s="19">
        <f t="shared" si="5"/>
        <v>2019</v>
      </c>
      <c r="N33" s="19">
        <f t="shared" si="5"/>
        <v>2020</v>
      </c>
      <c r="O33" s="19">
        <f t="shared" si="5"/>
        <v>2021</v>
      </c>
      <c r="P33" s="19">
        <f t="shared" si="5"/>
        <v>2022</v>
      </c>
      <c r="Q33" s="19">
        <f t="shared" si="5"/>
        <v>2023</v>
      </c>
      <c r="R33" s="19">
        <f t="shared" si="5"/>
        <v>2024</v>
      </c>
      <c r="S33" s="19">
        <f t="shared" si="5"/>
        <v>2025</v>
      </c>
      <c r="T33" s="19">
        <f t="shared" si="5"/>
        <v>2026</v>
      </c>
      <c r="U33" s="19">
        <f t="shared" si="5"/>
        <v>2027</v>
      </c>
      <c r="V33" s="19">
        <f t="shared" si="5"/>
        <v>2028</v>
      </c>
      <c r="W33" s="19">
        <f t="shared" si="5"/>
        <v>2029</v>
      </c>
      <c r="X33" s="19">
        <f t="shared" si="5"/>
        <v>2030</v>
      </c>
      <c r="Y33" s="19">
        <f t="shared" si="5"/>
        <v>2031</v>
      </c>
      <c r="Z33" s="19">
        <f t="shared" si="5"/>
        <v>2032</v>
      </c>
      <c r="AA33" s="19">
        <f t="shared" si="5"/>
        <v>2033</v>
      </c>
      <c r="AB33" s="19">
        <f t="shared" si="5"/>
        <v>2034</v>
      </c>
      <c r="AC33" s="19">
        <f t="shared" si="5"/>
        <v>2035</v>
      </c>
      <c r="AD33" s="19">
        <f t="shared" si="5"/>
        <v>2036</v>
      </c>
      <c r="AE33" s="19">
        <f t="shared" si="5"/>
        <v>2037</v>
      </c>
      <c r="AF33" s="19">
        <f t="shared" si="5"/>
        <v>2038</v>
      </c>
      <c r="AG33" s="19">
        <f t="shared" si="5"/>
        <v>2039</v>
      </c>
      <c r="AH33" s="19">
        <f t="shared" si="5"/>
        <v>2040</v>
      </c>
      <c r="AI33" s="19">
        <f t="shared" si="5"/>
        <v>2041</v>
      </c>
      <c r="AJ33" s="19">
        <f t="shared" si="5"/>
        <v>2042</v>
      </c>
      <c r="AK33" s="19">
        <f t="shared" si="5"/>
        <v>2043</v>
      </c>
      <c r="AL33" s="19">
        <f t="shared" si="5"/>
        <v>2044</v>
      </c>
      <c r="AM33" s="19">
        <f t="shared" si="5"/>
        <v>2045</v>
      </c>
      <c r="AN33" s="19">
        <f t="shared" si="5"/>
        <v>2046</v>
      </c>
      <c r="AO33" s="19">
        <f t="shared" si="5"/>
        <v>2047</v>
      </c>
      <c r="AP33" s="19">
        <f t="shared" si="5"/>
        <v>2048</v>
      </c>
      <c r="AQ33" s="19">
        <f t="shared" ref="AQ33:BK33" si="6">AQ26</f>
        <v>2049</v>
      </c>
      <c r="AR33" s="19">
        <f t="shared" si="6"/>
        <v>2050</v>
      </c>
      <c r="AS33" s="19">
        <f t="shared" si="6"/>
        <v>2051</v>
      </c>
      <c r="AT33" s="19">
        <f t="shared" si="6"/>
        <v>2052</v>
      </c>
      <c r="AU33" s="19">
        <f t="shared" si="6"/>
        <v>2053</v>
      </c>
      <c r="AV33" s="19">
        <f t="shared" si="6"/>
        <v>2054</v>
      </c>
      <c r="AW33" s="19">
        <f t="shared" si="6"/>
        <v>2055</v>
      </c>
      <c r="AX33" s="19">
        <f t="shared" si="6"/>
        <v>2056</v>
      </c>
      <c r="AY33" s="19">
        <f t="shared" si="6"/>
        <v>2057</v>
      </c>
      <c r="AZ33" s="19">
        <f t="shared" si="6"/>
        <v>2058</v>
      </c>
      <c r="BA33" s="19">
        <f t="shared" si="6"/>
        <v>2059</v>
      </c>
      <c r="BB33" s="19">
        <f t="shared" si="6"/>
        <v>2060</v>
      </c>
      <c r="BC33" s="19">
        <f t="shared" si="6"/>
        <v>2061</v>
      </c>
      <c r="BD33" s="19">
        <f t="shared" si="6"/>
        <v>2062</v>
      </c>
      <c r="BE33" s="19">
        <f t="shared" si="6"/>
        <v>2063</v>
      </c>
      <c r="BF33" s="19">
        <f t="shared" si="6"/>
        <v>2064</v>
      </c>
      <c r="BG33" s="19">
        <f t="shared" si="6"/>
        <v>2065</v>
      </c>
      <c r="BH33" s="19">
        <f t="shared" si="6"/>
        <v>2066</v>
      </c>
      <c r="BI33" s="19">
        <f t="shared" si="6"/>
        <v>2067</v>
      </c>
      <c r="BJ33" s="19">
        <f t="shared" si="6"/>
        <v>2068</v>
      </c>
      <c r="BK33" s="19">
        <f t="shared" si="6"/>
        <v>2069</v>
      </c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</row>
    <row r="34" spans="3:87">
      <c r="C34" s="136"/>
      <c r="D34" s="136"/>
      <c r="E34" s="136"/>
      <c r="F34"/>
      <c r="G34"/>
      <c r="H34" s="139" t="s">
        <v>158</v>
      </c>
      <c r="I34" s="140" t="str">
        <f ca="1">IFERROR(HYPERLINK("#"&amp;_xlfn.FORMULATEXT(J34),"Link"),"n/a")</f>
        <v>n/a</v>
      </c>
      <c r="J34" s="41" t="s">
        <v>1</v>
      </c>
      <c r="K34" s="96">
        <v>0.13828747315155848</v>
      </c>
      <c r="L34" s="96">
        <v>0.14036178524883183</v>
      </c>
      <c r="M34" s="96">
        <v>0.14246721202756429</v>
      </c>
      <c r="N34" s="96">
        <v>0.14460422020797775</v>
      </c>
      <c r="O34" s="96">
        <v>0.14677328351109739</v>
      </c>
      <c r="P34" s="96">
        <v>0.14897488276376383</v>
      </c>
      <c r="Q34" s="96">
        <v>0.15120950600522026</v>
      </c>
      <c r="R34" s="96">
        <v>0.15347764859529855</v>
      </c>
      <c r="S34" s="96">
        <v>0.15577981332422802</v>
      </c>
      <c r="T34" s="96">
        <v>0.15811651052409142</v>
      </c>
      <c r="U34" s="96">
        <v>0.16048825818195278</v>
      </c>
      <c r="V34" s="96">
        <v>0.16289558205468205</v>
      </c>
      <c r="W34" s="96">
        <v>0.16533901578550225</v>
      </c>
      <c r="X34" s="96">
        <v>0.16781910102228478</v>
      </c>
      <c r="Y34" s="96">
        <v>0.17033638753761904</v>
      </c>
      <c r="Z34" s="96">
        <v>0.1728914333506833</v>
      </c>
      <c r="AA34" s="96">
        <v>0.17548480485094353</v>
      </c>
      <c r="AB34" s="96">
        <v>0.17811707692370768</v>
      </c>
      <c r="AC34" s="96">
        <v>0.18078883307756327</v>
      </c>
      <c r="AD34" s="96">
        <v>0.18350066557372671</v>
      </c>
      <c r="AE34" s="96">
        <v>0.18625317555733259</v>
      </c>
      <c r="AF34" s="96">
        <v>0.18904697319069255</v>
      </c>
      <c r="AG34" s="96">
        <v>0.19188267778855292</v>
      </c>
      <c r="AH34" s="96">
        <v>0.1947609179553812</v>
      </c>
      <c r="AI34" s="96">
        <v>0.19768233172471189</v>
      </c>
      <c r="AJ34" s="96">
        <v>0.20064756670058254</v>
      </c>
      <c r="AK34" s="96">
        <v>0.20365728020109125</v>
      </c>
      <c r="AL34" s="96">
        <v>0.2067121394041076</v>
      </c>
      <c r="AM34" s="96">
        <v>0.20981282149516919</v>
      </c>
      <c r="AN34" s="96">
        <v>0.21296001381759672</v>
      </c>
      <c r="AO34" s="96">
        <v>0.21615441402486066</v>
      </c>
      <c r="AP34" s="96">
        <v>0.21939673023523354</v>
      </c>
      <c r="AQ34" s="96">
        <v>0.22268768118876203</v>
      </c>
      <c r="AR34" s="96">
        <v>0.22602799640659343</v>
      </c>
      <c r="AS34" s="96">
        <v>0.22941841635269231</v>
      </c>
      <c r="AT34" s="96">
        <v>0.23285969259798267</v>
      </c>
      <c r="AU34" s="96">
        <v>0.23635258798695238</v>
      </c>
      <c r="AV34" s="96">
        <v>0.23989787680675664</v>
      </c>
      <c r="AW34" s="96">
        <v>0.24349634495885797</v>
      </c>
      <c r="AX34" s="96">
        <v>0.24714879013324081</v>
      </c>
      <c r="AY34" s="96">
        <v>0.25085602198523937</v>
      </c>
      <c r="AZ34" s="96">
        <v>0.25461886231501796</v>
      </c>
      <c r="BA34" s="96">
        <v>0.25843814524974318</v>
      </c>
      <c r="BB34" s="96">
        <v>0.26231471742848927</v>
      </c>
      <c r="BC34" s="96">
        <v>0.26624943818991659</v>
      </c>
      <c r="BD34" s="96">
        <v>0.2702431797627653</v>
      </c>
      <c r="BE34" s="96">
        <v>0.27429682745920675</v>
      </c>
      <c r="BF34" s="96">
        <v>0.27841127987109482</v>
      </c>
      <c r="BG34" s="96">
        <v>0.28258744906916122</v>
      </c>
      <c r="BH34" s="96">
        <v>0.28682626080519863</v>
      </c>
      <c r="BI34" s="96">
        <v>0.29112865471727656</v>
      </c>
      <c r="BJ34" s="96">
        <v>0.2954955845380357</v>
      </c>
      <c r="BK34" s="96">
        <v>0.29992801830610621</v>
      </c>
      <c r="BL34">
        <v>0.3044269385806978</v>
      </c>
      <c r="BM34">
        <v>0.30899334265940825</v>
      </c>
      <c r="BN34">
        <v>0.31362824279929935</v>
      </c>
      <c r="BO34">
        <v>0.31833266644128883</v>
      </c>
      <c r="BP34">
        <v>0.32310765643790812</v>
      </c>
      <c r="BQ34">
        <v>0.32795427128447668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3:87">
      <c r="C35" s="136"/>
      <c r="D35" s="136"/>
      <c r="E35" s="136"/>
      <c r="F35"/>
      <c r="G35"/>
      <c r="H35" s="139" t="s">
        <v>158</v>
      </c>
      <c r="I35" s="140" t="str">
        <f t="shared" ref="I35" ca="1" si="7">IFERROR(HYPERLINK("#"&amp;_xlfn.FORMULATEXT(J35),"Link"),"n/a")</f>
        <v>n/a</v>
      </c>
      <c r="J35" s="41" t="s">
        <v>142</v>
      </c>
      <c r="K35" s="96">
        <v>0.10762435942490967</v>
      </c>
      <c r="L35" s="96">
        <v>0.1092387248162833</v>
      </c>
      <c r="M35" s="96">
        <v>0.11087730568852752</v>
      </c>
      <c r="N35" s="96">
        <v>0.11254046527385542</v>
      </c>
      <c r="O35" s="96">
        <v>0.11422857225296325</v>
      </c>
      <c r="P35" s="96">
        <v>0.11594200083675768</v>
      </c>
      <c r="Q35" s="96">
        <v>0.11768113084930903</v>
      </c>
      <c r="R35" s="96">
        <v>0.11944634781204866</v>
      </c>
      <c r="S35" s="96">
        <v>0.12123804302922939</v>
      </c>
      <c r="T35" s="96">
        <v>0.1230566136746678</v>
      </c>
      <c r="U35" s="96">
        <v>0.12490246287978782</v>
      </c>
      <c r="V35" s="96">
        <v>0.12677599982298463</v>
      </c>
      <c r="W35" s="96">
        <v>0.12867763982032937</v>
      </c>
      <c r="X35" s="96">
        <v>0.13060780441763431</v>
      </c>
      <c r="Y35" s="96">
        <v>0.13256692148389881</v>
      </c>
      <c r="Z35" s="96">
        <v>0.13455542530615727</v>
      </c>
      <c r="AA35" s="96">
        <v>0.13657375668574961</v>
      </c>
      <c r="AB35" s="96">
        <v>0.13862236303603587</v>
      </c>
      <c r="AC35" s="96">
        <v>0.1407016984815764</v>
      </c>
      <c r="AD35" s="96">
        <v>0.14281222395880003</v>
      </c>
      <c r="AE35" s="96">
        <v>0.14495440731818202</v>
      </c>
      <c r="AF35" s="96">
        <v>0.14712872342795474</v>
      </c>
      <c r="AG35" s="96">
        <v>0.14933565427937406</v>
      </c>
      <c r="AH35" s="96">
        <v>0.15157568909356467</v>
      </c>
      <c r="AI35" s="96">
        <v>0.15384932442996813</v>
      </c>
      <c r="AJ35" s="96">
        <v>0.15615706429641762</v>
      </c>
      <c r="AK35" s="96">
        <v>0.15849942026086386</v>
      </c>
      <c r="AL35" s="96">
        <v>0.16087691156477679</v>
      </c>
      <c r="AM35" s="96">
        <v>0.16329006523824843</v>
      </c>
      <c r="AN35" s="96">
        <v>0.16573941621682214</v>
      </c>
      <c r="AO35" s="96">
        <v>0.16822550746007445</v>
      </c>
      <c r="AP35" s="96">
        <v>0.17074889007197555</v>
      </c>
      <c r="AQ35" s="96">
        <v>0.17331012342305516</v>
      </c>
      <c r="AR35" s="96">
        <v>0.17590977527440096</v>
      </c>
      <c r="AS35" s="96">
        <v>0.17854842190351697</v>
      </c>
      <c r="AT35" s="96">
        <v>0.18122664823206971</v>
      </c>
      <c r="AU35" s="96">
        <v>0.18394504795555075</v>
      </c>
      <c r="AV35" s="96">
        <v>0.18670422367488398</v>
      </c>
      <c r="AW35" s="96">
        <v>0.18950478703000723</v>
      </c>
      <c r="AX35" s="96">
        <v>0.19234735883545731</v>
      </c>
      <c r="AY35" s="96">
        <v>0.19523256921798915</v>
      </c>
      <c r="AZ35" s="96">
        <v>0.19816105775625897</v>
      </c>
      <c r="BA35" s="96">
        <v>0.20113347362260284</v>
      </c>
      <c r="BB35" s="96">
        <v>0.20415047572694187</v>
      </c>
      <c r="BC35" s="96">
        <v>0.20721273286284597</v>
      </c>
      <c r="BD35" s="96">
        <v>0.21032092385578866</v>
      </c>
      <c r="BE35" s="96">
        <v>0.21347573771362546</v>
      </c>
      <c r="BF35" s="96">
        <v>0.21667787377932982</v>
      </c>
      <c r="BG35" s="96">
        <v>0.21992804188601975</v>
      </c>
      <c r="BH35" s="96">
        <v>0.22322696251431001</v>
      </c>
      <c r="BI35" s="96">
        <v>0.22657536695202465</v>
      </c>
      <c r="BJ35" s="96">
        <v>0.22997399745630501</v>
      </c>
      <c r="BK35" s="96">
        <v>0.23342360741814955</v>
      </c>
      <c r="BL35">
        <v>0.23692496152942177</v>
      </c>
      <c r="BM35">
        <v>0.24047883595236308</v>
      </c>
      <c r="BN35">
        <v>0.24408601849164852</v>
      </c>
      <c r="BO35">
        <v>0.24774730876902321</v>
      </c>
      <c r="BP35">
        <v>0.25146351840055853</v>
      </c>
      <c r="BQ35">
        <v>0.25523547117656686</v>
      </c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</row>
    <row r="36" spans="3:87" customFormat="1">
      <c r="C36" s="136"/>
      <c r="D36" s="136"/>
      <c r="E36" s="136"/>
    </row>
    <row r="37" spans="3:87">
      <c r="C37" s="135"/>
      <c r="D37" s="137"/>
      <c r="E37" s="136"/>
      <c r="F37"/>
      <c r="G37" s="57" t="s">
        <v>71</v>
      </c>
      <c r="H37"/>
      <c r="I37"/>
      <c r="K37" s="8"/>
      <c r="L37" s="8"/>
      <c r="M37" s="8"/>
      <c r="N37" s="8"/>
      <c r="O37" s="8"/>
      <c r="P37" s="8"/>
      <c r="Q37" s="8"/>
    </row>
    <row r="38" spans="3:87">
      <c r="C38" s="135"/>
      <c r="D38" s="137"/>
      <c r="E38" s="136"/>
      <c r="F38"/>
      <c r="G38"/>
      <c r="H38"/>
      <c r="I38"/>
      <c r="K38" s="8"/>
      <c r="L38" s="8"/>
      <c r="M38" s="8"/>
      <c r="N38" s="8"/>
      <c r="O38" s="8"/>
      <c r="P38" s="8"/>
      <c r="Q38" s="8"/>
    </row>
    <row r="39" spans="3:87" customFormat="1">
      <c r="C39" s="136"/>
      <c r="D39" s="136"/>
      <c r="E39" s="135"/>
      <c r="F39" s="6"/>
      <c r="H39" s="11" t="s">
        <v>129</v>
      </c>
      <c r="I39" s="11" t="s">
        <v>139</v>
      </c>
      <c r="J39" s="19" t="s">
        <v>63</v>
      </c>
      <c r="K39" s="19">
        <f>BaseYear</f>
        <v>2017</v>
      </c>
      <c r="L39" s="19">
        <f t="shared" ref="L39:AQ39" si="8">K39+1</f>
        <v>2018</v>
      </c>
      <c r="M39" s="19">
        <f t="shared" si="8"/>
        <v>2019</v>
      </c>
      <c r="N39" s="19">
        <f t="shared" si="8"/>
        <v>2020</v>
      </c>
      <c r="O39" s="19">
        <f t="shared" si="8"/>
        <v>2021</v>
      </c>
      <c r="P39" s="19">
        <f t="shared" si="8"/>
        <v>2022</v>
      </c>
      <c r="Q39" s="19">
        <f t="shared" si="8"/>
        <v>2023</v>
      </c>
      <c r="R39" s="19">
        <f t="shared" si="8"/>
        <v>2024</v>
      </c>
      <c r="S39" s="19">
        <f t="shared" si="8"/>
        <v>2025</v>
      </c>
      <c r="T39" s="19">
        <f t="shared" si="8"/>
        <v>2026</v>
      </c>
      <c r="U39" s="19">
        <f t="shared" si="8"/>
        <v>2027</v>
      </c>
      <c r="V39" s="19">
        <f t="shared" si="8"/>
        <v>2028</v>
      </c>
      <c r="W39" s="19">
        <f t="shared" si="8"/>
        <v>2029</v>
      </c>
      <c r="X39" s="19">
        <f t="shared" si="8"/>
        <v>2030</v>
      </c>
      <c r="Y39" s="19">
        <f t="shared" si="8"/>
        <v>2031</v>
      </c>
      <c r="Z39" s="19">
        <f t="shared" si="8"/>
        <v>2032</v>
      </c>
      <c r="AA39" s="19">
        <f t="shared" si="8"/>
        <v>2033</v>
      </c>
      <c r="AB39" s="19">
        <f t="shared" si="8"/>
        <v>2034</v>
      </c>
      <c r="AC39" s="19">
        <f t="shared" si="8"/>
        <v>2035</v>
      </c>
      <c r="AD39" s="19">
        <f t="shared" si="8"/>
        <v>2036</v>
      </c>
      <c r="AE39" s="19">
        <f t="shared" si="8"/>
        <v>2037</v>
      </c>
      <c r="AF39" s="19">
        <f t="shared" si="8"/>
        <v>2038</v>
      </c>
      <c r="AG39" s="19">
        <f t="shared" si="8"/>
        <v>2039</v>
      </c>
      <c r="AH39" s="19">
        <f t="shared" si="8"/>
        <v>2040</v>
      </c>
      <c r="AI39" s="19">
        <f t="shared" si="8"/>
        <v>2041</v>
      </c>
      <c r="AJ39" s="19">
        <f t="shared" si="8"/>
        <v>2042</v>
      </c>
      <c r="AK39" s="19">
        <f t="shared" si="8"/>
        <v>2043</v>
      </c>
      <c r="AL39" s="19">
        <f t="shared" si="8"/>
        <v>2044</v>
      </c>
      <c r="AM39" s="19">
        <f t="shared" si="8"/>
        <v>2045</v>
      </c>
      <c r="AN39" s="19">
        <f t="shared" si="8"/>
        <v>2046</v>
      </c>
      <c r="AO39" s="19">
        <f t="shared" si="8"/>
        <v>2047</v>
      </c>
      <c r="AP39" s="19">
        <f t="shared" si="8"/>
        <v>2048</v>
      </c>
      <c r="AQ39" s="19">
        <f t="shared" si="8"/>
        <v>2049</v>
      </c>
      <c r="AR39" s="19">
        <f t="shared" ref="AR39:BK39" si="9">AQ39+1</f>
        <v>2050</v>
      </c>
      <c r="AS39" s="19">
        <f t="shared" si="9"/>
        <v>2051</v>
      </c>
      <c r="AT39" s="19">
        <f t="shared" si="9"/>
        <v>2052</v>
      </c>
      <c r="AU39" s="19">
        <f t="shared" si="9"/>
        <v>2053</v>
      </c>
      <c r="AV39" s="19">
        <f t="shared" si="9"/>
        <v>2054</v>
      </c>
      <c r="AW39" s="19">
        <f t="shared" si="9"/>
        <v>2055</v>
      </c>
      <c r="AX39" s="19">
        <f t="shared" si="9"/>
        <v>2056</v>
      </c>
      <c r="AY39" s="19">
        <f t="shared" si="9"/>
        <v>2057</v>
      </c>
      <c r="AZ39" s="19">
        <f t="shared" si="9"/>
        <v>2058</v>
      </c>
      <c r="BA39" s="19">
        <f t="shared" si="9"/>
        <v>2059</v>
      </c>
      <c r="BB39" s="19">
        <f t="shared" si="9"/>
        <v>2060</v>
      </c>
      <c r="BC39" s="19">
        <f t="shared" si="9"/>
        <v>2061</v>
      </c>
      <c r="BD39" s="19">
        <f t="shared" si="9"/>
        <v>2062</v>
      </c>
      <c r="BE39" s="19">
        <f t="shared" si="9"/>
        <v>2063</v>
      </c>
      <c r="BF39" s="19">
        <f t="shared" si="9"/>
        <v>2064</v>
      </c>
      <c r="BG39" s="19">
        <f t="shared" si="9"/>
        <v>2065</v>
      </c>
      <c r="BH39" s="19">
        <f t="shared" si="9"/>
        <v>2066</v>
      </c>
      <c r="BI39" s="19">
        <f t="shared" si="9"/>
        <v>2067</v>
      </c>
      <c r="BJ39" s="19">
        <f t="shared" si="9"/>
        <v>2068</v>
      </c>
      <c r="BK39" s="19">
        <f t="shared" si="9"/>
        <v>2069</v>
      </c>
    </row>
    <row r="40" spans="3:87">
      <c r="C40" s="135"/>
      <c r="D40" s="135"/>
      <c r="E40" s="135"/>
      <c r="G40"/>
      <c r="H40" s="139"/>
      <c r="I40" s="139" t="s">
        <v>140</v>
      </c>
      <c r="J40" s="41" t="s">
        <v>28</v>
      </c>
      <c r="K40" s="71">
        <f t="shared" ref="K40:AK40" si="10">IF(K$39=BaseYear,1,J40/(1+DiscountRateTRC))</f>
        <v>1</v>
      </c>
      <c r="L40" s="71">
        <f t="shared" si="10"/>
        <v>0.91877986034546122</v>
      </c>
      <c r="M40" s="71">
        <f t="shared" si="10"/>
        <v>0.84415643177642519</v>
      </c>
      <c r="N40" s="71">
        <f t="shared" si="10"/>
        <v>0.77559392849726683</v>
      </c>
      <c r="O40" s="71">
        <f t="shared" si="10"/>
        <v>0.71260008130950647</v>
      </c>
      <c r="P40" s="71">
        <f t="shared" si="10"/>
        <v>0.65472260318771269</v>
      </c>
      <c r="Q40" s="71">
        <f t="shared" si="10"/>
        <v>0.60154594192182342</v>
      </c>
      <c r="R40" s="71">
        <f t="shared" si="10"/>
        <v>0.55268829651031182</v>
      </c>
      <c r="S40" s="71">
        <f t="shared" si="10"/>
        <v>0.50779887588231509</v>
      </c>
      <c r="T40" s="71">
        <f t="shared" si="10"/>
        <v>0.46655538026673565</v>
      </c>
      <c r="U40" s="71">
        <f t="shared" si="10"/>
        <v>0.42866168712489494</v>
      </c>
      <c r="V40" s="71">
        <f t="shared" si="10"/>
        <v>0.39384572503206078</v>
      </c>
      <c r="W40" s="71">
        <f t="shared" si="10"/>
        <v>0.36185752024261369</v>
      </c>
      <c r="X40" s="71">
        <f t="shared" si="10"/>
        <v>0.33246740191346352</v>
      </c>
      <c r="Y40" s="71">
        <f t="shared" si="10"/>
        <v>0.30546435309947034</v>
      </c>
      <c r="Z40" s="71">
        <f t="shared" si="10"/>
        <v>0.28065449568124801</v>
      </c>
      <c r="AA40" s="71">
        <f t="shared" si="10"/>
        <v>0.2578596983473429</v>
      </c>
      <c r="AB40" s="71">
        <f t="shared" si="10"/>
        <v>0.23691629763629446</v>
      </c>
      <c r="AC40" s="71">
        <f t="shared" si="10"/>
        <v>0.21767392285583834</v>
      </c>
      <c r="AD40" s="71">
        <f t="shared" si="10"/>
        <v>0.19999441644233584</v>
      </c>
      <c r="AE40" s="71">
        <f t="shared" si="10"/>
        <v>0.18375084200876132</v>
      </c>
      <c r="AF40" s="71">
        <f t="shared" si="10"/>
        <v>0.16882657295917064</v>
      </c>
      <c r="AG40" s="71">
        <f t="shared" si="10"/>
        <v>0.15511445512602962</v>
      </c>
      <c r="AH40" s="71">
        <f t="shared" si="10"/>
        <v>0.1425160374182558</v>
      </c>
      <c r="AI40" s="71">
        <f t="shared" si="10"/>
        <v>0.13094086495613358</v>
      </c>
      <c r="AJ40" s="71">
        <f t="shared" si="10"/>
        <v>0.12030582961791031</v>
      </c>
      <c r="AK40" s="71">
        <f t="shared" si="10"/>
        <v>0.11053457333508848</v>
      </c>
      <c r="AL40" s="71">
        <f t="shared" ref="AL40:BK40" si="11">IF(AL$39=BaseYear,1,AK40/(1+DiscountRateTRC))</f>
        <v>0.10155693985215773</v>
      </c>
      <c r="AM40" s="71">
        <f t="shared" si="11"/>
        <v>9.3308471014477881E-2</v>
      </c>
      <c r="AN40" s="71">
        <f t="shared" si="11"/>
        <v>8.5729943967730496E-2</v>
      </c>
      <c r="AO40" s="71">
        <f t="shared" si="11"/>
        <v>7.8766945946095637E-2</v>
      </c>
      <c r="AP40" s="71">
        <f t="shared" si="11"/>
        <v>7.2369483596192247E-2</v>
      </c>
      <c r="AQ40" s="71">
        <f t="shared" si="11"/>
        <v>6.6491624031782659E-2</v>
      </c>
      <c r="AR40" s="71">
        <f t="shared" si="11"/>
        <v>6.1091165042064181E-2</v>
      </c>
      <c r="AS40" s="71">
        <f t="shared" si="11"/>
        <v>5.6129332085689251E-2</v>
      </c>
      <c r="AT40" s="71">
        <f t="shared" si="11"/>
        <v>5.1570499894973587E-2</v>
      </c>
      <c r="AU40" s="71">
        <f t="shared" si="11"/>
        <v>4.7381936691449453E-2</v>
      </c>
      <c r="AV40" s="71">
        <f t="shared" si="11"/>
        <v>4.3533569176267412E-2</v>
      </c>
      <c r="AW40" s="71">
        <f t="shared" si="11"/>
        <v>3.9997766608110448E-2</v>
      </c>
      <c r="AX40" s="71">
        <f t="shared" si="11"/>
        <v>3.6749142418330071E-2</v>
      </c>
      <c r="AY40" s="71">
        <f t="shared" si="11"/>
        <v>3.3764371938928769E-2</v>
      </c>
      <c r="AZ40" s="71">
        <f t="shared" si="11"/>
        <v>3.1022024934701183E-2</v>
      </c>
      <c r="BA40" s="71">
        <f t="shared" si="11"/>
        <v>2.8502411737138168E-2</v>
      </c>
      <c r="BB40" s="71">
        <f t="shared" si="11"/>
        <v>2.618744187535664E-2</v>
      </c>
      <c r="BC40" s="71">
        <f t="shared" si="11"/>
        <v>2.4060494189045056E-2</v>
      </c>
      <c r="BD40" s="71">
        <f t="shared" si="11"/>
        <v>2.2106297490853598E-2</v>
      </c>
      <c r="BE40" s="71">
        <f t="shared" si="11"/>
        <v>2.0310820921401688E-2</v>
      </c>
      <c r="BF40" s="71">
        <f t="shared" si="11"/>
        <v>1.8661173209667113E-2</v>
      </c>
      <c r="BG40" s="71">
        <f t="shared" si="11"/>
        <v>1.7145510115460411E-2</v>
      </c>
      <c r="BH40" s="71">
        <f t="shared" si="11"/>
        <v>1.5752949389434411E-2</v>
      </c>
      <c r="BI40" s="71">
        <f t="shared" si="11"/>
        <v>1.4473492640053666E-2</v>
      </c>
      <c r="BJ40" s="71">
        <f t="shared" si="11"/>
        <v>1.3297953546539567E-2</v>
      </c>
      <c r="BK40" s="71">
        <f t="shared" si="11"/>
        <v>1.2217891902370054E-2</v>
      </c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</row>
    <row r="41" spans="3:87" customFormat="1">
      <c r="C41" s="136"/>
      <c r="D41" s="136"/>
      <c r="E41" s="136"/>
    </row>
    <row r="42" spans="3:87" customFormat="1">
      <c r="C42" s="136"/>
      <c r="D42" s="136"/>
      <c r="E42" s="136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</row>
    <row r="43" spans="3:87" customFormat="1">
      <c r="C43" s="136"/>
      <c r="D43" s="136"/>
      <c r="E43" s="136"/>
    </row>
    <row r="44" spans="3:87" customFormat="1">
      <c r="C44" s="136"/>
      <c r="D44" s="136"/>
      <c r="E44" s="136"/>
    </row>
    <row r="45" spans="3:87">
      <c r="C45" s="135"/>
      <c r="D45" s="135"/>
      <c r="E45" s="135"/>
    </row>
    <row r="46" spans="3:87">
      <c r="C46" s="135"/>
      <c r="D46" s="135"/>
      <c r="E46" s="135"/>
      <c r="K46" s="101"/>
      <c r="L46" s="101"/>
      <c r="M46" s="101"/>
      <c r="N46" s="101"/>
      <c r="O46" s="101"/>
    </row>
    <row r="48" spans="3:87">
      <c r="K48" s="43"/>
    </row>
    <row r="56" spans="11:17">
      <c r="K56" s="8"/>
      <c r="L56" s="8"/>
      <c r="M56" s="8"/>
      <c r="N56" s="8"/>
      <c r="O56" s="8"/>
      <c r="P56" s="8"/>
      <c r="Q56" s="8"/>
    </row>
  </sheetData>
  <mergeCells count="6">
    <mergeCell ref="C17:C20"/>
    <mergeCell ref="F4:G4"/>
    <mergeCell ref="C14:C15"/>
    <mergeCell ref="C4:D4"/>
    <mergeCell ref="C5:C8"/>
    <mergeCell ref="C10:C1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 filterMode="1">
    <tabColor theme="1"/>
    <pageSetUpPr autoPageBreaks="0"/>
  </sheetPr>
  <dimension ref="A1:AI69"/>
  <sheetViews>
    <sheetView showGridLines="0" zoomScale="85" zoomScaleNormal="85" workbookViewId="0">
      <pane xSplit="12" ySplit="6" topLeftCell="M7" activePane="bottomRight" state="frozen"/>
      <selection activeCell="K33" sqref="K33"/>
      <selection pane="topRight" activeCell="K33" sqref="K33"/>
      <selection pane="bottomLeft" activeCell="K33" sqref="K33"/>
      <selection pane="bottomRight" activeCell="I71" sqref="I71"/>
    </sheetView>
  </sheetViews>
  <sheetFormatPr defaultColWidth="88.33203125" defaultRowHeight="14.4"/>
  <cols>
    <col min="1" max="1" width="6.109375" style="354" customWidth="1"/>
    <col min="2" max="2" width="8.109375" style="354" customWidth="1"/>
    <col min="3" max="3" width="8.88671875" style="354" customWidth="1"/>
    <col min="4" max="4" width="10.44140625" style="354" customWidth="1"/>
    <col min="5" max="5" width="19.33203125" style="354" customWidth="1"/>
    <col min="6" max="6" width="11" style="354" customWidth="1"/>
    <col min="7" max="7" width="12.88671875" style="354" customWidth="1"/>
    <col min="8" max="8" width="28.44140625" style="354" bestFit="1" customWidth="1"/>
    <col min="9" max="9" width="16.109375" style="354" customWidth="1"/>
    <col min="10" max="10" width="43.5546875" style="354" customWidth="1"/>
    <col min="11" max="11" width="11.5546875" style="354" customWidth="1"/>
    <col min="12" max="12" width="10.44140625" style="354" customWidth="1"/>
    <col min="13" max="13" width="10.6640625" style="354" customWidth="1"/>
    <col min="14" max="14" width="11.88671875" style="354" customWidth="1"/>
    <col min="15" max="15" width="11.6640625" style="354" customWidth="1"/>
    <col min="16" max="17" width="12.44140625" style="354" customWidth="1"/>
    <col min="18" max="18" width="11.88671875" style="354" customWidth="1"/>
    <col min="19" max="19" width="12.6640625" style="354" customWidth="1"/>
    <col min="20" max="20" width="18.33203125" style="354" customWidth="1"/>
    <col min="21" max="22" width="11.6640625" style="354" customWidth="1"/>
    <col min="23" max="23" width="11.5546875" style="354" customWidth="1"/>
    <col min="24" max="24" width="10.6640625" style="354" customWidth="1"/>
    <col min="25" max="25" width="10" style="354" customWidth="1"/>
    <col min="26" max="26" width="8.33203125" style="354" customWidth="1"/>
    <col min="27" max="27" width="13.33203125" style="354" customWidth="1"/>
    <col min="28" max="28" width="13" style="354" bestFit="1" customWidth="1"/>
    <col min="29" max="29" width="11.6640625" style="354" bestFit="1" customWidth="1"/>
    <col min="30" max="30" width="10.33203125" style="354" bestFit="1" customWidth="1"/>
    <col min="31" max="31" width="9.33203125" style="354" bestFit="1" customWidth="1"/>
    <col min="32" max="32" width="49.88671875" style="354" bestFit="1" customWidth="1"/>
    <col min="33" max="33" width="11.88671875" style="354" customWidth="1"/>
    <col min="34" max="34" width="17.33203125" style="354" customWidth="1"/>
    <col min="35" max="35" width="16.33203125" style="354" customWidth="1"/>
    <col min="36" max="16384" width="88.33203125" style="354"/>
  </cols>
  <sheetData>
    <row r="1" spans="1:35">
      <c r="A1" s="352" t="s">
        <v>52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</row>
    <row r="2" spans="1:35">
      <c r="A2" s="355" t="str">
        <f>HYPERLINK("#'Contents'!a1","Return to Contents")</f>
        <v>Return to Contents</v>
      </c>
      <c r="C2" s="352"/>
      <c r="D2" s="352"/>
      <c r="E2" s="352"/>
      <c r="F2" s="352"/>
      <c r="H2" s="356"/>
    </row>
    <row r="3" spans="1:35" ht="33" customHeight="1">
      <c r="B3" s="357"/>
      <c r="C3" s="357"/>
      <c r="D3" s="357"/>
      <c r="E3" s="357"/>
      <c r="F3" s="357"/>
      <c r="G3" s="358"/>
      <c r="H3" s="359"/>
      <c r="I3" s="359"/>
      <c r="J3" s="359"/>
      <c r="K3" s="359"/>
      <c r="L3" s="359"/>
      <c r="M3" s="359"/>
      <c r="AB3" s="612"/>
      <c r="AC3" s="612"/>
      <c r="AD3" s="612"/>
      <c r="AE3" s="612"/>
      <c r="AF3" s="357"/>
      <c r="AG3" s="357"/>
      <c r="AH3" s="357"/>
    </row>
    <row r="4" spans="1:35" ht="14.4" customHeight="1">
      <c r="B4" s="357"/>
      <c r="C4" s="357"/>
      <c r="D4" s="357"/>
      <c r="E4" s="357"/>
      <c r="F4" s="357"/>
      <c r="G4" s="358"/>
      <c r="H4" s="359"/>
      <c r="I4" s="359"/>
      <c r="J4" s="359"/>
      <c r="K4" s="359"/>
      <c r="L4" s="359"/>
      <c r="M4" s="359"/>
      <c r="N4" s="613" t="s">
        <v>7</v>
      </c>
      <c r="O4" s="613"/>
      <c r="P4" s="613"/>
      <c r="Q4" s="614"/>
      <c r="R4" s="617" t="s">
        <v>29</v>
      </c>
      <c r="S4" s="618"/>
      <c r="T4" s="618"/>
      <c r="U4" s="618"/>
      <c r="V4" s="618"/>
      <c r="W4" s="618"/>
      <c r="X4" s="618"/>
      <c r="Y4" s="618"/>
      <c r="Z4" s="619"/>
      <c r="AA4" s="623" t="s">
        <v>196</v>
      </c>
      <c r="AB4" s="624"/>
      <c r="AC4" s="624"/>
      <c r="AD4" s="624"/>
      <c r="AE4" s="625"/>
      <c r="AF4" s="357"/>
      <c r="AG4" s="357"/>
      <c r="AH4" s="357"/>
    </row>
    <row r="5" spans="1:35" ht="14.4" customHeight="1">
      <c r="B5" s="357"/>
      <c r="C5" s="357"/>
      <c r="D5" s="357"/>
      <c r="E5" s="357"/>
      <c r="F5" s="357"/>
      <c r="G5" s="358"/>
      <c r="H5" s="359"/>
      <c r="I5" s="359"/>
      <c r="J5" s="359"/>
      <c r="K5" s="359"/>
      <c r="L5" s="359"/>
      <c r="M5" s="359"/>
      <c r="N5" s="615"/>
      <c r="O5" s="615"/>
      <c r="P5" s="615"/>
      <c r="Q5" s="616"/>
      <c r="R5" s="620"/>
      <c r="S5" s="621"/>
      <c r="T5" s="621"/>
      <c r="U5" s="621"/>
      <c r="V5" s="621"/>
      <c r="W5" s="621"/>
      <c r="X5" s="621"/>
      <c r="Y5" s="621"/>
      <c r="Z5" s="622"/>
      <c r="AA5" s="360"/>
      <c r="AB5" s="626" t="s">
        <v>103</v>
      </c>
      <c r="AC5" s="615"/>
      <c r="AD5" s="627" t="s">
        <v>104</v>
      </c>
      <c r="AE5" s="616"/>
      <c r="AF5" s="357"/>
      <c r="AG5" s="357"/>
      <c r="AH5" s="357"/>
    </row>
    <row r="6" spans="1:35" ht="67.95" customHeight="1">
      <c r="B6" s="361" t="str">
        <f>G6&amp;"_"&amp;H6&amp;"_"&amp;I6&amp;"_"&amp;J6&amp;"_"&amp;K6</f>
        <v>Sector_Program_End Use_Measure_Program Year</v>
      </c>
      <c r="C6" s="361" t="s">
        <v>42</v>
      </c>
      <c r="D6" s="361" t="s">
        <v>58</v>
      </c>
      <c r="E6" s="361" t="s">
        <v>66</v>
      </c>
      <c r="F6" s="361" t="s">
        <v>78</v>
      </c>
      <c r="G6" s="361" t="s">
        <v>3</v>
      </c>
      <c r="H6" s="361" t="s">
        <v>5</v>
      </c>
      <c r="I6" s="362" t="s">
        <v>141</v>
      </c>
      <c r="J6" s="361" t="s">
        <v>2</v>
      </c>
      <c r="K6" s="361" t="s">
        <v>57</v>
      </c>
      <c r="L6" s="361" t="s">
        <v>3394</v>
      </c>
      <c r="M6" s="363" t="s">
        <v>4</v>
      </c>
      <c r="N6" s="364" t="s">
        <v>72</v>
      </c>
      <c r="O6" s="364" t="s">
        <v>84</v>
      </c>
      <c r="P6" s="364" t="s">
        <v>65</v>
      </c>
      <c r="Q6" s="365" t="s">
        <v>156</v>
      </c>
      <c r="R6" s="366" t="s">
        <v>108</v>
      </c>
      <c r="S6" s="365" t="s">
        <v>109</v>
      </c>
      <c r="T6" s="367" t="s">
        <v>105</v>
      </c>
      <c r="U6" s="367" t="s">
        <v>110</v>
      </c>
      <c r="V6" s="365" t="s">
        <v>111</v>
      </c>
      <c r="W6" s="365" t="s">
        <v>87</v>
      </c>
      <c r="X6" s="365" t="s">
        <v>106</v>
      </c>
      <c r="Y6" s="368" t="s">
        <v>88</v>
      </c>
      <c r="Z6" s="369" t="s">
        <v>107</v>
      </c>
      <c r="AA6" s="370" t="s">
        <v>122</v>
      </c>
      <c r="AB6" s="371" t="s">
        <v>12</v>
      </c>
      <c r="AC6" s="372" t="s">
        <v>13</v>
      </c>
      <c r="AD6" s="373" t="s">
        <v>12</v>
      </c>
      <c r="AE6" s="374" t="s">
        <v>13</v>
      </c>
      <c r="AF6" s="595" t="s">
        <v>130</v>
      </c>
      <c r="AG6" s="596" t="s">
        <v>3424</v>
      </c>
      <c r="AH6" s="593" t="s">
        <v>3423</v>
      </c>
    </row>
    <row r="7" spans="1:35">
      <c r="A7" s="375"/>
      <c r="B7" s="376" t="str">
        <f t="shared" ref="B7:B27" si="0">G7&amp;"_"&amp;H7&amp;"_"&amp;I7&amp;"_"&amp;J7&amp;"_"&amp;K7&amp;"_"&amp;L7</f>
        <v>Residential_Residential Lighting_Lighting_LED_2017_Actual</v>
      </c>
      <c r="C7" s="376" t="b">
        <f>ISNUMBER(MATCH(B7,Analysis!B:B,0))</f>
        <v>1</v>
      </c>
      <c r="D7" s="377">
        <f t="shared" ref="D7:D69" si="1">ROW()-ROW($D$6)</f>
        <v>1</v>
      </c>
      <c r="E7" s="376" t="b">
        <f>COUNTIF($B$7:B7,B7)=1</f>
        <v>1</v>
      </c>
      <c r="F7" s="376" t="b">
        <v>1</v>
      </c>
      <c r="G7" s="378" t="s">
        <v>1</v>
      </c>
      <c r="H7" s="378" t="s">
        <v>145</v>
      </c>
      <c r="I7" s="379" t="s">
        <v>86</v>
      </c>
      <c r="J7" s="379" t="s">
        <v>151</v>
      </c>
      <c r="K7" s="379">
        <v>2017</v>
      </c>
      <c r="L7" s="379" t="s">
        <v>167</v>
      </c>
      <c r="M7" s="380">
        <f ca="1">INDEX(Analysis!$HB:$HB,MATCH($B7,Analysis!$B:$B,0))</f>
        <v>1.2995598403365667</v>
      </c>
      <c r="N7" s="381">
        <f>IFERROR(INDEX('VDSM to BenCost Inputs'!$G:$G,MATCH($B7,'VDSM to BenCost Inputs'!$A:$A,0)),0)</f>
        <v>1147</v>
      </c>
      <c r="O7" s="382" t="s">
        <v>14</v>
      </c>
      <c r="P7" s="383">
        <f ca="1">INDEX(OFFSET('Program Inputs'!$K$8,,,TotalPrograms),MATCH(SUBSTITUTE($B7,I7&amp;"_"&amp;J7,"*"),OFFSET('Program Inputs'!$B$8,,,TotalPrograms),0))</f>
        <v>1</v>
      </c>
      <c r="Q7" s="383">
        <f t="shared" ref="Q7:Q69" ca="1" si="2">IF($F7,N7*P7,0)</f>
        <v>1147</v>
      </c>
      <c r="R7" s="384">
        <f>INDEX('Plan Data'!$L:$L,MATCH(SUBSTITUTE($B7,$L7,"Plan"),'Plan Data'!$B:$B,0))</f>
        <v>10</v>
      </c>
      <c r="S7" s="385">
        <f>INDEX('Plan Data'!$M:$M,MATCH(SUBSTITUTE($B7,$L7,"Plan"),'Plan Data'!$B:$B,0))</f>
        <v>0</v>
      </c>
      <c r="T7" s="386">
        <f>INDEX('Plan Data'!$R:$R,MATCH(SUBSTITUTE($B7,$L7,"Plan"),'Plan Data'!$B:$B,0))</f>
        <v>10</v>
      </c>
      <c r="U7" s="387">
        <f>INDEX('Plan Data'!$S:$S,MATCH(SUBSTITUTE($B7,$L7,"Plan"),'Plan Data'!$B:$B,0))</f>
        <v>0</v>
      </c>
      <c r="V7" s="387"/>
      <c r="W7" s="387"/>
      <c r="X7" s="387">
        <f>IFERROR(IFERROR(INDEX('VDSM to BenCost Inputs'!$H:$H,MATCH($B7,'VDSM to BenCost Inputs'!$A:$A,0)),0)/$N7,0)</f>
        <v>3.9162224934612029</v>
      </c>
      <c r="Y7" s="388">
        <v>1</v>
      </c>
      <c r="Z7" s="389">
        <v>1</v>
      </c>
      <c r="AA7" s="390"/>
      <c r="AB7" s="391">
        <v>38.317299999999996</v>
      </c>
      <c r="AC7" s="392">
        <v>4.5052799999999995E-3</v>
      </c>
      <c r="AD7" s="393">
        <v>0</v>
      </c>
      <c r="AE7" s="394">
        <v>0</v>
      </c>
      <c r="AF7" s="591" t="s">
        <v>3422</v>
      </c>
      <c r="AG7" s="591"/>
      <c r="AH7" s="591"/>
      <c r="AI7" s="396">
        <f t="shared" ref="AI7:AI69" ca="1" si="3">AB7*Q7</f>
        <v>43949.943099999997</v>
      </c>
    </row>
    <row r="8" spans="1:35">
      <c r="A8" s="375"/>
      <c r="B8" s="376" t="str">
        <f t="shared" si="0"/>
        <v>Residential_Residential Lighting_Lighting_ENERGY STAR Fixture_2017_Actual</v>
      </c>
      <c r="C8" s="376" t="b">
        <f>ISNUMBER(MATCH(B8,Analysis!B:B,0))</f>
        <v>1</v>
      </c>
      <c r="D8" s="377">
        <f t="shared" si="1"/>
        <v>2</v>
      </c>
      <c r="E8" s="376" t="b">
        <f>COUNTIF($B$7:B8,B8)=1</f>
        <v>1</v>
      </c>
      <c r="F8" s="376" t="b">
        <v>1</v>
      </c>
      <c r="G8" s="378" t="s">
        <v>1</v>
      </c>
      <c r="H8" s="378" t="s">
        <v>145</v>
      </c>
      <c r="I8" s="379" t="s">
        <v>86</v>
      </c>
      <c r="J8" s="379" t="s">
        <v>201</v>
      </c>
      <c r="K8" s="379">
        <v>2017</v>
      </c>
      <c r="L8" s="379" t="s">
        <v>167</v>
      </c>
      <c r="M8" s="380">
        <f ca="1">INDEX(Analysis!$HB:$HB,MATCH($B8,Analysis!$B:$B,0))</f>
        <v>1.6415492720040845</v>
      </c>
      <c r="N8" s="381">
        <f>IFERROR(INDEX('VDSM to BenCost Inputs'!$G:$G,MATCH($B8,'VDSM to BenCost Inputs'!$A:$A,0)),0)</f>
        <v>391</v>
      </c>
      <c r="O8" s="382" t="s">
        <v>14</v>
      </c>
      <c r="P8" s="383">
        <f ca="1">INDEX(OFFSET('Program Inputs'!$K$8,,,TotalPrograms),MATCH(SUBSTITUTE($B8,I8&amp;"_"&amp;J8,"*"),OFFSET('Program Inputs'!$B$8,,,TotalPrograms),0))</f>
        <v>1</v>
      </c>
      <c r="Q8" s="383">
        <f t="shared" ca="1" si="2"/>
        <v>391</v>
      </c>
      <c r="R8" s="384">
        <f>INDEX('Plan Data'!$L:$L,MATCH(SUBSTITUTE($B8,$L8,"Plan"),'Plan Data'!$B:$B,0))</f>
        <v>9.4</v>
      </c>
      <c r="S8" s="385">
        <f>INDEX('Plan Data'!$M:$M,MATCH(SUBSTITUTE($B8,$L8,"Plan"),'Plan Data'!$B:$B,0))</f>
        <v>0</v>
      </c>
      <c r="T8" s="386">
        <f>INDEX('Plan Data'!$R:$R,MATCH(SUBSTITUTE($B8,$L8,"Plan"),'Plan Data'!$B:$B,0))</f>
        <v>15</v>
      </c>
      <c r="U8" s="387">
        <f>INDEX('Plan Data'!$S:$S,MATCH(SUBSTITUTE($B8,$L8,"Plan"),'Plan Data'!$B:$B,0))</f>
        <v>0</v>
      </c>
      <c r="V8" s="387"/>
      <c r="W8" s="387"/>
      <c r="X8" s="387">
        <f>IFERROR(IFERROR(INDEX('VDSM to BenCost Inputs'!$H:$H,MATCH($B8,'VDSM to BenCost Inputs'!$A:$A,0)),0)/$N8,0)</f>
        <v>9.3048337595907924</v>
      </c>
      <c r="Y8" s="388">
        <v>1</v>
      </c>
      <c r="Z8" s="389">
        <v>1</v>
      </c>
      <c r="AA8" s="390"/>
      <c r="AB8" s="391">
        <v>72.601199999999992</v>
      </c>
      <c r="AC8" s="392">
        <v>8.53632E-3</v>
      </c>
      <c r="AD8" s="393">
        <v>0</v>
      </c>
      <c r="AE8" s="394">
        <v>0</v>
      </c>
      <c r="AF8" s="591" t="s">
        <v>3422</v>
      </c>
      <c r="AG8" s="395"/>
      <c r="AH8" s="395"/>
      <c r="AI8" s="396">
        <f t="shared" ca="1" si="3"/>
        <v>28387.069199999998</v>
      </c>
    </row>
    <row r="9" spans="1:35" hidden="1">
      <c r="A9" s="375"/>
      <c r="B9" s="376" t="str">
        <f t="shared" si="0"/>
        <v>Residential_Residential Lighting_Lighting_Advanced Power Strip_2017_Actual</v>
      </c>
      <c r="C9" s="376" t="b">
        <f>ISNUMBER(MATCH(B9,Analysis!B:B,0))</f>
        <v>1</v>
      </c>
      <c r="D9" s="377">
        <f t="shared" si="1"/>
        <v>3</v>
      </c>
      <c r="E9" s="376" t="b">
        <f>COUNTIF($B$7:B9,B9)=1</f>
        <v>1</v>
      </c>
      <c r="F9" s="376" t="b">
        <v>1</v>
      </c>
      <c r="G9" s="378" t="s">
        <v>1</v>
      </c>
      <c r="H9" s="378" t="s">
        <v>145</v>
      </c>
      <c r="I9" s="379" t="s">
        <v>86</v>
      </c>
      <c r="J9" s="379" t="s">
        <v>202</v>
      </c>
      <c r="K9" s="379">
        <v>2017</v>
      </c>
      <c r="L9" s="379" t="s">
        <v>167</v>
      </c>
      <c r="M9" s="380" t="str">
        <f ca="1">INDEX(Analysis!$HB:$HB,MATCH($B9,Analysis!$B:$B,0))</f>
        <v>n/a</v>
      </c>
      <c r="N9" s="381">
        <f>IFERROR(INDEX('VDSM to BenCost Inputs'!$G:$G,MATCH($B9,'VDSM to BenCost Inputs'!$A:$A,0)),0)</f>
        <v>0</v>
      </c>
      <c r="O9" s="382" t="s">
        <v>14</v>
      </c>
      <c r="P9" s="383">
        <f ca="1">INDEX(OFFSET('Program Inputs'!$K$8,,,TotalPrograms),MATCH(SUBSTITUTE($B9,I9&amp;"_"&amp;J9,"*"),OFFSET('Program Inputs'!$B$8,,,TotalPrograms),0))</f>
        <v>1</v>
      </c>
      <c r="Q9" s="383">
        <f t="shared" ca="1" si="2"/>
        <v>0</v>
      </c>
      <c r="R9" s="384">
        <f>INDEX('Plan Data'!$L:$L,MATCH(SUBSTITUTE($B9,$L9,"Plan"),'Plan Data'!$B:$B,0))</f>
        <v>10</v>
      </c>
      <c r="S9" s="385">
        <f>INDEX('Plan Data'!$M:$M,MATCH(SUBSTITUTE($B9,$L9,"Plan"),'Plan Data'!$B:$B,0))</f>
        <v>0</v>
      </c>
      <c r="T9" s="386">
        <f>INDEX('Plan Data'!$R:$R,MATCH(SUBSTITUTE($B9,$L9,"Plan"),'Plan Data'!$B:$B,0))</f>
        <v>20</v>
      </c>
      <c r="U9" s="387">
        <f>INDEX('Plan Data'!$S:$S,MATCH(SUBSTITUTE($B9,$L9,"Plan"),'Plan Data'!$B:$B,0))</f>
        <v>0</v>
      </c>
      <c r="V9" s="387"/>
      <c r="W9" s="387"/>
      <c r="X9" s="387">
        <f>IFERROR(IFERROR(INDEX('VDSM to BenCost Inputs'!$H:$H,MATCH($B9,'VDSM to BenCost Inputs'!$A:$A,0)),0)/$N9,0)</f>
        <v>0</v>
      </c>
      <c r="Y9" s="388">
        <v>1</v>
      </c>
      <c r="Z9" s="389">
        <v>1</v>
      </c>
      <c r="AA9" s="390"/>
      <c r="AB9" s="391">
        <f>IFERROR(IFERROR(INDEX('VDSM to BenCost Inputs'!$I:$I,MATCH($B9,'VDSM to BenCost Inputs'!$A:$A,0)),0)/$N9,0)</f>
        <v>0</v>
      </c>
      <c r="AC9" s="392">
        <f>IFERROR(IFERROR(INDEX('VDSM to BenCost Inputs'!$J:$J,MATCH($B9,'VDSM to BenCost Inputs'!$A:$A,0)),0)/$N9,0)</f>
        <v>0</v>
      </c>
      <c r="AD9" s="393">
        <v>0</v>
      </c>
      <c r="AE9" s="394">
        <v>0</v>
      </c>
      <c r="AF9" s="591"/>
      <c r="AG9" s="395"/>
      <c r="AH9" s="395"/>
      <c r="AI9" s="396">
        <f t="shared" ca="1" si="3"/>
        <v>0</v>
      </c>
    </row>
    <row r="10" spans="1:35">
      <c r="A10" s="375"/>
      <c r="B10" s="376" t="str">
        <f t="shared" si="0"/>
        <v>Residential_Appliance Recycling_Appliance Recycling_Refrigerator Recycle_2017_Actual</v>
      </c>
      <c r="C10" s="376" t="b">
        <f>ISNUMBER(MATCH(B10,Analysis!B:B,0))</f>
        <v>1</v>
      </c>
      <c r="D10" s="377">
        <f t="shared" si="1"/>
        <v>4</v>
      </c>
      <c r="E10" s="376" t="b">
        <f>COUNTIF($B$7:B10,B10)=1</f>
        <v>1</v>
      </c>
      <c r="F10" s="376" t="b">
        <v>1</v>
      </c>
      <c r="G10" s="378" t="s">
        <v>1</v>
      </c>
      <c r="H10" s="378" t="s">
        <v>203</v>
      </c>
      <c r="I10" s="379" t="s">
        <v>203</v>
      </c>
      <c r="J10" s="379" t="s">
        <v>148</v>
      </c>
      <c r="K10" s="379">
        <v>2017</v>
      </c>
      <c r="L10" s="379" t="s">
        <v>167</v>
      </c>
      <c r="M10" s="380">
        <f ca="1">INDEX(Analysis!$HB:$HB,MATCH($B10,Analysis!$B:$B,0))</f>
        <v>3.9983018034599134</v>
      </c>
      <c r="N10" s="381">
        <f>IFERROR(INDEX('VDSM to BenCost Inputs'!$G:$G,MATCH($B10,'VDSM to BenCost Inputs'!$A:$A,0)),0)</f>
        <v>37</v>
      </c>
      <c r="O10" s="382" t="s">
        <v>14</v>
      </c>
      <c r="P10" s="383">
        <f ca="1">INDEX(OFFSET('Program Inputs'!$K$8,,,TotalPrograms),MATCH(SUBSTITUTE($B10,I10&amp;"_"&amp;J10,"*"),OFFSET('Program Inputs'!$B$8,,,TotalPrograms),0))</f>
        <v>1</v>
      </c>
      <c r="Q10" s="383">
        <f t="shared" ca="1" si="2"/>
        <v>37</v>
      </c>
      <c r="R10" s="384">
        <f>INDEX('Plan Data'!$L:$L,MATCH(SUBSTITUTE($B10,$L10,"Plan"),'Plan Data'!$B:$B,0))</f>
        <v>8</v>
      </c>
      <c r="S10" s="385">
        <f>INDEX('Plan Data'!$M:$M,MATCH(SUBSTITUTE($B10,$L10,"Plan"),'Plan Data'!$B:$B,0))</f>
        <v>0</v>
      </c>
      <c r="T10" s="386">
        <f>INDEX('Plan Data'!$R:$R,MATCH(SUBSTITUTE($B10,$L10,"Plan"),'Plan Data'!$B:$B,0))</f>
        <v>93</v>
      </c>
      <c r="U10" s="387">
        <f>INDEX('Plan Data'!$S:$S,MATCH(SUBSTITUTE($B10,$L10,"Plan"),'Plan Data'!$B:$B,0))</f>
        <v>0</v>
      </c>
      <c r="V10" s="387"/>
      <c r="W10" s="387"/>
      <c r="X10" s="387">
        <f>IFERROR(IFERROR(INDEX('VDSM to BenCost Inputs'!$H:$H,MATCH($B10,'VDSM to BenCost Inputs'!$A:$A,0)),0)/$N10,0)</f>
        <v>50</v>
      </c>
      <c r="Y10" s="388">
        <v>1</v>
      </c>
      <c r="Z10" s="389">
        <v>1</v>
      </c>
      <c r="AA10" s="390"/>
      <c r="AB10" s="391">
        <f>IFERROR(IFERROR(INDEX('VDSM to BenCost Inputs'!$I:$I,MATCH($B10,'VDSM to BenCost Inputs'!$A:$A,0)),0)/$N10,0)</f>
        <v>1289</v>
      </c>
      <c r="AC10" s="392">
        <f>IFERROR(IFERROR(INDEX('VDSM to BenCost Inputs'!$J:$J,MATCH($B10,'VDSM to BenCost Inputs'!$A:$A,0)),0)/$N10,0)</f>
        <v>0.14699999999999996</v>
      </c>
      <c r="AD10" s="393">
        <v>0</v>
      </c>
      <c r="AE10" s="394">
        <v>0</v>
      </c>
      <c r="AF10" s="591" t="s">
        <v>3385</v>
      </c>
      <c r="AG10" s="597">
        <v>1289</v>
      </c>
      <c r="AH10" s="594">
        <f>IFERROR(AB10/AG10-1,"")</f>
        <v>0</v>
      </c>
      <c r="AI10" s="396">
        <f t="shared" ca="1" si="3"/>
        <v>47693</v>
      </c>
    </row>
    <row r="11" spans="1:35" hidden="1">
      <c r="A11" s="375"/>
      <c r="B11" s="376" t="str">
        <f t="shared" si="0"/>
        <v>Residential_Appliance Recycling_Appliance Recycling_Recycle and Replace - ENERGY STAR Refrigerator_2017_Actual</v>
      </c>
      <c r="C11" s="376" t="b">
        <f>ISNUMBER(MATCH(B11,Analysis!B:B,0))</f>
        <v>1</v>
      </c>
      <c r="D11" s="377">
        <f t="shared" si="1"/>
        <v>5</v>
      </c>
      <c r="E11" s="376" t="b">
        <f>COUNTIF($B$7:B11,B11)=1</f>
        <v>1</v>
      </c>
      <c r="F11" s="376" t="b">
        <v>1</v>
      </c>
      <c r="G11" s="378" t="s">
        <v>1</v>
      </c>
      <c r="H11" s="378" t="s">
        <v>203</v>
      </c>
      <c r="I11" s="379" t="s">
        <v>203</v>
      </c>
      <c r="J11" s="379" t="s">
        <v>204</v>
      </c>
      <c r="K11" s="379">
        <v>2017</v>
      </c>
      <c r="L11" s="379" t="s">
        <v>167</v>
      </c>
      <c r="M11" s="380" t="str">
        <f ca="1">INDEX(Analysis!$HB:$HB,MATCH($B11,Analysis!$B:$B,0))</f>
        <v>n/a</v>
      </c>
      <c r="N11" s="381">
        <f>IFERROR(INDEX('VDSM to BenCost Inputs'!$G:$G,MATCH($B11,'VDSM to BenCost Inputs'!$A:$A,0)),0)</f>
        <v>0</v>
      </c>
      <c r="O11" s="382" t="s">
        <v>14</v>
      </c>
      <c r="P11" s="383">
        <f ca="1">INDEX(OFFSET('Program Inputs'!$K$8,,,TotalPrograms),MATCH(SUBSTITUTE($B11,I11&amp;"_"&amp;J11,"*"),OFFSET('Program Inputs'!$B$8,,,TotalPrograms),0))</f>
        <v>1</v>
      </c>
      <c r="Q11" s="383">
        <f t="shared" ca="1" si="2"/>
        <v>0</v>
      </c>
      <c r="R11" s="384">
        <v>0</v>
      </c>
      <c r="S11" s="385">
        <v>0</v>
      </c>
      <c r="T11" s="386">
        <v>0</v>
      </c>
      <c r="U11" s="387">
        <v>0</v>
      </c>
      <c r="V11" s="387"/>
      <c r="W11" s="387"/>
      <c r="X11" s="387">
        <f>IFERROR(IFERROR(INDEX('VDSM to BenCost Inputs'!$H:$H,MATCH($B11,'VDSM to BenCost Inputs'!$A:$A,0)),0)/$N11,0)</f>
        <v>0</v>
      </c>
      <c r="Y11" s="388">
        <v>1</v>
      </c>
      <c r="Z11" s="389">
        <v>1</v>
      </c>
      <c r="AA11" s="390"/>
      <c r="AB11" s="391">
        <f>IFERROR(IFERROR(INDEX('VDSM to BenCost Inputs'!$I:$I,MATCH($B11,'VDSM to BenCost Inputs'!$A:$A,0)),0)/$N11,0)</f>
        <v>0</v>
      </c>
      <c r="AC11" s="392">
        <f>IFERROR(IFERROR(INDEX('VDSM to BenCost Inputs'!$J:$J,MATCH($B11,'VDSM to BenCost Inputs'!$A:$A,0)),0)/$N11,0)</f>
        <v>0</v>
      </c>
      <c r="AD11" s="393">
        <v>0</v>
      </c>
      <c r="AE11" s="394">
        <v>0</v>
      </c>
      <c r="AF11" s="591"/>
      <c r="AG11" s="395"/>
      <c r="AH11" s="594" t="str">
        <f t="shared" ref="AH11:AH69" si="4">IFERROR(AB11/AG11-1,"")</f>
        <v/>
      </c>
      <c r="AI11" s="396">
        <f t="shared" ca="1" si="3"/>
        <v>0</v>
      </c>
    </row>
    <row r="12" spans="1:35">
      <c r="A12" s="375"/>
      <c r="B12" s="376" t="str">
        <f t="shared" si="0"/>
        <v>Residential_Appliance Recycling_Appliance Recycling_Freezer Recycle_2017_Actual</v>
      </c>
      <c r="C12" s="376" t="b">
        <f>ISNUMBER(MATCH(B12,Analysis!B:B,0))</f>
        <v>1</v>
      </c>
      <c r="D12" s="377">
        <f t="shared" si="1"/>
        <v>6</v>
      </c>
      <c r="E12" s="376" t="b">
        <f>COUNTIF($B$7:B12,B12)=1</f>
        <v>1</v>
      </c>
      <c r="F12" s="376" t="b">
        <v>1</v>
      </c>
      <c r="G12" s="378" t="s">
        <v>1</v>
      </c>
      <c r="H12" s="378" t="s">
        <v>203</v>
      </c>
      <c r="I12" s="379" t="s">
        <v>203</v>
      </c>
      <c r="J12" s="379" t="s">
        <v>154</v>
      </c>
      <c r="K12" s="379">
        <v>2017</v>
      </c>
      <c r="L12" s="379" t="s">
        <v>167</v>
      </c>
      <c r="M12" s="380">
        <f ca="1">INDEX(Analysis!$HB:$HB,MATCH($B12,Analysis!$B:$B,0))</f>
        <v>3.4275407297048837</v>
      </c>
      <c r="N12" s="381">
        <f>IFERROR(INDEX('VDSM to BenCost Inputs'!$G:$G,MATCH($B12,'VDSM to BenCost Inputs'!$A:$A,0)),0)</f>
        <v>7</v>
      </c>
      <c r="O12" s="382" t="s">
        <v>14</v>
      </c>
      <c r="P12" s="383">
        <f ca="1">INDEX(OFFSET('Program Inputs'!$K$8,,,TotalPrograms),MATCH(SUBSTITUTE($B12,I12&amp;"_"&amp;J12,"*"),OFFSET('Program Inputs'!$B$8,,,TotalPrograms),0))</f>
        <v>1</v>
      </c>
      <c r="Q12" s="383">
        <f t="shared" ca="1" si="2"/>
        <v>7</v>
      </c>
      <c r="R12" s="384">
        <f>INDEX('Plan Data'!$L:$L,MATCH(SUBSTITUTE($B12,$L12,"Plan"),'Plan Data'!$B:$B,0))</f>
        <v>8</v>
      </c>
      <c r="S12" s="385">
        <f>INDEX('Plan Data'!$M:$M,MATCH(SUBSTITUTE($B12,$L12,"Plan"),'Plan Data'!$B:$B,0))</f>
        <v>0</v>
      </c>
      <c r="T12" s="386">
        <f>INDEX('Plan Data'!$R:$R,MATCH(SUBSTITUTE($B12,$L12,"Plan"),'Plan Data'!$B:$B,0))</f>
        <v>93</v>
      </c>
      <c r="U12" s="387">
        <f>INDEX('Plan Data'!$S:$S,MATCH(SUBSTITUTE($B12,$L12,"Plan"),'Plan Data'!$B:$B,0))</f>
        <v>0</v>
      </c>
      <c r="V12" s="387"/>
      <c r="W12" s="387"/>
      <c r="X12" s="387">
        <f>IFERROR(IFERROR(INDEX('VDSM to BenCost Inputs'!$H:$H,MATCH($B12,'VDSM to BenCost Inputs'!$A:$A,0)),0)/$N12,0)</f>
        <v>50</v>
      </c>
      <c r="Y12" s="388">
        <v>1</v>
      </c>
      <c r="Z12" s="389">
        <v>1</v>
      </c>
      <c r="AA12" s="390"/>
      <c r="AB12" s="391">
        <f>IFERROR(IFERROR(INDEX('VDSM to BenCost Inputs'!$I:$I,MATCH($B12,'VDSM to BenCost Inputs'!$A:$A,0)),0)/$N12,0)</f>
        <v>1105</v>
      </c>
      <c r="AC12" s="392">
        <f>IFERROR(IFERROR(INDEX('VDSM to BenCost Inputs'!$J:$J,MATCH($B12,'VDSM to BenCost Inputs'!$A:$A,0)),0)/$N12,0)</f>
        <v>0.126</v>
      </c>
      <c r="AD12" s="393">
        <v>0</v>
      </c>
      <c r="AE12" s="394">
        <v>0</v>
      </c>
      <c r="AF12" s="591" t="s">
        <v>3385</v>
      </c>
      <c r="AG12" s="597">
        <v>1105</v>
      </c>
      <c r="AH12" s="594">
        <f t="shared" si="4"/>
        <v>0</v>
      </c>
      <c r="AI12" s="396">
        <f t="shared" ca="1" si="3"/>
        <v>7735</v>
      </c>
    </row>
    <row r="13" spans="1:35">
      <c r="A13" s="375"/>
      <c r="B13" s="376" t="str">
        <f t="shared" si="0"/>
        <v>Residential_High Efficiency HVAC_HVAC_Heat Pump SEER 15_2017_Actual</v>
      </c>
      <c r="C13" s="376" t="b">
        <f>ISNUMBER(MATCH(B13,Analysis!B:B,0))</f>
        <v>1</v>
      </c>
      <c r="D13" s="377">
        <f t="shared" si="1"/>
        <v>7</v>
      </c>
      <c r="E13" s="376" t="b">
        <f>COUNTIF($B$7:B13,B13)=1</f>
        <v>1</v>
      </c>
      <c r="F13" s="376" t="b">
        <v>1</v>
      </c>
      <c r="G13" s="378" t="s">
        <v>1</v>
      </c>
      <c r="H13" s="378" t="s">
        <v>205</v>
      </c>
      <c r="I13" s="379" t="s">
        <v>85</v>
      </c>
      <c r="J13" s="379" t="s">
        <v>206</v>
      </c>
      <c r="K13" s="379">
        <v>2017</v>
      </c>
      <c r="L13" s="379" t="s">
        <v>167</v>
      </c>
      <c r="M13" s="380">
        <f ca="1">INDEX(Analysis!$HB:$HB,MATCH($B13,Analysis!$B:$B,0))</f>
        <v>1.7843673816714578</v>
      </c>
      <c r="N13" s="381">
        <f>IFERROR(INDEX('VDSM to BenCost Inputs'!$G:$G,MATCH($B13,'VDSM to BenCost Inputs'!$A:$A,0)),0)</f>
        <v>8</v>
      </c>
      <c r="O13" s="382" t="s">
        <v>14</v>
      </c>
      <c r="P13" s="383">
        <f ca="1">INDEX(OFFSET('Program Inputs'!$K$8,,,TotalPrograms),MATCH(SUBSTITUTE($B13,I13&amp;"_"&amp;J13,"*"),OFFSET('Program Inputs'!$B$8,,,TotalPrograms),0))</f>
        <v>1</v>
      </c>
      <c r="Q13" s="383">
        <f t="shared" ca="1" si="2"/>
        <v>8</v>
      </c>
      <c r="R13" s="384">
        <f>INDEX('Plan Data'!$L:$L,MATCH(SUBSTITUTE($B13,$L13,"Plan"),'Plan Data'!$B:$B,0))</f>
        <v>18</v>
      </c>
      <c r="S13" s="385">
        <f>INDEX('Plan Data'!$M:$M,MATCH(SUBSTITUTE($B13,$L13,"Plan"),'Plan Data'!$B:$B,0))</f>
        <v>0</v>
      </c>
      <c r="T13" s="386">
        <f>INDEX('Plan Data'!$R:$R,MATCH(SUBSTITUTE($B13,$L13,"Plan"),'Plan Data'!$B:$B,0))</f>
        <v>293.80824805778059</v>
      </c>
      <c r="U13" s="387">
        <f>INDEX('Plan Data'!$S:$S,MATCH(SUBSTITUTE($B13,$L13,"Plan"),'Plan Data'!$B:$B,0))</f>
        <v>0</v>
      </c>
      <c r="V13" s="387"/>
      <c r="W13" s="387"/>
      <c r="X13" s="387">
        <f>IFERROR(IFERROR(INDEX('VDSM to BenCost Inputs'!$H:$H,MATCH($B13,'VDSM to BenCost Inputs'!$A:$A,0)),0)/$N13,0)</f>
        <v>201.5625</v>
      </c>
      <c r="Y13" s="388">
        <v>1</v>
      </c>
      <c r="Z13" s="389">
        <v>1</v>
      </c>
      <c r="AA13" s="390"/>
      <c r="AB13" s="391">
        <f>IFERROR(IFERROR(INDEX('VDSM to BenCost Inputs'!$I:$I,MATCH($B13,'VDSM to BenCost Inputs'!$A:$A,0)),0)/$N13,0)</f>
        <v>901.38850000000002</v>
      </c>
      <c r="AC13" s="392">
        <f>IFERROR(IFERROR(INDEX('VDSM to BenCost Inputs'!$J:$J,MATCH($B13,'VDSM to BenCost Inputs'!$A:$A,0)),0)/$N13,0)</f>
        <v>0.61787499999999995</v>
      </c>
      <c r="AD13" s="393">
        <v>0</v>
      </c>
      <c r="AE13" s="394">
        <v>0</v>
      </c>
      <c r="AF13" s="591" t="s">
        <v>3425</v>
      </c>
      <c r="AG13" s="597">
        <v>478.80491904078809</v>
      </c>
      <c r="AH13" s="594">
        <f t="shared" si="4"/>
        <v>0.88257986531507027</v>
      </c>
      <c r="AI13" s="396">
        <f t="shared" ca="1" si="3"/>
        <v>7211.1080000000002</v>
      </c>
    </row>
    <row r="14" spans="1:35">
      <c r="A14" s="375"/>
      <c r="B14" s="376" t="str">
        <f t="shared" si="0"/>
        <v>Residential_High Efficiency HVAC_HVAC_Early Retirement Heat Pump SEER 15_2017_Actual</v>
      </c>
      <c r="C14" s="376" t="b">
        <f>ISNUMBER(MATCH(B14,Analysis!B:B,0))</f>
        <v>1</v>
      </c>
      <c r="D14" s="377">
        <f t="shared" si="1"/>
        <v>8</v>
      </c>
      <c r="E14" s="376" t="b">
        <f>COUNTIF($B$7:B14,B14)=1</f>
        <v>1</v>
      </c>
      <c r="F14" s="376" t="b">
        <v>1</v>
      </c>
      <c r="G14" s="378" t="s">
        <v>1</v>
      </c>
      <c r="H14" s="378" t="s">
        <v>205</v>
      </c>
      <c r="I14" s="379" t="s">
        <v>85</v>
      </c>
      <c r="J14" s="379" t="s">
        <v>207</v>
      </c>
      <c r="K14" s="379">
        <v>2017</v>
      </c>
      <c r="L14" s="379" t="s">
        <v>167</v>
      </c>
      <c r="M14" s="380">
        <f ca="1">INDEX(Analysis!$HB:$HB,MATCH($B14,Analysis!$B:$B,0))</f>
        <v>0.68280197911564522</v>
      </c>
      <c r="N14" s="381">
        <f>IFERROR(INDEX('VDSM to BenCost Inputs'!$G:$G,MATCH($B14,'VDSM to BenCost Inputs'!$A:$A,0)),0)</f>
        <v>9</v>
      </c>
      <c r="O14" s="382" t="s">
        <v>14</v>
      </c>
      <c r="P14" s="383">
        <f ca="1">INDEX(OFFSET('Program Inputs'!$K$8,,,TotalPrograms),MATCH(SUBSTITUTE($B14,I14&amp;"_"&amp;J14,"*"),OFFSET('Program Inputs'!$B$8,,,TotalPrograms),0))</f>
        <v>1</v>
      </c>
      <c r="Q14" s="383">
        <f t="shared" ca="1" si="2"/>
        <v>9</v>
      </c>
      <c r="R14" s="384">
        <f>INDEX('Plan Data'!$L:$L,MATCH(SUBSTITUTE($B14,$L14,"Plan"),'Plan Data'!$B:$B,0))</f>
        <v>18</v>
      </c>
      <c r="S14" s="385">
        <f>INDEX('Plan Data'!$M:$M,MATCH(SUBSTITUTE($B14,$L14,"Plan"),'Plan Data'!$B:$B,0))</f>
        <v>8</v>
      </c>
      <c r="T14" s="386">
        <f>INDEX('Plan Data'!$R:$R,MATCH(SUBSTITUTE($B14,$L14,"Plan"),'Plan Data'!$B:$B,0))</f>
        <v>2480.1501390380126</v>
      </c>
      <c r="U14" s="387">
        <f>INDEX('Plan Data'!$S:$S,MATCH(SUBSTITUTE($B14,$L14,"Plan"),'Plan Data'!$B:$B,0))</f>
        <v>2186.3418909802322</v>
      </c>
      <c r="V14" s="387"/>
      <c r="W14" s="387"/>
      <c r="X14" s="387">
        <f>IFERROR(IFERROR(INDEX('VDSM to BenCost Inputs'!$H:$H,MATCH($B14,'VDSM to BenCost Inputs'!$A:$A,0)),0)/$N14,0)</f>
        <v>677.77777777777783</v>
      </c>
      <c r="Y14" s="388">
        <v>1</v>
      </c>
      <c r="Z14" s="389">
        <v>1</v>
      </c>
      <c r="AA14" s="390"/>
      <c r="AB14" s="391">
        <f>IFERROR(IFERROR(INDEX('VDSM to BenCost Inputs'!$I:$I,MATCH($B14,'VDSM to BenCost Inputs'!$A:$A,0)),0)/$N14,0)</f>
        <v>4727.4153333333334</v>
      </c>
      <c r="AC14" s="392">
        <f>IFERROR(IFERROR(INDEX('VDSM to BenCost Inputs'!$J:$J,MATCH($B14,'VDSM to BenCost Inputs'!$A:$A,0)),0)/$N14,0)</f>
        <v>2.5222222222222226</v>
      </c>
      <c r="AD14" s="393">
        <v>478.80491904078809</v>
      </c>
      <c r="AE14" s="394">
        <v>0.49290935176731493</v>
      </c>
      <c r="AF14" s="591" t="s">
        <v>3425</v>
      </c>
      <c r="AG14" s="597">
        <v>3288.776470588236</v>
      </c>
      <c r="AH14" s="594">
        <f t="shared" si="4"/>
        <v>0.43743893074246554</v>
      </c>
      <c r="AI14" s="396">
        <f t="shared" ca="1" si="3"/>
        <v>42546.737999999998</v>
      </c>
    </row>
    <row r="15" spans="1:35" hidden="1">
      <c r="A15" s="375"/>
      <c r="B15" s="376" t="str">
        <f t="shared" si="0"/>
        <v>Residential_High Efficiency HVAC_HVAC_Heat Pump SEER 15 Replace Electric Furnace_2017_Actual</v>
      </c>
      <c r="C15" s="376" t="b">
        <f>ISNUMBER(MATCH(B15,Analysis!B:B,0))</f>
        <v>1</v>
      </c>
      <c r="D15" s="377">
        <f t="shared" si="1"/>
        <v>9</v>
      </c>
      <c r="E15" s="376" t="b">
        <f>COUNTIF($B$7:B15,B15)=1</f>
        <v>1</v>
      </c>
      <c r="F15" s="376" t="b">
        <v>1</v>
      </c>
      <c r="G15" s="378" t="s">
        <v>1</v>
      </c>
      <c r="H15" s="378" t="s">
        <v>205</v>
      </c>
      <c r="I15" s="379" t="s">
        <v>85</v>
      </c>
      <c r="J15" s="379" t="s">
        <v>208</v>
      </c>
      <c r="K15" s="379">
        <v>2017</v>
      </c>
      <c r="L15" s="379" t="s">
        <v>167</v>
      </c>
      <c r="M15" s="380" t="str">
        <f ca="1">INDEX(Analysis!$HB:$HB,MATCH($B15,Analysis!$B:$B,0))</f>
        <v>n/a</v>
      </c>
      <c r="N15" s="381">
        <f>IFERROR(INDEX('VDSM to BenCost Inputs'!$G:$G,MATCH($B15,'VDSM to BenCost Inputs'!$A:$A,0)),0)</f>
        <v>0</v>
      </c>
      <c r="O15" s="382" t="s">
        <v>14</v>
      </c>
      <c r="P15" s="383">
        <f ca="1">INDEX(OFFSET('Program Inputs'!$K$8,,,TotalPrograms),MATCH(SUBSTITUTE($B15,I15&amp;"_"&amp;J15,"*"),OFFSET('Program Inputs'!$B$8,,,TotalPrograms),0))</f>
        <v>1</v>
      </c>
      <c r="Q15" s="383">
        <f t="shared" ca="1" si="2"/>
        <v>0</v>
      </c>
      <c r="R15" s="384">
        <f>INDEX('Plan Data'!$L:$L,MATCH(SUBSTITUTE($B15,$L15,"Plan"),'Plan Data'!$B:$B,0))</f>
        <v>18</v>
      </c>
      <c r="S15" s="385">
        <f>INDEX('Plan Data'!$M:$M,MATCH(SUBSTITUTE($B15,$L15,"Plan"),'Plan Data'!$B:$B,0))</f>
        <v>0</v>
      </c>
      <c r="T15" s="386">
        <f>INDEX('Plan Data'!$R:$R,MATCH(SUBSTITUTE($B15,$L15,"Plan"),'Plan Data'!$B:$B,0))</f>
        <v>4554</v>
      </c>
      <c r="U15" s="387">
        <f>INDEX('Plan Data'!$S:$S,MATCH(SUBSTITUTE($B15,$L15,"Plan"),'Plan Data'!$B:$B,0))</f>
        <v>0</v>
      </c>
      <c r="V15" s="387"/>
      <c r="W15" s="387"/>
      <c r="X15" s="387">
        <f>IFERROR(IFERROR(INDEX('VDSM to BenCost Inputs'!$H:$H,MATCH($B15,'VDSM to BenCost Inputs'!$A:$A,0)),0)/$N15,0)</f>
        <v>0</v>
      </c>
      <c r="Y15" s="388">
        <v>1</v>
      </c>
      <c r="Z15" s="389">
        <v>1</v>
      </c>
      <c r="AA15" s="390"/>
      <c r="AB15" s="391">
        <f>IFERROR(IFERROR(INDEX('VDSM to BenCost Inputs'!$I:$I,MATCH($B15,'VDSM to BenCost Inputs'!$A:$A,0)),0)/$N15,0)</f>
        <v>0</v>
      </c>
      <c r="AC15" s="392">
        <f>IFERROR(IFERROR(INDEX('VDSM to BenCost Inputs'!$J:$J,MATCH($B15,'VDSM to BenCost Inputs'!$A:$A,0)),0)/$N15,0)</f>
        <v>0</v>
      </c>
      <c r="AD15" s="393">
        <v>0</v>
      </c>
      <c r="AE15" s="394">
        <v>0</v>
      </c>
      <c r="AF15" s="591"/>
      <c r="AG15" s="395"/>
      <c r="AH15" s="594" t="str">
        <f t="shared" si="4"/>
        <v/>
      </c>
      <c r="AI15" s="396">
        <f t="shared" ca="1" si="3"/>
        <v>0</v>
      </c>
    </row>
    <row r="16" spans="1:35" hidden="1">
      <c r="A16" s="375"/>
      <c r="B16" s="376" t="str">
        <f t="shared" si="0"/>
        <v>Residential_High Efficiency HVAC_HVAC_CAC SEER 15_2017_Actual</v>
      </c>
      <c r="C16" s="376" t="b">
        <f>ISNUMBER(MATCH(B16,Analysis!B:B,0))</f>
        <v>1</v>
      </c>
      <c r="D16" s="377">
        <f t="shared" si="1"/>
        <v>10</v>
      </c>
      <c r="E16" s="376" t="b">
        <f>COUNTIF($B$7:B16,B16)=1</f>
        <v>1</v>
      </c>
      <c r="F16" s="376" t="b">
        <v>1</v>
      </c>
      <c r="G16" s="378" t="s">
        <v>1</v>
      </c>
      <c r="H16" s="378" t="s">
        <v>205</v>
      </c>
      <c r="I16" s="379" t="s">
        <v>85</v>
      </c>
      <c r="J16" s="379" t="s">
        <v>209</v>
      </c>
      <c r="K16" s="379">
        <v>2017</v>
      </c>
      <c r="L16" s="379" t="s">
        <v>167</v>
      </c>
      <c r="M16" s="380" t="str">
        <f ca="1">INDEX(Analysis!$HB:$HB,MATCH($B16,Analysis!$B:$B,0))</f>
        <v>n/a</v>
      </c>
      <c r="N16" s="381">
        <f>IFERROR(INDEX('VDSM to BenCost Inputs'!$G:$G,MATCH($B16,'VDSM to BenCost Inputs'!$A:$A,0)),0)</f>
        <v>0</v>
      </c>
      <c r="O16" s="382" t="s">
        <v>14</v>
      </c>
      <c r="P16" s="383">
        <f ca="1">INDEX(OFFSET('Program Inputs'!$K$8,,,TotalPrograms),MATCH(SUBSTITUTE($B16,I16&amp;"_"&amp;J16,"*"),OFFSET('Program Inputs'!$B$8,,,TotalPrograms),0))</f>
        <v>1</v>
      </c>
      <c r="Q16" s="383">
        <f t="shared" ca="1" si="2"/>
        <v>0</v>
      </c>
      <c r="R16" s="384">
        <f>INDEX('Plan Data'!$L:$L,MATCH(SUBSTITUTE($B16,$L16,"Plan"),'Plan Data'!$B:$B,0))</f>
        <v>18</v>
      </c>
      <c r="S16" s="385">
        <f>INDEX('Plan Data'!$M:$M,MATCH(SUBSTITUTE($B16,$L16,"Plan"),'Plan Data'!$B:$B,0))</f>
        <v>0</v>
      </c>
      <c r="T16" s="386">
        <f>INDEX('Plan Data'!$R:$R,MATCH(SUBSTITUTE($B16,$L16,"Plan"),'Plan Data'!$B:$B,0))</f>
        <v>238</v>
      </c>
      <c r="U16" s="387">
        <f>INDEX('Plan Data'!$S:$S,MATCH(SUBSTITUTE($B16,$L16,"Plan"),'Plan Data'!$B:$B,0))</f>
        <v>0</v>
      </c>
      <c r="V16" s="387"/>
      <c r="W16" s="387"/>
      <c r="X16" s="387">
        <f>IFERROR(IFERROR(INDEX('VDSM to BenCost Inputs'!$H:$H,MATCH($B16,'VDSM to BenCost Inputs'!$A:$A,0)),0)/$N16,0)</f>
        <v>0</v>
      </c>
      <c r="Y16" s="388">
        <v>1</v>
      </c>
      <c r="Z16" s="389">
        <v>1</v>
      </c>
      <c r="AA16" s="390"/>
      <c r="AB16" s="391">
        <f>IFERROR(IFERROR(INDEX('VDSM to BenCost Inputs'!$I:$I,MATCH($B16,'VDSM to BenCost Inputs'!$A:$A,0)),0)/$N16,0)</f>
        <v>0</v>
      </c>
      <c r="AC16" s="392">
        <f>IFERROR(IFERROR(INDEX('VDSM to BenCost Inputs'!$J:$J,MATCH($B16,'VDSM to BenCost Inputs'!$A:$A,0)),0)/$N16,0)</f>
        <v>0</v>
      </c>
      <c r="AD16" s="393">
        <v>0</v>
      </c>
      <c r="AE16" s="394">
        <v>0</v>
      </c>
      <c r="AF16" s="591"/>
      <c r="AG16" s="395"/>
      <c r="AH16" s="594" t="str">
        <f t="shared" si="4"/>
        <v/>
      </c>
      <c r="AI16" s="396">
        <f t="shared" ca="1" si="3"/>
        <v>0</v>
      </c>
    </row>
    <row r="17" spans="1:35" hidden="1">
      <c r="A17" s="375"/>
      <c r="B17" s="376" t="str">
        <f t="shared" si="0"/>
        <v>Residential_High Efficiency HVAC_HVAC_Ductless Mini-Split AC SEER ≥19_2017_Actual</v>
      </c>
      <c r="C17" s="376" t="b">
        <f>ISNUMBER(MATCH(B17,Analysis!B:B,0))</f>
        <v>1</v>
      </c>
      <c r="D17" s="377">
        <f t="shared" si="1"/>
        <v>11</v>
      </c>
      <c r="E17" s="376" t="b">
        <f>COUNTIF($B$7:B17,B17)=1</f>
        <v>1</v>
      </c>
      <c r="F17" s="376" t="b">
        <v>1</v>
      </c>
      <c r="G17" s="378" t="s">
        <v>1</v>
      </c>
      <c r="H17" s="378" t="s">
        <v>205</v>
      </c>
      <c r="I17" s="379" t="s">
        <v>85</v>
      </c>
      <c r="J17" s="379" t="s">
        <v>210</v>
      </c>
      <c r="K17" s="379">
        <v>2017</v>
      </c>
      <c r="L17" s="379" t="s">
        <v>167</v>
      </c>
      <c r="M17" s="380" t="str">
        <f ca="1">INDEX(Analysis!$HB:$HB,MATCH($B17,Analysis!$B:$B,0))</f>
        <v>n/a</v>
      </c>
      <c r="N17" s="381">
        <f>IFERROR(INDEX('VDSM to BenCost Inputs'!$G:$G,MATCH($B17,'VDSM to BenCost Inputs'!$A:$A,0)),0)</f>
        <v>0</v>
      </c>
      <c r="O17" s="382" t="s">
        <v>14</v>
      </c>
      <c r="P17" s="383">
        <f ca="1">INDEX(OFFSET('Program Inputs'!$K$8,,,TotalPrograms),MATCH(SUBSTITUTE($B17,I17&amp;"_"&amp;J17,"*"),OFFSET('Program Inputs'!$B$8,,,TotalPrograms),0))</f>
        <v>1</v>
      </c>
      <c r="Q17" s="383">
        <f t="shared" ca="1" si="2"/>
        <v>0</v>
      </c>
      <c r="R17" s="384">
        <f>INDEX('Plan Data'!$L:$L,MATCH(SUBSTITUTE($B17,$L17,"Plan"),'Plan Data'!$B:$B,0))</f>
        <v>18</v>
      </c>
      <c r="S17" s="385">
        <f>INDEX('Plan Data'!$M:$M,MATCH(SUBSTITUTE($B17,$L17,"Plan"),'Plan Data'!$B:$B,0))</f>
        <v>0</v>
      </c>
      <c r="T17" s="386">
        <f>INDEX('Plan Data'!$R:$R,MATCH(SUBSTITUTE($B17,$L17,"Plan"),'Plan Data'!$B:$B,0))</f>
        <v>300</v>
      </c>
      <c r="U17" s="387">
        <f>INDEX('Plan Data'!$S:$S,MATCH(SUBSTITUTE($B17,$L17,"Plan"),'Plan Data'!$B:$B,0))</f>
        <v>0</v>
      </c>
      <c r="V17" s="387"/>
      <c r="W17" s="387"/>
      <c r="X17" s="387">
        <f>IFERROR(IFERROR(INDEX('VDSM to BenCost Inputs'!$H:$H,MATCH($B17,'VDSM to BenCost Inputs'!$A:$A,0)),0)/$N17,0)</f>
        <v>0</v>
      </c>
      <c r="Y17" s="388">
        <v>1</v>
      </c>
      <c r="Z17" s="389">
        <v>1</v>
      </c>
      <c r="AA17" s="390"/>
      <c r="AB17" s="391">
        <f>IFERROR(IFERROR(INDEX('VDSM to BenCost Inputs'!$I:$I,MATCH($B17,'VDSM to BenCost Inputs'!$A:$A,0)),0)/$N17,0)</f>
        <v>0</v>
      </c>
      <c r="AC17" s="392">
        <f>IFERROR(IFERROR(INDEX('VDSM to BenCost Inputs'!$J:$J,MATCH($B17,'VDSM to BenCost Inputs'!$A:$A,0)),0)/$N17,0)</f>
        <v>0</v>
      </c>
      <c r="AD17" s="393">
        <v>0</v>
      </c>
      <c r="AE17" s="394">
        <v>0</v>
      </c>
      <c r="AF17" s="591"/>
      <c r="AG17" s="395"/>
      <c r="AH17" s="594" t="str">
        <f t="shared" si="4"/>
        <v/>
      </c>
      <c r="AI17" s="396">
        <f t="shared" ca="1" si="3"/>
        <v>0</v>
      </c>
    </row>
    <row r="18" spans="1:35">
      <c r="A18" s="375"/>
      <c r="B18" s="376" t="str">
        <f t="shared" si="0"/>
        <v>Residential_High Efficiency HVAC_HVAC_Ductless Mini-Split HP SEER ≥19_2017_Actual</v>
      </c>
      <c r="C18" s="376" t="b">
        <f>ISNUMBER(MATCH(B18,Analysis!B:B,0))</f>
        <v>1</v>
      </c>
      <c r="D18" s="377">
        <f t="shared" si="1"/>
        <v>12</v>
      </c>
      <c r="E18" s="376" t="b">
        <f>COUNTIF($B$7:B18,B18)=1</f>
        <v>1</v>
      </c>
      <c r="F18" s="376" t="b">
        <v>1</v>
      </c>
      <c r="G18" s="378" t="s">
        <v>1</v>
      </c>
      <c r="H18" s="378" t="s">
        <v>205</v>
      </c>
      <c r="I18" s="379" t="s">
        <v>85</v>
      </c>
      <c r="J18" s="379" t="s">
        <v>211</v>
      </c>
      <c r="K18" s="379">
        <v>2017</v>
      </c>
      <c r="L18" s="379" t="s">
        <v>167</v>
      </c>
      <c r="M18" s="380">
        <f ca="1">INDEX(Analysis!$HB:$HB,MATCH($B18,Analysis!$B:$B,0))</f>
        <v>1.8330020536341691</v>
      </c>
      <c r="N18" s="381">
        <f>IFERROR(INDEX('VDSM to BenCost Inputs'!$G:$G,MATCH($B18,'VDSM to BenCost Inputs'!$A:$A,0)),0)</f>
        <v>14</v>
      </c>
      <c r="O18" s="382" t="s">
        <v>14</v>
      </c>
      <c r="P18" s="383">
        <f ca="1">INDEX(OFFSET('Program Inputs'!$K$8,,,TotalPrograms),MATCH(SUBSTITUTE($B18,I18&amp;"_"&amp;J18,"*"),OFFSET('Program Inputs'!$B$8,,,TotalPrograms),0))</f>
        <v>1</v>
      </c>
      <c r="Q18" s="383">
        <f t="shared" ca="1" si="2"/>
        <v>14</v>
      </c>
      <c r="R18" s="384">
        <f>INDEX('Plan Data'!$L:$L,MATCH(SUBSTITUTE($B18,$L18,"Plan"),'Plan Data'!$B:$B,0))</f>
        <v>18</v>
      </c>
      <c r="S18" s="385">
        <f>INDEX('Plan Data'!$M:$M,MATCH(SUBSTITUTE($B18,$L18,"Plan"),'Plan Data'!$B:$B,0))</f>
        <v>0</v>
      </c>
      <c r="T18" s="386">
        <f>INDEX('Plan Data'!$R:$R,MATCH(SUBSTITUTE($B18,$L18,"Plan"),'Plan Data'!$B:$B,0))</f>
        <v>716</v>
      </c>
      <c r="U18" s="387">
        <f>INDEX('Plan Data'!$S:$S,MATCH(SUBSTITUTE($B18,$L18,"Plan"),'Plan Data'!$B:$B,0))</f>
        <v>0</v>
      </c>
      <c r="V18" s="387"/>
      <c r="W18" s="387"/>
      <c r="X18" s="387">
        <f>IFERROR(IFERROR(INDEX('VDSM to BenCost Inputs'!$H:$H,MATCH($B18,'VDSM to BenCost Inputs'!$A:$A,0)),0)/$N18,0)</f>
        <v>107.14285714285714</v>
      </c>
      <c r="Y18" s="388">
        <v>1</v>
      </c>
      <c r="Z18" s="389">
        <v>1</v>
      </c>
      <c r="AA18" s="390"/>
      <c r="AB18" s="391">
        <f>IFERROR(IFERROR(INDEX('VDSM to BenCost Inputs'!$I:$I,MATCH($B18,'VDSM to BenCost Inputs'!$A:$A,0)),0)/$N18,0)</f>
        <v>2495.8377857142855</v>
      </c>
      <c r="AC18" s="392">
        <f>IFERROR(IFERROR(INDEX('VDSM to BenCost Inputs'!$J:$J,MATCH($B18,'VDSM to BenCost Inputs'!$A:$A,0)),0)/$N18,0)</f>
        <v>0.91050000000000009</v>
      </c>
      <c r="AD18" s="393">
        <v>0</v>
      </c>
      <c r="AE18" s="394">
        <v>0</v>
      </c>
      <c r="AF18" s="591" t="s">
        <v>3425</v>
      </c>
      <c r="AG18" s="597">
        <v>1789.1667624944712</v>
      </c>
      <c r="AH18" s="594">
        <f t="shared" si="4"/>
        <v>0.39497213900540373</v>
      </c>
      <c r="AI18" s="396">
        <f t="shared" ca="1" si="3"/>
        <v>34941.728999999999</v>
      </c>
    </row>
    <row r="19" spans="1:35">
      <c r="A19" s="375"/>
      <c r="B19" s="376" t="str">
        <f t="shared" si="0"/>
        <v>Residential_High Efficiency HVAC_Water Heating_Heat Pump Water Heater_2017_Actual</v>
      </c>
      <c r="C19" s="376" t="b">
        <f>ISNUMBER(MATCH(B19,Analysis!B:B,0))</f>
        <v>1</v>
      </c>
      <c r="D19" s="377">
        <f t="shared" si="1"/>
        <v>13</v>
      </c>
      <c r="E19" s="376" t="b">
        <f>COUNTIF($B$7:B19,B19)=1</f>
        <v>1</v>
      </c>
      <c r="F19" s="376" t="b">
        <v>1</v>
      </c>
      <c r="G19" s="378" t="s">
        <v>1</v>
      </c>
      <c r="H19" s="378" t="s">
        <v>205</v>
      </c>
      <c r="I19" s="379" t="s">
        <v>284</v>
      </c>
      <c r="J19" s="379" t="s">
        <v>212</v>
      </c>
      <c r="K19" s="379">
        <v>2017</v>
      </c>
      <c r="L19" s="379" t="s">
        <v>167</v>
      </c>
      <c r="M19" s="380">
        <f ca="1">INDEX(Analysis!$HB:$HB,MATCH($B19,Analysis!$B:$B,0))</f>
        <v>1.851556643609841</v>
      </c>
      <c r="N19" s="381">
        <f>IFERROR(INDEX('VDSM to BenCost Inputs'!$G:$G,MATCH($B19,'VDSM to BenCost Inputs'!$A:$A,0)),0)</f>
        <v>7</v>
      </c>
      <c r="O19" s="382" t="s">
        <v>14</v>
      </c>
      <c r="P19" s="383">
        <f ca="1">INDEX(OFFSET('Program Inputs'!$K$8,,,TotalPrograms),MATCH(SUBSTITUTE($B19,I19&amp;"_"&amp;J19,"*"),OFFSET('Program Inputs'!$B$8,,,TotalPrograms),0))</f>
        <v>1</v>
      </c>
      <c r="Q19" s="383">
        <f t="shared" ca="1" si="2"/>
        <v>7</v>
      </c>
      <c r="R19" s="384">
        <f>INDEX('Plan Data'!$L:$L,MATCH(SUBSTITUTE($B19,$L19,"Plan"),'Plan Data'!$B:$B,0))</f>
        <v>15</v>
      </c>
      <c r="S19" s="385">
        <f>INDEX('Plan Data'!$M:$M,MATCH(SUBSTITUTE($B19,$L19,"Plan"),'Plan Data'!$B:$B,0))</f>
        <v>0</v>
      </c>
      <c r="T19" s="386">
        <f>INDEX('Plan Data'!$R:$R,MATCH(SUBSTITUTE($B19,$L19,"Plan"),'Plan Data'!$B:$B,0))</f>
        <v>700</v>
      </c>
      <c r="U19" s="387">
        <f>INDEX('Plan Data'!$S:$S,MATCH(SUBSTITUTE($B19,$L19,"Plan"),'Plan Data'!$B:$B,0))</f>
        <v>0</v>
      </c>
      <c r="V19" s="387"/>
      <c r="W19" s="387"/>
      <c r="X19" s="387">
        <f>IFERROR(IFERROR(INDEX('VDSM to BenCost Inputs'!$H:$H,MATCH($B19,'VDSM to BenCost Inputs'!$A:$A,0)),0)/$N19,0)</f>
        <v>261.42857142857144</v>
      </c>
      <c r="Y19" s="388">
        <v>1</v>
      </c>
      <c r="Z19" s="389">
        <v>1</v>
      </c>
      <c r="AA19" s="390"/>
      <c r="AB19" s="391">
        <f>IFERROR(IFERROR(INDEX('VDSM to BenCost Inputs'!$I:$I,MATCH($B19,'VDSM to BenCost Inputs'!$A:$A,0)),0)/$N19,0)</f>
        <v>3035.2857142857142</v>
      </c>
      <c r="AC19" s="392">
        <f>IFERROR(IFERROR(INDEX('VDSM to BenCost Inputs'!$J:$J,MATCH($B19,'VDSM to BenCost Inputs'!$A:$A,0)),0)/$N19,0)</f>
        <v>0.1435714285714286</v>
      </c>
      <c r="AD19" s="393">
        <v>0</v>
      </c>
      <c r="AE19" s="394">
        <v>0</v>
      </c>
      <c r="AF19" s="591" t="s">
        <v>3425</v>
      </c>
      <c r="AG19" s="597">
        <v>1733.7090342339393</v>
      </c>
      <c r="AH19" s="594">
        <f t="shared" si="4"/>
        <v>0.75074689832650754</v>
      </c>
      <c r="AI19" s="396">
        <f t="shared" ca="1" si="3"/>
        <v>21247</v>
      </c>
    </row>
    <row r="20" spans="1:35">
      <c r="A20" s="375"/>
      <c r="B20" s="376" t="str">
        <f t="shared" si="0"/>
        <v>Residential_High Efficiency HVAC_Water Heating_Electric Storage Water Heater EF 0.95_2017_Actual</v>
      </c>
      <c r="C20" s="376" t="b">
        <f>ISNUMBER(MATCH(B20,Analysis!B:B,0))</f>
        <v>1</v>
      </c>
      <c r="D20" s="377">
        <f t="shared" si="1"/>
        <v>14</v>
      </c>
      <c r="E20" s="376" t="b">
        <f>COUNTIF($B$7:B20,B20)=1</f>
        <v>1</v>
      </c>
      <c r="F20" s="376" t="b">
        <v>1</v>
      </c>
      <c r="G20" s="378" t="s">
        <v>1</v>
      </c>
      <c r="H20" s="378" t="s">
        <v>205</v>
      </c>
      <c r="I20" s="379" t="s">
        <v>284</v>
      </c>
      <c r="J20" s="379" t="s">
        <v>213</v>
      </c>
      <c r="K20" s="379">
        <v>2017</v>
      </c>
      <c r="L20" s="379" t="s">
        <v>167</v>
      </c>
      <c r="M20" s="380">
        <f ca="1">INDEX(Analysis!$HB:$HB,MATCH($B20,Analysis!$B:$B,0))</f>
        <v>2.2557989162392778</v>
      </c>
      <c r="N20" s="381">
        <f>IFERROR(INDEX('VDSM to BenCost Inputs'!$G:$G,MATCH($B20,'VDSM to BenCost Inputs'!$A:$A,0)),0)</f>
        <v>1</v>
      </c>
      <c r="O20" s="382" t="s">
        <v>14</v>
      </c>
      <c r="P20" s="383">
        <f ca="1">INDEX(OFFSET('Program Inputs'!$K$8,,,TotalPrograms),MATCH(SUBSTITUTE($B20,I20&amp;"_"&amp;J20,"*"),OFFSET('Program Inputs'!$B$8,,,TotalPrograms),0))</f>
        <v>1</v>
      </c>
      <c r="Q20" s="383">
        <f t="shared" ca="1" si="2"/>
        <v>1</v>
      </c>
      <c r="R20" s="384">
        <f>INDEX('Plan Data'!$L:$L,MATCH(SUBSTITUTE($B20,$L20,"Plan"),'Plan Data'!$B:$B,0))</f>
        <v>15</v>
      </c>
      <c r="S20" s="385">
        <f>INDEX('Plan Data'!$M:$M,MATCH(SUBSTITUTE($B20,$L20,"Plan"),'Plan Data'!$B:$B,0))</f>
        <v>0</v>
      </c>
      <c r="T20" s="386">
        <f>INDEX('Plan Data'!$R:$R,MATCH(SUBSTITUTE($B20,$L20,"Plan"),'Plan Data'!$B:$B,0))</f>
        <v>51.06</v>
      </c>
      <c r="U20" s="387">
        <f>INDEX('Plan Data'!$S:$S,MATCH(SUBSTITUTE($B20,$L20,"Plan"),'Plan Data'!$B:$B,0))</f>
        <v>0</v>
      </c>
      <c r="V20" s="387"/>
      <c r="W20" s="387"/>
      <c r="X20" s="387">
        <f>IFERROR(IFERROR(INDEX('VDSM to BenCost Inputs'!$H:$H,MATCH($B20,'VDSM to BenCost Inputs'!$A:$A,0)),0)/$N20,0)</f>
        <v>106.25</v>
      </c>
      <c r="Y20" s="388">
        <v>1</v>
      </c>
      <c r="Z20" s="389">
        <v>1</v>
      </c>
      <c r="AA20" s="390"/>
      <c r="AB20" s="391">
        <f>IFERROR(IFERROR(INDEX('VDSM to BenCost Inputs'!$I:$I,MATCH($B20,'VDSM to BenCost Inputs'!$A:$A,0)),0)/$N20,0)</f>
        <v>263.23678000000001</v>
      </c>
      <c r="AC20" s="392">
        <f>IFERROR(IFERROR(INDEX('VDSM to BenCost Inputs'!$J:$J,MATCH($B20,'VDSM to BenCost Inputs'!$A:$A,0)),0)/$N20,0)</f>
        <v>3.005E-2</v>
      </c>
      <c r="AD20" s="393">
        <v>0</v>
      </c>
      <c r="AE20" s="394">
        <v>0</v>
      </c>
      <c r="AF20" s="591" t="s">
        <v>3425</v>
      </c>
      <c r="AG20" s="597">
        <v>125.80915680811916</v>
      </c>
      <c r="AH20" s="594">
        <f t="shared" si="4"/>
        <v>1.0923499264960648</v>
      </c>
      <c r="AI20" s="396">
        <f t="shared" ca="1" si="3"/>
        <v>263.23678000000001</v>
      </c>
    </row>
    <row r="21" spans="1:35">
      <c r="A21" s="375"/>
      <c r="B21" s="376" t="str">
        <f t="shared" si="0"/>
        <v>Residential_High Efficiency HVAC_Water Heating_Electric Storage Water Heater EF &gt;0.95_2017_Actual</v>
      </c>
      <c r="C21" s="376" t="b">
        <f>ISNUMBER(MATCH(B21,Analysis!B:B,0))</f>
        <v>1</v>
      </c>
      <c r="D21" s="377">
        <f t="shared" si="1"/>
        <v>15</v>
      </c>
      <c r="E21" s="376" t="b">
        <f>COUNTIF($B$7:B21,B21)=1</f>
        <v>1</v>
      </c>
      <c r="F21" s="376" t="b">
        <v>1</v>
      </c>
      <c r="G21" s="378" t="s">
        <v>1</v>
      </c>
      <c r="H21" s="378" t="s">
        <v>205</v>
      </c>
      <c r="I21" s="379" t="s">
        <v>284</v>
      </c>
      <c r="J21" s="379" t="s">
        <v>214</v>
      </c>
      <c r="K21" s="379">
        <v>2017</v>
      </c>
      <c r="L21" s="379" t="s">
        <v>167</v>
      </c>
      <c r="M21" s="380">
        <f ca="1">INDEX(Analysis!$HB:$HB,MATCH($B21,Analysis!$B:$B,0))</f>
        <v>1.4056785881684974</v>
      </c>
      <c r="N21" s="381">
        <f>IFERROR(INDEX('VDSM to BenCost Inputs'!$G:$G,MATCH($B21,'VDSM to BenCost Inputs'!$A:$A,0)),0)</f>
        <v>32</v>
      </c>
      <c r="O21" s="382" t="s">
        <v>14</v>
      </c>
      <c r="P21" s="383">
        <f ca="1">INDEX(OFFSET('Program Inputs'!$K$8,,,TotalPrograms),MATCH(SUBSTITUTE($B21,I21&amp;"_"&amp;J21,"*"),OFFSET('Program Inputs'!$B$8,,,TotalPrograms),0))</f>
        <v>1</v>
      </c>
      <c r="Q21" s="383">
        <f t="shared" ca="1" si="2"/>
        <v>32</v>
      </c>
      <c r="R21" s="384">
        <f>INDEX('Plan Data'!$L:$L,MATCH(SUBSTITUTE($B21,$L21,"Plan"),'Plan Data'!$B:$B,0))</f>
        <v>15</v>
      </c>
      <c r="S21" s="385">
        <f>INDEX('Plan Data'!$M:$M,MATCH(SUBSTITUTE($B21,$L21,"Plan"),'Plan Data'!$B:$B,0))</f>
        <v>0</v>
      </c>
      <c r="T21" s="386">
        <f>INDEX('Plan Data'!$R:$R,MATCH(SUBSTITUTE($B21,$L21,"Plan"),'Plan Data'!$B:$B,0))</f>
        <v>51.06</v>
      </c>
      <c r="U21" s="387">
        <f>INDEX('Plan Data'!$S:$S,MATCH(SUBSTITUTE($B21,$L21,"Plan"),'Plan Data'!$B:$B,0))</f>
        <v>0</v>
      </c>
      <c r="V21" s="387"/>
      <c r="W21" s="387"/>
      <c r="X21" s="387">
        <f>IFERROR(IFERROR(INDEX('VDSM to BenCost Inputs'!$H:$H,MATCH($B21,'VDSM to BenCost Inputs'!$A:$A,0)),0)/$N21,0)</f>
        <v>83.125</v>
      </c>
      <c r="Y21" s="388">
        <v>1</v>
      </c>
      <c r="Z21" s="389">
        <v>1</v>
      </c>
      <c r="AA21" s="390"/>
      <c r="AB21" s="391">
        <f>IFERROR(IFERROR(INDEX('VDSM to BenCost Inputs'!$I:$I,MATCH($B21,'VDSM to BenCost Inputs'!$A:$A,0)),0)/$N21,0)</f>
        <v>164.03409531250006</v>
      </c>
      <c r="AC21" s="392">
        <f>IFERROR(IFERROR(INDEX('VDSM to BenCost Inputs'!$J:$J,MATCH($B21,'VDSM to BenCost Inputs'!$A:$A,0)),0)/$N21,0)</f>
        <v>1.8723437499999999E-2</v>
      </c>
      <c r="AD21" s="393">
        <v>0</v>
      </c>
      <c r="AE21" s="394">
        <v>0</v>
      </c>
      <c r="AF21" s="591" t="s">
        <v>3425</v>
      </c>
      <c r="AG21" s="597">
        <v>222.41465854710776</v>
      </c>
      <c r="AH21" s="594">
        <f t="shared" si="4"/>
        <v>-0.26248523193556783</v>
      </c>
      <c r="AI21" s="396">
        <f t="shared" ca="1" si="3"/>
        <v>5249.0910500000018</v>
      </c>
    </row>
    <row r="22" spans="1:35" hidden="1">
      <c r="A22" s="375"/>
      <c r="B22" s="376" t="str">
        <f t="shared" si="0"/>
        <v>Residential_High Efficiency HVAC_HVAC_Geothermal EER ≥21_2017_Actual</v>
      </c>
      <c r="C22" s="376" t="b">
        <f>ISNUMBER(MATCH(B22,Analysis!B:B,0))</f>
        <v>1</v>
      </c>
      <c r="D22" s="377">
        <f t="shared" si="1"/>
        <v>16</v>
      </c>
      <c r="E22" s="376" t="b">
        <f>COUNTIF($B$7:B22,B22)=1</f>
        <v>1</v>
      </c>
      <c r="F22" s="376" t="b">
        <v>1</v>
      </c>
      <c r="G22" s="378" t="s">
        <v>1</v>
      </c>
      <c r="H22" s="378" t="s">
        <v>205</v>
      </c>
      <c r="I22" s="379" t="s">
        <v>85</v>
      </c>
      <c r="J22" s="379" t="s">
        <v>215</v>
      </c>
      <c r="K22" s="379">
        <v>2017</v>
      </c>
      <c r="L22" s="379" t="s">
        <v>167</v>
      </c>
      <c r="M22" s="380" t="str">
        <f ca="1">INDEX(Analysis!$HB:$HB,MATCH($B22,Analysis!$B:$B,0))</f>
        <v>n/a</v>
      </c>
      <c r="N22" s="381">
        <f>IFERROR(INDEX('VDSM to BenCost Inputs'!$G:$G,MATCH($B22,'VDSM to BenCost Inputs'!$A:$A,0)),0)</f>
        <v>0</v>
      </c>
      <c r="O22" s="382" t="s">
        <v>14</v>
      </c>
      <c r="P22" s="383">
        <f ca="1">INDEX(OFFSET('Program Inputs'!$K$8,,,TotalPrograms),MATCH(SUBSTITUTE($B22,I22&amp;"_"&amp;J22,"*"),OFFSET('Program Inputs'!$B$8,,,TotalPrograms),0))</f>
        <v>1</v>
      </c>
      <c r="Q22" s="383">
        <f t="shared" ca="1" si="2"/>
        <v>0</v>
      </c>
      <c r="R22" s="384">
        <f>INDEX('Plan Data'!$L:$L,MATCH(SUBSTITUTE($B22,$L22,"Plan"),'Plan Data'!$B:$B,0))</f>
        <v>25</v>
      </c>
      <c r="S22" s="385">
        <f>INDEX('Plan Data'!$M:$M,MATCH(SUBSTITUTE($B22,$L22,"Plan"),'Plan Data'!$B:$B,0))</f>
        <v>0</v>
      </c>
      <c r="T22" s="386">
        <f>INDEX('Plan Data'!$R:$R,MATCH(SUBSTITUTE($B22,$L22,"Plan"),'Plan Data'!$B:$B,0))</f>
        <v>2313.6581090197678</v>
      </c>
      <c r="U22" s="387">
        <f>INDEX('Plan Data'!$S:$S,MATCH(SUBSTITUTE($B22,$L22,"Plan"),'Plan Data'!$B:$B,0))</f>
        <v>0</v>
      </c>
      <c r="V22" s="387"/>
      <c r="W22" s="387"/>
      <c r="X22" s="387">
        <f>IFERROR(IFERROR(INDEX('VDSM to BenCost Inputs'!$H:$H,MATCH($B22,'VDSM to BenCost Inputs'!$A:$A,0)),0)/$N22,0)</f>
        <v>0</v>
      </c>
      <c r="Y22" s="388">
        <v>1</v>
      </c>
      <c r="Z22" s="389">
        <v>1</v>
      </c>
      <c r="AA22" s="390"/>
      <c r="AB22" s="391">
        <f>IFERROR(IFERROR(INDEX('VDSM to BenCost Inputs'!$I:$I,MATCH($B22,'VDSM to BenCost Inputs'!$A:$A,0)),0)/$N22,0)</f>
        <v>0</v>
      </c>
      <c r="AC22" s="392">
        <f>IFERROR(IFERROR(INDEX('VDSM to BenCost Inputs'!$J:$J,MATCH($B22,'VDSM to BenCost Inputs'!$A:$A,0)),0)/$N22,0)</f>
        <v>0</v>
      </c>
      <c r="AD22" s="393">
        <v>0</v>
      </c>
      <c r="AE22" s="394">
        <v>0</v>
      </c>
      <c r="AF22" s="591"/>
      <c r="AG22" s="395"/>
      <c r="AH22" s="594" t="str">
        <f t="shared" si="4"/>
        <v/>
      </c>
      <c r="AI22" s="396">
        <f t="shared" ca="1" si="3"/>
        <v>0</v>
      </c>
    </row>
    <row r="23" spans="1:35" hidden="1">
      <c r="A23" s="375"/>
      <c r="B23" s="376" t="str">
        <f t="shared" si="0"/>
        <v>Residential_High Efficiency HVAC_HVAC_Early Retirement Geothermal EER ≥21_2017_Actual</v>
      </c>
      <c r="C23" s="376" t="b">
        <f>ISNUMBER(MATCH(B23,Analysis!B:B,0))</f>
        <v>1</v>
      </c>
      <c r="D23" s="377">
        <f t="shared" si="1"/>
        <v>17</v>
      </c>
      <c r="E23" s="376" t="b">
        <f>COUNTIF($B$7:B23,B23)=1</f>
        <v>1</v>
      </c>
      <c r="F23" s="376" t="b">
        <v>1</v>
      </c>
      <c r="G23" s="378" t="s">
        <v>1</v>
      </c>
      <c r="H23" s="378" t="s">
        <v>205</v>
      </c>
      <c r="I23" s="379" t="s">
        <v>85</v>
      </c>
      <c r="J23" s="379" t="s">
        <v>216</v>
      </c>
      <c r="K23" s="379">
        <v>2017</v>
      </c>
      <c r="L23" s="379" t="s">
        <v>167</v>
      </c>
      <c r="M23" s="380" t="str">
        <f ca="1">INDEX(Analysis!$HB:$HB,MATCH($B23,Analysis!$B:$B,0))</f>
        <v>n/a</v>
      </c>
      <c r="N23" s="381">
        <f>IFERROR(INDEX('VDSM to BenCost Inputs'!$G:$G,MATCH($B23,'VDSM to BenCost Inputs'!$A:$A,0)),0)</f>
        <v>0</v>
      </c>
      <c r="O23" s="382" t="s">
        <v>14</v>
      </c>
      <c r="P23" s="383">
        <f ca="1">INDEX(OFFSET('Program Inputs'!$K$8,,,TotalPrograms),MATCH(SUBSTITUTE($B23,I23&amp;"_"&amp;J23,"*"),OFFSET('Program Inputs'!$B$8,,,TotalPrograms),0))</f>
        <v>1</v>
      </c>
      <c r="Q23" s="383">
        <f t="shared" ca="1" si="2"/>
        <v>0</v>
      </c>
      <c r="R23" s="384">
        <f>INDEX('Plan Data'!$L:$L,MATCH(SUBSTITUTE($B23,$L23,"Plan"),'Plan Data'!$B:$B,0))</f>
        <v>25</v>
      </c>
      <c r="S23" s="385">
        <f>INDEX('Plan Data'!$M:$M,MATCH(SUBSTITUTE($B23,$L23,"Plan"),'Plan Data'!$B:$B,0))</f>
        <v>8</v>
      </c>
      <c r="T23" s="386">
        <f>INDEX('Plan Data'!$R:$R,MATCH(SUBSTITUTE($B23,$L23,"Plan"),'Plan Data'!$B:$B,0))</f>
        <v>4500</v>
      </c>
      <c r="U23" s="387">
        <f>INDEX('Plan Data'!$S:$S,MATCH(SUBSTITUTE($B23,$L23,"Plan"),'Plan Data'!$B:$B,0))</f>
        <v>2186.3418909802322</v>
      </c>
      <c r="V23" s="387"/>
      <c r="W23" s="387"/>
      <c r="X23" s="387">
        <f>IFERROR(IFERROR(INDEX('VDSM to BenCost Inputs'!$H:$H,MATCH($B23,'VDSM to BenCost Inputs'!$A:$A,0)),0)/$N23,0)</f>
        <v>0</v>
      </c>
      <c r="Y23" s="388">
        <v>1</v>
      </c>
      <c r="Z23" s="389">
        <v>1</v>
      </c>
      <c r="AA23" s="390"/>
      <c r="AB23" s="391">
        <f>IFERROR(IFERROR(INDEX('VDSM to BenCost Inputs'!$I:$I,MATCH($B23,'VDSM to BenCost Inputs'!$A:$A,0)),0)/$N23,0)</f>
        <v>0</v>
      </c>
      <c r="AC23" s="392">
        <f>IFERROR(IFERROR(INDEX('VDSM to BenCost Inputs'!$J:$J,MATCH($B23,'VDSM to BenCost Inputs'!$A:$A,0)),0)/$N23,0)</f>
        <v>0</v>
      </c>
      <c r="AD23" s="393">
        <v>4935.2681152755413</v>
      </c>
      <c r="AE23" s="394">
        <v>0.76227063434913711</v>
      </c>
      <c r="AF23" s="591"/>
      <c r="AG23" s="395"/>
      <c r="AH23" s="594" t="str">
        <f t="shared" si="4"/>
        <v/>
      </c>
      <c r="AI23" s="396">
        <f t="shared" ca="1" si="3"/>
        <v>0</v>
      </c>
    </row>
    <row r="24" spans="1:35">
      <c r="A24" s="375"/>
      <c r="B24" s="376" t="str">
        <f t="shared" si="0"/>
        <v>Residential_Whole House Efficiency_Various_Measures_2017_Actual</v>
      </c>
      <c r="C24" s="376" t="b">
        <f>ISNUMBER(MATCH(B24,Analysis!B:B,0))</f>
        <v>1</v>
      </c>
      <c r="D24" s="377">
        <f t="shared" si="1"/>
        <v>18</v>
      </c>
      <c r="E24" s="376" t="b">
        <f>COUNTIF($B$7:B24,B24)=1</f>
        <v>1</v>
      </c>
      <c r="F24" s="376" t="b">
        <v>1</v>
      </c>
      <c r="G24" s="378" t="s">
        <v>1</v>
      </c>
      <c r="H24" s="378" t="s">
        <v>147</v>
      </c>
      <c r="I24" s="379" t="s">
        <v>155</v>
      </c>
      <c r="J24" s="379" t="s">
        <v>283</v>
      </c>
      <c r="K24" s="379">
        <v>2017</v>
      </c>
      <c r="L24" s="379" t="s">
        <v>167</v>
      </c>
      <c r="M24" s="380" t="str">
        <f ca="1">INDEX(Analysis!$HB:$HB,MATCH($B24,Analysis!$B:$B,0))</f>
        <v>n/a</v>
      </c>
      <c r="N24" s="381">
        <f>IFERROR(INDEX('VDSM to BenCost Inputs'!$G:$G,MATCH($B24,'VDSM to BenCost Inputs'!$A:$A,0)),0)</f>
        <v>41</v>
      </c>
      <c r="O24" s="382" t="s">
        <v>14</v>
      </c>
      <c r="P24" s="383">
        <f ca="1">INDEX(OFFSET('Program Inputs'!$K$8,,,TotalPrograms),MATCH(SUBSTITUTE($B24,I24&amp;"_"&amp;J24,"*"),OFFSET('Program Inputs'!$B$8,,,TotalPrograms),0))</f>
        <v>1</v>
      </c>
      <c r="Q24" s="383">
        <f t="shared" ca="1" si="2"/>
        <v>41</v>
      </c>
      <c r="R24" s="384">
        <f>INDEX('Plan Data'!$L:$L,MATCH(SUBSTITUTE($B24,$L24,"Plan"),'Plan Data'!$B:$B,0))</f>
        <v>12.199963201185822</v>
      </c>
      <c r="S24" s="385">
        <f>INDEX('Plan Data'!$M:$M,MATCH(SUBSTITUTE($B24,$L24,"Plan"),'Plan Data'!$B:$B,0))</f>
        <v>0</v>
      </c>
      <c r="T24" s="386">
        <f>INDEX('Plan Data'!$R:$R,MATCH(SUBSTITUTE($B24,$L24,"Plan"),'Plan Data'!$B:$B,0))</f>
        <v>0</v>
      </c>
      <c r="U24" s="387">
        <f>INDEX('Plan Data'!$S:$S,MATCH(SUBSTITUTE($B24,$L24,"Plan"),'Plan Data'!$B:$B,0))</f>
        <v>0</v>
      </c>
      <c r="V24" s="387"/>
      <c r="W24" s="387"/>
      <c r="X24" s="387">
        <f>IFERROR(IFERROR(INDEX('VDSM to BenCost Inputs'!$H:$H,MATCH($B24,'VDSM to BenCost Inputs'!$A:$A,0)),0)/$N24,0)</f>
        <v>0</v>
      </c>
      <c r="Y24" s="388">
        <v>1</v>
      </c>
      <c r="Z24" s="389">
        <v>1</v>
      </c>
      <c r="AA24" s="390"/>
      <c r="AB24" s="391">
        <f>IFERROR(IFERROR(INDEX('VDSM to BenCost Inputs'!$I:$I,MATCH($B24,'VDSM to BenCost Inputs'!$A:$A,0)),0)/$N24,0)</f>
        <v>508</v>
      </c>
      <c r="AC24" s="392">
        <f>IFERROR(IFERROR(INDEX('VDSM to BenCost Inputs'!$J:$J,MATCH($B24,'VDSM to BenCost Inputs'!$A:$A,0)),0)/$N24,0)</f>
        <v>0.19000000000000017</v>
      </c>
      <c r="AD24" s="393">
        <v>0</v>
      </c>
      <c r="AE24" s="394">
        <v>0</v>
      </c>
      <c r="AF24" s="591" t="s">
        <v>3426</v>
      </c>
      <c r="AG24" s="597">
        <v>510.7075737738906</v>
      </c>
      <c r="AH24" s="594">
        <f t="shared" si="4"/>
        <v>-5.3016127289495785E-3</v>
      </c>
      <c r="AI24" s="396">
        <f t="shared" ca="1" si="3"/>
        <v>20828</v>
      </c>
    </row>
    <row r="25" spans="1:35">
      <c r="A25" s="375"/>
      <c r="B25" s="376" t="str">
        <f t="shared" si="0"/>
        <v>Residential_Whole House Efficiency_Various_Residential Kit_2017_Actual</v>
      </c>
      <c r="C25" s="376" t="b">
        <f>ISNUMBER(MATCH(B25,Analysis!B:B,0))</f>
        <v>1</v>
      </c>
      <c r="D25" s="377">
        <f t="shared" si="1"/>
        <v>19</v>
      </c>
      <c r="E25" s="376" t="b">
        <f>COUNTIF($B$7:B25,B25)=1</f>
        <v>1</v>
      </c>
      <c r="F25" s="376" t="b">
        <v>1</v>
      </c>
      <c r="G25" s="378" t="s">
        <v>1</v>
      </c>
      <c r="H25" s="378" t="s">
        <v>147</v>
      </c>
      <c r="I25" s="379" t="s">
        <v>155</v>
      </c>
      <c r="J25" s="379" t="s">
        <v>221</v>
      </c>
      <c r="K25" s="379">
        <v>2017</v>
      </c>
      <c r="L25" s="379" t="s">
        <v>167</v>
      </c>
      <c r="M25" s="380" t="str">
        <f ca="1">INDEX(Analysis!$HB:$HB,MATCH($B25,Analysis!$B:$B,0))</f>
        <v>n/a</v>
      </c>
      <c r="N25" s="381">
        <f>IFERROR(INDEX('VDSM to BenCost Inputs'!$G:$G,MATCH($B25,'VDSM to BenCost Inputs'!$A:$A,0)),0)</f>
        <v>37</v>
      </c>
      <c r="O25" s="382" t="s">
        <v>14</v>
      </c>
      <c r="P25" s="383">
        <f ca="1">INDEX(OFFSET('Program Inputs'!$K$8,,,TotalPrograms),MATCH(SUBSTITUTE($B25,I25&amp;"_"&amp;J25,"*"),OFFSET('Program Inputs'!$B$8,,,TotalPrograms),0))</f>
        <v>1</v>
      </c>
      <c r="Q25" s="383">
        <f t="shared" ca="1" si="2"/>
        <v>37</v>
      </c>
      <c r="R25" s="384">
        <f>INDEX('Plan Data'!$L:$L,MATCH(SUBSTITUTE($B25,$L25,"Plan"),'Plan Data'!$B:$B,0))</f>
        <v>9.7281255987255424</v>
      </c>
      <c r="S25" s="385">
        <f>INDEX('Plan Data'!$M:$M,MATCH(SUBSTITUTE($B25,$L25,"Plan"),'Plan Data'!$B:$B,0))</f>
        <v>0</v>
      </c>
      <c r="T25" s="386">
        <f>INDEX('Plan Data'!$R:$R,MATCH(SUBSTITUTE($B25,$L25,"Plan"),'Plan Data'!$B:$B,0))</f>
        <v>0</v>
      </c>
      <c r="U25" s="387">
        <f>INDEX('Plan Data'!$S:$S,MATCH(SUBSTITUTE($B25,$L25,"Plan"),'Plan Data'!$B:$B,0))</f>
        <v>0</v>
      </c>
      <c r="V25" s="387"/>
      <c r="W25" s="387"/>
      <c r="X25" s="387">
        <f>IFERROR(IFERROR(INDEX('VDSM to BenCost Inputs'!$H:$H,MATCH($B25,'VDSM to BenCost Inputs'!$A:$A,0)),0)/$N25,0)</f>
        <v>0</v>
      </c>
      <c r="Y25" s="388">
        <v>1</v>
      </c>
      <c r="Z25" s="389">
        <v>1</v>
      </c>
      <c r="AA25" s="390"/>
      <c r="AB25" s="391">
        <f>IFERROR(IFERROR(INDEX('VDSM to BenCost Inputs'!$I:$I,MATCH($B25,'VDSM to BenCost Inputs'!$A:$A,0)),0)/$N25,0)</f>
        <v>417</v>
      </c>
      <c r="AC25" s="392">
        <f>IFERROR(IFERROR(INDEX('VDSM to BenCost Inputs'!$J:$J,MATCH($B25,'VDSM to BenCost Inputs'!$A:$A,0)),0)/$N25,0)</f>
        <v>4.4000000000000018E-2</v>
      </c>
      <c r="AD25" s="393">
        <v>0</v>
      </c>
      <c r="AE25" s="394">
        <v>0</v>
      </c>
      <c r="AF25" s="591" t="s">
        <v>3426</v>
      </c>
      <c r="AG25" s="597">
        <v>396.99772038632085</v>
      </c>
      <c r="AH25" s="594">
        <f t="shared" si="4"/>
        <v>5.0383865162285657E-2</v>
      </c>
      <c r="AI25" s="396">
        <f t="shared" ca="1" si="3"/>
        <v>15429</v>
      </c>
    </row>
    <row r="26" spans="1:35">
      <c r="A26" s="375"/>
      <c r="B26" s="376" t="str">
        <f t="shared" si="0"/>
        <v>Residential_Residential Audit_Various_Residential Audit_2017_Actual</v>
      </c>
      <c r="C26" s="376" t="b">
        <f>ISNUMBER(MATCH(B26,Analysis!B:B,0))</f>
        <v>1</v>
      </c>
      <c r="D26" s="377">
        <f t="shared" si="1"/>
        <v>20</v>
      </c>
      <c r="E26" s="376" t="b">
        <f>COUNTIF($B$7:B26,B26)=1</f>
        <v>1</v>
      </c>
      <c r="F26" s="376" t="b">
        <v>1</v>
      </c>
      <c r="G26" s="378" t="s">
        <v>1</v>
      </c>
      <c r="H26" s="378" t="s">
        <v>144</v>
      </c>
      <c r="I26" s="379" t="s">
        <v>155</v>
      </c>
      <c r="J26" s="379" t="s">
        <v>144</v>
      </c>
      <c r="K26" s="379">
        <v>2017</v>
      </c>
      <c r="L26" s="379" t="s">
        <v>167</v>
      </c>
      <c r="M26" s="380" t="str">
        <f ca="1">INDEX(Analysis!$HB:$HB,MATCH($B26,Analysis!$B:$B,0))</f>
        <v>n/a</v>
      </c>
      <c r="N26" s="381">
        <f>IFERROR(INDEX('VDSM to BenCost Inputs'!$G:$G,MATCH($B26,'VDSM to BenCost Inputs'!$A:$A,0)),0)</f>
        <v>491</v>
      </c>
      <c r="O26" s="382" t="s">
        <v>14</v>
      </c>
      <c r="P26" s="383">
        <f ca="1">INDEX(OFFSET('Program Inputs'!$K$8,,,TotalPrograms),MATCH(SUBSTITUTE($B26,I26&amp;"_"&amp;J26,"*"),OFFSET('Program Inputs'!$B$8,,,TotalPrograms),0))</f>
        <v>1</v>
      </c>
      <c r="Q26" s="383">
        <v>225</v>
      </c>
      <c r="R26" s="384">
        <f>INDEX('Plan Data'!$L:$L,MATCH(SUBSTITUTE($B26,$L26,"Plan"),'Plan Data'!$B:$B,0))</f>
        <v>9.7281255987255406</v>
      </c>
      <c r="S26" s="385">
        <f>INDEX('Plan Data'!$M:$M,MATCH(SUBSTITUTE($B26,$L26,"Plan"),'Plan Data'!$B:$B,0))</f>
        <v>0</v>
      </c>
      <c r="T26" s="386">
        <f>INDEX('Plan Data'!$R:$R,MATCH(SUBSTITUTE($B26,$L26,"Plan"),'Plan Data'!$B:$B,0))</f>
        <v>0</v>
      </c>
      <c r="U26" s="387">
        <f>INDEX('Plan Data'!$S:$S,MATCH(SUBSTITUTE($B26,$L26,"Plan"),'Plan Data'!$B:$B,0))</f>
        <v>0</v>
      </c>
      <c r="V26" s="387"/>
      <c r="W26" s="387"/>
      <c r="X26" s="387">
        <f>IFERROR(IFERROR(INDEX('VDSM to BenCost Inputs'!$H:$H,MATCH($B26,'VDSM to BenCost Inputs'!$A:$A,0)),0)/$N26,0)</f>
        <v>0</v>
      </c>
      <c r="Y26" s="388">
        <v>1</v>
      </c>
      <c r="Z26" s="389">
        <v>1</v>
      </c>
      <c r="AA26" s="390"/>
      <c r="AB26" s="391">
        <f>IFERROR(IFERROR(INDEX('VDSM to BenCost Inputs'!$I:$I,MATCH($B26,'VDSM to BenCost Inputs'!$A:$A,0)),0)/$N26,0)</f>
        <v>209</v>
      </c>
      <c r="AC26" s="392">
        <f>IFERROR(IFERROR(INDEX('VDSM to BenCost Inputs'!$J:$J,MATCH($B26,'VDSM to BenCost Inputs'!$A:$A,0)),0)/$N26,0)</f>
        <v>2.1999999999999995E-2</v>
      </c>
      <c r="AD26" s="393">
        <v>0</v>
      </c>
      <c r="AE26" s="394">
        <v>0</v>
      </c>
      <c r="AF26" s="591" t="s">
        <v>3426</v>
      </c>
      <c r="AG26" s="597">
        <v>198.49886019316043</v>
      </c>
      <c r="AH26" s="594">
        <f t="shared" si="4"/>
        <v>5.2902771313753982E-2</v>
      </c>
      <c r="AI26" s="396">
        <f>AB26*Q26</f>
        <v>47025</v>
      </c>
    </row>
    <row r="27" spans="1:35" hidden="1">
      <c r="A27" s="375"/>
      <c r="B27" s="376" t="str">
        <f t="shared" si="0"/>
        <v>Residential_Residential Audit_Various_Residential Kit_2017_Actual</v>
      </c>
      <c r="C27" s="376" t="b">
        <f>ISNUMBER(MATCH(B27,Analysis!B:B,0))</f>
        <v>1</v>
      </c>
      <c r="D27" s="377">
        <f t="shared" si="1"/>
        <v>21</v>
      </c>
      <c r="E27" s="376" t="b">
        <f>COUNTIF($B$7:B27,B27)=1</f>
        <v>1</v>
      </c>
      <c r="F27" s="376" t="b">
        <v>1</v>
      </c>
      <c r="G27" s="378" t="s">
        <v>1</v>
      </c>
      <c r="H27" s="378" t="s">
        <v>144</v>
      </c>
      <c r="I27" s="379" t="s">
        <v>155</v>
      </c>
      <c r="J27" s="379" t="s">
        <v>221</v>
      </c>
      <c r="K27" s="379">
        <v>2017</v>
      </c>
      <c r="L27" s="379" t="s">
        <v>167</v>
      </c>
      <c r="M27" s="380" t="str">
        <f ca="1">INDEX(Analysis!$HB:$HB,MATCH($B27,Analysis!$B:$B,0))</f>
        <v>n/a</v>
      </c>
      <c r="N27" s="381">
        <f>IFERROR(INDEX('VDSM to BenCost Inputs'!$G:$G,MATCH($B27,'VDSM to BenCost Inputs'!$A:$A,0)),0)</f>
        <v>0</v>
      </c>
      <c r="O27" s="382" t="s">
        <v>14</v>
      </c>
      <c r="P27" s="383">
        <f ca="1">INDEX(OFFSET('Program Inputs'!$K$8,,,TotalPrograms),MATCH(SUBSTITUTE($B27,I27&amp;"_"&amp;J27,"*"),OFFSET('Program Inputs'!$B$8,,,TotalPrograms),0))</f>
        <v>1</v>
      </c>
      <c r="Q27" s="383">
        <f t="shared" ca="1" si="2"/>
        <v>0</v>
      </c>
      <c r="R27" s="384">
        <f>INDEX('Plan Data'!$L:$L,MATCH(SUBSTITUTE($B27,$L27,"Plan"),'Plan Data'!$B:$B,0))</f>
        <v>9.7281255987255406</v>
      </c>
      <c r="S27" s="385">
        <f>INDEX('Plan Data'!$M:$M,MATCH(SUBSTITUTE($B27,$L27,"Plan"),'Plan Data'!$B:$B,0))</f>
        <v>0</v>
      </c>
      <c r="T27" s="386">
        <f>INDEX('Plan Data'!$R:$R,MATCH(SUBSTITUTE($B27,$L27,"Plan"),'Plan Data'!$B:$B,0))</f>
        <v>0</v>
      </c>
      <c r="U27" s="387">
        <f>INDEX('Plan Data'!$S:$S,MATCH(SUBSTITUTE($B27,$L27,"Plan"),'Plan Data'!$B:$B,0))</f>
        <v>0</v>
      </c>
      <c r="V27" s="387"/>
      <c r="W27" s="387"/>
      <c r="X27" s="387">
        <f>IFERROR(IFERROR(INDEX('VDSM to BenCost Inputs'!$H:$H,MATCH($B27,'VDSM to BenCost Inputs'!$A:$A,0)),0)/$N27,0)</f>
        <v>0</v>
      </c>
      <c r="Y27" s="388">
        <v>1</v>
      </c>
      <c r="Z27" s="389">
        <v>1</v>
      </c>
      <c r="AA27" s="390"/>
      <c r="AB27" s="391">
        <f>IFERROR(IFERROR(INDEX('VDSM to BenCost Inputs'!$I:$I,MATCH($B27,'VDSM to BenCost Inputs'!$A:$A,0)),0)/$N27,0)</f>
        <v>0</v>
      </c>
      <c r="AC27" s="392">
        <f>IFERROR(IFERROR(INDEX('VDSM to BenCost Inputs'!$J:$J,MATCH($B27,'VDSM to BenCost Inputs'!$A:$A,0)),0)/$N27,0)</f>
        <v>0</v>
      </c>
      <c r="AD27" s="393">
        <v>0</v>
      </c>
      <c r="AE27" s="394">
        <v>0</v>
      </c>
      <c r="AF27" s="591"/>
      <c r="AG27" s="395"/>
      <c r="AH27" s="594" t="str">
        <f t="shared" si="4"/>
        <v/>
      </c>
      <c r="AI27" s="396">
        <f t="shared" ca="1" si="3"/>
        <v>0</v>
      </c>
    </row>
    <row r="28" spans="1:35">
      <c r="A28" s="375"/>
      <c r="B28" s="376" t="str">
        <f>G28&amp;"_"&amp;H28&amp;"_"&amp;I28&amp;"_"&amp;J28&amp;"_"&amp;K28&amp;"_"&amp;L28</f>
        <v>Residential_School-Based Education_Various_EE Kit/Education Materials_2017_Actual</v>
      </c>
      <c r="C28" s="376" t="b">
        <f>ISNUMBER(MATCH(B28,Analysis!B:B,0))</f>
        <v>1</v>
      </c>
      <c r="D28" s="377">
        <f t="shared" si="1"/>
        <v>22</v>
      </c>
      <c r="E28" s="376" t="b">
        <f>COUNTIF($B$7:B28,B28)=1</f>
        <v>1</v>
      </c>
      <c r="F28" s="376" t="b">
        <v>1</v>
      </c>
      <c r="G28" s="378" t="s">
        <v>1</v>
      </c>
      <c r="H28" s="378" t="s">
        <v>224</v>
      </c>
      <c r="I28" s="379" t="s">
        <v>155</v>
      </c>
      <c r="J28" s="379" t="s">
        <v>152</v>
      </c>
      <c r="K28" s="379">
        <v>2017</v>
      </c>
      <c r="L28" s="379" t="s">
        <v>167</v>
      </c>
      <c r="M28" s="380" t="str">
        <f ca="1">INDEX(Analysis!$HB:$HB,MATCH($B28,Analysis!$B:$B,0))</f>
        <v>n/a</v>
      </c>
      <c r="N28" s="381">
        <f>IFERROR(INDEX('VDSM to BenCost Inputs'!$G:$G,MATCH($B28,'VDSM to BenCost Inputs'!$A:$A,0)),0)</f>
        <v>1202</v>
      </c>
      <c r="O28" s="382" t="s">
        <v>14</v>
      </c>
      <c r="P28" s="383">
        <f ca="1">INDEX(OFFSET('Program Inputs'!$K$8,,,TotalPrograms),MATCH(SUBSTITUTE($B28,I28&amp;"_"&amp;J28,"*"),OFFSET('Program Inputs'!$B$8,,,TotalPrograms),0))</f>
        <v>1</v>
      </c>
      <c r="Q28" s="383">
        <f t="shared" ca="1" si="2"/>
        <v>1202</v>
      </c>
      <c r="R28" s="384">
        <f>INDEX('Plan Data'!$L:$L,MATCH(SUBSTITUTE($B28,$L28,"Plan"),'Plan Data'!$B:$B,0))</f>
        <v>5</v>
      </c>
      <c r="S28" s="385">
        <f>INDEX('Plan Data'!$M:$M,MATCH(SUBSTITUTE($B28,$L28,"Plan"),'Plan Data'!$B:$B,0))</f>
        <v>0</v>
      </c>
      <c r="T28" s="386">
        <f>INDEX('Plan Data'!$R:$R,MATCH(SUBSTITUTE($B28,$L28,"Plan"),'Plan Data'!$B:$B,0))</f>
        <v>0</v>
      </c>
      <c r="U28" s="387">
        <f>INDEX('Plan Data'!$S:$S,MATCH(SUBSTITUTE($B28,$L28,"Plan"),'Plan Data'!$B:$B,0))</f>
        <v>0</v>
      </c>
      <c r="V28" s="387"/>
      <c r="W28" s="387"/>
      <c r="X28" s="387">
        <f>IFERROR(IFERROR(INDEX('VDSM to BenCost Inputs'!$H:$H,MATCH($B28,'VDSM to BenCost Inputs'!$A:$A,0)),0)/$N28,0)</f>
        <v>0</v>
      </c>
      <c r="Y28" s="388">
        <v>1</v>
      </c>
      <c r="Z28" s="389">
        <v>1</v>
      </c>
      <c r="AA28" s="390"/>
      <c r="AB28" s="391">
        <f>IFERROR(IFERROR(INDEX('VDSM to BenCost Inputs'!$I:$I,MATCH($B28,'VDSM to BenCost Inputs'!$A:$A,0)),0)/$N28,0)</f>
        <v>397</v>
      </c>
      <c r="AC28" s="392">
        <f>IFERROR(IFERROR(INDEX('VDSM to BenCost Inputs'!$J:$J,MATCH($B28,'VDSM to BenCost Inputs'!$A:$A,0)),0)/$N28,0)</f>
        <v>3.9999999999999987E-2</v>
      </c>
      <c r="AD28" s="393">
        <v>0</v>
      </c>
      <c r="AE28" s="394">
        <v>0</v>
      </c>
      <c r="AF28" s="591" t="s">
        <v>3385</v>
      </c>
      <c r="AG28" s="597">
        <v>396.99772038632085</v>
      </c>
      <c r="AH28" s="594">
        <f t="shared" si="4"/>
        <v>5.7421329193729775E-6</v>
      </c>
      <c r="AI28" s="396">
        <f t="shared" ca="1" si="3"/>
        <v>477194</v>
      </c>
    </row>
    <row r="29" spans="1:35">
      <c r="A29" s="375"/>
      <c r="B29" s="376" t="str">
        <f t="shared" ref="B29:B69" si="5">G29&amp;"_"&amp;H29&amp;"_"&amp;I29&amp;"_"&amp;J29&amp;"_"&amp;K29&amp;"_"&amp;L29</f>
        <v>Residential_Weatherization_Various_Measures_2017_Actual</v>
      </c>
      <c r="C29" s="376" t="b">
        <f>ISNUMBER(MATCH(B29,Analysis!B:B,0))</f>
        <v>1</v>
      </c>
      <c r="D29" s="377">
        <f t="shared" si="1"/>
        <v>23</v>
      </c>
      <c r="E29" s="376" t="b">
        <f>COUNTIF($B$7:B29,B29)=1</f>
        <v>1</v>
      </c>
      <c r="F29" s="376" t="b">
        <v>1</v>
      </c>
      <c r="G29" s="378" t="s">
        <v>1</v>
      </c>
      <c r="H29" s="378" t="s">
        <v>83</v>
      </c>
      <c r="I29" s="379" t="s">
        <v>155</v>
      </c>
      <c r="J29" s="379" t="s">
        <v>283</v>
      </c>
      <c r="K29" s="379">
        <v>2017</v>
      </c>
      <c r="L29" s="379" t="s">
        <v>167</v>
      </c>
      <c r="M29" s="380" t="str">
        <f ca="1">INDEX(Analysis!$HB:$HB,MATCH($B29,Analysis!$B:$B,0))</f>
        <v>n/a</v>
      </c>
      <c r="N29" s="381">
        <f>IFERROR(INDEX('VDSM to BenCost Inputs'!$G:$G,MATCH($B29,'VDSM to BenCost Inputs'!$A:$A,0)),0)</f>
        <v>6</v>
      </c>
      <c r="O29" s="382" t="s">
        <v>14</v>
      </c>
      <c r="P29" s="383">
        <f ca="1">INDEX(OFFSET('Program Inputs'!$K$8,,,TotalPrograms),MATCH(SUBSTITUTE($B29,I29&amp;"_"&amp;J29,"*"),OFFSET('Program Inputs'!$B$8,,,TotalPrograms),0))</f>
        <v>1</v>
      </c>
      <c r="Q29" s="383">
        <f t="shared" ca="1" si="2"/>
        <v>6</v>
      </c>
      <c r="R29" s="384">
        <f>INDEX('Plan Data'!$L:$L,MATCH(SUBSTITUTE($B29,$L29,"Plan"),'Plan Data'!$B:$B,0))</f>
        <v>13.794674520911501</v>
      </c>
      <c r="S29" s="385">
        <f>INDEX('Plan Data'!$M:$M,MATCH(SUBSTITUTE($B29,$L29,"Plan"),'Plan Data'!$B:$B,0))</f>
        <v>0</v>
      </c>
      <c r="T29" s="386">
        <f>INDEX('Plan Data'!$R:$R,MATCH(SUBSTITUTE($B29,$L29,"Plan"),'Plan Data'!$B:$B,0))</f>
        <v>0</v>
      </c>
      <c r="U29" s="387">
        <f>INDEX('Plan Data'!$S:$S,MATCH(SUBSTITUTE($B29,$L29,"Plan"),'Plan Data'!$B:$B,0))</f>
        <v>0</v>
      </c>
      <c r="V29" s="387"/>
      <c r="W29" s="387"/>
      <c r="X29" s="387">
        <f>IFERROR(IFERROR(INDEX('VDSM to BenCost Inputs'!$H:$H,MATCH($B29,'VDSM to BenCost Inputs'!$A:$A,0)),0)/$N29,0)</f>
        <v>0</v>
      </c>
      <c r="Y29" s="388">
        <v>1</v>
      </c>
      <c r="Z29" s="389">
        <v>1</v>
      </c>
      <c r="AA29" s="390"/>
      <c r="AB29" s="391">
        <f>IFERROR(IFERROR(INDEX('VDSM to BenCost Inputs'!$I:$I,MATCH($B29,'VDSM to BenCost Inputs'!$A:$A,0)),0)/$N29,0)</f>
        <v>865</v>
      </c>
      <c r="AC29" s="392">
        <f>IFERROR(IFERROR(INDEX('VDSM to BenCost Inputs'!$J:$J,MATCH($B29,'VDSM to BenCost Inputs'!$A:$A,0)),0)/$N29,0)</f>
        <v>0.155</v>
      </c>
      <c r="AD29" s="393">
        <v>0</v>
      </c>
      <c r="AE29" s="394">
        <v>0</v>
      </c>
      <c r="AF29" s="591" t="s">
        <v>3385</v>
      </c>
      <c r="AG29" s="597">
        <v>865.1995202743251</v>
      </c>
      <c r="AH29" s="594">
        <f t="shared" si="4"/>
        <v>-2.3060608524361204E-4</v>
      </c>
      <c r="AI29" s="396">
        <f t="shared" ca="1" si="3"/>
        <v>5190</v>
      </c>
    </row>
    <row r="30" spans="1:35">
      <c r="A30" s="375"/>
      <c r="B30" s="376" t="str">
        <f t="shared" si="5"/>
        <v>Residential_Weatherization_Various_Residential Kit_2017_Actual</v>
      </c>
      <c r="C30" s="376" t="b">
        <f>ISNUMBER(MATCH(B30,Analysis!B:B,0))</f>
        <v>1</v>
      </c>
      <c r="D30" s="377">
        <f t="shared" si="1"/>
        <v>24</v>
      </c>
      <c r="E30" s="376" t="b">
        <f>COUNTIF($B$7:B30,B30)=1</f>
        <v>1</v>
      </c>
      <c r="F30" s="376" t="b">
        <v>1</v>
      </c>
      <c r="G30" s="378" t="s">
        <v>1</v>
      </c>
      <c r="H30" s="378" t="s">
        <v>83</v>
      </c>
      <c r="I30" s="379" t="s">
        <v>155</v>
      </c>
      <c r="J30" s="379" t="s">
        <v>221</v>
      </c>
      <c r="K30" s="379">
        <v>2017</v>
      </c>
      <c r="L30" s="379" t="s">
        <v>167</v>
      </c>
      <c r="M30" s="380" t="str">
        <f ca="1">INDEX(Analysis!$HB:$HB,MATCH($B30,Analysis!$B:$B,0))</f>
        <v>n/a</v>
      </c>
      <c r="N30" s="381">
        <f>IFERROR(INDEX('VDSM to BenCost Inputs'!$G:$G,MATCH($B30,'VDSM to BenCost Inputs'!$A:$A,0)),0)</f>
        <v>6</v>
      </c>
      <c r="O30" s="382" t="s">
        <v>14</v>
      </c>
      <c r="P30" s="383">
        <f ca="1">INDEX(OFFSET('Program Inputs'!$K$8,,,TotalPrograms),MATCH(SUBSTITUTE($B30,I30&amp;"_"&amp;J30,"*"),OFFSET('Program Inputs'!$B$8,,,TotalPrograms),0))</f>
        <v>1</v>
      </c>
      <c r="Q30" s="383">
        <f t="shared" ca="1" si="2"/>
        <v>6</v>
      </c>
      <c r="R30" s="384">
        <f>INDEX('Plan Data'!$L:$L,MATCH(SUBSTITUTE($B30,$L30,"Plan"),'Plan Data'!$B:$B,0))</f>
        <v>9.7281255987255424</v>
      </c>
      <c r="S30" s="385">
        <f>INDEX('Plan Data'!$M:$M,MATCH(SUBSTITUTE($B30,$L30,"Plan"),'Plan Data'!$B:$B,0))</f>
        <v>0</v>
      </c>
      <c r="T30" s="386">
        <f>INDEX('Plan Data'!$R:$R,MATCH(SUBSTITUTE($B30,$L30,"Plan"),'Plan Data'!$B:$B,0))</f>
        <v>0</v>
      </c>
      <c r="U30" s="387">
        <f>INDEX('Plan Data'!$S:$S,MATCH(SUBSTITUTE($B30,$L30,"Plan"),'Plan Data'!$B:$B,0))</f>
        <v>0</v>
      </c>
      <c r="V30" s="387"/>
      <c r="W30" s="387"/>
      <c r="X30" s="387">
        <f>IFERROR(IFERROR(INDEX('VDSM to BenCost Inputs'!$H:$H,MATCH($B30,'VDSM to BenCost Inputs'!$A:$A,0)),0)/$N30,0)</f>
        <v>0</v>
      </c>
      <c r="Y30" s="388">
        <v>1</v>
      </c>
      <c r="Z30" s="389">
        <v>1</v>
      </c>
      <c r="AA30" s="390"/>
      <c r="AB30" s="391">
        <f>IFERROR(IFERROR(INDEX('VDSM to BenCost Inputs'!$I:$I,MATCH($B30,'VDSM to BenCost Inputs'!$A:$A,0)),0)/$N30,0)</f>
        <v>417</v>
      </c>
      <c r="AC30" s="392">
        <f>IFERROR(IFERROR(INDEX('VDSM to BenCost Inputs'!$J:$J,MATCH($B30,'VDSM to BenCost Inputs'!$A:$A,0)),0)/$N30,0)</f>
        <v>4.3999999999999991E-2</v>
      </c>
      <c r="AD30" s="393">
        <v>0</v>
      </c>
      <c r="AE30" s="394">
        <v>0</v>
      </c>
      <c r="AF30" s="591" t="s">
        <v>3426</v>
      </c>
      <c r="AG30" s="597">
        <v>396.99772038632085</v>
      </c>
      <c r="AH30" s="594">
        <f t="shared" si="4"/>
        <v>5.0383865162285657E-2</v>
      </c>
      <c r="AI30" s="396">
        <f t="shared" ca="1" si="3"/>
        <v>2502</v>
      </c>
    </row>
    <row r="31" spans="1:35" hidden="1">
      <c r="A31" s="375"/>
      <c r="B31" s="376" t="str">
        <f t="shared" si="5"/>
        <v>C&amp;I_C&amp;I Prescriptive_Lighting_High Bay Fluorescent Fixture w/ HE Electronic Ballast (T5 4-6 lamp)_2017_Actual</v>
      </c>
      <c r="C31" s="376" t="b">
        <f>ISNUMBER(MATCH(B31,Analysis!B:B,0))</f>
        <v>1</v>
      </c>
      <c r="D31" s="377">
        <f t="shared" si="1"/>
        <v>25</v>
      </c>
      <c r="E31" s="376" t="b">
        <f>COUNTIF($B$7:B31,B31)=1</f>
        <v>1</v>
      </c>
      <c r="F31" s="376" t="b">
        <v>1</v>
      </c>
      <c r="G31" s="378" t="s">
        <v>142</v>
      </c>
      <c r="H31" s="378" t="s">
        <v>228</v>
      </c>
      <c r="I31" s="379" t="s">
        <v>86</v>
      </c>
      <c r="J31" s="379" t="s">
        <v>229</v>
      </c>
      <c r="K31" s="379">
        <v>2017</v>
      </c>
      <c r="L31" s="379" t="s">
        <v>167</v>
      </c>
      <c r="M31" s="380" t="str">
        <f ca="1">INDEX(Analysis!$HB:$HB,MATCH($B31,Analysis!$B:$B,0))</f>
        <v>n/a</v>
      </c>
      <c r="N31" s="381">
        <f>IFERROR(INDEX('VDSM to BenCost Inputs'!$G:$G,MATCH($B31,'VDSM to BenCost Inputs'!$A:$A,0)),0)</f>
        <v>0</v>
      </c>
      <c r="O31" s="382" t="s">
        <v>14</v>
      </c>
      <c r="P31" s="383">
        <f ca="1">INDEX(OFFSET('Program Inputs'!$K$8,,,TotalPrograms),MATCH(SUBSTITUTE($B31,I31&amp;"_"&amp;J31,"*"),OFFSET('Program Inputs'!$B$8,,,TotalPrograms),0))</f>
        <v>1</v>
      </c>
      <c r="Q31" s="383">
        <f t="shared" ca="1" si="2"/>
        <v>0</v>
      </c>
      <c r="R31" s="384">
        <f>INDEX('Plan Data'!$L:$L,MATCH(SUBSTITUTE($B31,$L31,"Plan"),'Plan Data'!$B:$B,0))</f>
        <v>15</v>
      </c>
      <c r="S31" s="385">
        <f>INDEX('Plan Data'!$M:$M,MATCH(SUBSTITUTE($B31,$L31,"Plan"),'Plan Data'!$B:$B,0))</f>
        <v>0</v>
      </c>
      <c r="T31" s="386">
        <f>INDEX('Plan Data'!$R:$R,MATCH(SUBSTITUTE($B31,$L31,"Plan"),'Plan Data'!$B:$B,0))</f>
        <v>17.879999999999995</v>
      </c>
      <c r="U31" s="387">
        <f>INDEX('Plan Data'!$S:$S,MATCH(SUBSTITUTE($B31,$L31,"Plan"),'Plan Data'!$B:$B,0))</f>
        <v>0</v>
      </c>
      <c r="V31" s="387"/>
      <c r="W31" s="387"/>
      <c r="X31" s="387">
        <f>IFERROR(IFERROR(INDEX('VDSM to BenCost Inputs'!$H:$H,MATCH($B31,'VDSM to BenCost Inputs'!$A:$A,0)),0)/$N31,0)</f>
        <v>0</v>
      </c>
      <c r="Y31" s="388">
        <v>1</v>
      </c>
      <c r="Z31" s="389">
        <v>1</v>
      </c>
      <c r="AA31" s="390"/>
      <c r="AB31" s="391">
        <f>IFERROR(IFERROR(INDEX('VDSM to BenCost Inputs'!$I:$I,MATCH($B31,'VDSM to BenCost Inputs'!$A:$A,0)),0)/$N31,0)</f>
        <v>0</v>
      </c>
      <c r="AC31" s="392">
        <f>IFERROR(IFERROR(INDEX('VDSM to BenCost Inputs'!$J:$J,MATCH($B31,'VDSM to BenCost Inputs'!$A:$A,0)),0)/$N31,0)</f>
        <v>0</v>
      </c>
      <c r="AD31" s="393">
        <v>0</v>
      </c>
      <c r="AE31" s="394">
        <v>0</v>
      </c>
      <c r="AF31" s="591"/>
      <c r="AG31" s="395"/>
      <c r="AH31" s="594" t="str">
        <f t="shared" si="4"/>
        <v/>
      </c>
      <c r="AI31" s="396">
        <f t="shared" ca="1" si="3"/>
        <v>0</v>
      </c>
    </row>
    <row r="32" spans="1:35" hidden="1">
      <c r="A32" s="375"/>
      <c r="B32" s="376" t="str">
        <f t="shared" si="5"/>
        <v>C&amp;I_C&amp;I Prescriptive_Lighting_High Bay Fluorescent Fixture w/ HE Electronic Ballast (T5 8-lamp)_2017_Actual</v>
      </c>
      <c r="C32" s="376" t="b">
        <f>ISNUMBER(MATCH(B32,Analysis!B:B,0))</f>
        <v>1</v>
      </c>
      <c r="D32" s="377">
        <f t="shared" si="1"/>
        <v>26</v>
      </c>
      <c r="E32" s="376" t="b">
        <f>COUNTIF($B$7:B32,B32)=1</f>
        <v>1</v>
      </c>
      <c r="F32" s="376" t="b">
        <v>1</v>
      </c>
      <c r="G32" s="378" t="s">
        <v>142</v>
      </c>
      <c r="H32" s="378" t="s">
        <v>228</v>
      </c>
      <c r="I32" s="379" t="s">
        <v>86</v>
      </c>
      <c r="J32" s="379" t="s">
        <v>230</v>
      </c>
      <c r="K32" s="379">
        <v>2017</v>
      </c>
      <c r="L32" s="379" t="s">
        <v>167</v>
      </c>
      <c r="M32" s="380" t="str">
        <f ca="1">INDEX(Analysis!$HB:$HB,MATCH($B32,Analysis!$B:$B,0))</f>
        <v>n/a</v>
      </c>
      <c r="N32" s="381">
        <f>IFERROR(INDEX('VDSM to BenCost Inputs'!$G:$G,MATCH($B32,'VDSM to BenCost Inputs'!$A:$A,0)),0)</f>
        <v>0</v>
      </c>
      <c r="O32" s="382" t="s">
        <v>14</v>
      </c>
      <c r="P32" s="383">
        <f ca="1">INDEX(OFFSET('Program Inputs'!$K$8,,,TotalPrograms),MATCH(SUBSTITUTE($B32,I32&amp;"_"&amp;J32,"*"),OFFSET('Program Inputs'!$B$8,,,TotalPrograms),0))</f>
        <v>1</v>
      </c>
      <c r="Q32" s="383">
        <f t="shared" ca="1" si="2"/>
        <v>0</v>
      </c>
      <c r="R32" s="384">
        <f>INDEX('Plan Data'!$L:$L,MATCH(SUBSTITUTE($B32,$L32,"Plan"),'Plan Data'!$B:$B,0))</f>
        <v>15</v>
      </c>
      <c r="S32" s="385">
        <f>INDEX('Plan Data'!$M:$M,MATCH(SUBSTITUTE($B32,$L32,"Plan"),'Plan Data'!$B:$B,0))</f>
        <v>0</v>
      </c>
      <c r="T32" s="386">
        <f>INDEX('Plan Data'!$R:$R,MATCH(SUBSTITUTE($B32,$L32,"Plan"),'Plan Data'!$B:$B,0))</f>
        <v>101.81</v>
      </c>
      <c r="U32" s="387">
        <f>INDEX('Plan Data'!$S:$S,MATCH(SUBSTITUTE($B32,$L32,"Plan"),'Plan Data'!$B:$B,0))</f>
        <v>0</v>
      </c>
      <c r="V32" s="387"/>
      <c r="W32" s="387"/>
      <c r="X32" s="387">
        <f>IFERROR(IFERROR(INDEX('VDSM to BenCost Inputs'!$H:$H,MATCH($B32,'VDSM to BenCost Inputs'!$A:$A,0)),0)/$N32,0)</f>
        <v>0</v>
      </c>
      <c r="Y32" s="388">
        <v>1</v>
      </c>
      <c r="Z32" s="389">
        <v>1</v>
      </c>
      <c r="AA32" s="390"/>
      <c r="AB32" s="391">
        <f>IFERROR(IFERROR(INDEX('VDSM to BenCost Inputs'!$I:$I,MATCH($B32,'VDSM to BenCost Inputs'!$A:$A,0)),0)/$N32,0)</f>
        <v>0</v>
      </c>
      <c r="AC32" s="392">
        <f>IFERROR(IFERROR(INDEX('VDSM to BenCost Inputs'!$J:$J,MATCH($B32,'VDSM to BenCost Inputs'!$A:$A,0)),0)/$N32,0)</f>
        <v>0</v>
      </c>
      <c r="AD32" s="393">
        <v>0</v>
      </c>
      <c r="AE32" s="394">
        <v>0</v>
      </c>
      <c r="AF32" s="591"/>
      <c r="AG32" s="395"/>
      <c r="AH32" s="594" t="str">
        <f t="shared" si="4"/>
        <v/>
      </c>
      <c r="AI32" s="396">
        <f t="shared" ca="1" si="3"/>
        <v>0</v>
      </c>
    </row>
    <row r="33" spans="1:35" hidden="1">
      <c r="A33" s="375"/>
      <c r="B33" s="376" t="str">
        <f t="shared" si="5"/>
        <v>C&amp;I_C&amp;I Prescriptive_Lighting_High Bay Fluorescent Fixture w/ HE Electronic Ballast (T5 10-lamp)_2017_Actual</v>
      </c>
      <c r="C33" s="376" t="b">
        <f>ISNUMBER(MATCH(B33,Analysis!B:B,0))</f>
        <v>1</v>
      </c>
      <c r="D33" s="377">
        <f t="shared" si="1"/>
        <v>27</v>
      </c>
      <c r="E33" s="376" t="b">
        <f>COUNTIF($B$7:B33,B33)=1</f>
        <v>1</v>
      </c>
      <c r="F33" s="376" t="b">
        <v>1</v>
      </c>
      <c r="G33" s="378" t="s">
        <v>142</v>
      </c>
      <c r="H33" s="378" t="s">
        <v>228</v>
      </c>
      <c r="I33" s="379" t="s">
        <v>86</v>
      </c>
      <c r="J33" s="379" t="s">
        <v>231</v>
      </c>
      <c r="K33" s="379">
        <v>2017</v>
      </c>
      <c r="L33" s="379" t="s">
        <v>167</v>
      </c>
      <c r="M33" s="380" t="str">
        <f ca="1">INDEX(Analysis!$HB:$HB,MATCH($B33,Analysis!$B:$B,0))</f>
        <v>n/a</v>
      </c>
      <c r="N33" s="381">
        <f>IFERROR(INDEX('VDSM to BenCost Inputs'!$G:$G,MATCH($B33,'VDSM to BenCost Inputs'!$A:$A,0)),0)</f>
        <v>0</v>
      </c>
      <c r="O33" s="382" t="s">
        <v>14</v>
      </c>
      <c r="P33" s="383">
        <f ca="1">INDEX(OFFSET('Program Inputs'!$K$8,,,TotalPrograms),MATCH(SUBSTITUTE($B33,I33&amp;"_"&amp;J33,"*"),OFFSET('Program Inputs'!$B$8,,,TotalPrograms),0))</f>
        <v>1</v>
      </c>
      <c r="Q33" s="383">
        <f t="shared" ca="1" si="2"/>
        <v>0</v>
      </c>
      <c r="R33" s="384">
        <f>INDEX('Plan Data'!$L:$L,MATCH(SUBSTITUTE($B33,$L33,"Plan"),'Plan Data'!$B:$B,0))</f>
        <v>15</v>
      </c>
      <c r="S33" s="385">
        <f>INDEX('Plan Data'!$M:$M,MATCH(SUBSTITUTE($B33,$L33,"Plan"),'Plan Data'!$B:$B,0))</f>
        <v>0</v>
      </c>
      <c r="T33" s="386">
        <f>INDEX('Plan Data'!$R:$R,MATCH(SUBSTITUTE($B33,$L33,"Plan"),'Plan Data'!$B:$B,0))</f>
        <v>137.31</v>
      </c>
      <c r="U33" s="387">
        <f>INDEX('Plan Data'!$S:$S,MATCH(SUBSTITUTE($B33,$L33,"Plan"),'Plan Data'!$B:$B,0))</f>
        <v>0</v>
      </c>
      <c r="V33" s="387"/>
      <c r="W33" s="387"/>
      <c r="X33" s="387">
        <f>IFERROR(IFERROR(INDEX('VDSM to BenCost Inputs'!$H:$H,MATCH($B33,'VDSM to BenCost Inputs'!$A:$A,0)),0)/$N33,0)</f>
        <v>0</v>
      </c>
      <c r="Y33" s="388">
        <v>1</v>
      </c>
      <c r="Z33" s="389">
        <v>1</v>
      </c>
      <c r="AA33" s="390"/>
      <c r="AB33" s="391">
        <f>IFERROR(IFERROR(INDEX('VDSM to BenCost Inputs'!$I:$I,MATCH($B33,'VDSM to BenCost Inputs'!$A:$A,0)),0)/$N33,0)</f>
        <v>0</v>
      </c>
      <c r="AC33" s="392">
        <f>IFERROR(IFERROR(INDEX('VDSM to BenCost Inputs'!$J:$J,MATCH($B33,'VDSM to BenCost Inputs'!$A:$A,0)),0)/$N33,0)</f>
        <v>0</v>
      </c>
      <c r="AD33" s="393">
        <v>0</v>
      </c>
      <c r="AE33" s="394">
        <v>0</v>
      </c>
      <c r="AF33" s="591"/>
      <c r="AG33" s="395"/>
      <c r="AH33" s="594" t="str">
        <f t="shared" si="4"/>
        <v/>
      </c>
      <c r="AI33" s="396">
        <f t="shared" ca="1" si="3"/>
        <v>0</v>
      </c>
    </row>
    <row r="34" spans="1:35" hidden="1">
      <c r="A34" s="375"/>
      <c r="B34" s="376" t="str">
        <f t="shared" si="5"/>
        <v>C&amp;I_C&amp;I Prescriptive_Lighting_High Bay Fluorescent Fixture w/ HE Electronic Ballast (T8 6-8 lamp)_2017_Actual</v>
      </c>
      <c r="C34" s="376" t="b">
        <f>ISNUMBER(MATCH(B34,Analysis!B:B,0))</f>
        <v>1</v>
      </c>
      <c r="D34" s="377">
        <f t="shared" si="1"/>
        <v>28</v>
      </c>
      <c r="E34" s="376" t="b">
        <f>COUNTIF($B$7:B34,B34)=1</f>
        <v>1</v>
      </c>
      <c r="F34" s="376" t="b">
        <v>1</v>
      </c>
      <c r="G34" s="378" t="s">
        <v>142</v>
      </c>
      <c r="H34" s="378" t="s">
        <v>228</v>
      </c>
      <c r="I34" s="379" t="s">
        <v>86</v>
      </c>
      <c r="J34" s="379" t="s">
        <v>232</v>
      </c>
      <c r="K34" s="379">
        <v>2017</v>
      </c>
      <c r="L34" s="379" t="s">
        <v>167</v>
      </c>
      <c r="M34" s="380" t="str">
        <f ca="1">INDEX(Analysis!$HB:$HB,MATCH($B34,Analysis!$B:$B,0))</f>
        <v>n/a</v>
      </c>
      <c r="N34" s="381">
        <f>IFERROR(INDEX('VDSM to BenCost Inputs'!$G:$G,MATCH($B34,'VDSM to BenCost Inputs'!$A:$A,0)),0)</f>
        <v>0</v>
      </c>
      <c r="O34" s="382" t="s">
        <v>14</v>
      </c>
      <c r="P34" s="383">
        <f ca="1">INDEX(OFFSET('Program Inputs'!$K$8,,,TotalPrograms),MATCH(SUBSTITUTE($B34,I34&amp;"_"&amp;J34,"*"),OFFSET('Program Inputs'!$B$8,,,TotalPrograms),0))</f>
        <v>1</v>
      </c>
      <c r="Q34" s="383">
        <f t="shared" ca="1" si="2"/>
        <v>0</v>
      </c>
      <c r="R34" s="384">
        <f>INDEX('Plan Data'!$L:$L,MATCH(SUBSTITUTE($B34,$L34,"Plan"),'Plan Data'!$B:$B,0))</f>
        <v>15</v>
      </c>
      <c r="S34" s="385">
        <f>INDEX('Plan Data'!$M:$M,MATCH(SUBSTITUTE($B34,$L34,"Plan"),'Plan Data'!$B:$B,0))</f>
        <v>0</v>
      </c>
      <c r="T34" s="386">
        <f>INDEX('Plan Data'!$R:$R,MATCH(SUBSTITUTE($B34,$L34,"Plan"),'Plan Data'!$B:$B,0))</f>
        <v>85</v>
      </c>
      <c r="U34" s="387">
        <f>INDEX('Plan Data'!$S:$S,MATCH(SUBSTITUTE($B34,$L34,"Plan"),'Plan Data'!$B:$B,0))</f>
        <v>0</v>
      </c>
      <c r="V34" s="387"/>
      <c r="W34" s="387"/>
      <c r="X34" s="387">
        <f>IFERROR(IFERROR(INDEX('VDSM to BenCost Inputs'!$H:$H,MATCH($B34,'VDSM to BenCost Inputs'!$A:$A,0)),0)/$N34,0)</f>
        <v>0</v>
      </c>
      <c r="Y34" s="388">
        <v>1</v>
      </c>
      <c r="Z34" s="389">
        <v>1</v>
      </c>
      <c r="AA34" s="390"/>
      <c r="AB34" s="391">
        <f>IFERROR(IFERROR(INDEX('VDSM to BenCost Inputs'!$I:$I,MATCH($B34,'VDSM to BenCost Inputs'!$A:$A,0)),0)/$N34,0)</f>
        <v>0</v>
      </c>
      <c r="AC34" s="392">
        <f>IFERROR(IFERROR(INDEX('VDSM to BenCost Inputs'!$J:$J,MATCH($B34,'VDSM to BenCost Inputs'!$A:$A,0)),0)/$N34,0)</f>
        <v>0</v>
      </c>
      <c r="AD34" s="393">
        <v>0</v>
      </c>
      <c r="AE34" s="394">
        <v>0</v>
      </c>
      <c r="AF34" s="591"/>
      <c r="AG34" s="395"/>
      <c r="AH34" s="594" t="str">
        <f t="shared" si="4"/>
        <v/>
      </c>
      <c r="AI34" s="396">
        <f t="shared" ca="1" si="3"/>
        <v>0</v>
      </c>
    </row>
    <row r="35" spans="1:35" hidden="1">
      <c r="A35" s="375"/>
      <c r="B35" s="376" t="str">
        <f t="shared" si="5"/>
        <v>C&amp;I_C&amp;I Prescriptive_Lighting_High Bay Fluorescent Fixture w/ HE Electronic Ballast (T8 12-16 lamp)_2017_Actual</v>
      </c>
      <c r="C35" s="376" t="b">
        <f>ISNUMBER(MATCH(B35,Analysis!B:B,0))</f>
        <v>1</v>
      </c>
      <c r="D35" s="377">
        <f t="shared" si="1"/>
        <v>29</v>
      </c>
      <c r="E35" s="376" t="b">
        <f>COUNTIF($B$7:B35,B35)=1</f>
        <v>1</v>
      </c>
      <c r="F35" s="376" t="b">
        <v>1</v>
      </c>
      <c r="G35" s="378" t="s">
        <v>142</v>
      </c>
      <c r="H35" s="378" t="s">
        <v>228</v>
      </c>
      <c r="I35" s="379" t="s">
        <v>86</v>
      </c>
      <c r="J35" s="379" t="s">
        <v>233</v>
      </c>
      <c r="K35" s="379">
        <v>2017</v>
      </c>
      <c r="L35" s="379" t="s">
        <v>167</v>
      </c>
      <c r="M35" s="380" t="str">
        <f ca="1">INDEX(Analysis!$HB:$HB,MATCH($B35,Analysis!$B:$B,0))</f>
        <v>n/a</v>
      </c>
      <c r="N35" s="381">
        <f>IFERROR(INDEX('VDSM to BenCost Inputs'!$G:$G,MATCH($B35,'VDSM to BenCost Inputs'!$A:$A,0)),0)</f>
        <v>0</v>
      </c>
      <c r="O35" s="382" t="s">
        <v>14</v>
      </c>
      <c r="P35" s="383">
        <f ca="1">INDEX(OFFSET('Program Inputs'!$K$8,,,TotalPrograms),MATCH(SUBSTITUTE($B35,I35&amp;"_"&amp;J35,"*"),OFFSET('Program Inputs'!$B$8,,,TotalPrograms),0))</f>
        <v>1</v>
      </c>
      <c r="Q35" s="383">
        <f t="shared" ca="1" si="2"/>
        <v>0</v>
      </c>
      <c r="R35" s="384">
        <f>INDEX('Plan Data'!$L:$L,MATCH(SUBSTITUTE($B35,$L35,"Plan"),'Plan Data'!$B:$B,0))</f>
        <v>15</v>
      </c>
      <c r="S35" s="385">
        <f>INDEX('Plan Data'!$M:$M,MATCH(SUBSTITUTE($B35,$L35,"Plan"),'Plan Data'!$B:$B,0))</f>
        <v>0</v>
      </c>
      <c r="T35" s="386">
        <f>INDEX('Plan Data'!$R:$R,MATCH(SUBSTITUTE($B35,$L35,"Plan"),'Plan Data'!$B:$B,0))</f>
        <v>127.5</v>
      </c>
      <c r="U35" s="387">
        <f>INDEX('Plan Data'!$S:$S,MATCH(SUBSTITUTE($B35,$L35,"Plan"),'Plan Data'!$B:$B,0))</f>
        <v>0</v>
      </c>
      <c r="V35" s="387"/>
      <c r="W35" s="387"/>
      <c r="X35" s="387">
        <f>IFERROR(IFERROR(INDEX('VDSM to BenCost Inputs'!$H:$H,MATCH($B35,'VDSM to BenCost Inputs'!$A:$A,0)),0)/$N35,0)</f>
        <v>0</v>
      </c>
      <c r="Y35" s="388">
        <v>1</v>
      </c>
      <c r="Z35" s="389">
        <v>1</v>
      </c>
      <c r="AA35" s="390"/>
      <c r="AB35" s="391">
        <f>IFERROR(IFERROR(INDEX('VDSM to BenCost Inputs'!$I:$I,MATCH($B35,'VDSM to BenCost Inputs'!$A:$A,0)),0)/$N35,0)</f>
        <v>0</v>
      </c>
      <c r="AC35" s="392">
        <f>IFERROR(IFERROR(INDEX('VDSM to BenCost Inputs'!$J:$J,MATCH($B35,'VDSM to BenCost Inputs'!$A:$A,0)),0)/$N35,0)</f>
        <v>0</v>
      </c>
      <c r="AD35" s="393">
        <v>0</v>
      </c>
      <c r="AE35" s="394">
        <v>0</v>
      </c>
      <c r="AF35" s="591"/>
      <c r="AG35" s="395"/>
      <c r="AH35" s="594" t="str">
        <f t="shared" si="4"/>
        <v/>
      </c>
      <c r="AI35" s="396">
        <f t="shared" ca="1" si="3"/>
        <v>0</v>
      </c>
    </row>
    <row r="36" spans="1:35" hidden="1">
      <c r="A36" s="375"/>
      <c r="B36" s="376" t="str">
        <f t="shared" si="5"/>
        <v>C&amp;I_C&amp;I Prescriptive_Lighting_Low-Wattage T8 _2017_Actual</v>
      </c>
      <c r="C36" s="376" t="b">
        <f>ISNUMBER(MATCH(B36,Analysis!B:B,0))</f>
        <v>1</v>
      </c>
      <c r="D36" s="377">
        <f t="shared" si="1"/>
        <v>30</v>
      </c>
      <c r="E36" s="376" t="b">
        <f>COUNTIF($B$7:B36,B36)=1</f>
        <v>1</v>
      </c>
      <c r="F36" s="376" t="b">
        <v>1</v>
      </c>
      <c r="G36" s="378" t="s">
        <v>142</v>
      </c>
      <c r="H36" s="378" t="s">
        <v>228</v>
      </c>
      <c r="I36" s="379" t="s">
        <v>86</v>
      </c>
      <c r="J36" s="379" t="s">
        <v>237</v>
      </c>
      <c r="K36" s="379">
        <v>2017</v>
      </c>
      <c r="L36" s="379" t="s">
        <v>167</v>
      </c>
      <c r="M36" s="380" t="str">
        <f ca="1">INDEX(Analysis!$HB:$HB,MATCH($B36,Analysis!$B:$B,0))</f>
        <v>n/a</v>
      </c>
      <c r="N36" s="381">
        <f>IFERROR(INDEX('VDSM to BenCost Inputs'!$G:$G,MATCH($B36,'VDSM to BenCost Inputs'!$A:$A,0)),0)</f>
        <v>0</v>
      </c>
      <c r="O36" s="382" t="s">
        <v>14</v>
      </c>
      <c r="P36" s="383">
        <f ca="1">INDEX(OFFSET('Program Inputs'!$K$8,,,TotalPrograms),MATCH(SUBSTITUTE($B36,I36&amp;"_"&amp;J36,"*"),OFFSET('Program Inputs'!$B$8,,,TotalPrograms),0))</f>
        <v>1</v>
      </c>
      <c r="Q36" s="383">
        <f t="shared" ca="1" si="2"/>
        <v>0</v>
      </c>
      <c r="R36" s="384">
        <f>INDEX('Plan Data'!$L:$L,MATCH(SUBSTITUTE($B36,$L36,"Plan"),'Plan Data'!$B:$B,0))</f>
        <v>8</v>
      </c>
      <c r="S36" s="385">
        <f>INDEX('Plan Data'!$M:$M,MATCH(SUBSTITUTE($B36,$L36,"Plan"),'Plan Data'!$B:$B,0))</f>
        <v>0</v>
      </c>
      <c r="T36" s="386">
        <f>INDEX('Plan Data'!$R:$R,MATCH(SUBSTITUTE($B36,$L36,"Plan"),'Plan Data'!$B:$B,0))</f>
        <v>2</v>
      </c>
      <c r="U36" s="387">
        <f>INDEX('Plan Data'!$S:$S,MATCH(SUBSTITUTE($B36,$L36,"Plan"),'Plan Data'!$B:$B,0))</f>
        <v>0</v>
      </c>
      <c r="V36" s="387"/>
      <c r="W36" s="387"/>
      <c r="X36" s="387">
        <f>IFERROR(IFERROR(INDEX('VDSM to BenCost Inputs'!$H:$H,MATCH($B36,'VDSM to BenCost Inputs'!$A:$A,0)),0)/$N36,0)</f>
        <v>0</v>
      </c>
      <c r="Y36" s="388">
        <v>1</v>
      </c>
      <c r="Z36" s="389">
        <v>1</v>
      </c>
      <c r="AA36" s="390"/>
      <c r="AB36" s="391">
        <f>IFERROR(IFERROR(INDEX('VDSM to BenCost Inputs'!$I:$I,MATCH($B36,'VDSM to BenCost Inputs'!$A:$A,0)),0)/$N36,0)</f>
        <v>0</v>
      </c>
      <c r="AC36" s="392">
        <f>IFERROR(IFERROR(INDEX('VDSM to BenCost Inputs'!$J:$J,MATCH($B36,'VDSM to BenCost Inputs'!$A:$A,0)),0)/$N36,0)</f>
        <v>0</v>
      </c>
      <c r="AD36" s="393">
        <v>0</v>
      </c>
      <c r="AE36" s="394">
        <v>0</v>
      </c>
      <c r="AF36" s="591"/>
      <c r="AG36" s="395"/>
      <c r="AH36" s="594" t="str">
        <f t="shared" si="4"/>
        <v/>
      </c>
      <c r="AI36" s="396">
        <f t="shared" ca="1" si="3"/>
        <v>0</v>
      </c>
    </row>
    <row r="37" spans="1:35" hidden="1">
      <c r="A37" s="375"/>
      <c r="B37" s="376" t="str">
        <f t="shared" si="5"/>
        <v>C&amp;I_C&amp;I Prescriptive_Lighting_Ceramic Metal Halide Fixture (≤150W)_2017_Actual</v>
      </c>
      <c r="C37" s="376" t="b">
        <f>ISNUMBER(MATCH(B37,Analysis!B:B,0))</f>
        <v>1</v>
      </c>
      <c r="D37" s="377">
        <f t="shared" si="1"/>
        <v>31</v>
      </c>
      <c r="E37" s="376" t="b">
        <f>COUNTIF($B$7:B37,B37)=1</f>
        <v>1</v>
      </c>
      <c r="F37" s="376" t="b">
        <v>1</v>
      </c>
      <c r="G37" s="378" t="s">
        <v>142</v>
      </c>
      <c r="H37" s="378" t="s">
        <v>228</v>
      </c>
      <c r="I37" s="379" t="s">
        <v>86</v>
      </c>
      <c r="J37" s="379" t="s">
        <v>238</v>
      </c>
      <c r="K37" s="379">
        <v>2017</v>
      </c>
      <c r="L37" s="379" t="s">
        <v>167</v>
      </c>
      <c r="M37" s="380" t="str">
        <f ca="1">INDEX(Analysis!$HB:$HB,MATCH($B37,Analysis!$B:$B,0))</f>
        <v>n/a</v>
      </c>
      <c r="N37" s="381">
        <f>IFERROR(INDEX('VDSM to BenCost Inputs'!$G:$G,MATCH($B37,'VDSM to BenCost Inputs'!$A:$A,0)),0)</f>
        <v>0</v>
      </c>
      <c r="O37" s="382" t="s">
        <v>14</v>
      </c>
      <c r="P37" s="383">
        <f ca="1">INDEX(OFFSET('Program Inputs'!$K$8,,,TotalPrograms),MATCH(SUBSTITUTE($B37,I37&amp;"_"&amp;J37,"*"),OFFSET('Program Inputs'!$B$8,,,TotalPrograms),0))</f>
        <v>1</v>
      </c>
      <c r="Q37" s="383">
        <f t="shared" ca="1" si="2"/>
        <v>0</v>
      </c>
      <c r="R37" s="384">
        <f>INDEX('Plan Data'!$L:$L,MATCH(SUBSTITUTE($B37,$L37,"Plan"),'Plan Data'!$B:$B,0))</f>
        <v>13</v>
      </c>
      <c r="S37" s="385">
        <f>INDEX('Plan Data'!$M:$M,MATCH(SUBSTITUTE($B37,$L37,"Plan"),'Plan Data'!$B:$B,0))</f>
        <v>0</v>
      </c>
      <c r="T37" s="386">
        <f>INDEX('Plan Data'!$R:$R,MATCH(SUBSTITUTE($B37,$L37,"Plan"),'Plan Data'!$B:$B,0))</f>
        <v>72</v>
      </c>
      <c r="U37" s="387">
        <f>INDEX('Plan Data'!$S:$S,MATCH(SUBSTITUTE($B37,$L37,"Plan"),'Plan Data'!$B:$B,0))</f>
        <v>0</v>
      </c>
      <c r="V37" s="387"/>
      <c r="W37" s="387"/>
      <c r="X37" s="387">
        <f>IFERROR(IFERROR(INDEX('VDSM to BenCost Inputs'!$H:$H,MATCH($B37,'VDSM to BenCost Inputs'!$A:$A,0)),0)/$N37,0)</f>
        <v>0</v>
      </c>
      <c r="Y37" s="388">
        <v>1</v>
      </c>
      <c r="Z37" s="389">
        <v>1</v>
      </c>
      <c r="AA37" s="390"/>
      <c r="AB37" s="391">
        <f>IFERROR(IFERROR(INDEX('VDSM to BenCost Inputs'!$I:$I,MATCH($B37,'VDSM to BenCost Inputs'!$A:$A,0)),0)/$N37,0)</f>
        <v>0</v>
      </c>
      <c r="AC37" s="392">
        <f>IFERROR(IFERROR(INDEX('VDSM to BenCost Inputs'!$J:$J,MATCH($B37,'VDSM to BenCost Inputs'!$A:$A,0)),0)/$N37,0)</f>
        <v>0</v>
      </c>
      <c r="AD37" s="393">
        <v>0</v>
      </c>
      <c r="AE37" s="394">
        <v>0</v>
      </c>
      <c r="AF37" s="591"/>
      <c r="AG37" s="395"/>
      <c r="AH37" s="594" t="str">
        <f t="shared" si="4"/>
        <v/>
      </c>
      <c r="AI37" s="396">
        <f t="shared" ca="1" si="3"/>
        <v>0</v>
      </c>
    </row>
    <row r="38" spans="1:35" hidden="1">
      <c r="A38" s="375"/>
      <c r="B38" s="376" t="str">
        <f t="shared" si="5"/>
        <v>C&amp;I_C&amp;I Prescriptive_Lighting_Ceramic Metal Halide Fixture (150-250W)_2017_Actual</v>
      </c>
      <c r="C38" s="376" t="b">
        <f>ISNUMBER(MATCH(B38,Analysis!B:B,0))</f>
        <v>1</v>
      </c>
      <c r="D38" s="377">
        <f t="shared" si="1"/>
        <v>32</v>
      </c>
      <c r="E38" s="376" t="b">
        <f>COUNTIF($B$7:B38,B38)=1</f>
        <v>1</v>
      </c>
      <c r="F38" s="376" t="b">
        <v>1</v>
      </c>
      <c r="G38" s="378" t="s">
        <v>142</v>
      </c>
      <c r="H38" s="378" t="s">
        <v>228</v>
      </c>
      <c r="I38" s="379" t="s">
        <v>86</v>
      </c>
      <c r="J38" s="379" t="s">
        <v>239</v>
      </c>
      <c r="K38" s="379">
        <v>2017</v>
      </c>
      <c r="L38" s="379" t="s">
        <v>167</v>
      </c>
      <c r="M38" s="380" t="str">
        <f ca="1">INDEX(Analysis!$HB:$HB,MATCH($B38,Analysis!$B:$B,0))</f>
        <v>n/a</v>
      </c>
      <c r="N38" s="381">
        <f>IFERROR(INDEX('VDSM to BenCost Inputs'!$G:$G,MATCH($B38,'VDSM to BenCost Inputs'!$A:$A,0)),0)</f>
        <v>0</v>
      </c>
      <c r="O38" s="382" t="s">
        <v>14</v>
      </c>
      <c r="P38" s="383">
        <f ca="1">INDEX(OFFSET('Program Inputs'!$K$8,,,TotalPrograms),MATCH(SUBSTITUTE($B38,I38&amp;"_"&amp;J38,"*"),OFFSET('Program Inputs'!$B$8,,,TotalPrograms),0))</f>
        <v>1</v>
      </c>
      <c r="Q38" s="383">
        <f t="shared" ca="1" si="2"/>
        <v>0</v>
      </c>
      <c r="R38" s="384">
        <f>INDEX('Plan Data'!$L:$L,MATCH(SUBSTITUTE($B38,$L38,"Plan"),'Plan Data'!$B:$B,0))</f>
        <v>13</v>
      </c>
      <c r="S38" s="385">
        <f>INDEX('Plan Data'!$M:$M,MATCH(SUBSTITUTE($B38,$L38,"Plan"),'Plan Data'!$B:$B,0))</f>
        <v>0</v>
      </c>
      <c r="T38" s="386">
        <f>INDEX('Plan Data'!$R:$R,MATCH(SUBSTITUTE($B38,$L38,"Plan"),'Plan Data'!$B:$B,0))</f>
        <v>142.12</v>
      </c>
      <c r="U38" s="387">
        <f>INDEX('Plan Data'!$S:$S,MATCH(SUBSTITUTE($B38,$L38,"Plan"),'Plan Data'!$B:$B,0))</f>
        <v>0</v>
      </c>
      <c r="V38" s="387"/>
      <c r="W38" s="387"/>
      <c r="X38" s="387">
        <f>IFERROR(IFERROR(INDEX('VDSM to BenCost Inputs'!$H:$H,MATCH($B38,'VDSM to BenCost Inputs'!$A:$A,0)),0)/$N38,0)</f>
        <v>0</v>
      </c>
      <c r="Y38" s="388">
        <v>1</v>
      </c>
      <c r="Z38" s="389">
        <v>1</v>
      </c>
      <c r="AA38" s="390"/>
      <c r="AB38" s="391">
        <f>IFERROR(IFERROR(INDEX('VDSM to BenCost Inputs'!$I:$I,MATCH($B38,'VDSM to BenCost Inputs'!$A:$A,0)),0)/$N38,0)</f>
        <v>0</v>
      </c>
      <c r="AC38" s="392">
        <f>IFERROR(IFERROR(INDEX('VDSM to BenCost Inputs'!$J:$J,MATCH($B38,'VDSM to BenCost Inputs'!$A:$A,0)),0)/$N38,0)</f>
        <v>0</v>
      </c>
      <c r="AD38" s="393">
        <v>0</v>
      </c>
      <c r="AE38" s="394">
        <v>0</v>
      </c>
      <c r="AF38" s="591"/>
      <c r="AG38" s="395"/>
      <c r="AH38" s="594" t="str">
        <f t="shared" si="4"/>
        <v/>
      </c>
      <c r="AI38" s="396">
        <f t="shared" ca="1" si="3"/>
        <v>0</v>
      </c>
    </row>
    <row r="39" spans="1:35" hidden="1">
      <c r="A39" s="375"/>
      <c r="B39" s="376" t="str">
        <f t="shared" si="5"/>
        <v>C&amp;I_C&amp;I Prescriptive_Lighting_Ceramic Metal Halide Fixture (≥250W)_2017_Actual</v>
      </c>
      <c r="C39" s="376" t="b">
        <f>ISNUMBER(MATCH(B39,Analysis!B:B,0))</f>
        <v>1</v>
      </c>
      <c r="D39" s="377">
        <f t="shared" si="1"/>
        <v>33</v>
      </c>
      <c r="E39" s="376" t="b">
        <f>COUNTIF($B$7:B39,B39)=1</f>
        <v>1</v>
      </c>
      <c r="F39" s="376" t="b">
        <v>1</v>
      </c>
      <c r="G39" s="378" t="s">
        <v>142</v>
      </c>
      <c r="H39" s="378" t="s">
        <v>228</v>
      </c>
      <c r="I39" s="379" t="s">
        <v>86</v>
      </c>
      <c r="J39" s="379" t="s">
        <v>240</v>
      </c>
      <c r="K39" s="379">
        <v>2017</v>
      </c>
      <c r="L39" s="379" t="s">
        <v>167</v>
      </c>
      <c r="M39" s="380" t="str">
        <f ca="1">INDEX(Analysis!$HB:$HB,MATCH($B39,Analysis!$B:$B,0))</f>
        <v>n/a</v>
      </c>
      <c r="N39" s="381">
        <f>IFERROR(INDEX('VDSM to BenCost Inputs'!$G:$G,MATCH($B39,'VDSM to BenCost Inputs'!$A:$A,0)),0)</f>
        <v>0</v>
      </c>
      <c r="O39" s="382" t="s">
        <v>14</v>
      </c>
      <c r="P39" s="383">
        <f ca="1">INDEX(OFFSET('Program Inputs'!$K$8,,,TotalPrograms),MATCH(SUBSTITUTE($B39,I39&amp;"_"&amp;J39,"*"),OFFSET('Program Inputs'!$B$8,,,TotalPrograms),0))</f>
        <v>1</v>
      </c>
      <c r="Q39" s="383">
        <f t="shared" ca="1" si="2"/>
        <v>0</v>
      </c>
      <c r="R39" s="384">
        <f>INDEX('Plan Data'!$L:$L,MATCH(SUBSTITUTE($B39,$L39,"Plan"),'Plan Data'!$B:$B,0))</f>
        <v>13</v>
      </c>
      <c r="S39" s="385">
        <f>INDEX('Plan Data'!$M:$M,MATCH(SUBSTITUTE($B39,$L39,"Plan"),'Plan Data'!$B:$B,0))</f>
        <v>0</v>
      </c>
      <c r="T39" s="386">
        <f>INDEX('Plan Data'!$R:$R,MATCH(SUBSTITUTE($B39,$L39,"Plan"),'Plan Data'!$B:$B,0))</f>
        <v>117</v>
      </c>
      <c r="U39" s="387">
        <f>INDEX('Plan Data'!$S:$S,MATCH(SUBSTITUTE($B39,$L39,"Plan"),'Plan Data'!$B:$B,0))</f>
        <v>0</v>
      </c>
      <c r="V39" s="387"/>
      <c r="W39" s="387"/>
      <c r="X39" s="387">
        <f>IFERROR(IFERROR(INDEX('VDSM to BenCost Inputs'!$H:$H,MATCH($B39,'VDSM to BenCost Inputs'!$A:$A,0)),0)/$N39,0)</f>
        <v>0</v>
      </c>
      <c r="Y39" s="388">
        <v>1</v>
      </c>
      <c r="Z39" s="389">
        <v>1</v>
      </c>
      <c r="AA39" s="390"/>
      <c r="AB39" s="391">
        <f>IFERROR(IFERROR(INDEX('VDSM to BenCost Inputs'!$I:$I,MATCH($B39,'VDSM to BenCost Inputs'!$A:$A,0)),0)/$N39,0)</f>
        <v>0</v>
      </c>
      <c r="AC39" s="392">
        <f>IFERROR(IFERROR(INDEX('VDSM to BenCost Inputs'!$J:$J,MATCH($B39,'VDSM to BenCost Inputs'!$A:$A,0)),0)/$N39,0)</f>
        <v>0</v>
      </c>
      <c r="AD39" s="393">
        <v>0</v>
      </c>
      <c r="AE39" s="394">
        <v>0</v>
      </c>
      <c r="AF39" s="591"/>
      <c r="AG39" s="395"/>
      <c r="AH39" s="594" t="str">
        <f t="shared" si="4"/>
        <v/>
      </c>
      <c r="AI39" s="396">
        <f t="shared" ca="1" si="3"/>
        <v>0</v>
      </c>
    </row>
    <row r="40" spans="1:35" hidden="1">
      <c r="A40" s="375"/>
      <c r="B40" s="376" t="str">
        <f t="shared" si="5"/>
        <v>C&amp;I_C&amp;I Prescriptive_Lighting_Pulse Start Metal Halide Fixture (≤175W)_2017_Actual</v>
      </c>
      <c r="C40" s="376" t="b">
        <f>ISNUMBER(MATCH(B40,Analysis!B:B,0))</f>
        <v>1</v>
      </c>
      <c r="D40" s="377">
        <f t="shared" si="1"/>
        <v>34</v>
      </c>
      <c r="E40" s="376" t="b">
        <f>COUNTIF($B$7:B40,B40)=1</f>
        <v>1</v>
      </c>
      <c r="F40" s="376" t="b">
        <v>1</v>
      </c>
      <c r="G40" s="378" t="s">
        <v>142</v>
      </c>
      <c r="H40" s="378" t="s">
        <v>228</v>
      </c>
      <c r="I40" s="379" t="s">
        <v>86</v>
      </c>
      <c r="J40" s="379" t="s">
        <v>241</v>
      </c>
      <c r="K40" s="379">
        <v>2017</v>
      </c>
      <c r="L40" s="379" t="s">
        <v>167</v>
      </c>
      <c r="M40" s="380" t="str">
        <f ca="1">INDEX(Analysis!$HB:$HB,MATCH($B40,Analysis!$B:$B,0))</f>
        <v>n/a</v>
      </c>
      <c r="N40" s="381">
        <f>IFERROR(INDEX('VDSM to BenCost Inputs'!$G:$G,MATCH($B40,'VDSM to BenCost Inputs'!$A:$A,0)),0)</f>
        <v>0</v>
      </c>
      <c r="O40" s="382" t="s">
        <v>14</v>
      </c>
      <c r="P40" s="383">
        <f ca="1">INDEX(OFFSET('Program Inputs'!$K$8,,,TotalPrograms),MATCH(SUBSTITUTE($B40,I40&amp;"_"&amp;J40,"*"),OFFSET('Program Inputs'!$B$8,,,TotalPrograms),0))</f>
        <v>1</v>
      </c>
      <c r="Q40" s="383">
        <f t="shared" ca="1" si="2"/>
        <v>0</v>
      </c>
      <c r="R40" s="384">
        <f>INDEX('Plan Data'!$L:$L,MATCH(SUBSTITUTE($B40,$L40,"Plan"),'Plan Data'!$B:$B,0))</f>
        <v>15</v>
      </c>
      <c r="S40" s="385">
        <f>INDEX('Plan Data'!$M:$M,MATCH(SUBSTITUTE($B40,$L40,"Plan"),'Plan Data'!$B:$B,0))</f>
        <v>0</v>
      </c>
      <c r="T40" s="386">
        <f>INDEX('Plan Data'!$R:$R,MATCH(SUBSTITUTE($B40,$L40,"Plan"),'Plan Data'!$B:$B,0))</f>
        <v>69.180000000000007</v>
      </c>
      <c r="U40" s="387">
        <f>INDEX('Plan Data'!$S:$S,MATCH(SUBSTITUTE($B40,$L40,"Plan"),'Plan Data'!$B:$B,0))</f>
        <v>0</v>
      </c>
      <c r="V40" s="387"/>
      <c r="W40" s="387"/>
      <c r="X40" s="387">
        <f>IFERROR(IFERROR(INDEX('VDSM to BenCost Inputs'!$H:$H,MATCH($B40,'VDSM to BenCost Inputs'!$A:$A,0)),0)/$N40,0)</f>
        <v>0</v>
      </c>
      <c r="Y40" s="388">
        <v>1</v>
      </c>
      <c r="Z40" s="389">
        <v>1</v>
      </c>
      <c r="AA40" s="390"/>
      <c r="AB40" s="391">
        <f>IFERROR(IFERROR(INDEX('VDSM to BenCost Inputs'!$I:$I,MATCH($B40,'VDSM to BenCost Inputs'!$A:$A,0)),0)/$N40,0)</f>
        <v>0</v>
      </c>
      <c r="AC40" s="392">
        <f>IFERROR(IFERROR(INDEX('VDSM to BenCost Inputs'!$J:$J,MATCH($B40,'VDSM to BenCost Inputs'!$A:$A,0)),0)/$N40,0)</f>
        <v>0</v>
      </c>
      <c r="AD40" s="393">
        <v>0</v>
      </c>
      <c r="AE40" s="394">
        <v>0</v>
      </c>
      <c r="AF40" s="591"/>
      <c r="AG40" s="395"/>
      <c r="AH40" s="594" t="str">
        <f t="shared" si="4"/>
        <v/>
      </c>
      <c r="AI40" s="396">
        <f t="shared" ca="1" si="3"/>
        <v>0</v>
      </c>
    </row>
    <row r="41" spans="1:35" hidden="1">
      <c r="A41" s="375"/>
      <c r="B41" s="376" t="str">
        <f t="shared" si="5"/>
        <v>C&amp;I_C&amp;I Prescriptive_Lighting_Pulse Start Metal Halide Fixture (175-320W)_2017_Actual</v>
      </c>
      <c r="C41" s="376" t="b">
        <f>ISNUMBER(MATCH(B41,Analysis!B:B,0))</f>
        <v>1</v>
      </c>
      <c r="D41" s="377">
        <f t="shared" si="1"/>
        <v>35</v>
      </c>
      <c r="E41" s="376" t="b">
        <f>COUNTIF($B$7:B41,B41)=1</f>
        <v>1</v>
      </c>
      <c r="F41" s="376" t="b">
        <v>1</v>
      </c>
      <c r="G41" s="378" t="s">
        <v>142</v>
      </c>
      <c r="H41" s="378" t="s">
        <v>228</v>
      </c>
      <c r="I41" s="379" t="s">
        <v>86</v>
      </c>
      <c r="J41" s="379" t="s">
        <v>242</v>
      </c>
      <c r="K41" s="379">
        <v>2017</v>
      </c>
      <c r="L41" s="379" t="s">
        <v>167</v>
      </c>
      <c r="M41" s="380" t="str">
        <f ca="1">INDEX(Analysis!$HB:$HB,MATCH($B41,Analysis!$B:$B,0))</f>
        <v>n/a</v>
      </c>
      <c r="N41" s="381">
        <f>IFERROR(INDEX('VDSM to BenCost Inputs'!$G:$G,MATCH($B41,'VDSM to BenCost Inputs'!$A:$A,0)),0)</f>
        <v>0</v>
      </c>
      <c r="O41" s="382" t="s">
        <v>14</v>
      </c>
      <c r="P41" s="383">
        <f ca="1">INDEX(OFFSET('Program Inputs'!$K$8,,,TotalPrograms),MATCH(SUBSTITUTE($B41,I41&amp;"_"&amp;J41,"*"),OFFSET('Program Inputs'!$B$8,,,TotalPrograms),0))</f>
        <v>1</v>
      </c>
      <c r="Q41" s="383">
        <f t="shared" ca="1" si="2"/>
        <v>0</v>
      </c>
      <c r="R41" s="384">
        <f>INDEX('Plan Data'!$L:$L,MATCH(SUBSTITUTE($B41,$L41,"Plan"),'Plan Data'!$B:$B,0))</f>
        <v>15</v>
      </c>
      <c r="S41" s="385">
        <f>INDEX('Plan Data'!$M:$M,MATCH(SUBSTITUTE($B41,$L41,"Plan"),'Plan Data'!$B:$B,0))</f>
        <v>0</v>
      </c>
      <c r="T41" s="386">
        <f>INDEX('Plan Data'!$R:$R,MATCH(SUBSTITUTE($B41,$L41,"Plan"),'Plan Data'!$B:$B,0))</f>
        <v>132.12</v>
      </c>
      <c r="U41" s="387">
        <f>INDEX('Plan Data'!$S:$S,MATCH(SUBSTITUTE($B41,$L41,"Plan"),'Plan Data'!$B:$B,0))</f>
        <v>0</v>
      </c>
      <c r="V41" s="387"/>
      <c r="W41" s="387"/>
      <c r="X41" s="387">
        <f>IFERROR(IFERROR(INDEX('VDSM to BenCost Inputs'!$H:$H,MATCH($B41,'VDSM to BenCost Inputs'!$A:$A,0)),0)/$N41,0)</f>
        <v>0</v>
      </c>
      <c r="Y41" s="388">
        <v>1</v>
      </c>
      <c r="Z41" s="389">
        <v>1</v>
      </c>
      <c r="AA41" s="390"/>
      <c r="AB41" s="391">
        <f>IFERROR(IFERROR(INDEX('VDSM to BenCost Inputs'!$I:$I,MATCH($B41,'VDSM to BenCost Inputs'!$A:$A,0)),0)/$N41,0)</f>
        <v>0</v>
      </c>
      <c r="AC41" s="392">
        <f>IFERROR(IFERROR(INDEX('VDSM to BenCost Inputs'!$J:$J,MATCH($B41,'VDSM to BenCost Inputs'!$A:$A,0)),0)/$N41,0)</f>
        <v>0</v>
      </c>
      <c r="AD41" s="393">
        <v>0</v>
      </c>
      <c r="AE41" s="394">
        <v>0</v>
      </c>
      <c r="AF41" s="591"/>
      <c r="AG41" s="395"/>
      <c r="AH41" s="594" t="str">
        <f t="shared" si="4"/>
        <v/>
      </c>
      <c r="AI41" s="396">
        <f t="shared" ca="1" si="3"/>
        <v>0</v>
      </c>
    </row>
    <row r="42" spans="1:35" hidden="1">
      <c r="A42" s="375"/>
      <c r="B42" s="376" t="str">
        <f t="shared" si="5"/>
        <v>C&amp;I_C&amp;I Prescriptive_Lighting_Pulse Start Metal Halide Fixture (320-750W)_2017_Actual</v>
      </c>
      <c r="C42" s="376" t="b">
        <f>ISNUMBER(MATCH(B42,Analysis!B:B,0))</f>
        <v>1</v>
      </c>
      <c r="D42" s="377">
        <f t="shared" si="1"/>
        <v>36</v>
      </c>
      <c r="E42" s="376" t="b">
        <f>COUNTIF($B$7:B42,B42)=1</f>
        <v>1</v>
      </c>
      <c r="F42" s="376" t="b">
        <v>1</v>
      </c>
      <c r="G42" s="378" t="s">
        <v>142</v>
      </c>
      <c r="H42" s="378" t="s">
        <v>228</v>
      </c>
      <c r="I42" s="379" t="s">
        <v>86</v>
      </c>
      <c r="J42" s="379" t="s">
        <v>243</v>
      </c>
      <c r="K42" s="379">
        <v>2017</v>
      </c>
      <c r="L42" s="379" t="s">
        <v>167</v>
      </c>
      <c r="M42" s="380" t="str">
        <f ca="1">INDEX(Analysis!$HB:$HB,MATCH($B42,Analysis!$B:$B,0))</f>
        <v>n/a</v>
      </c>
      <c r="N42" s="381">
        <f>IFERROR(INDEX('VDSM to BenCost Inputs'!$G:$G,MATCH($B42,'VDSM to BenCost Inputs'!$A:$A,0)),0)</f>
        <v>0</v>
      </c>
      <c r="O42" s="382" t="s">
        <v>14</v>
      </c>
      <c r="P42" s="383">
        <f ca="1">INDEX(OFFSET('Program Inputs'!$K$8,,,TotalPrograms),MATCH(SUBSTITUTE($B42,I42&amp;"_"&amp;J42,"*"),OFFSET('Program Inputs'!$B$8,,,TotalPrograms),0))</f>
        <v>1</v>
      </c>
      <c r="Q42" s="383">
        <f t="shared" ca="1" si="2"/>
        <v>0</v>
      </c>
      <c r="R42" s="384">
        <f>INDEX('Plan Data'!$L:$L,MATCH(SUBSTITUTE($B42,$L42,"Plan"),'Plan Data'!$B:$B,0))</f>
        <v>15</v>
      </c>
      <c r="S42" s="385">
        <f>INDEX('Plan Data'!$M:$M,MATCH(SUBSTITUTE($B42,$L42,"Plan"),'Plan Data'!$B:$B,0))</f>
        <v>0</v>
      </c>
      <c r="T42" s="386">
        <f>INDEX('Plan Data'!$R:$R,MATCH(SUBSTITUTE($B42,$L42,"Plan"),'Plan Data'!$B:$B,0))</f>
        <v>108</v>
      </c>
      <c r="U42" s="387">
        <f>INDEX('Plan Data'!$S:$S,MATCH(SUBSTITUTE($B42,$L42,"Plan"),'Plan Data'!$B:$B,0))</f>
        <v>0</v>
      </c>
      <c r="V42" s="387"/>
      <c r="W42" s="387"/>
      <c r="X42" s="387">
        <f>IFERROR(IFERROR(INDEX('VDSM to BenCost Inputs'!$H:$H,MATCH($B42,'VDSM to BenCost Inputs'!$A:$A,0)),0)/$N42,0)</f>
        <v>0</v>
      </c>
      <c r="Y42" s="388">
        <v>1</v>
      </c>
      <c r="Z42" s="389">
        <v>1</v>
      </c>
      <c r="AA42" s="390"/>
      <c r="AB42" s="391">
        <f>IFERROR(IFERROR(INDEX('VDSM to BenCost Inputs'!$I:$I,MATCH($B42,'VDSM to BenCost Inputs'!$A:$A,0)),0)/$N42,0)</f>
        <v>0</v>
      </c>
      <c r="AC42" s="392">
        <f>IFERROR(IFERROR(INDEX('VDSM to BenCost Inputs'!$J:$J,MATCH($B42,'VDSM to BenCost Inputs'!$A:$A,0)),0)/$N42,0)</f>
        <v>0</v>
      </c>
      <c r="AD42" s="393">
        <v>0</v>
      </c>
      <c r="AE42" s="394">
        <v>0</v>
      </c>
      <c r="AF42" s="591"/>
      <c r="AG42" s="395"/>
      <c r="AH42" s="594" t="str">
        <f t="shared" si="4"/>
        <v/>
      </c>
      <c r="AI42" s="396">
        <f t="shared" ca="1" si="3"/>
        <v>0</v>
      </c>
    </row>
    <row r="43" spans="1:35" hidden="1">
      <c r="A43" s="375"/>
      <c r="B43" s="376" t="str">
        <f t="shared" si="5"/>
        <v>C&amp;I_C&amp;I Prescriptive_Lighting_Pulse Start Metal Halide Fixture (≥750W)_2017_Actual</v>
      </c>
      <c r="C43" s="376" t="b">
        <f>ISNUMBER(MATCH(B43,Analysis!B:B,0))</f>
        <v>1</v>
      </c>
      <c r="D43" s="377">
        <f t="shared" si="1"/>
        <v>37</v>
      </c>
      <c r="E43" s="376" t="b">
        <f>COUNTIF($B$7:B43,B43)=1</f>
        <v>1</v>
      </c>
      <c r="F43" s="376" t="b">
        <v>1</v>
      </c>
      <c r="G43" s="378" t="s">
        <v>142</v>
      </c>
      <c r="H43" s="378" t="s">
        <v>228</v>
      </c>
      <c r="I43" s="379" t="s">
        <v>86</v>
      </c>
      <c r="J43" s="379" t="s">
        <v>244</v>
      </c>
      <c r="K43" s="379">
        <v>2017</v>
      </c>
      <c r="L43" s="379" t="s">
        <v>167</v>
      </c>
      <c r="M43" s="380" t="str">
        <f ca="1">INDEX(Analysis!$HB:$HB,MATCH($B43,Analysis!$B:$B,0))</f>
        <v>n/a</v>
      </c>
      <c r="N43" s="381">
        <f>IFERROR(INDEX('VDSM to BenCost Inputs'!$G:$G,MATCH($B43,'VDSM to BenCost Inputs'!$A:$A,0)),0)</f>
        <v>0</v>
      </c>
      <c r="O43" s="382" t="s">
        <v>14</v>
      </c>
      <c r="P43" s="383">
        <f ca="1">INDEX(OFFSET('Program Inputs'!$K$8,,,TotalPrograms),MATCH(SUBSTITUTE($B43,I43&amp;"_"&amp;J43,"*"),OFFSET('Program Inputs'!$B$8,,,TotalPrograms),0))</f>
        <v>1</v>
      </c>
      <c r="Q43" s="383">
        <f t="shared" ca="1" si="2"/>
        <v>0</v>
      </c>
      <c r="R43" s="384">
        <f>INDEX('Plan Data'!$L:$L,MATCH(SUBSTITUTE($B43,$L43,"Plan"),'Plan Data'!$B:$B,0))</f>
        <v>15</v>
      </c>
      <c r="S43" s="385">
        <f>INDEX('Plan Data'!$M:$M,MATCH(SUBSTITUTE($B43,$L43,"Plan"),'Plan Data'!$B:$B,0))</f>
        <v>0</v>
      </c>
      <c r="T43" s="386">
        <f>INDEX('Plan Data'!$R:$R,MATCH(SUBSTITUTE($B43,$L43,"Plan"),'Plan Data'!$B:$B,0))</f>
        <v>10</v>
      </c>
      <c r="U43" s="387">
        <f>INDEX('Plan Data'!$S:$S,MATCH(SUBSTITUTE($B43,$L43,"Plan"),'Plan Data'!$B:$B,0))</f>
        <v>0</v>
      </c>
      <c r="V43" s="387"/>
      <c r="W43" s="387"/>
      <c r="X43" s="387">
        <f>IFERROR(IFERROR(INDEX('VDSM to BenCost Inputs'!$H:$H,MATCH($B43,'VDSM to BenCost Inputs'!$A:$A,0)),0)/$N43,0)</f>
        <v>0</v>
      </c>
      <c r="Y43" s="388">
        <v>1</v>
      </c>
      <c r="Z43" s="389">
        <v>1</v>
      </c>
      <c r="AA43" s="390"/>
      <c r="AB43" s="391">
        <f>IFERROR(IFERROR(INDEX('VDSM to BenCost Inputs'!$I:$I,MATCH($B43,'VDSM to BenCost Inputs'!$A:$A,0)),0)/$N43,0)</f>
        <v>0</v>
      </c>
      <c r="AC43" s="392">
        <f>IFERROR(IFERROR(INDEX('VDSM to BenCost Inputs'!$J:$J,MATCH($B43,'VDSM to BenCost Inputs'!$A:$A,0)),0)/$N43,0)</f>
        <v>0</v>
      </c>
      <c r="AD43" s="393">
        <v>0</v>
      </c>
      <c r="AE43" s="394">
        <v>0</v>
      </c>
      <c r="AF43" s="591"/>
      <c r="AG43" s="395"/>
      <c r="AH43" s="594" t="str">
        <f t="shared" si="4"/>
        <v/>
      </c>
      <c r="AI43" s="396">
        <f t="shared" ca="1" si="3"/>
        <v>0</v>
      </c>
    </row>
    <row r="44" spans="1:35">
      <c r="A44" s="375"/>
      <c r="B44" s="376" t="str">
        <f t="shared" si="5"/>
        <v>C&amp;I_C&amp;I Prescriptive_Lighting_Energy Star LED Lamp (≤5W)_2017_Actual</v>
      </c>
      <c r="C44" s="376" t="b">
        <f>ISNUMBER(MATCH(B44,Analysis!B:B,0))</f>
        <v>1</v>
      </c>
      <c r="D44" s="377">
        <f t="shared" si="1"/>
        <v>38</v>
      </c>
      <c r="E44" s="376" t="b">
        <f>COUNTIF($B$7:B44,B44)=1</f>
        <v>1</v>
      </c>
      <c r="F44" s="376" t="b">
        <v>1</v>
      </c>
      <c r="G44" s="378" t="s">
        <v>142</v>
      </c>
      <c r="H44" s="378" t="s">
        <v>228</v>
      </c>
      <c r="I44" s="379" t="s">
        <v>86</v>
      </c>
      <c r="J44" s="379" t="s">
        <v>193</v>
      </c>
      <c r="K44" s="379">
        <v>2017</v>
      </c>
      <c r="L44" s="379" t="s">
        <v>167</v>
      </c>
      <c r="M44" s="380">
        <f ca="1">INDEX(Analysis!$HB:$HB,MATCH($B44,Analysis!$B:$B,0))</f>
        <v>0.71384905929567533</v>
      </c>
      <c r="N44" s="381">
        <f>IFERROR(INDEX('VDSM to BenCost Inputs'!$G:$G,MATCH($B44,'VDSM to BenCost Inputs'!$A:$A,0)),0)</f>
        <v>406</v>
      </c>
      <c r="O44" s="382" t="s">
        <v>14</v>
      </c>
      <c r="P44" s="383">
        <f ca="1">INDEX(OFFSET('Program Inputs'!$K$8,,,TotalPrograms),MATCH(SUBSTITUTE($B44,I44&amp;"_"&amp;J44,"*"),OFFSET('Program Inputs'!$B$8,,,TotalPrograms),0))</f>
        <v>1</v>
      </c>
      <c r="Q44" s="383">
        <f t="shared" ca="1" si="2"/>
        <v>406</v>
      </c>
      <c r="R44" s="384">
        <f>INDEX('Plan Data'!$L:$L,MATCH(SUBSTITUTE($B44,$L44,"Plan"),'Plan Data'!$B:$B,0))</f>
        <v>8</v>
      </c>
      <c r="S44" s="385">
        <f>INDEX('Plan Data'!$M:$M,MATCH(SUBSTITUTE($B44,$L44,"Plan"),'Plan Data'!$B:$B,0))</f>
        <v>0</v>
      </c>
      <c r="T44" s="386">
        <f>INDEX('Plan Data'!$R:$R,MATCH(SUBSTITUTE($B44,$L44,"Plan"),'Plan Data'!$B:$B,0))</f>
        <v>31.909999999999997</v>
      </c>
      <c r="U44" s="387">
        <f>INDEX('Plan Data'!$S:$S,MATCH(SUBSTITUTE($B44,$L44,"Plan"),'Plan Data'!$B:$B,0))</f>
        <v>0</v>
      </c>
      <c r="V44" s="387"/>
      <c r="W44" s="387"/>
      <c r="X44" s="387">
        <f>IFERROR(IFERROR(INDEX('VDSM to BenCost Inputs'!$H:$H,MATCH($B44,'VDSM to BenCost Inputs'!$A:$A,0)),0)/$N44,0)</f>
        <v>4.9761576354679802</v>
      </c>
      <c r="Y44" s="388">
        <v>1</v>
      </c>
      <c r="Z44" s="389">
        <v>1</v>
      </c>
      <c r="AA44" s="390"/>
      <c r="AB44" s="391">
        <f>IFERROR(IFERROR(INDEX('VDSM to BenCost Inputs'!$I:$I,MATCH($B44,'VDSM to BenCost Inputs'!$A:$A,0)),0)/$N44,0)</f>
        <v>76.267448275862066</v>
      </c>
      <c r="AC44" s="392">
        <f>IFERROR(IFERROR(INDEX('VDSM to BenCost Inputs'!$J:$J,MATCH($B44,'VDSM to BenCost Inputs'!$A:$A,0)),0)/$N44,0)</f>
        <v>1.6173886699507388E-2</v>
      </c>
      <c r="AD44" s="393">
        <v>0</v>
      </c>
      <c r="AE44" s="394">
        <v>0</v>
      </c>
      <c r="AF44" s="591" t="s">
        <v>3427</v>
      </c>
      <c r="AG44" s="597">
        <v>101.56432</v>
      </c>
      <c r="AH44" s="594">
        <f t="shared" si="4"/>
        <v>-0.24907242744438141</v>
      </c>
      <c r="AI44" s="396">
        <f t="shared" ca="1" si="3"/>
        <v>30964.583999999999</v>
      </c>
    </row>
    <row r="45" spans="1:35">
      <c r="A45" s="375"/>
      <c r="B45" s="376" t="str">
        <f t="shared" si="5"/>
        <v>C&amp;I_C&amp;I Prescriptive_Lighting_Energy Star LED Lamp (5-10W)_2017_Actual</v>
      </c>
      <c r="C45" s="376" t="b">
        <f>ISNUMBER(MATCH(B45,Analysis!B:B,0))</f>
        <v>1</v>
      </c>
      <c r="D45" s="377">
        <f t="shared" si="1"/>
        <v>39</v>
      </c>
      <c r="E45" s="376" t="b">
        <f>COUNTIF($B$7:B45,B45)=1</f>
        <v>1</v>
      </c>
      <c r="F45" s="376" t="b">
        <v>1</v>
      </c>
      <c r="G45" s="378" t="s">
        <v>142</v>
      </c>
      <c r="H45" s="378" t="s">
        <v>228</v>
      </c>
      <c r="I45" s="379" t="s">
        <v>86</v>
      </c>
      <c r="J45" s="379" t="s">
        <v>245</v>
      </c>
      <c r="K45" s="379">
        <v>2017</v>
      </c>
      <c r="L45" s="379" t="s">
        <v>167</v>
      </c>
      <c r="M45" s="380">
        <f ca="1">INDEX(Analysis!$HB:$HB,MATCH($B45,Analysis!$B:$B,0))</f>
        <v>0.95850684004728581</v>
      </c>
      <c r="N45" s="381">
        <f>IFERROR(INDEX('VDSM to BenCost Inputs'!$G:$G,MATCH($B45,'VDSM to BenCost Inputs'!$A:$A,0)),0)</f>
        <v>1163</v>
      </c>
      <c r="O45" s="382" t="s">
        <v>14</v>
      </c>
      <c r="P45" s="383">
        <f ca="1">INDEX(OFFSET('Program Inputs'!$K$8,,,TotalPrograms),MATCH(SUBSTITUTE($B45,I45&amp;"_"&amp;J45,"*"),OFFSET('Program Inputs'!$B$8,,,TotalPrograms),0))</f>
        <v>1</v>
      </c>
      <c r="Q45" s="383">
        <f t="shared" ca="1" si="2"/>
        <v>1163</v>
      </c>
      <c r="R45" s="384">
        <f>INDEX('Plan Data'!$L:$L,MATCH(SUBSTITUTE($B45,$L45,"Plan"),'Plan Data'!$B:$B,0))</f>
        <v>8</v>
      </c>
      <c r="S45" s="385">
        <f>INDEX('Plan Data'!$M:$M,MATCH(SUBSTITUTE($B45,$L45,"Plan"),'Plan Data'!$B:$B,0))</f>
        <v>0</v>
      </c>
      <c r="T45" s="386">
        <f>INDEX('Plan Data'!$R:$R,MATCH(SUBSTITUTE($B45,$L45,"Plan"),'Plan Data'!$B:$B,0))</f>
        <v>37.79</v>
      </c>
      <c r="U45" s="387">
        <f>INDEX('Plan Data'!$S:$S,MATCH(SUBSTITUTE($B45,$L45,"Plan"),'Plan Data'!$B:$B,0))</f>
        <v>0</v>
      </c>
      <c r="V45" s="387"/>
      <c r="W45" s="387"/>
      <c r="X45" s="387">
        <f>IFERROR(IFERROR(INDEX('VDSM to BenCost Inputs'!$H:$H,MATCH($B45,'VDSM to BenCost Inputs'!$A:$A,0)),0)/$N45,0)</f>
        <v>4.8732072914875317</v>
      </c>
      <c r="Y45" s="388">
        <v>1</v>
      </c>
      <c r="Z45" s="389">
        <v>1</v>
      </c>
      <c r="AA45" s="390"/>
      <c r="AB45" s="391">
        <f>IFERROR(IFERROR(INDEX('VDSM to BenCost Inputs'!$I:$I,MATCH($B45,'VDSM to BenCost Inputs'!$A:$A,0)),0)/$N45,0)</f>
        <v>124.22266552020636</v>
      </c>
      <c r="AC45" s="392">
        <f>IFERROR(IFERROR(INDEX('VDSM to BenCost Inputs'!$J:$J,MATCH($B45,'VDSM to BenCost Inputs'!$A:$A,0)),0)/$N45,0)</f>
        <v>1.7886924333619946E-2</v>
      </c>
      <c r="AD45" s="393">
        <v>0</v>
      </c>
      <c r="AE45" s="394">
        <v>0</v>
      </c>
      <c r="AF45" s="591" t="s">
        <v>3427</v>
      </c>
      <c r="AG45" s="597">
        <v>152.34647999999999</v>
      </c>
      <c r="AH45" s="594">
        <f t="shared" si="4"/>
        <v>-0.18460429463019834</v>
      </c>
      <c r="AI45" s="396">
        <f t="shared" ca="1" si="3"/>
        <v>144470.96</v>
      </c>
    </row>
    <row r="46" spans="1:35">
      <c r="A46" s="375"/>
      <c r="B46" s="376" t="str">
        <f t="shared" si="5"/>
        <v>C&amp;I_C&amp;I Prescriptive_Lighting_Energy Star LED Lamp (&gt;10W)_2017_Actual</v>
      </c>
      <c r="C46" s="376" t="b">
        <f>ISNUMBER(MATCH(B46,Analysis!B:B,0))</f>
        <v>1</v>
      </c>
      <c r="D46" s="377">
        <f t="shared" si="1"/>
        <v>40</v>
      </c>
      <c r="E46" s="376" t="b">
        <f>COUNTIF($B$7:B46,B46)=1</f>
        <v>1</v>
      </c>
      <c r="F46" s="376" t="b">
        <v>1</v>
      </c>
      <c r="G46" s="378" t="s">
        <v>142</v>
      </c>
      <c r="H46" s="378" t="s">
        <v>228</v>
      </c>
      <c r="I46" s="379" t="s">
        <v>86</v>
      </c>
      <c r="J46" s="379" t="s">
        <v>246</v>
      </c>
      <c r="K46" s="379">
        <v>2017</v>
      </c>
      <c r="L46" s="379" t="s">
        <v>167</v>
      </c>
      <c r="M46" s="380">
        <f ca="1">INDEX(Analysis!$HB:$HB,MATCH($B46,Analysis!$B:$B,0))</f>
        <v>0.86891932862828036</v>
      </c>
      <c r="N46" s="381">
        <f>IFERROR(INDEX('VDSM to BenCost Inputs'!$G:$G,MATCH($B46,'VDSM to BenCost Inputs'!$A:$A,0)),0)</f>
        <v>924</v>
      </c>
      <c r="O46" s="382" t="s">
        <v>14</v>
      </c>
      <c r="P46" s="383">
        <f ca="1">INDEX(OFFSET('Program Inputs'!$K$8,,,TotalPrograms),MATCH(SUBSTITUTE($B46,I46&amp;"_"&amp;J46,"*"),OFFSET('Program Inputs'!$B$8,,,TotalPrograms),0))</f>
        <v>1</v>
      </c>
      <c r="Q46" s="383">
        <f t="shared" ca="1" si="2"/>
        <v>924</v>
      </c>
      <c r="R46" s="384">
        <f>INDEX('Plan Data'!$L:$L,MATCH(SUBSTITUTE($B46,$L46,"Plan"),'Plan Data'!$B:$B,0))</f>
        <v>8</v>
      </c>
      <c r="S46" s="385">
        <f>INDEX('Plan Data'!$M:$M,MATCH(SUBSTITUTE($B46,$L46,"Plan"),'Plan Data'!$B:$B,0))</f>
        <v>0</v>
      </c>
      <c r="T46" s="386">
        <f>INDEX('Plan Data'!$R:$R,MATCH(SUBSTITUTE($B46,$L46,"Plan"),'Plan Data'!$B:$B,0))</f>
        <v>62.959999999999994</v>
      </c>
      <c r="U46" s="387">
        <f>INDEX('Plan Data'!$S:$S,MATCH(SUBSTITUTE($B46,$L46,"Plan"),'Plan Data'!$B:$B,0))</f>
        <v>0</v>
      </c>
      <c r="V46" s="387"/>
      <c r="W46" s="387"/>
      <c r="X46" s="387">
        <f>IFERROR(IFERROR(INDEX('VDSM to BenCost Inputs'!$H:$H,MATCH($B46,'VDSM to BenCost Inputs'!$A:$A,0)),0)/$N46,0)</f>
        <v>9.5846103896103898</v>
      </c>
      <c r="Y46" s="388">
        <v>1</v>
      </c>
      <c r="Z46" s="389">
        <v>1</v>
      </c>
      <c r="AA46" s="390"/>
      <c r="AB46" s="391">
        <f>IFERROR(IFERROR(INDEX('VDSM to BenCost Inputs'!$I:$I,MATCH($B46,'VDSM to BenCost Inputs'!$A:$A,0)),0)/$N46,0)</f>
        <v>183.5885054112554</v>
      </c>
      <c r="AC46" s="392">
        <f>IFERROR(IFERROR(INDEX('VDSM to BenCost Inputs'!$J:$J,MATCH($B46,'VDSM to BenCost Inputs'!$A:$A,0)),0)/$N46,0)</f>
        <v>3.7726774891774895E-2</v>
      </c>
      <c r="AD46" s="393">
        <v>0</v>
      </c>
      <c r="AE46" s="394">
        <v>0</v>
      </c>
      <c r="AF46" s="591" t="s">
        <v>3427</v>
      </c>
      <c r="AG46" s="597">
        <v>241.21525999999997</v>
      </c>
      <c r="AH46" s="594">
        <f t="shared" si="4"/>
        <v>-0.23890177838974447</v>
      </c>
      <c r="AI46" s="396">
        <f t="shared" ca="1" si="3"/>
        <v>169635.77899999998</v>
      </c>
    </row>
    <row r="47" spans="1:35" hidden="1">
      <c r="A47" s="375"/>
      <c r="B47" s="376" t="str">
        <f t="shared" si="5"/>
        <v>C&amp;I_C&amp;I Prescriptive_Lighting_High Performance T8 (1-2 Lamp)_2017_Actual</v>
      </c>
      <c r="C47" s="376" t="b">
        <f>ISNUMBER(MATCH(B47,Analysis!B:B,0))</f>
        <v>1</v>
      </c>
      <c r="D47" s="377">
        <f t="shared" si="1"/>
        <v>41</v>
      </c>
      <c r="E47" s="376" t="b">
        <f>COUNTIF($B$7:B47,B47)=1</f>
        <v>1</v>
      </c>
      <c r="F47" s="376" t="b">
        <v>1</v>
      </c>
      <c r="G47" s="378" t="s">
        <v>142</v>
      </c>
      <c r="H47" s="378" t="s">
        <v>228</v>
      </c>
      <c r="I47" s="379" t="s">
        <v>86</v>
      </c>
      <c r="J47" s="379" t="s">
        <v>247</v>
      </c>
      <c r="K47" s="379">
        <v>2017</v>
      </c>
      <c r="L47" s="379" t="s">
        <v>167</v>
      </c>
      <c r="M47" s="380" t="str">
        <f ca="1">INDEX(Analysis!$HB:$HB,MATCH($B47,Analysis!$B:$B,0))</f>
        <v>n/a</v>
      </c>
      <c r="N47" s="381">
        <f>IFERROR(INDEX('VDSM to BenCost Inputs'!$G:$G,MATCH($B47,'VDSM to BenCost Inputs'!$A:$A,0)),0)</f>
        <v>0</v>
      </c>
      <c r="O47" s="382" t="s">
        <v>14</v>
      </c>
      <c r="P47" s="383">
        <f ca="1">INDEX(OFFSET('Program Inputs'!$K$8,,,TotalPrograms),MATCH(SUBSTITUTE($B47,I47&amp;"_"&amp;J47,"*"),OFFSET('Program Inputs'!$B$8,,,TotalPrograms),0))</f>
        <v>1</v>
      </c>
      <c r="Q47" s="383">
        <f t="shared" ca="1" si="2"/>
        <v>0</v>
      </c>
      <c r="R47" s="384">
        <f>INDEX('Plan Data'!$L:$L,MATCH(SUBSTITUTE($B47,$L47,"Plan"),'Plan Data'!$B:$B,0))</f>
        <v>15</v>
      </c>
      <c r="S47" s="385">
        <f>INDEX('Plan Data'!$M:$M,MATCH(SUBSTITUTE($B47,$L47,"Plan"),'Plan Data'!$B:$B,0))</f>
        <v>0</v>
      </c>
      <c r="T47" s="386">
        <f>INDEX('Plan Data'!$R:$R,MATCH(SUBSTITUTE($B47,$L47,"Plan"),'Plan Data'!$B:$B,0))</f>
        <v>15</v>
      </c>
      <c r="U47" s="387">
        <f>INDEX('Plan Data'!$S:$S,MATCH(SUBSTITUTE($B47,$L47,"Plan"),'Plan Data'!$B:$B,0))</f>
        <v>0</v>
      </c>
      <c r="V47" s="387"/>
      <c r="W47" s="387"/>
      <c r="X47" s="387">
        <f>IFERROR(IFERROR(INDEX('VDSM to BenCost Inputs'!$H:$H,MATCH($B47,'VDSM to BenCost Inputs'!$A:$A,0)),0)/$N47,0)</f>
        <v>0</v>
      </c>
      <c r="Y47" s="388">
        <v>1</v>
      </c>
      <c r="Z47" s="389">
        <v>1</v>
      </c>
      <c r="AA47" s="390"/>
      <c r="AB47" s="391">
        <f>IFERROR(IFERROR(INDEX('VDSM to BenCost Inputs'!$I:$I,MATCH($B47,'VDSM to BenCost Inputs'!$A:$A,0)),0)/$N47,0)</f>
        <v>0</v>
      </c>
      <c r="AC47" s="392">
        <f>IFERROR(IFERROR(INDEX('VDSM to BenCost Inputs'!$J:$J,MATCH($B47,'VDSM to BenCost Inputs'!$A:$A,0)),0)/$N47,0)</f>
        <v>0</v>
      </c>
      <c r="AD47" s="393">
        <v>0</v>
      </c>
      <c r="AE47" s="394">
        <v>0</v>
      </c>
      <c r="AF47" s="591"/>
      <c r="AG47" s="395"/>
      <c r="AH47" s="594" t="str">
        <f t="shared" si="4"/>
        <v/>
      </c>
      <c r="AI47" s="396">
        <f t="shared" ca="1" si="3"/>
        <v>0</v>
      </c>
    </row>
    <row r="48" spans="1:35" hidden="1">
      <c r="A48" s="375"/>
      <c r="B48" s="376" t="str">
        <f t="shared" si="5"/>
        <v>C&amp;I_C&amp;I Prescriptive_Lighting_High Performance T8 (3-4 Lamp)_2017_Actual</v>
      </c>
      <c r="C48" s="376" t="b">
        <f>ISNUMBER(MATCH(B48,Analysis!B:B,0))</f>
        <v>1</v>
      </c>
      <c r="D48" s="377">
        <f t="shared" si="1"/>
        <v>42</v>
      </c>
      <c r="E48" s="376" t="b">
        <f>COUNTIF($B$7:B48,B48)=1</f>
        <v>1</v>
      </c>
      <c r="F48" s="376" t="b">
        <v>1</v>
      </c>
      <c r="G48" s="378" t="s">
        <v>142</v>
      </c>
      <c r="H48" s="378" t="s">
        <v>228</v>
      </c>
      <c r="I48" s="379" t="s">
        <v>86</v>
      </c>
      <c r="J48" s="379" t="s">
        <v>248</v>
      </c>
      <c r="K48" s="379">
        <v>2017</v>
      </c>
      <c r="L48" s="379" t="s">
        <v>167</v>
      </c>
      <c r="M48" s="380" t="str">
        <f ca="1">INDEX(Analysis!$HB:$HB,MATCH($B48,Analysis!$B:$B,0))</f>
        <v>n/a</v>
      </c>
      <c r="N48" s="381">
        <f>IFERROR(INDEX('VDSM to BenCost Inputs'!$G:$G,MATCH($B48,'VDSM to BenCost Inputs'!$A:$A,0)),0)</f>
        <v>0</v>
      </c>
      <c r="O48" s="382" t="s">
        <v>14</v>
      </c>
      <c r="P48" s="383">
        <f ca="1">INDEX(OFFSET('Program Inputs'!$K$8,,,TotalPrograms),MATCH(SUBSTITUTE($B48,I48&amp;"_"&amp;J48,"*"),OFFSET('Program Inputs'!$B$8,,,TotalPrograms),0))</f>
        <v>1</v>
      </c>
      <c r="Q48" s="383">
        <f t="shared" ca="1" si="2"/>
        <v>0</v>
      </c>
      <c r="R48" s="384">
        <f>INDEX('Plan Data'!$L:$L,MATCH(SUBSTITUTE($B48,$L48,"Plan"),'Plan Data'!$B:$B,0))</f>
        <v>15</v>
      </c>
      <c r="S48" s="385">
        <f>INDEX('Plan Data'!$M:$M,MATCH(SUBSTITUTE($B48,$L48,"Plan"),'Plan Data'!$B:$B,0))</f>
        <v>0</v>
      </c>
      <c r="T48" s="386">
        <f>INDEX('Plan Data'!$R:$R,MATCH(SUBSTITUTE($B48,$L48,"Plan"),'Plan Data'!$B:$B,0))</f>
        <v>18</v>
      </c>
      <c r="U48" s="387">
        <f>INDEX('Plan Data'!$S:$S,MATCH(SUBSTITUTE($B48,$L48,"Plan"),'Plan Data'!$B:$B,0))</f>
        <v>0</v>
      </c>
      <c r="V48" s="387"/>
      <c r="W48" s="387"/>
      <c r="X48" s="387">
        <f>IFERROR(IFERROR(INDEX('VDSM to BenCost Inputs'!$H:$H,MATCH($B48,'VDSM to BenCost Inputs'!$A:$A,0)),0)/$N48,0)</f>
        <v>0</v>
      </c>
      <c r="Y48" s="388">
        <v>1</v>
      </c>
      <c r="Z48" s="389">
        <v>1</v>
      </c>
      <c r="AA48" s="390"/>
      <c r="AB48" s="391">
        <f>IFERROR(IFERROR(INDEX('VDSM to BenCost Inputs'!$I:$I,MATCH($B48,'VDSM to BenCost Inputs'!$A:$A,0)),0)/$N48,0)</f>
        <v>0</v>
      </c>
      <c r="AC48" s="392">
        <f>IFERROR(IFERROR(INDEX('VDSM to BenCost Inputs'!$J:$J,MATCH($B48,'VDSM to BenCost Inputs'!$A:$A,0)),0)/$N48,0)</f>
        <v>0</v>
      </c>
      <c r="AD48" s="393">
        <v>0</v>
      </c>
      <c r="AE48" s="394">
        <v>0</v>
      </c>
      <c r="AF48" s="591"/>
      <c r="AG48" s="395"/>
      <c r="AH48" s="594" t="str">
        <f t="shared" si="4"/>
        <v/>
      </c>
      <c r="AI48" s="396">
        <f t="shared" ca="1" si="3"/>
        <v>0</v>
      </c>
    </row>
    <row r="49" spans="1:35">
      <c r="A49" s="375"/>
      <c r="B49" s="376" t="str">
        <f t="shared" si="5"/>
        <v>C&amp;I_C&amp;I Prescriptive_Lighting_LED Parking Garage/Canopy (&lt;30W)_2017_Actual</v>
      </c>
      <c r="C49" s="376" t="b">
        <f>ISNUMBER(MATCH(B49,Analysis!B:B,0))</f>
        <v>1</v>
      </c>
      <c r="D49" s="377">
        <f t="shared" si="1"/>
        <v>43</v>
      </c>
      <c r="E49" s="376" t="b">
        <f>COUNTIF($B$7:B49,B49)=1</f>
        <v>1</v>
      </c>
      <c r="F49" s="376" t="b">
        <v>1</v>
      </c>
      <c r="G49" s="378" t="s">
        <v>142</v>
      </c>
      <c r="H49" s="378" t="s">
        <v>228</v>
      </c>
      <c r="I49" s="379" t="s">
        <v>86</v>
      </c>
      <c r="J49" s="379" t="s">
        <v>249</v>
      </c>
      <c r="K49" s="379">
        <v>2017</v>
      </c>
      <c r="L49" s="379" t="s">
        <v>167</v>
      </c>
      <c r="M49" s="380">
        <f ca="1">INDEX(Analysis!$HB:$HB,MATCH($B49,Analysis!$B:$B,0))</f>
        <v>2.2217153934439162</v>
      </c>
      <c r="N49" s="381">
        <f>IFERROR(INDEX('VDSM to BenCost Inputs'!$G:$G,MATCH($B49,'VDSM to BenCost Inputs'!$A:$A,0)),0)</f>
        <v>27</v>
      </c>
      <c r="O49" s="382" t="s">
        <v>14</v>
      </c>
      <c r="P49" s="383">
        <f ca="1">INDEX(OFFSET('Program Inputs'!$K$8,,,TotalPrograms),MATCH(SUBSTITUTE($B49,I49&amp;"_"&amp;J49,"*"),OFFSET('Program Inputs'!$B$8,,,TotalPrograms),0))</f>
        <v>1</v>
      </c>
      <c r="Q49" s="383">
        <f t="shared" ca="1" si="2"/>
        <v>27</v>
      </c>
      <c r="R49" s="384">
        <f>INDEX('Plan Data'!$L:$L,MATCH(SUBSTITUTE($B49,$L49,"Plan"),'Plan Data'!$B:$B,0))</f>
        <v>16</v>
      </c>
      <c r="S49" s="385">
        <f>INDEX('Plan Data'!$M:$M,MATCH(SUBSTITUTE($B49,$L49,"Plan"),'Plan Data'!$B:$B,0))</f>
        <v>0</v>
      </c>
      <c r="T49" s="386">
        <f>INDEX('Plan Data'!$R:$R,MATCH(SUBSTITUTE($B49,$L49,"Plan"),'Plan Data'!$B:$B,0))</f>
        <v>125</v>
      </c>
      <c r="U49" s="387">
        <f>INDEX('Plan Data'!$S:$S,MATCH(SUBSTITUTE($B49,$L49,"Plan"),'Plan Data'!$B:$B,0))</f>
        <v>0</v>
      </c>
      <c r="V49" s="387"/>
      <c r="W49" s="387"/>
      <c r="X49" s="387">
        <f>IFERROR(IFERROR(INDEX('VDSM to BenCost Inputs'!$H:$H,MATCH($B49,'VDSM to BenCost Inputs'!$A:$A,0)),0)/$N49,0)</f>
        <v>9.8725925925925928</v>
      </c>
      <c r="Y49" s="388">
        <v>1</v>
      </c>
      <c r="Z49" s="389">
        <v>1</v>
      </c>
      <c r="AA49" s="390"/>
      <c r="AB49" s="391">
        <f>IFERROR(IFERROR(INDEX('VDSM to BenCost Inputs'!$I:$I,MATCH($B49,'VDSM to BenCost Inputs'!$A:$A,0)),0)/$N49,0)</f>
        <v>597.39996296296295</v>
      </c>
      <c r="AC49" s="392">
        <f>IFERROR(IFERROR(INDEX('VDSM to BenCost Inputs'!$J:$J,MATCH($B49,'VDSM to BenCost Inputs'!$A:$A,0)),0)/$N49,0)</f>
        <v>0.10970640740740742</v>
      </c>
      <c r="AD49" s="393">
        <v>0</v>
      </c>
      <c r="AE49" s="394">
        <v>0</v>
      </c>
      <c r="AF49" s="591" t="s">
        <v>3427</v>
      </c>
      <c r="AG49" s="597">
        <v>670.9592889999999</v>
      </c>
      <c r="AH49" s="594">
        <f t="shared" si="4"/>
        <v>-0.10963306901476844</v>
      </c>
      <c r="AI49" s="396">
        <f t="shared" ca="1" si="3"/>
        <v>16129.798999999999</v>
      </c>
    </row>
    <row r="50" spans="1:35">
      <c r="A50" s="375"/>
      <c r="B50" s="376" t="str">
        <f t="shared" si="5"/>
        <v>C&amp;I_C&amp;I Prescriptive_Lighting_LED Parking Garage/Canopy (30-75W)_2017_Actual</v>
      </c>
      <c r="C50" s="376" t="b">
        <f>ISNUMBER(MATCH(B50,Analysis!B:B,0))</f>
        <v>1</v>
      </c>
      <c r="D50" s="377">
        <f t="shared" si="1"/>
        <v>44</v>
      </c>
      <c r="E50" s="376" t="b">
        <f>COUNTIF($B$7:B50,B50)=1</f>
        <v>1</v>
      </c>
      <c r="F50" s="376" t="b">
        <v>1</v>
      </c>
      <c r="G50" s="378" t="s">
        <v>142</v>
      </c>
      <c r="H50" s="378" t="s">
        <v>228</v>
      </c>
      <c r="I50" s="379" t="s">
        <v>86</v>
      </c>
      <c r="J50" s="379" t="s">
        <v>250</v>
      </c>
      <c r="K50" s="379">
        <v>2017</v>
      </c>
      <c r="L50" s="379" t="s">
        <v>167</v>
      </c>
      <c r="M50" s="380">
        <f ca="1">INDEX(Analysis!$HB:$HB,MATCH($B50,Analysis!$B:$B,0))</f>
        <v>1.0156142868623108</v>
      </c>
      <c r="N50" s="381">
        <f>IFERROR(INDEX('VDSM to BenCost Inputs'!$G:$G,MATCH($B50,'VDSM to BenCost Inputs'!$A:$A,0)),0)</f>
        <v>268</v>
      </c>
      <c r="O50" s="382" t="s">
        <v>14</v>
      </c>
      <c r="P50" s="383">
        <f ca="1">INDEX(OFFSET('Program Inputs'!$K$8,,,TotalPrograms),MATCH(SUBSTITUTE($B50,I50&amp;"_"&amp;J50,"*"),OFFSET('Program Inputs'!$B$8,,,TotalPrograms),0))</f>
        <v>1</v>
      </c>
      <c r="Q50" s="383">
        <f t="shared" ca="1" si="2"/>
        <v>268</v>
      </c>
      <c r="R50" s="384">
        <f>INDEX('Plan Data'!$L:$L,MATCH(SUBSTITUTE($B50,$L50,"Plan"),'Plan Data'!$B:$B,0))</f>
        <v>16</v>
      </c>
      <c r="S50" s="385">
        <f>INDEX('Plan Data'!$M:$M,MATCH(SUBSTITUTE($B50,$L50,"Plan"),'Plan Data'!$B:$B,0))</f>
        <v>0</v>
      </c>
      <c r="T50" s="386">
        <f>INDEX('Plan Data'!$R:$R,MATCH(SUBSTITUTE($B50,$L50,"Plan"),'Plan Data'!$B:$B,0))</f>
        <v>250</v>
      </c>
      <c r="U50" s="387">
        <f>INDEX('Plan Data'!$S:$S,MATCH(SUBSTITUTE($B50,$L50,"Plan"),'Plan Data'!$B:$B,0))</f>
        <v>0</v>
      </c>
      <c r="V50" s="387"/>
      <c r="W50" s="387"/>
      <c r="X50" s="387">
        <f>IFERROR(IFERROR(INDEX('VDSM to BenCost Inputs'!$H:$H,MATCH($B50,'VDSM to BenCost Inputs'!$A:$A,0)),0)/$N50,0)</f>
        <v>63.736940298507463</v>
      </c>
      <c r="Y50" s="388">
        <v>1</v>
      </c>
      <c r="Z50" s="389">
        <v>1</v>
      </c>
      <c r="AA50" s="390"/>
      <c r="AB50" s="391">
        <f>IFERROR(IFERROR(INDEX('VDSM to BenCost Inputs'!$I:$I,MATCH($B50,'VDSM to BenCost Inputs'!$A:$A,0)),0)/$N50,0)</f>
        <v>540.38278358208959</v>
      </c>
      <c r="AC50" s="392">
        <f>IFERROR(IFERROR(INDEX('VDSM to BenCost Inputs'!$J:$J,MATCH($B50,'VDSM to BenCost Inputs'!$A:$A,0)),0)/$N50,0)</f>
        <v>0.11571292910447763</v>
      </c>
      <c r="AD50" s="393">
        <v>0</v>
      </c>
      <c r="AE50" s="394">
        <v>0</v>
      </c>
      <c r="AF50" s="591" t="s">
        <v>3427</v>
      </c>
      <c r="AG50" s="597">
        <v>827.74920800000007</v>
      </c>
      <c r="AH50" s="594">
        <f t="shared" si="4"/>
        <v>-0.3471660517951356</v>
      </c>
      <c r="AI50" s="396">
        <f t="shared" ca="1" si="3"/>
        <v>144822.58600000001</v>
      </c>
    </row>
    <row r="51" spans="1:35">
      <c r="A51" s="375"/>
      <c r="B51" s="376" t="str">
        <f t="shared" si="5"/>
        <v>C&amp;I_C&amp;I Prescriptive_Lighting_LED Parking Garage/Canopy (≥75W)_2017_Actual</v>
      </c>
      <c r="C51" s="376" t="b">
        <f>ISNUMBER(MATCH(B51,Analysis!B:B,0))</f>
        <v>1</v>
      </c>
      <c r="D51" s="377">
        <f t="shared" si="1"/>
        <v>45</v>
      </c>
      <c r="E51" s="376" t="b">
        <f>COUNTIF($B$7:B51,B51)=1</f>
        <v>1</v>
      </c>
      <c r="F51" s="376" t="b">
        <v>1</v>
      </c>
      <c r="G51" s="378" t="s">
        <v>142</v>
      </c>
      <c r="H51" s="378" t="s">
        <v>228</v>
      </c>
      <c r="I51" s="379" t="s">
        <v>86</v>
      </c>
      <c r="J51" s="379" t="s">
        <v>251</v>
      </c>
      <c r="K51" s="379">
        <v>2017</v>
      </c>
      <c r="L51" s="379" t="s">
        <v>167</v>
      </c>
      <c r="M51" s="380">
        <f ca="1">INDEX(Analysis!$HB:$HB,MATCH($B51,Analysis!$B:$B,0))</f>
        <v>1.4542762335968265</v>
      </c>
      <c r="N51" s="381">
        <f>IFERROR(INDEX('VDSM to BenCost Inputs'!$G:$G,MATCH($B51,'VDSM to BenCost Inputs'!$A:$A,0)),0)</f>
        <v>186</v>
      </c>
      <c r="O51" s="382" t="s">
        <v>14</v>
      </c>
      <c r="P51" s="383">
        <f ca="1">INDEX(OFFSET('Program Inputs'!$K$8,,,TotalPrograms),MATCH(SUBSTITUTE($B51,I51&amp;"_"&amp;J51,"*"),OFFSET('Program Inputs'!$B$8,,,TotalPrograms),0))</f>
        <v>1</v>
      </c>
      <c r="Q51" s="383">
        <f t="shared" ca="1" si="2"/>
        <v>186</v>
      </c>
      <c r="R51" s="384">
        <f>INDEX('Plan Data'!$L:$L,MATCH(SUBSTITUTE($B51,$L51,"Plan"),'Plan Data'!$B:$B,0))</f>
        <v>16</v>
      </c>
      <c r="S51" s="385">
        <f>INDEX('Plan Data'!$M:$M,MATCH(SUBSTITUTE($B51,$L51,"Plan"),'Plan Data'!$B:$B,0))</f>
        <v>0</v>
      </c>
      <c r="T51" s="386">
        <f>INDEX('Plan Data'!$R:$R,MATCH(SUBSTITUTE($B51,$L51,"Plan"),'Plan Data'!$B:$B,0))</f>
        <v>375</v>
      </c>
      <c r="U51" s="387">
        <f>INDEX('Plan Data'!$S:$S,MATCH(SUBSTITUTE($B51,$L51,"Plan"),'Plan Data'!$B:$B,0))</f>
        <v>0</v>
      </c>
      <c r="V51" s="387"/>
      <c r="W51" s="387"/>
      <c r="X51" s="387">
        <f>IFERROR(IFERROR(INDEX('VDSM to BenCost Inputs'!$H:$H,MATCH($B51,'VDSM to BenCost Inputs'!$A:$A,0)),0)/$N51,0)</f>
        <v>100.15639784946237</v>
      </c>
      <c r="Y51" s="388">
        <v>1</v>
      </c>
      <c r="Z51" s="389">
        <v>1</v>
      </c>
      <c r="AA51" s="390"/>
      <c r="AB51" s="391">
        <f>IFERROR(IFERROR(INDEX('VDSM to BenCost Inputs'!$I:$I,MATCH($B51,'VDSM to BenCost Inputs'!$A:$A,0)),0)/$N51,0)</f>
        <v>1175.7261559139786</v>
      </c>
      <c r="AC51" s="392">
        <f>IFERROR(IFERROR(INDEX('VDSM to BenCost Inputs'!$J:$J,MATCH($B51,'VDSM to BenCost Inputs'!$A:$A,0)),0)/$N51,0)</f>
        <v>0.20852151075268818</v>
      </c>
      <c r="AD51" s="393">
        <v>0</v>
      </c>
      <c r="AE51" s="394">
        <v>0</v>
      </c>
      <c r="AF51" s="591" t="s">
        <v>3427</v>
      </c>
      <c r="AG51" s="597">
        <v>1552.6645419999998</v>
      </c>
      <c r="AH51" s="594">
        <f t="shared" si="4"/>
        <v>-0.24276872169727259</v>
      </c>
      <c r="AI51" s="396">
        <f t="shared" ca="1" si="3"/>
        <v>218685.065</v>
      </c>
    </row>
    <row r="52" spans="1:35" hidden="1">
      <c r="A52" s="375"/>
      <c r="B52" s="376" t="str">
        <f t="shared" si="5"/>
        <v>C&amp;I_C&amp;I Prescriptive_Lighting_Lighting Optimization - Remove Lamp from T8 System_2017_Actual</v>
      </c>
      <c r="C52" s="376" t="b">
        <f>ISNUMBER(MATCH(B52,Analysis!B:B,0))</f>
        <v>1</v>
      </c>
      <c r="D52" s="377">
        <f t="shared" si="1"/>
        <v>46</v>
      </c>
      <c r="E52" s="376" t="b">
        <f>COUNTIF($B$7:B52,B52)=1</f>
        <v>1</v>
      </c>
      <c r="F52" s="376" t="b">
        <v>1</v>
      </c>
      <c r="G52" s="378" t="s">
        <v>142</v>
      </c>
      <c r="H52" s="378" t="s">
        <v>228</v>
      </c>
      <c r="I52" s="379" t="s">
        <v>86</v>
      </c>
      <c r="J52" s="379" t="s">
        <v>252</v>
      </c>
      <c r="K52" s="379">
        <v>2017</v>
      </c>
      <c r="L52" s="379" t="s">
        <v>167</v>
      </c>
      <c r="M52" s="380" t="str">
        <f ca="1">INDEX(Analysis!$HB:$HB,MATCH($B52,Analysis!$B:$B,0))</f>
        <v>n/a</v>
      </c>
      <c r="N52" s="381">
        <f>IFERROR(INDEX('VDSM to BenCost Inputs'!$G:$G,MATCH($B52,'VDSM to BenCost Inputs'!$A:$A,0)),0)</f>
        <v>0</v>
      </c>
      <c r="O52" s="382" t="s">
        <v>14</v>
      </c>
      <c r="P52" s="383">
        <f ca="1">INDEX(OFFSET('Program Inputs'!$K$8,,,TotalPrograms),MATCH(SUBSTITUTE($B52,I52&amp;"_"&amp;J52,"*"),OFFSET('Program Inputs'!$B$8,,,TotalPrograms),0))</f>
        <v>1</v>
      </c>
      <c r="Q52" s="383">
        <f t="shared" ca="1" si="2"/>
        <v>0</v>
      </c>
      <c r="R52" s="384">
        <f>INDEX('Plan Data'!$L:$L,MATCH(SUBSTITUTE($B52,$L52,"Plan"),'Plan Data'!$B:$B,0))</f>
        <v>15</v>
      </c>
      <c r="S52" s="385">
        <f>INDEX('Plan Data'!$M:$M,MATCH(SUBSTITUTE($B52,$L52,"Plan"),'Plan Data'!$B:$B,0))</f>
        <v>0</v>
      </c>
      <c r="T52" s="386">
        <f>INDEX('Plan Data'!$R:$R,MATCH(SUBSTITUTE($B52,$L52,"Plan"),'Plan Data'!$B:$B,0))</f>
        <v>12</v>
      </c>
      <c r="U52" s="387">
        <f>INDEX('Plan Data'!$S:$S,MATCH(SUBSTITUTE($B52,$L52,"Plan"),'Plan Data'!$B:$B,0))</f>
        <v>0</v>
      </c>
      <c r="V52" s="387"/>
      <c r="W52" s="387"/>
      <c r="X52" s="387">
        <f>IFERROR(IFERROR(INDEX('VDSM to BenCost Inputs'!$H:$H,MATCH($B52,'VDSM to BenCost Inputs'!$A:$A,0)),0)/$N52,0)</f>
        <v>0</v>
      </c>
      <c r="Y52" s="388">
        <v>1</v>
      </c>
      <c r="Z52" s="389">
        <v>1</v>
      </c>
      <c r="AA52" s="390"/>
      <c r="AB52" s="391">
        <f>IFERROR(IFERROR(INDEX('VDSM to BenCost Inputs'!$I:$I,MATCH($B52,'VDSM to BenCost Inputs'!$A:$A,0)),0)/$N52,0)</f>
        <v>0</v>
      </c>
      <c r="AC52" s="392">
        <f>IFERROR(IFERROR(INDEX('VDSM to BenCost Inputs'!$J:$J,MATCH($B52,'VDSM to BenCost Inputs'!$A:$A,0)),0)/$N52,0)</f>
        <v>0</v>
      </c>
      <c r="AD52" s="393">
        <v>0</v>
      </c>
      <c r="AE52" s="394">
        <v>0</v>
      </c>
      <c r="AF52" s="591"/>
      <c r="AG52" s="395"/>
      <c r="AH52" s="594" t="str">
        <f t="shared" si="4"/>
        <v/>
      </c>
      <c r="AI52" s="396">
        <f t="shared" ca="1" si="3"/>
        <v>0</v>
      </c>
    </row>
    <row r="53" spans="1:35" hidden="1">
      <c r="A53" s="375"/>
      <c r="B53" s="376" t="str">
        <f t="shared" si="5"/>
        <v>C&amp;I_C&amp;I Prescriptive_Lighting_Lighting Optimization - Remove 2 Lamps from T8 System_2017_Actual</v>
      </c>
      <c r="C53" s="376" t="b">
        <f>ISNUMBER(MATCH(B53,Analysis!B:B,0))</f>
        <v>1</v>
      </c>
      <c r="D53" s="377">
        <f t="shared" si="1"/>
        <v>47</v>
      </c>
      <c r="E53" s="376" t="b">
        <f>COUNTIF($B$7:B53,B53)=1</f>
        <v>1</v>
      </c>
      <c r="F53" s="376" t="b">
        <v>1</v>
      </c>
      <c r="G53" s="378" t="s">
        <v>142</v>
      </c>
      <c r="H53" s="378" t="s">
        <v>228</v>
      </c>
      <c r="I53" s="379" t="s">
        <v>86</v>
      </c>
      <c r="J53" s="379" t="s">
        <v>253</v>
      </c>
      <c r="K53" s="379">
        <v>2017</v>
      </c>
      <c r="L53" s="379" t="s">
        <v>167</v>
      </c>
      <c r="M53" s="380" t="str">
        <f ca="1">INDEX(Analysis!$HB:$HB,MATCH($B53,Analysis!$B:$B,0))</f>
        <v>n/a</v>
      </c>
      <c r="N53" s="381">
        <f>IFERROR(INDEX('VDSM to BenCost Inputs'!$G:$G,MATCH($B53,'VDSM to BenCost Inputs'!$A:$A,0)),0)</f>
        <v>0</v>
      </c>
      <c r="O53" s="382" t="s">
        <v>14</v>
      </c>
      <c r="P53" s="383">
        <f ca="1">INDEX(OFFSET('Program Inputs'!$K$8,,,TotalPrograms),MATCH(SUBSTITUTE($B53,I53&amp;"_"&amp;J53,"*"),OFFSET('Program Inputs'!$B$8,,,TotalPrograms),0))</f>
        <v>1</v>
      </c>
      <c r="Q53" s="383">
        <f t="shared" ca="1" si="2"/>
        <v>0</v>
      </c>
      <c r="R53" s="384">
        <f>INDEX('Plan Data'!$L:$L,MATCH(SUBSTITUTE($B53,$L53,"Plan"),'Plan Data'!$B:$B,0))</f>
        <v>15</v>
      </c>
      <c r="S53" s="385">
        <f>INDEX('Plan Data'!$M:$M,MATCH(SUBSTITUTE($B53,$L53,"Plan"),'Plan Data'!$B:$B,0))</f>
        <v>0</v>
      </c>
      <c r="T53" s="386">
        <f>INDEX('Plan Data'!$R:$R,MATCH(SUBSTITUTE($B53,$L53,"Plan"),'Plan Data'!$B:$B,0))</f>
        <v>24</v>
      </c>
      <c r="U53" s="387">
        <f>INDEX('Plan Data'!$S:$S,MATCH(SUBSTITUTE($B53,$L53,"Plan"),'Plan Data'!$B:$B,0))</f>
        <v>0</v>
      </c>
      <c r="V53" s="387"/>
      <c r="W53" s="387"/>
      <c r="X53" s="387">
        <f>IFERROR(IFERROR(INDEX('VDSM to BenCost Inputs'!$H:$H,MATCH($B53,'VDSM to BenCost Inputs'!$A:$A,0)),0)/$N53,0)</f>
        <v>0</v>
      </c>
      <c r="Y53" s="388">
        <v>1</v>
      </c>
      <c r="Z53" s="389">
        <v>1</v>
      </c>
      <c r="AA53" s="390"/>
      <c r="AB53" s="391">
        <f>IFERROR(IFERROR(INDEX('VDSM to BenCost Inputs'!$I:$I,MATCH($B53,'VDSM to BenCost Inputs'!$A:$A,0)),0)/$N53,0)</f>
        <v>0</v>
      </c>
      <c r="AC53" s="392">
        <f>IFERROR(IFERROR(INDEX('VDSM to BenCost Inputs'!$J:$J,MATCH($B53,'VDSM to BenCost Inputs'!$A:$A,0)),0)/$N53,0)</f>
        <v>0</v>
      </c>
      <c r="AD53" s="393">
        <v>0</v>
      </c>
      <c r="AE53" s="394">
        <v>0</v>
      </c>
      <c r="AF53" s="591"/>
      <c r="AG53" s="395"/>
      <c r="AH53" s="594" t="str">
        <f t="shared" si="4"/>
        <v/>
      </c>
      <c r="AI53" s="396">
        <f t="shared" ca="1" si="3"/>
        <v>0</v>
      </c>
    </row>
    <row r="54" spans="1:35" hidden="1">
      <c r="A54" s="375"/>
      <c r="B54" s="376" t="str">
        <f t="shared" si="5"/>
        <v>C&amp;I_C&amp;I Prescriptive_Lighting_T8 (≤4 ft, 1-2 Lamp)_2017_Actual</v>
      </c>
      <c r="C54" s="376" t="b">
        <f>ISNUMBER(MATCH(B54,Analysis!B:B,0))</f>
        <v>1</v>
      </c>
      <c r="D54" s="377">
        <f t="shared" si="1"/>
        <v>48</v>
      </c>
      <c r="E54" s="376" t="b">
        <f>COUNTIF($B$7:B54,B54)=1</f>
        <v>1</v>
      </c>
      <c r="F54" s="376" t="b">
        <v>1</v>
      </c>
      <c r="G54" s="378" t="s">
        <v>142</v>
      </c>
      <c r="H54" s="378" t="s">
        <v>228</v>
      </c>
      <c r="I54" s="379" t="s">
        <v>86</v>
      </c>
      <c r="J54" s="379" t="s">
        <v>254</v>
      </c>
      <c r="K54" s="379">
        <v>2017</v>
      </c>
      <c r="L54" s="379" t="s">
        <v>167</v>
      </c>
      <c r="M54" s="380" t="str">
        <f ca="1">INDEX(Analysis!$HB:$HB,MATCH($B54,Analysis!$B:$B,0))</f>
        <v>n/a</v>
      </c>
      <c r="N54" s="381">
        <f>IFERROR(INDEX('VDSM to BenCost Inputs'!$G:$G,MATCH($B54,'VDSM to BenCost Inputs'!$A:$A,0)),0)</f>
        <v>0</v>
      </c>
      <c r="O54" s="382" t="s">
        <v>14</v>
      </c>
      <c r="P54" s="383">
        <f ca="1">INDEX(OFFSET('Program Inputs'!$K$8,,,TotalPrograms),MATCH(SUBSTITUTE($B54,I54&amp;"_"&amp;J54,"*"),OFFSET('Program Inputs'!$B$8,,,TotalPrograms),0))</f>
        <v>1</v>
      </c>
      <c r="Q54" s="383">
        <f t="shared" ca="1" si="2"/>
        <v>0</v>
      </c>
      <c r="R54" s="384">
        <f>INDEX('Plan Data'!$L:$L,MATCH(SUBSTITUTE($B54,$L54,"Plan"),'Plan Data'!$B:$B,0))</f>
        <v>18</v>
      </c>
      <c r="S54" s="385">
        <f>INDEX('Plan Data'!$M:$M,MATCH(SUBSTITUTE($B54,$L54,"Plan"),'Plan Data'!$B:$B,0))</f>
        <v>0</v>
      </c>
      <c r="T54" s="386">
        <f>INDEX('Plan Data'!$R:$R,MATCH(SUBSTITUTE($B54,$L54,"Plan"),'Plan Data'!$B:$B,0))</f>
        <v>43</v>
      </c>
      <c r="U54" s="387">
        <f>INDEX('Plan Data'!$S:$S,MATCH(SUBSTITUTE($B54,$L54,"Plan"),'Plan Data'!$B:$B,0))</f>
        <v>0</v>
      </c>
      <c r="V54" s="387"/>
      <c r="W54" s="387"/>
      <c r="X54" s="387">
        <f>IFERROR(IFERROR(INDEX('VDSM to BenCost Inputs'!$H:$H,MATCH($B54,'VDSM to BenCost Inputs'!$A:$A,0)),0)/$N54,0)</f>
        <v>0</v>
      </c>
      <c r="Y54" s="388">
        <v>1</v>
      </c>
      <c r="Z54" s="389">
        <v>1</v>
      </c>
      <c r="AA54" s="390"/>
      <c r="AB54" s="391">
        <f>IFERROR(IFERROR(INDEX('VDSM to BenCost Inputs'!$I:$I,MATCH($B54,'VDSM to BenCost Inputs'!$A:$A,0)),0)/$N54,0)</f>
        <v>0</v>
      </c>
      <c r="AC54" s="392">
        <f>IFERROR(IFERROR(INDEX('VDSM to BenCost Inputs'!$J:$J,MATCH($B54,'VDSM to BenCost Inputs'!$A:$A,0)),0)/$N54,0)</f>
        <v>0</v>
      </c>
      <c r="AD54" s="393">
        <v>0</v>
      </c>
      <c r="AE54" s="394">
        <v>0</v>
      </c>
      <c r="AF54" s="591"/>
      <c r="AG54" s="395"/>
      <c r="AH54" s="594" t="str">
        <f t="shared" si="4"/>
        <v/>
      </c>
      <c r="AI54" s="396">
        <f t="shared" ca="1" si="3"/>
        <v>0</v>
      </c>
    </row>
    <row r="55" spans="1:35" hidden="1">
      <c r="A55" s="375"/>
      <c r="B55" s="376" t="str">
        <f t="shared" si="5"/>
        <v>C&amp;I_C&amp;I Prescriptive_Lighting_T8 (≤4 ft, 3-4 Lamp)_2017_Actual</v>
      </c>
      <c r="C55" s="376" t="b">
        <f>ISNUMBER(MATCH(B55,Analysis!B:B,0))</f>
        <v>1</v>
      </c>
      <c r="D55" s="377">
        <f t="shared" si="1"/>
        <v>49</v>
      </c>
      <c r="E55" s="376" t="b">
        <f>COUNTIF($B$7:B55,B55)=1</f>
        <v>1</v>
      </c>
      <c r="F55" s="376" t="b">
        <v>1</v>
      </c>
      <c r="G55" s="378" t="s">
        <v>142</v>
      </c>
      <c r="H55" s="378" t="s">
        <v>228</v>
      </c>
      <c r="I55" s="379" t="s">
        <v>86</v>
      </c>
      <c r="J55" s="379" t="s">
        <v>255</v>
      </c>
      <c r="K55" s="379">
        <v>2017</v>
      </c>
      <c r="L55" s="379" t="s">
        <v>167</v>
      </c>
      <c r="M55" s="380" t="str">
        <f ca="1">INDEX(Analysis!$HB:$HB,MATCH($B55,Analysis!$B:$B,0))</f>
        <v>n/a</v>
      </c>
      <c r="N55" s="381">
        <f>IFERROR(INDEX('VDSM to BenCost Inputs'!$G:$G,MATCH($B55,'VDSM to BenCost Inputs'!$A:$A,0)),0)</f>
        <v>0</v>
      </c>
      <c r="O55" s="382" t="s">
        <v>14</v>
      </c>
      <c r="P55" s="383">
        <f ca="1">INDEX(OFFSET('Program Inputs'!$K$8,,,TotalPrograms),MATCH(SUBSTITUTE($B55,I55&amp;"_"&amp;J55,"*"),OFFSET('Program Inputs'!$B$8,,,TotalPrograms),0))</f>
        <v>1</v>
      </c>
      <c r="Q55" s="383">
        <f t="shared" ca="1" si="2"/>
        <v>0</v>
      </c>
      <c r="R55" s="384">
        <f>INDEX('Plan Data'!$L:$L,MATCH(SUBSTITUTE($B55,$L55,"Plan"),'Plan Data'!$B:$B,0))</f>
        <v>18</v>
      </c>
      <c r="S55" s="385">
        <f>INDEX('Plan Data'!$M:$M,MATCH(SUBSTITUTE($B55,$L55,"Plan"),'Plan Data'!$B:$B,0))</f>
        <v>0</v>
      </c>
      <c r="T55" s="386">
        <f>INDEX('Plan Data'!$R:$R,MATCH(SUBSTITUTE($B55,$L55,"Plan"),'Plan Data'!$B:$B,0))</f>
        <v>55</v>
      </c>
      <c r="U55" s="387">
        <f>INDEX('Plan Data'!$S:$S,MATCH(SUBSTITUTE($B55,$L55,"Plan"),'Plan Data'!$B:$B,0))</f>
        <v>0</v>
      </c>
      <c r="V55" s="387"/>
      <c r="W55" s="387"/>
      <c r="X55" s="387">
        <f>IFERROR(IFERROR(INDEX('VDSM to BenCost Inputs'!$H:$H,MATCH($B55,'VDSM to BenCost Inputs'!$A:$A,0)),0)/$N55,0)</f>
        <v>0</v>
      </c>
      <c r="Y55" s="388">
        <v>1</v>
      </c>
      <c r="Z55" s="389">
        <v>1</v>
      </c>
      <c r="AA55" s="390"/>
      <c r="AB55" s="391">
        <f>IFERROR(IFERROR(INDEX('VDSM to BenCost Inputs'!$I:$I,MATCH($B55,'VDSM to BenCost Inputs'!$A:$A,0)),0)/$N55,0)</f>
        <v>0</v>
      </c>
      <c r="AC55" s="392">
        <f>IFERROR(IFERROR(INDEX('VDSM to BenCost Inputs'!$J:$J,MATCH($B55,'VDSM to BenCost Inputs'!$A:$A,0)),0)/$N55,0)</f>
        <v>0</v>
      </c>
      <c r="AD55" s="393">
        <v>0</v>
      </c>
      <c r="AE55" s="394">
        <v>0</v>
      </c>
      <c r="AF55" s="591"/>
      <c r="AG55" s="395"/>
      <c r="AH55" s="594" t="str">
        <f t="shared" si="4"/>
        <v/>
      </c>
      <c r="AI55" s="396">
        <f t="shared" ca="1" si="3"/>
        <v>0</v>
      </c>
    </row>
    <row r="56" spans="1:35" hidden="1">
      <c r="A56" s="375"/>
      <c r="B56" s="376" t="str">
        <f t="shared" si="5"/>
        <v>C&amp;I_C&amp;I Prescriptive_Lighting_T8 (5-8 ft, 1-2 Lamp)_2017_Actual</v>
      </c>
      <c r="C56" s="376" t="b">
        <f>ISNUMBER(MATCH(B56,Analysis!B:B,0))</f>
        <v>1</v>
      </c>
      <c r="D56" s="377">
        <f t="shared" si="1"/>
        <v>50</v>
      </c>
      <c r="E56" s="376" t="b">
        <f>COUNTIF($B$7:B56,B56)=1</f>
        <v>1</v>
      </c>
      <c r="F56" s="376" t="b">
        <v>1</v>
      </c>
      <c r="G56" s="378" t="s">
        <v>142</v>
      </c>
      <c r="H56" s="378" t="s">
        <v>228</v>
      </c>
      <c r="I56" s="379" t="s">
        <v>86</v>
      </c>
      <c r="J56" s="379" t="s">
        <v>256</v>
      </c>
      <c r="K56" s="379">
        <v>2017</v>
      </c>
      <c r="L56" s="379" t="s">
        <v>167</v>
      </c>
      <c r="M56" s="380" t="str">
        <f ca="1">INDEX(Analysis!$HB:$HB,MATCH($B56,Analysis!$B:$B,0))</f>
        <v>n/a</v>
      </c>
      <c r="N56" s="381">
        <f>IFERROR(INDEX('VDSM to BenCost Inputs'!$G:$G,MATCH($B56,'VDSM to BenCost Inputs'!$A:$A,0)),0)</f>
        <v>0</v>
      </c>
      <c r="O56" s="382" t="s">
        <v>14</v>
      </c>
      <c r="P56" s="383">
        <f ca="1">INDEX(OFFSET('Program Inputs'!$K$8,,,TotalPrograms),MATCH(SUBSTITUTE($B56,I56&amp;"_"&amp;J56,"*"),OFFSET('Program Inputs'!$B$8,,,TotalPrograms),0))</f>
        <v>1</v>
      </c>
      <c r="Q56" s="383">
        <f t="shared" ca="1" si="2"/>
        <v>0</v>
      </c>
      <c r="R56" s="384">
        <f>INDEX('Plan Data'!$L:$L,MATCH(SUBSTITUTE($B56,$L56,"Plan"),'Plan Data'!$B:$B,0))</f>
        <v>18</v>
      </c>
      <c r="S56" s="385">
        <f>INDEX('Plan Data'!$M:$M,MATCH(SUBSTITUTE($B56,$L56,"Plan"),'Plan Data'!$B:$B,0))</f>
        <v>0</v>
      </c>
      <c r="T56" s="386">
        <f>INDEX('Plan Data'!$R:$R,MATCH(SUBSTITUTE($B56,$L56,"Plan"),'Plan Data'!$B:$B,0))</f>
        <v>93</v>
      </c>
      <c r="U56" s="387">
        <f>INDEX('Plan Data'!$S:$S,MATCH(SUBSTITUTE($B56,$L56,"Plan"),'Plan Data'!$B:$B,0))</f>
        <v>0</v>
      </c>
      <c r="V56" s="387"/>
      <c r="W56" s="387"/>
      <c r="X56" s="387">
        <f>IFERROR(IFERROR(INDEX('VDSM to BenCost Inputs'!$H:$H,MATCH($B56,'VDSM to BenCost Inputs'!$A:$A,0)),0)/$N56,0)</f>
        <v>0</v>
      </c>
      <c r="Y56" s="388">
        <v>1</v>
      </c>
      <c r="Z56" s="389">
        <v>1</v>
      </c>
      <c r="AA56" s="390"/>
      <c r="AB56" s="391">
        <f>IFERROR(IFERROR(INDEX('VDSM to BenCost Inputs'!$I:$I,MATCH($B56,'VDSM to BenCost Inputs'!$A:$A,0)),0)/$N56,0)</f>
        <v>0</v>
      </c>
      <c r="AC56" s="392">
        <f>IFERROR(IFERROR(INDEX('VDSM to BenCost Inputs'!$J:$J,MATCH($B56,'VDSM to BenCost Inputs'!$A:$A,0)),0)/$N56,0)</f>
        <v>0</v>
      </c>
      <c r="AD56" s="393">
        <v>0</v>
      </c>
      <c r="AE56" s="394">
        <v>0</v>
      </c>
      <c r="AF56" s="591"/>
      <c r="AG56" s="395"/>
      <c r="AH56" s="594" t="str">
        <f t="shared" si="4"/>
        <v/>
      </c>
      <c r="AI56" s="396">
        <f t="shared" ca="1" si="3"/>
        <v>0</v>
      </c>
    </row>
    <row r="57" spans="1:35">
      <c r="A57" s="375"/>
      <c r="B57" s="376" t="str">
        <f t="shared" si="5"/>
        <v>C&amp;I_C&amp;I Prescriptive_Lighting_LED Linear Replacement Lamp (≤4ft)_2017_Actual</v>
      </c>
      <c r="C57" s="376" t="b">
        <f>ISNUMBER(MATCH(B57,Analysis!B:B,0))</f>
        <v>1</v>
      </c>
      <c r="D57" s="377">
        <f t="shared" si="1"/>
        <v>51</v>
      </c>
      <c r="E57" s="376" t="b">
        <f>COUNTIF($B$7:B57,B57)=1</f>
        <v>1</v>
      </c>
      <c r="F57" s="376" t="b">
        <v>1</v>
      </c>
      <c r="G57" s="378" t="s">
        <v>142</v>
      </c>
      <c r="H57" s="378" t="s">
        <v>228</v>
      </c>
      <c r="I57" s="379" t="s">
        <v>86</v>
      </c>
      <c r="J57" s="379" t="s">
        <v>192</v>
      </c>
      <c r="K57" s="379">
        <v>2017</v>
      </c>
      <c r="L57" s="379" t="s">
        <v>167</v>
      </c>
      <c r="M57" s="380">
        <f ca="1">INDEX(Analysis!$HB:$HB,MATCH($B57,Analysis!$B:$B,0))</f>
        <v>3.5858438437792994</v>
      </c>
      <c r="N57" s="381">
        <f>IFERROR(INDEX('VDSM to BenCost Inputs'!$G:$G,MATCH($B57,'VDSM to BenCost Inputs'!$A:$A,0)),0)</f>
        <v>13895</v>
      </c>
      <c r="O57" s="382" t="s">
        <v>14</v>
      </c>
      <c r="P57" s="383">
        <f ca="1">INDEX(OFFSET('Program Inputs'!$K$8,,,TotalPrograms),MATCH(SUBSTITUTE($B57,I57&amp;"_"&amp;J57,"*"),OFFSET('Program Inputs'!$B$8,,,TotalPrograms),0))</f>
        <v>1</v>
      </c>
      <c r="Q57" s="383">
        <f t="shared" ca="1" si="2"/>
        <v>13895</v>
      </c>
      <c r="R57" s="384">
        <f>INDEX('Plan Data'!$L:$L,MATCH(SUBSTITUTE($B57,$L57,"Plan"),'Plan Data'!$B:$B,0))</f>
        <v>16</v>
      </c>
      <c r="S57" s="385">
        <f>INDEX('Plan Data'!$M:$M,MATCH(SUBSTITUTE($B57,$L57,"Plan"),'Plan Data'!$B:$B,0))</f>
        <v>0</v>
      </c>
      <c r="T57" s="386">
        <f>INDEX('Plan Data'!$R:$R,MATCH(SUBSTITUTE($B57,$L57,"Plan"),'Plan Data'!$B:$B,0))</f>
        <v>9.5</v>
      </c>
      <c r="U57" s="387">
        <f>INDEX('Plan Data'!$S:$S,MATCH(SUBSTITUTE($B57,$L57,"Plan"),'Plan Data'!$B:$B,0))</f>
        <v>0</v>
      </c>
      <c r="V57" s="387"/>
      <c r="W57" s="387"/>
      <c r="X57" s="387">
        <f>IFERROR(IFERROR(INDEX('VDSM to BenCost Inputs'!$H:$H,MATCH($B57,'VDSM to BenCost Inputs'!$A:$A,0)),0)/$N57,0)</f>
        <v>10.421419234256929</v>
      </c>
      <c r="Y57" s="388">
        <v>1</v>
      </c>
      <c r="Z57" s="389">
        <v>1</v>
      </c>
      <c r="AA57" s="390"/>
      <c r="AB57" s="391">
        <f>IFERROR(IFERROR(INDEX('VDSM to BenCost Inputs'!$I:$I,MATCH($B57,'VDSM to BenCost Inputs'!$A:$A,0)),0)/$N57,0)</f>
        <v>71.928403166606657</v>
      </c>
      <c r="AC57" s="392">
        <f>IFERROR(IFERROR(INDEX('VDSM to BenCost Inputs'!$J:$J,MATCH($B57,'VDSM to BenCost Inputs'!$A:$A,0)),0)/$N57,0)</f>
        <v>1.7048897445124139E-2</v>
      </c>
      <c r="AD57" s="393">
        <v>0</v>
      </c>
      <c r="AE57" s="394">
        <v>0</v>
      </c>
      <c r="AF57" s="591" t="s">
        <v>3427</v>
      </c>
      <c r="AG57" s="597">
        <v>285.64965000000001</v>
      </c>
      <c r="AH57" s="594">
        <f t="shared" si="4"/>
        <v>-0.74819362401947054</v>
      </c>
      <c r="AI57" s="396">
        <f t="shared" ca="1" si="3"/>
        <v>999445.16199999955</v>
      </c>
    </row>
    <row r="58" spans="1:35">
      <c r="A58" s="375"/>
      <c r="B58" s="376" t="str">
        <f t="shared" si="5"/>
        <v>C&amp;I_C&amp;I Prescriptive_Lighting_LED Linear Replacement Lamp (5-8ft)_2017_Actual</v>
      </c>
      <c r="C58" s="376" t="b">
        <f>ISNUMBER(MATCH(B58,Analysis!B:B,0))</f>
        <v>1</v>
      </c>
      <c r="D58" s="377">
        <f t="shared" si="1"/>
        <v>52</v>
      </c>
      <c r="E58" s="376" t="b">
        <f>COUNTIF($B$7:B58,B58)=1</f>
        <v>1</v>
      </c>
      <c r="F58" s="376" t="b">
        <v>1</v>
      </c>
      <c r="G58" s="378" t="s">
        <v>142</v>
      </c>
      <c r="H58" s="378" t="s">
        <v>228</v>
      </c>
      <c r="I58" s="379" t="s">
        <v>86</v>
      </c>
      <c r="J58" s="379" t="s">
        <v>194</v>
      </c>
      <c r="K58" s="379">
        <v>2017</v>
      </c>
      <c r="L58" s="379" t="s">
        <v>167</v>
      </c>
      <c r="M58" s="380">
        <f ca="1">INDEX(Analysis!$HB:$HB,MATCH($B58,Analysis!$B:$B,0))</f>
        <v>7.9537438788215296</v>
      </c>
      <c r="N58" s="381">
        <f>IFERROR(INDEX('VDSM to BenCost Inputs'!$G:$G,MATCH($B58,'VDSM to BenCost Inputs'!$A:$A,0)),0)</f>
        <v>653</v>
      </c>
      <c r="O58" s="382" t="s">
        <v>14</v>
      </c>
      <c r="P58" s="383">
        <f ca="1">INDEX(OFFSET('Program Inputs'!$K$8,,,TotalPrograms),MATCH(SUBSTITUTE($B58,I58&amp;"_"&amp;J58,"*"),OFFSET('Program Inputs'!$B$8,,,TotalPrograms),0))</f>
        <v>1</v>
      </c>
      <c r="Q58" s="383">
        <f t="shared" ca="1" si="2"/>
        <v>653</v>
      </c>
      <c r="R58" s="384">
        <f>INDEX('Plan Data'!$L:$L,MATCH(SUBSTITUTE($B58,$L58,"Plan"),'Plan Data'!$B:$B,0))</f>
        <v>16</v>
      </c>
      <c r="S58" s="385">
        <f>INDEX('Plan Data'!$M:$M,MATCH(SUBSTITUTE($B58,$L58,"Plan"),'Plan Data'!$B:$B,0))</f>
        <v>0</v>
      </c>
      <c r="T58" s="386">
        <f>INDEX('Plan Data'!$R:$R,MATCH(SUBSTITUTE($B58,$L58,"Plan"),'Plan Data'!$B:$B,0))</f>
        <v>9.5</v>
      </c>
      <c r="U58" s="387">
        <f>INDEX('Plan Data'!$S:$S,MATCH(SUBSTITUTE($B58,$L58,"Plan"),'Plan Data'!$B:$B,0))</f>
        <v>0</v>
      </c>
      <c r="V58" s="387"/>
      <c r="W58" s="387"/>
      <c r="X58" s="387">
        <f>IFERROR(IFERROR(INDEX('VDSM to BenCost Inputs'!$H:$H,MATCH($B58,'VDSM to BenCost Inputs'!$A:$A,0)),0)/$N58,0)</f>
        <v>23</v>
      </c>
      <c r="Y58" s="388">
        <v>1</v>
      </c>
      <c r="Z58" s="389">
        <v>1</v>
      </c>
      <c r="AA58" s="390"/>
      <c r="AB58" s="391">
        <f>IFERROR(IFERROR(INDEX('VDSM to BenCost Inputs'!$I:$I,MATCH($B58,'VDSM to BenCost Inputs'!$A:$A,0)),0)/$N58,0)</f>
        <v>159.23217764165389</v>
      </c>
      <c r="AC58" s="392">
        <f>IFERROR(IFERROR(INDEX('VDSM to BenCost Inputs'!$J:$J,MATCH($B58,'VDSM to BenCost Inputs'!$A:$A,0)),0)/$N58,0)</f>
        <v>3.8645307810107193E-2</v>
      </c>
      <c r="AD58" s="393">
        <v>0</v>
      </c>
      <c r="AE58" s="394">
        <v>0</v>
      </c>
      <c r="AF58" s="591" t="s">
        <v>3427</v>
      </c>
      <c r="AG58" s="597">
        <v>349.12734999999998</v>
      </c>
      <c r="AH58" s="594">
        <f t="shared" si="4"/>
        <v>-0.54391376773646094</v>
      </c>
      <c r="AI58" s="396">
        <f t="shared" ca="1" si="3"/>
        <v>103978.61199999999</v>
      </c>
    </row>
    <row r="59" spans="1:35" hidden="1">
      <c r="A59" s="375"/>
      <c r="B59" s="376" t="str">
        <f t="shared" si="5"/>
        <v>C&amp;I_C&amp;I Prescriptive_Lighting_Ceiling Mount Occupancy_2017_Actual</v>
      </c>
      <c r="C59" s="376" t="b">
        <f>ISNUMBER(MATCH(B59,Analysis!B:B,0))</f>
        <v>1</v>
      </c>
      <c r="D59" s="377">
        <f t="shared" si="1"/>
        <v>53</v>
      </c>
      <c r="E59" s="376" t="b">
        <f>COUNTIF($B$7:B59,B59)=1</f>
        <v>1</v>
      </c>
      <c r="F59" s="376" t="b">
        <v>1</v>
      </c>
      <c r="G59" s="378" t="s">
        <v>142</v>
      </c>
      <c r="H59" s="378" t="s">
        <v>228</v>
      </c>
      <c r="I59" s="379" t="s">
        <v>86</v>
      </c>
      <c r="J59" s="379" t="s">
        <v>263</v>
      </c>
      <c r="K59" s="379">
        <v>2017</v>
      </c>
      <c r="L59" s="379" t="s">
        <v>167</v>
      </c>
      <c r="M59" s="380" t="str">
        <f ca="1">INDEX(Analysis!$HB:$HB,MATCH($B59,Analysis!$B:$B,0))</f>
        <v>n/a</v>
      </c>
      <c r="N59" s="381">
        <f>IFERROR(INDEX('VDSM to BenCost Inputs'!$G:$G,MATCH($B59,'VDSM to BenCost Inputs'!$A:$A,0)),0)</f>
        <v>0</v>
      </c>
      <c r="O59" s="382" t="s">
        <v>14</v>
      </c>
      <c r="P59" s="383">
        <f ca="1">INDEX(OFFSET('Program Inputs'!$K$8,,,TotalPrograms),MATCH(SUBSTITUTE($B59,I59&amp;"_"&amp;J59,"*"),OFFSET('Program Inputs'!$B$8,,,TotalPrograms),0))</f>
        <v>1</v>
      </c>
      <c r="Q59" s="383">
        <f t="shared" ca="1" si="2"/>
        <v>0</v>
      </c>
      <c r="R59" s="384">
        <f>INDEX('Plan Data'!$L:$L,MATCH(SUBSTITUTE($B59,$L59,"Plan"),'Plan Data'!$B:$B,0))</f>
        <v>8</v>
      </c>
      <c r="S59" s="385">
        <f>INDEX('Plan Data'!$M:$M,MATCH(SUBSTITUTE($B59,$L59,"Plan"),'Plan Data'!$B:$B,0))</f>
        <v>0</v>
      </c>
      <c r="T59" s="386">
        <f>INDEX('Plan Data'!$R:$R,MATCH(SUBSTITUTE($B59,$L59,"Plan"),'Plan Data'!$B:$B,0))</f>
        <v>125</v>
      </c>
      <c r="U59" s="387">
        <f>INDEX('Plan Data'!$S:$S,MATCH(SUBSTITUTE($B59,$L59,"Plan"),'Plan Data'!$B:$B,0))</f>
        <v>0</v>
      </c>
      <c r="V59" s="387"/>
      <c r="W59" s="387"/>
      <c r="X59" s="387">
        <f>IFERROR(IFERROR(INDEX('VDSM to BenCost Inputs'!$H:$H,MATCH($B59,'VDSM to BenCost Inputs'!$A:$A,0)),0)/$N59,0)</f>
        <v>0</v>
      </c>
      <c r="Y59" s="388">
        <v>1</v>
      </c>
      <c r="Z59" s="389">
        <v>1</v>
      </c>
      <c r="AA59" s="390"/>
      <c r="AB59" s="391">
        <f>IFERROR(IFERROR(INDEX('VDSM to BenCost Inputs'!$I:$I,MATCH($B59,'VDSM to BenCost Inputs'!$A:$A,0)),0)/$N59,0)</f>
        <v>0</v>
      </c>
      <c r="AC59" s="392">
        <f>IFERROR(IFERROR(INDEX('VDSM to BenCost Inputs'!$J:$J,MATCH($B59,'VDSM to BenCost Inputs'!$A:$A,0)),0)/$N59,0)</f>
        <v>0</v>
      </c>
      <c r="AD59" s="393">
        <v>0</v>
      </c>
      <c r="AE59" s="394">
        <v>0</v>
      </c>
      <c r="AF59" s="591"/>
      <c r="AG59" s="395"/>
      <c r="AH59" s="594" t="str">
        <f t="shared" si="4"/>
        <v/>
      </c>
      <c r="AI59" s="396">
        <f t="shared" ca="1" si="3"/>
        <v>0</v>
      </c>
    </row>
    <row r="60" spans="1:35" hidden="1">
      <c r="A60" s="375"/>
      <c r="B60" s="376" t="str">
        <f t="shared" si="5"/>
        <v>C&amp;I_C&amp;I Prescriptive_Lighting_Wall Mount Occupancy_2017_Actual</v>
      </c>
      <c r="C60" s="376" t="b">
        <f>ISNUMBER(MATCH(B60,Analysis!B:B,0))</f>
        <v>1</v>
      </c>
      <c r="D60" s="377">
        <f t="shared" si="1"/>
        <v>54</v>
      </c>
      <c r="E60" s="376" t="b">
        <f>COUNTIF($B$7:B60,B60)=1</f>
        <v>1</v>
      </c>
      <c r="F60" s="376" t="b">
        <v>1</v>
      </c>
      <c r="G60" s="378" t="s">
        <v>142</v>
      </c>
      <c r="H60" s="378" t="s">
        <v>228</v>
      </c>
      <c r="I60" s="379" t="s">
        <v>86</v>
      </c>
      <c r="J60" s="379" t="s">
        <v>264</v>
      </c>
      <c r="K60" s="379">
        <v>2017</v>
      </c>
      <c r="L60" s="379" t="s">
        <v>167</v>
      </c>
      <c r="M60" s="380" t="str">
        <f ca="1">INDEX(Analysis!$HB:$HB,MATCH($B60,Analysis!$B:$B,0))</f>
        <v>n/a</v>
      </c>
      <c r="N60" s="381">
        <f>IFERROR(INDEX('VDSM to BenCost Inputs'!$G:$G,MATCH($B60,'VDSM to BenCost Inputs'!$A:$A,0)),0)</f>
        <v>0</v>
      </c>
      <c r="O60" s="382" t="s">
        <v>14</v>
      </c>
      <c r="P60" s="383">
        <f ca="1">INDEX(OFFSET('Program Inputs'!$K$8,,,TotalPrograms),MATCH(SUBSTITUTE($B60,I60&amp;"_"&amp;J60,"*"),OFFSET('Program Inputs'!$B$8,,,TotalPrograms),0))</f>
        <v>1</v>
      </c>
      <c r="Q60" s="383">
        <f t="shared" ca="1" si="2"/>
        <v>0</v>
      </c>
      <c r="R60" s="384">
        <f>INDEX('Plan Data'!$L:$L,MATCH(SUBSTITUTE($B60,$L60,"Plan"),'Plan Data'!$B:$B,0))</f>
        <v>8</v>
      </c>
      <c r="S60" s="385">
        <f>INDEX('Plan Data'!$M:$M,MATCH(SUBSTITUTE($B60,$L60,"Plan"),'Plan Data'!$B:$B,0))</f>
        <v>0</v>
      </c>
      <c r="T60" s="386">
        <f>INDEX('Plan Data'!$R:$R,MATCH(SUBSTITUTE($B60,$L60,"Plan"),'Plan Data'!$B:$B,0))</f>
        <v>55</v>
      </c>
      <c r="U60" s="387">
        <f>INDEX('Plan Data'!$S:$S,MATCH(SUBSTITUTE($B60,$L60,"Plan"),'Plan Data'!$B:$B,0))</f>
        <v>0</v>
      </c>
      <c r="V60" s="387"/>
      <c r="W60" s="387"/>
      <c r="X60" s="387">
        <f>IFERROR(IFERROR(INDEX('VDSM to BenCost Inputs'!$H:$H,MATCH($B60,'VDSM to BenCost Inputs'!$A:$A,0)),0)/$N60,0)</f>
        <v>0</v>
      </c>
      <c r="Y60" s="388">
        <v>1</v>
      </c>
      <c r="Z60" s="389">
        <v>1</v>
      </c>
      <c r="AA60" s="390"/>
      <c r="AB60" s="391">
        <f>IFERROR(IFERROR(INDEX('VDSM to BenCost Inputs'!$I:$I,MATCH($B60,'VDSM to BenCost Inputs'!$A:$A,0)),0)/$N60,0)</f>
        <v>0</v>
      </c>
      <c r="AC60" s="392">
        <f>IFERROR(IFERROR(INDEX('VDSM to BenCost Inputs'!$J:$J,MATCH($B60,'VDSM to BenCost Inputs'!$A:$A,0)),0)/$N60,0)</f>
        <v>0</v>
      </c>
      <c r="AD60" s="393">
        <v>0</v>
      </c>
      <c r="AE60" s="394">
        <v>0</v>
      </c>
      <c r="AF60" s="591"/>
      <c r="AG60" s="395"/>
      <c r="AH60" s="594" t="str">
        <f t="shared" si="4"/>
        <v/>
      </c>
      <c r="AI60" s="396">
        <f t="shared" ca="1" si="3"/>
        <v>0</v>
      </c>
    </row>
    <row r="61" spans="1:35">
      <c r="A61" s="375"/>
      <c r="B61" s="376" t="str">
        <f t="shared" si="5"/>
        <v>C&amp;I_C&amp;I Prescriptive_Lighting_Fixture Mount Occupancy_2017_Actual</v>
      </c>
      <c r="C61" s="376" t="b">
        <f>ISNUMBER(MATCH(B61,Analysis!B:B,0))</f>
        <v>1</v>
      </c>
      <c r="D61" s="377">
        <f t="shared" si="1"/>
        <v>55</v>
      </c>
      <c r="E61" s="376" t="b">
        <f>COUNTIF($B$7:B61,B61)=1</f>
        <v>1</v>
      </c>
      <c r="F61" s="376" t="b">
        <v>1</v>
      </c>
      <c r="G61" s="378" t="s">
        <v>142</v>
      </c>
      <c r="H61" s="378" t="s">
        <v>228</v>
      </c>
      <c r="I61" s="379" t="s">
        <v>86</v>
      </c>
      <c r="J61" s="379" t="s">
        <v>195</v>
      </c>
      <c r="K61" s="379">
        <v>2017</v>
      </c>
      <c r="L61" s="379" t="s">
        <v>167</v>
      </c>
      <c r="M61" s="380">
        <f ca="1">INDEX(Analysis!$HB:$HB,MATCH($B61,Analysis!$B:$B,0))</f>
        <v>2.133692043902248</v>
      </c>
      <c r="N61" s="381">
        <f>IFERROR(INDEX('VDSM to BenCost Inputs'!$G:$G,MATCH($B61,'VDSM to BenCost Inputs'!$A:$A,0)),0)</f>
        <v>8</v>
      </c>
      <c r="O61" s="382" t="s">
        <v>14</v>
      </c>
      <c r="P61" s="383">
        <f ca="1">INDEX(OFFSET('Program Inputs'!$K$8,,,TotalPrograms),MATCH(SUBSTITUTE($B61,I61&amp;"_"&amp;J61,"*"),OFFSET('Program Inputs'!$B$8,,,TotalPrograms),0))</f>
        <v>1</v>
      </c>
      <c r="Q61" s="383">
        <f t="shared" ca="1" si="2"/>
        <v>8</v>
      </c>
      <c r="R61" s="384">
        <f>INDEX('Plan Data'!$L:$L,MATCH(SUBSTITUTE($B61,$L61,"Plan"),'Plan Data'!$B:$B,0))</f>
        <v>8</v>
      </c>
      <c r="S61" s="385">
        <f>INDEX('Plan Data'!$M:$M,MATCH(SUBSTITUTE($B61,$L61,"Plan"),'Plan Data'!$B:$B,0))</f>
        <v>0</v>
      </c>
      <c r="T61" s="386">
        <f>INDEX('Plan Data'!$R:$R,MATCH(SUBSTITUTE($B61,$L61,"Plan"),'Plan Data'!$B:$B,0))</f>
        <v>55</v>
      </c>
      <c r="U61" s="387">
        <f>INDEX('Plan Data'!$S:$S,MATCH(SUBSTITUTE($B61,$L61,"Plan"),'Plan Data'!$B:$B,0))</f>
        <v>0</v>
      </c>
      <c r="V61" s="387"/>
      <c r="W61" s="387"/>
      <c r="X61" s="387">
        <f>IFERROR(IFERROR(INDEX('VDSM to BenCost Inputs'!$H:$H,MATCH($B61,'VDSM to BenCost Inputs'!$A:$A,0)),0)/$N61,0)</f>
        <v>28</v>
      </c>
      <c r="Y61" s="388">
        <v>1</v>
      </c>
      <c r="Z61" s="389">
        <v>1</v>
      </c>
      <c r="AA61" s="390"/>
      <c r="AB61" s="391">
        <f>IFERROR(IFERROR(INDEX('VDSM to BenCost Inputs'!$I:$I,MATCH($B61,'VDSM to BenCost Inputs'!$A:$A,0)),0)/$N61,0)</f>
        <v>392.733</v>
      </c>
      <c r="AC61" s="392">
        <f>IFERROR(IFERROR(INDEX('VDSM to BenCost Inputs'!$J:$J,MATCH($B61,'VDSM to BenCost Inputs'!$A:$A,0)),0)/$N61,0)</f>
        <v>8.3813374999999996E-2</v>
      </c>
      <c r="AD61" s="393">
        <v>0</v>
      </c>
      <c r="AE61" s="394">
        <v>0</v>
      </c>
      <c r="AF61" s="591" t="s">
        <v>3426</v>
      </c>
      <c r="AG61" s="597">
        <v>362.79300000000001</v>
      </c>
      <c r="AH61" s="594">
        <f t="shared" si="4"/>
        <v>8.2526399351696478E-2</v>
      </c>
      <c r="AI61" s="396">
        <f t="shared" ca="1" si="3"/>
        <v>3141.864</v>
      </c>
    </row>
    <row r="62" spans="1:35" hidden="1">
      <c r="A62" s="375"/>
      <c r="B62" s="376" t="str">
        <f t="shared" si="5"/>
        <v>C&amp;I_C&amp;I Prescriptive_Lighting_Exit Sign_2017_Actual</v>
      </c>
      <c r="C62" s="376" t="b">
        <f>ISNUMBER(MATCH(B62,Analysis!B:B,0))</f>
        <v>1</v>
      </c>
      <c r="D62" s="377">
        <f t="shared" si="1"/>
        <v>56</v>
      </c>
      <c r="E62" s="376" t="b">
        <f>COUNTIF($B$7:B62,B62)=1</f>
        <v>1</v>
      </c>
      <c r="F62" s="376" t="b">
        <v>1</v>
      </c>
      <c r="G62" s="378" t="s">
        <v>142</v>
      </c>
      <c r="H62" s="378" t="s">
        <v>228</v>
      </c>
      <c r="I62" s="379" t="s">
        <v>86</v>
      </c>
      <c r="J62" s="379" t="s">
        <v>266</v>
      </c>
      <c r="K62" s="379">
        <v>2017</v>
      </c>
      <c r="L62" s="379" t="s">
        <v>167</v>
      </c>
      <c r="M62" s="380" t="str">
        <f ca="1">INDEX(Analysis!$HB:$HB,MATCH($B62,Analysis!$B:$B,0))</f>
        <v>n/a</v>
      </c>
      <c r="N62" s="381">
        <f>IFERROR(INDEX('VDSM to BenCost Inputs'!$G:$G,MATCH($B62,'VDSM to BenCost Inputs'!$A:$A,0)),0)</f>
        <v>0</v>
      </c>
      <c r="O62" s="382" t="s">
        <v>14</v>
      </c>
      <c r="P62" s="383">
        <f ca="1">INDEX(OFFSET('Program Inputs'!$K$8,,,TotalPrograms),MATCH(SUBSTITUTE($B62,I62&amp;"_"&amp;J62,"*"),OFFSET('Program Inputs'!$B$8,,,TotalPrograms),0))</f>
        <v>1</v>
      </c>
      <c r="Q62" s="383">
        <f t="shared" ca="1" si="2"/>
        <v>0</v>
      </c>
      <c r="R62" s="384">
        <f>INDEX('Plan Data'!$L:$L,MATCH(SUBSTITUTE($B62,$L62,"Plan"),'Plan Data'!$B:$B,0))</f>
        <v>15</v>
      </c>
      <c r="S62" s="385">
        <f>INDEX('Plan Data'!$M:$M,MATCH(SUBSTITUTE($B62,$L62,"Plan"),'Plan Data'!$B:$B,0))</f>
        <v>0</v>
      </c>
      <c r="T62" s="386">
        <f>INDEX('Plan Data'!$R:$R,MATCH(SUBSTITUTE($B62,$L62,"Plan"),'Plan Data'!$B:$B,0))</f>
        <v>25</v>
      </c>
      <c r="U62" s="387">
        <f>INDEX('Plan Data'!$S:$S,MATCH(SUBSTITUTE($B62,$L62,"Plan"),'Plan Data'!$B:$B,0))</f>
        <v>0</v>
      </c>
      <c r="V62" s="387"/>
      <c r="W62" s="387"/>
      <c r="X62" s="387">
        <f>IFERROR(IFERROR(INDEX('VDSM to BenCost Inputs'!$H:$H,MATCH($B62,'VDSM to BenCost Inputs'!$A:$A,0)),0)/$N62,0)</f>
        <v>0</v>
      </c>
      <c r="Y62" s="388">
        <v>1</v>
      </c>
      <c r="Z62" s="389">
        <v>1</v>
      </c>
      <c r="AA62" s="390"/>
      <c r="AB62" s="391">
        <f>IFERROR(IFERROR(INDEX('VDSM to BenCost Inputs'!$I:$I,MATCH($B62,'VDSM to BenCost Inputs'!$A:$A,0)),0)/$N62,0)</f>
        <v>0</v>
      </c>
      <c r="AC62" s="392">
        <f>IFERROR(IFERROR(INDEX('VDSM to BenCost Inputs'!$J:$J,MATCH($B62,'VDSM to BenCost Inputs'!$A:$A,0)),0)/$N62,0)</f>
        <v>0</v>
      </c>
      <c r="AD62" s="393">
        <v>0</v>
      </c>
      <c r="AE62" s="394">
        <v>0</v>
      </c>
      <c r="AF62" s="591"/>
      <c r="AG62" s="395"/>
      <c r="AH62" s="594" t="str">
        <f t="shared" si="4"/>
        <v/>
      </c>
      <c r="AI62" s="396">
        <f t="shared" ca="1" si="3"/>
        <v>0</v>
      </c>
    </row>
    <row r="63" spans="1:35" hidden="1">
      <c r="A63" s="375"/>
      <c r="B63" s="376" t="str">
        <f t="shared" si="5"/>
        <v>C&amp;I_C&amp;I Prescriptive_HVAC_Split Package Heat Pump_2017_Actual</v>
      </c>
      <c r="C63" s="376" t="b">
        <f>ISNUMBER(MATCH(B63,Analysis!B:B,0))</f>
        <v>1</v>
      </c>
      <c r="D63" s="377">
        <f t="shared" si="1"/>
        <v>57</v>
      </c>
      <c r="E63" s="376" t="b">
        <f>COUNTIF($B$7:B63,B63)=1</f>
        <v>1</v>
      </c>
      <c r="F63" s="376" t="b">
        <v>1</v>
      </c>
      <c r="G63" s="378" t="s">
        <v>142</v>
      </c>
      <c r="H63" s="378" t="s">
        <v>228</v>
      </c>
      <c r="I63" s="379" t="s">
        <v>85</v>
      </c>
      <c r="J63" s="379" t="s">
        <v>267</v>
      </c>
      <c r="K63" s="379">
        <v>2017</v>
      </c>
      <c r="L63" s="379" t="s">
        <v>167</v>
      </c>
      <c r="M63" s="380" t="str">
        <f ca="1">INDEX(Analysis!$HB:$HB,MATCH($B63,Analysis!$B:$B,0))</f>
        <v>n/a</v>
      </c>
      <c r="N63" s="381">
        <f>IFERROR(INDEX('VDSM to BenCost Inputs'!$G:$G,MATCH($B63,'VDSM to BenCost Inputs'!$A:$A,0)),0)</f>
        <v>0</v>
      </c>
      <c r="O63" s="382" t="s">
        <v>14</v>
      </c>
      <c r="P63" s="383">
        <f ca="1">INDEX(OFFSET('Program Inputs'!$K$8,,,TotalPrograms),MATCH(SUBSTITUTE($B63,I63&amp;"_"&amp;J63,"*"),OFFSET('Program Inputs'!$B$8,,,TotalPrograms),0))</f>
        <v>1</v>
      </c>
      <c r="Q63" s="383">
        <f t="shared" ca="1" si="2"/>
        <v>0</v>
      </c>
      <c r="R63" s="384">
        <f>INDEX('Plan Data'!$L:$L,MATCH(SUBSTITUTE($B63,$L63,"Plan"),'Plan Data'!$B:$B,0))</f>
        <v>15</v>
      </c>
      <c r="S63" s="385">
        <f>INDEX('Plan Data'!$M:$M,MATCH(SUBSTITUTE($B63,$L63,"Plan"),'Plan Data'!$B:$B,0))</f>
        <v>0</v>
      </c>
      <c r="T63" s="386">
        <f>INDEX('Plan Data'!$R:$R,MATCH(SUBSTITUTE($B63,$L63,"Plan"),'Plan Data'!$B:$B,0))</f>
        <v>370</v>
      </c>
      <c r="U63" s="387">
        <f>INDEX('Plan Data'!$S:$S,MATCH(SUBSTITUTE($B63,$L63,"Plan"),'Plan Data'!$B:$B,0))</f>
        <v>0</v>
      </c>
      <c r="V63" s="387"/>
      <c r="W63" s="387"/>
      <c r="X63" s="387">
        <f>IFERROR(IFERROR(INDEX('VDSM to BenCost Inputs'!$H:$H,MATCH($B63,'VDSM to BenCost Inputs'!$A:$A,0)),0)/$N63,0)</f>
        <v>0</v>
      </c>
      <c r="Y63" s="388">
        <v>1</v>
      </c>
      <c r="Z63" s="389">
        <v>1</v>
      </c>
      <c r="AA63" s="390"/>
      <c r="AB63" s="391">
        <f>IFERROR(IFERROR(INDEX('VDSM to BenCost Inputs'!$I:$I,MATCH($B63,'VDSM to BenCost Inputs'!$A:$A,0)),0)/$N63,0)</f>
        <v>0</v>
      </c>
      <c r="AC63" s="392">
        <f>IFERROR(IFERROR(INDEX('VDSM to BenCost Inputs'!$J:$J,MATCH($B63,'VDSM to BenCost Inputs'!$A:$A,0)),0)/$N63,0)</f>
        <v>0</v>
      </c>
      <c r="AD63" s="393">
        <v>0</v>
      </c>
      <c r="AE63" s="394">
        <v>0</v>
      </c>
      <c r="AF63" s="591"/>
      <c r="AG63" s="395"/>
      <c r="AH63" s="594" t="str">
        <f t="shared" si="4"/>
        <v/>
      </c>
      <c r="AI63" s="396">
        <f t="shared" ca="1" si="3"/>
        <v>0</v>
      </c>
    </row>
    <row r="64" spans="1:35" hidden="1">
      <c r="A64" s="375"/>
      <c r="B64" s="376" t="str">
        <f t="shared" si="5"/>
        <v>C&amp;I_C&amp;I Prescriptive_HVAC_Single System Heat Pump_2017_Actual</v>
      </c>
      <c r="C64" s="376" t="b">
        <f>ISNUMBER(MATCH(B64,Analysis!B:B,0))</f>
        <v>1</v>
      </c>
      <c r="D64" s="377">
        <f t="shared" si="1"/>
        <v>58</v>
      </c>
      <c r="E64" s="376" t="b">
        <f>COUNTIF($B$7:B64,B64)=1</f>
        <v>1</v>
      </c>
      <c r="F64" s="376" t="b">
        <v>1</v>
      </c>
      <c r="G64" s="378" t="s">
        <v>142</v>
      </c>
      <c r="H64" s="378" t="s">
        <v>228</v>
      </c>
      <c r="I64" s="379" t="s">
        <v>85</v>
      </c>
      <c r="J64" s="379" t="s">
        <v>268</v>
      </c>
      <c r="K64" s="379">
        <v>2017</v>
      </c>
      <c r="L64" s="379" t="s">
        <v>167</v>
      </c>
      <c r="M64" s="380" t="str">
        <f ca="1">INDEX(Analysis!$HB:$HB,MATCH($B64,Analysis!$B:$B,0))</f>
        <v>n/a</v>
      </c>
      <c r="N64" s="381">
        <f>IFERROR(INDEX('VDSM to BenCost Inputs'!$G:$G,MATCH($B64,'VDSM to BenCost Inputs'!$A:$A,0)),0)</f>
        <v>0</v>
      </c>
      <c r="O64" s="382" t="s">
        <v>14</v>
      </c>
      <c r="P64" s="383">
        <f ca="1">INDEX(OFFSET('Program Inputs'!$K$8,,,TotalPrograms),MATCH(SUBSTITUTE($B64,I64&amp;"_"&amp;J64,"*"),OFFSET('Program Inputs'!$B$8,,,TotalPrograms),0))</f>
        <v>1</v>
      </c>
      <c r="Q64" s="383">
        <f t="shared" ca="1" si="2"/>
        <v>0</v>
      </c>
      <c r="R64" s="384">
        <f>INDEX('Plan Data'!$L:$L,MATCH(SUBSTITUTE($B64,$L64,"Plan"),'Plan Data'!$B:$B,0))</f>
        <v>15</v>
      </c>
      <c r="S64" s="385">
        <f>INDEX('Plan Data'!$M:$M,MATCH(SUBSTITUTE($B64,$L64,"Plan"),'Plan Data'!$B:$B,0))</f>
        <v>0</v>
      </c>
      <c r="T64" s="386">
        <f>INDEX('Plan Data'!$R:$R,MATCH(SUBSTITUTE($B64,$L64,"Plan"),'Plan Data'!$B:$B,0))</f>
        <v>370</v>
      </c>
      <c r="U64" s="387">
        <f>INDEX('Plan Data'!$S:$S,MATCH(SUBSTITUTE($B64,$L64,"Plan"),'Plan Data'!$B:$B,0))</f>
        <v>0</v>
      </c>
      <c r="V64" s="387"/>
      <c r="W64" s="387"/>
      <c r="X64" s="387">
        <f>IFERROR(IFERROR(INDEX('VDSM to BenCost Inputs'!$H:$H,MATCH($B64,'VDSM to BenCost Inputs'!$A:$A,0)),0)/$N64,0)</f>
        <v>0</v>
      </c>
      <c r="Y64" s="388">
        <v>1</v>
      </c>
      <c r="Z64" s="389">
        <v>1</v>
      </c>
      <c r="AA64" s="390"/>
      <c r="AB64" s="391">
        <f>IFERROR(IFERROR(INDEX('VDSM to BenCost Inputs'!$I:$I,MATCH($B64,'VDSM to BenCost Inputs'!$A:$A,0)),0)/$N64,0)</f>
        <v>0</v>
      </c>
      <c r="AC64" s="392">
        <f>IFERROR(IFERROR(INDEX('VDSM to BenCost Inputs'!$J:$J,MATCH($B64,'VDSM to BenCost Inputs'!$A:$A,0)),0)/$N64,0)</f>
        <v>0</v>
      </c>
      <c r="AD64" s="393">
        <v>0</v>
      </c>
      <c r="AE64" s="394">
        <v>0</v>
      </c>
      <c r="AF64" s="591"/>
      <c r="AG64" s="395"/>
      <c r="AH64" s="594" t="str">
        <f t="shared" si="4"/>
        <v/>
      </c>
      <c r="AI64" s="396">
        <f t="shared" ca="1" si="3"/>
        <v>0</v>
      </c>
    </row>
    <row r="65" spans="1:35" hidden="1">
      <c r="A65" s="375"/>
      <c r="B65" s="376" t="str">
        <f t="shared" si="5"/>
        <v>C&amp;I_C&amp;I Prescriptive_HVAC_Geothermal Heat Pump_2017_Actual</v>
      </c>
      <c r="C65" s="376" t="b">
        <f>ISNUMBER(MATCH(B65,Analysis!B:B,0))</f>
        <v>1</v>
      </c>
      <c r="D65" s="377">
        <f t="shared" si="1"/>
        <v>59</v>
      </c>
      <c r="E65" s="376" t="b">
        <f>COUNTIF($B$7:B65,B65)=1</f>
        <v>1</v>
      </c>
      <c r="F65" s="376" t="b">
        <v>1</v>
      </c>
      <c r="G65" s="378" t="s">
        <v>142</v>
      </c>
      <c r="H65" s="378" t="s">
        <v>228</v>
      </c>
      <c r="I65" s="379" t="s">
        <v>85</v>
      </c>
      <c r="J65" s="379" t="s">
        <v>269</v>
      </c>
      <c r="K65" s="379">
        <v>2017</v>
      </c>
      <c r="L65" s="379" t="s">
        <v>167</v>
      </c>
      <c r="M65" s="380" t="str">
        <f ca="1">INDEX(Analysis!$HB:$HB,MATCH($B65,Analysis!$B:$B,0))</f>
        <v>n/a</v>
      </c>
      <c r="N65" s="381">
        <f>IFERROR(INDEX('VDSM to BenCost Inputs'!$G:$G,MATCH($B65,'VDSM to BenCost Inputs'!$A:$A,0)),0)</f>
        <v>0</v>
      </c>
      <c r="O65" s="382" t="s">
        <v>14</v>
      </c>
      <c r="P65" s="383">
        <f ca="1">INDEX(OFFSET('Program Inputs'!$K$8,,,TotalPrograms),MATCH(SUBSTITUTE($B65,I65&amp;"_"&amp;J65,"*"),OFFSET('Program Inputs'!$B$8,,,TotalPrograms),0))</f>
        <v>1</v>
      </c>
      <c r="Q65" s="383">
        <f t="shared" ca="1" si="2"/>
        <v>0</v>
      </c>
      <c r="R65" s="384">
        <f>INDEX('Plan Data'!$L:$L,MATCH(SUBSTITUTE($B65,$L65,"Plan"),'Plan Data'!$B:$B,0))</f>
        <v>15</v>
      </c>
      <c r="S65" s="385">
        <f>INDEX('Plan Data'!$M:$M,MATCH(SUBSTITUTE($B65,$L65,"Plan"),'Plan Data'!$B:$B,0))</f>
        <v>0</v>
      </c>
      <c r="T65" s="386">
        <f>INDEX('Plan Data'!$R:$R,MATCH(SUBSTITUTE($B65,$L65,"Plan"),'Plan Data'!$B:$B,0))</f>
        <v>4100</v>
      </c>
      <c r="U65" s="387">
        <f>INDEX('Plan Data'!$S:$S,MATCH(SUBSTITUTE($B65,$L65,"Plan"),'Plan Data'!$B:$B,0))</f>
        <v>0</v>
      </c>
      <c r="V65" s="387"/>
      <c r="W65" s="387"/>
      <c r="X65" s="387">
        <f>IFERROR(IFERROR(INDEX('VDSM to BenCost Inputs'!$H:$H,MATCH($B65,'VDSM to BenCost Inputs'!$A:$A,0)),0)/$N65,0)</f>
        <v>0</v>
      </c>
      <c r="Y65" s="388">
        <v>1</v>
      </c>
      <c r="Z65" s="389">
        <v>1</v>
      </c>
      <c r="AA65" s="390"/>
      <c r="AB65" s="391">
        <f>IFERROR(IFERROR(INDEX('VDSM to BenCost Inputs'!$I:$I,MATCH($B65,'VDSM to BenCost Inputs'!$A:$A,0)),0)/$N65,0)</f>
        <v>0</v>
      </c>
      <c r="AC65" s="392">
        <f>IFERROR(IFERROR(INDEX('VDSM to BenCost Inputs'!$J:$J,MATCH($B65,'VDSM to BenCost Inputs'!$A:$A,0)),0)/$N65,0)</f>
        <v>0</v>
      </c>
      <c r="AD65" s="393">
        <v>0</v>
      </c>
      <c r="AE65" s="394">
        <v>0</v>
      </c>
      <c r="AF65" s="591"/>
      <c r="AG65" s="395"/>
      <c r="AH65" s="594" t="str">
        <f t="shared" si="4"/>
        <v/>
      </c>
      <c r="AI65" s="396">
        <f t="shared" ca="1" si="3"/>
        <v>0</v>
      </c>
    </row>
    <row r="66" spans="1:35" hidden="1">
      <c r="A66" s="375"/>
      <c r="B66" s="376" t="str">
        <f t="shared" si="5"/>
        <v>C&amp;I_C&amp;I Prescriptive_HVAC_Heat Pump Water Heater_2017_Actual</v>
      </c>
      <c r="C66" s="376" t="b">
        <f>ISNUMBER(MATCH(B66,Analysis!B:B,0))</f>
        <v>1</v>
      </c>
      <c r="D66" s="377">
        <f t="shared" si="1"/>
        <v>60</v>
      </c>
      <c r="E66" s="376" t="b">
        <f>COUNTIF($B$7:B66,B66)=1</f>
        <v>1</v>
      </c>
      <c r="F66" s="376" t="b">
        <v>1</v>
      </c>
      <c r="G66" s="378" t="s">
        <v>142</v>
      </c>
      <c r="H66" s="378" t="s">
        <v>228</v>
      </c>
      <c r="I66" s="379" t="s">
        <v>85</v>
      </c>
      <c r="J66" s="379" t="s">
        <v>212</v>
      </c>
      <c r="K66" s="379">
        <v>2017</v>
      </c>
      <c r="L66" s="379" t="s">
        <v>167</v>
      </c>
      <c r="M66" s="380" t="str">
        <f ca="1">INDEX(Analysis!$HB:$HB,MATCH($B66,Analysis!$B:$B,0))</f>
        <v>n/a</v>
      </c>
      <c r="N66" s="381">
        <f>IFERROR(INDEX('VDSM to BenCost Inputs'!$G:$G,MATCH($B66,'VDSM to BenCost Inputs'!$A:$A,0)),0)</f>
        <v>0</v>
      </c>
      <c r="O66" s="382" t="s">
        <v>14</v>
      </c>
      <c r="P66" s="383">
        <f ca="1">INDEX(OFFSET('Program Inputs'!$K$8,,,TotalPrograms),MATCH(SUBSTITUTE($B66,I66&amp;"_"&amp;J66,"*"),OFFSET('Program Inputs'!$B$8,,,TotalPrograms),0))</f>
        <v>1</v>
      </c>
      <c r="Q66" s="383">
        <f t="shared" ca="1" si="2"/>
        <v>0</v>
      </c>
      <c r="R66" s="384">
        <f>INDEX('Plan Data'!$L:$L,MATCH(SUBSTITUTE($B66,$L66,"Plan"),'Plan Data'!$B:$B,0))</f>
        <v>15</v>
      </c>
      <c r="S66" s="385">
        <f>INDEX('Plan Data'!$M:$M,MATCH(SUBSTITUTE($B66,$L66,"Plan"),'Plan Data'!$B:$B,0))</f>
        <v>0</v>
      </c>
      <c r="T66" s="386">
        <f>INDEX('Plan Data'!$R:$R,MATCH(SUBSTITUTE($B66,$L66,"Plan"),'Plan Data'!$B:$B,0))</f>
        <v>700</v>
      </c>
      <c r="U66" s="387">
        <f>INDEX('Plan Data'!$S:$S,MATCH(SUBSTITUTE($B66,$L66,"Plan"),'Plan Data'!$B:$B,0))</f>
        <v>0</v>
      </c>
      <c r="V66" s="387"/>
      <c r="W66" s="387"/>
      <c r="X66" s="387">
        <f>IFERROR(IFERROR(INDEX('VDSM to BenCost Inputs'!$H:$H,MATCH($B66,'VDSM to BenCost Inputs'!$A:$A,0)),0)/$N66,0)</f>
        <v>0</v>
      </c>
      <c r="Y66" s="388">
        <v>1</v>
      </c>
      <c r="Z66" s="389">
        <v>1</v>
      </c>
      <c r="AA66" s="390"/>
      <c r="AB66" s="391">
        <f>IFERROR(IFERROR(INDEX('VDSM to BenCost Inputs'!$I:$I,MATCH($B66,'VDSM to BenCost Inputs'!$A:$A,0)),0)/$N66,0)</f>
        <v>0</v>
      </c>
      <c r="AC66" s="392">
        <f>IFERROR(IFERROR(INDEX('VDSM to BenCost Inputs'!$J:$J,MATCH($B66,'VDSM to BenCost Inputs'!$A:$A,0)),0)/$N66,0)</f>
        <v>0</v>
      </c>
      <c r="AD66" s="393">
        <v>0</v>
      </c>
      <c r="AE66" s="394">
        <v>0</v>
      </c>
      <c r="AF66" s="591"/>
      <c r="AG66" s="395"/>
      <c r="AH66" s="594" t="str">
        <f t="shared" si="4"/>
        <v/>
      </c>
      <c r="AI66" s="396">
        <f t="shared" ca="1" si="3"/>
        <v>0</v>
      </c>
    </row>
    <row r="67" spans="1:35" hidden="1">
      <c r="A67" s="375"/>
      <c r="B67" s="376" t="str">
        <f t="shared" si="5"/>
        <v>C&amp;I_C&amp;I Prescriptive_Motors_ODC Motor_2017_Actual</v>
      </c>
      <c r="C67" s="376" t="b">
        <f>ISNUMBER(MATCH(B67,Analysis!B:B,0))</f>
        <v>1</v>
      </c>
      <c r="D67" s="377">
        <f t="shared" si="1"/>
        <v>61</v>
      </c>
      <c r="E67" s="376" t="b">
        <f>COUNTIF($B$7:B67,B67)=1</f>
        <v>1</v>
      </c>
      <c r="F67" s="376" t="b">
        <v>1</v>
      </c>
      <c r="G67" s="378" t="s">
        <v>142</v>
      </c>
      <c r="H67" s="378" t="s">
        <v>228</v>
      </c>
      <c r="I67" s="379" t="s">
        <v>270</v>
      </c>
      <c r="J67" s="379" t="s">
        <v>271</v>
      </c>
      <c r="K67" s="379">
        <v>2017</v>
      </c>
      <c r="L67" s="379" t="s">
        <v>167</v>
      </c>
      <c r="M67" s="380" t="str">
        <f ca="1">INDEX(Analysis!$HB:$HB,MATCH($B67,Analysis!$B:$B,0))</f>
        <v>n/a</v>
      </c>
      <c r="N67" s="381">
        <f>IFERROR(INDEX('VDSM to BenCost Inputs'!$G:$G,MATCH($B67,'VDSM to BenCost Inputs'!$A:$A,0)),0)</f>
        <v>0</v>
      </c>
      <c r="O67" s="382" t="s">
        <v>14</v>
      </c>
      <c r="P67" s="383">
        <f ca="1">INDEX(OFFSET('Program Inputs'!$K$8,,,TotalPrograms),MATCH(SUBSTITUTE($B67,I67&amp;"_"&amp;J67,"*"),OFFSET('Program Inputs'!$B$8,,,TotalPrograms),0))</f>
        <v>1</v>
      </c>
      <c r="Q67" s="383">
        <f t="shared" ca="1" si="2"/>
        <v>0</v>
      </c>
      <c r="R67" s="384">
        <f>INDEX('Plan Data'!$L:$L,MATCH(SUBSTITUTE($B67,$L67,"Plan"),'Plan Data'!$B:$B,0))</f>
        <v>15</v>
      </c>
      <c r="S67" s="385">
        <f>INDEX('Plan Data'!$M:$M,MATCH(SUBSTITUTE($B67,$L67,"Plan"),'Plan Data'!$B:$B,0))</f>
        <v>0</v>
      </c>
      <c r="T67" s="386">
        <f>INDEX('Plan Data'!$R:$R,MATCH(SUBSTITUTE($B67,$L67,"Plan"),'Plan Data'!$B:$B,0))</f>
        <v>115</v>
      </c>
      <c r="U67" s="387">
        <f>INDEX('Plan Data'!$S:$S,MATCH(SUBSTITUTE($B67,$L67,"Plan"),'Plan Data'!$B:$B,0))</f>
        <v>0</v>
      </c>
      <c r="V67" s="387"/>
      <c r="W67" s="387"/>
      <c r="X67" s="387">
        <f>IFERROR(IFERROR(INDEX('VDSM to BenCost Inputs'!$H:$H,MATCH($B67,'VDSM to BenCost Inputs'!$A:$A,0)),0)/$N67,0)</f>
        <v>0</v>
      </c>
      <c r="Y67" s="388">
        <v>1</v>
      </c>
      <c r="Z67" s="389">
        <v>1</v>
      </c>
      <c r="AA67" s="390"/>
      <c r="AB67" s="391">
        <f>IFERROR(IFERROR(INDEX('VDSM to BenCost Inputs'!$I:$I,MATCH($B67,'VDSM to BenCost Inputs'!$A:$A,0)),0)/$N67,0)</f>
        <v>0</v>
      </c>
      <c r="AC67" s="392">
        <f>IFERROR(IFERROR(INDEX('VDSM to BenCost Inputs'!$J:$J,MATCH($B67,'VDSM to BenCost Inputs'!$A:$A,0)),0)/$N67,0)</f>
        <v>0</v>
      </c>
      <c r="AD67" s="393">
        <v>0</v>
      </c>
      <c r="AE67" s="394">
        <v>0</v>
      </c>
      <c r="AF67" s="591"/>
      <c r="AG67" s="395"/>
      <c r="AH67" s="594" t="str">
        <f t="shared" si="4"/>
        <v/>
      </c>
      <c r="AI67" s="396">
        <f t="shared" ca="1" si="3"/>
        <v>0</v>
      </c>
    </row>
    <row r="68" spans="1:35" hidden="1">
      <c r="A68" s="375"/>
      <c r="B68" s="376" t="str">
        <f t="shared" si="5"/>
        <v>C&amp;I_C&amp;I Prescriptive_Motors_TEFC Motor_2017_Actual</v>
      </c>
      <c r="C68" s="376" t="b">
        <f>ISNUMBER(MATCH(B68,Analysis!B:B,0))</f>
        <v>1</v>
      </c>
      <c r="D68" s="377">
        <f t="shared" si="1"/>
        <v>62</v>
      </c>
      <c r="E68" s="376" t="b">
        <f>COUNTIF($B$7:B68,B68)=1</f>
        <v>1</v>
      </c>
      <c r="F68" s="376" t="b">
        <v>1</v>
      </c>
      <c r="G68" s="378" t="s">
        <v>142</v>
      </c>
      <c r="H68" s="378" t="s">
        <v>228</v>
      </c>
      <c r="I68" s="379" t="s">
        <v>270</v>
      </c>
      <c r="J68" s="379" t="s">
        <v>272</v>
      </c>
      <c r="K68" s="379">
        <v>2017</v>
      </c>
      <c r="L68" s="379" t="s">
        <v>167</v>
      </c>
      <c r="M68" s="380" t="str">
        <f ca="1">INDEX(Analysis!$HB:$HB,MATCH($B68,Analysis!$B:$B,0))</f>
        <v>n/a</v>
      </c>
      <c r="N68" s="381">
        <f>IFERROR(INDEX('VDSM to BenCost Inputs'!$G:$G,MATCH($B68,'VDSM to BenCost Inputs'!$A:$A,0)),0)</f>
        <v>0</v>
      </c>
      <c r="O68" s="382" t="s">
        <v>14</v>
      </c>
      <c r="P68" s="383">
        <f ca="1">INDEX(OFFSET('Program Inputs'!$K$8,,,TotalPrograms),MATCH(SUBSTITUTE($B68,I68&amp;"_"&amp;J68,"*"),OFFSET('Program Inputs'!$B$8,,,TotalPrograms),0))</f>
        <v>1</v>
      </c>
      <c r="Q68" s="383">
        <f t="shared" ca="1" si="2"/>
        <v>0</v>
      </c>
      <c r="R68" s="384">
        <f>INDEX('Plan Data'!$L:$L,MATCH(SUBSTITUTE($B68,$L68,"Plan"),'Plan Data'!$B:$B,0))</f>
        <v>15</v>
      </c>
      <c r="S68" s="385">
        <f>INDEX('Plan Data'!$M:$M,MATCH(SUBSTITUTE($B68,$L68,"Plan"),'Plan Data'!$B:$B,0))</f>
        <v>0</v>
      </c>
      <c r="T68" s="386">
        <f>INDEX('Plan Data'!$R:$R,MATCH(SUBSTITUTE($B68,$L68,"Plan"),'Plan Data'!$B:$B,0))</f>
        <v>115</v>
      </c>
      <c r="U68" s="387">
        <f>INDEX('Plan Data'!$S:$S,MATCH(SUBSTITUTE($B68,$L68,"Plan"),'Plan Data'!$B:$B,0))</f>
        <v>0</v>
      </c>
      <c r="V68" s="387"/>
      <c r="W68" s="387"/>
      <c r="X68" s="387">
        <f>IFERROR(IFERROR(INDEX('VDSM to BenCost Inputs'!$H:$H,MATCH($B68,'VDSM to BenCost Inputs'!$A:$A,0)),0)/$N68,0)</f>
        <v>0</v>
      </c>
      <c r="Y68" s="388">
        <v>1</v>
      </c>
      <c r="Z68" s="389">
        <v>1</v>
      </c>
      <c r="AA68" s="390"/>
      <c r="AB68" s="391">
        <f>IFERROR(IFERROR(INDEX('VDSM to BenCost Inputs'!$I:$I,MATCH($B68,'VDSM to BenCost Inputs'!$A:$A,0)),0)/$N68,0)</f>
        <v>0</v>
      </c>
      <c r="AC68" s="392">
        <f>IFERROR(IFERROR(INDEX('VDSM to BenCost Inputs'!$J:$J,MATCH($B68,'VDSM to BenCost Inputs'!$A:$A,0)),0)/$N68,0)</f>
        <v>0</v>
      </c>
      <c r="AD68" s="393">
        <v>0</v>
      </c>
      <c r="AE68" s="394">
        <v>0</v>
      </c>
      <c r="AF68" s="591"/>
      <c r="AG68" s="395"/>
      <c r="AH68" s="594" t="str">
        <f t="shared" si="4"/>
        <v/>
      </c>
      <c r="AI68" s="396">
        <f t="shared" ca="1" si="3"/>
        <v>0</v>
      </c>
    </row>
    <row r="69" spans="1:35">
      <c r="A69" s="375"/>
      <c r="B69" s="376" t="str">
        <f t="shared" si="5"/>
        <v>C&amp;I_C&amp;I Custom_Various_C&amp;I Custom_2017_Actual</v>
      </c>
      <c r="C69" s="376" t="b">
        <f>ISNUMBER(MATCH(B69,Analysis!B:B,0))</f>
        <v>1</v>
      </c>
      <c r="D69" s="377">
        <f t="shared" si="1"/>
        <v>63</v>
      </c>
      <c r="E69" s="376" t="b">
        <f>COUNTIF($B$7:B69,B69)=1</f>
        <v>1</v>
      </c>
      <c r="F69" s="376" t="b">
        <v>1</v>
      </c>
      <c r="G69" s="378" t="s">
        <v>142</v>
      </c>
      <c r="H69" s="378" t="s">
        <v>187</v>
      </c>
      <c r="I69" s="379" t="s">
        <v>155</v>
      </c>
      <c r="J69" s="379" t="s">
        <v>187</v>
      </c>
      <c r="K69" s="379">
        <v>2017</v>
      </c>
      <c r="L69" s="379" t="s">
        <v>167</v>
      </c>
      <c r="M69" s="380">
        <f ca="1">INDEX(Analysis!$HB:$HB,MATCH($B69,Analysis!$B:$B,0))</f>
        <v>2.608938856080214</v>
      </c>
      <c r="N69" s="381">
        <f>'VDSM to BenCost Inputs'!K21</f>
        <v>48</v>
      </c>
      <c r="O69" s="382" t="s">
        <v>3336</v>
      </c>
      <c r="P69" s="383">
        <f ca="1">INDEX(OFFSET('Program Inputs'!$K$8,,,TotalPrograms),MATCH(SUBSTITUTE($B69,I69&amp;"_"&amp;J69,"*"),OFFSET('Program Inputs'!$B$8,,,TotalPrograms),0))</f>
        <v>1</v>
      </c>
      <c r="Q69" s="383">
        <f t="shared" ca="1" si="2"/>
        <v>48</v>
      </c>
      <c r="R69" s="384">
        <f>INDEX('Plan Data'!$L:$L,MATCH(SUBSTITUTE($B69,$L69,"Plan"),'Plan Data'!$B:$B,0))</f>
        <v>15</v>
      </c>
      <c r="S69" s="385">
        <f>INDEX('Plan Data'!$M:$M,MATCH(SUBSTITUTE($B69,$L69,"Plan"),'Plan Data'!$B:$B,0))</f>
        <v>0</v>
      </c>
      <c r="T69" s="386">
        <f>'Plan Data'!$Z$56*AB69</f>
        <v>7362.0428944217838</v>
      </c>
      <c r="U69" s="387">
        <v>0</v>
      </c>
      <c r="V69" s="387"/>
      <c r="W69" s="387"/>
      <c r="X69" s="387">
        <f>IFERROR(IFERROR(INDEX('VDSM to BenCost Inputs'!$H:$H,MATCH($B69,'VDSM to BenCost Inputs'!$A:$A,0)),0)/$N69,0)</f>
        <v>4423.863540833333</v>
      </c>
      <c r="Y69" s="388">
        <v>1</v>
      </c>
      <c r="Z69" s="389">
        <v>1</v>
      </c>
      <c r="AA69" s="390"/>
      <c r="AB69" s="391">
        <f>IFERROR(IFERROR(INDEX('VDSM to BenCost Inputs'!$I:$I,MATCH($B69,'VDSM to BenCost Inputs'!$A:$A,0)),0)/$N69,0)</f>
        <v>41911.302862499993</v>
      </c>
      <c r="AC69" s="392">
        <f>IFERROR(IFERROR(INDEX('VDSM to BenCost Inputs'!$J:$J,MATCH($B69,'VDSM to BenCost Inputs'!$A:$A,0)),0)/$N69,0)</f>
        <v>10.288549375000001</v>
      </c>
      <c r="AD69" s="393">
        <v>0</v>
      </c>
      <c r="AE69" s="394">
        <v>0</v>
      </c>
      <c r="AF69" s="591" t="s">
        <v>3426</v>
      </c>
      <c r="AG69" s="597">
        <v>43177.337999999996</v>
      </c>
      <c r="AH69" s="594">
        <f t="shared" si="4"/>
        <v>-2.9321750625293408E-2</v>
      </c>
      <c r="AI69" s="396">
        <f t="shared" ca="1" si="3"/>
        <v>2011742.5373999998</v>
      </c>
    </row>
  </sheetData>
  <autoFilter ref="B6:AE286">
    <filterColumn colId="12">
      <filters blank="1">
        <filter val="1"/>
        <filter val="1,147"/>
        <filter val="1,163"/>
        <filter val="1,202"/>
        <filter val="13,895"/>
        <filter val="14"/>
        <filter val="186"/>
        <filter val="268"/>
        <filter val="27"/>
        <filter val="32"/>
        <filter val="37"/>
        <filter val="391"/>
        <filter val="406"/>
        <filter val="41"/>
        <filter val="48"/>
        <filter val="491"/>
        <filter val="6"/>
        <filter val="653"/>
        <filter val="7"/>
        <filter val="8"/>
        <filter val="9"/>
        <filter val="924"/>
      </filters>
    </filterColumn>
  </autoFilter>
  <mergeCells count="6">
    <mergeCell ref="AB3:AE3"/>
    <mergeCell ref="N4:Q5"/>
    <mergeCell ref="R4:Z5"/>
    <mergeCell ref="AA4:AE4"/>
    <mergeCell ref="AB5:AC5"/>
    <mergeCell ref="AD5:AE5"/>
  </mergeCells>
  <conditionalFormatting sqref="F7:F31">
    <cfRule type="cellIs" dxfId="67" priority="3" operator="equal">
      <formula>FALSE</formula>
    </cfRule>
    <cfRule type="cellIs" dxfId="66" priority="4" operator="equal">
      <formula>TRUE</formula>
    </cfRule>
  </conditionalFormatting>
  <conditionalFormatting sqref="F32:F69">
    <cfRule type="cellIs" dxfId="65" priority="1" operator="equal">
      <formula>FALSE</formula>
    </cfRule>
    <cfRule type="cellIs" dxfId="64" priority="2" operator="equal">
      <formula>TRUE</formula>
    </cfRule>
  </conditionalFormatting>
  <pageMargins left="0.25" right="0.25" top="0.5" bottom="0.5" header="0.3" footer="0.3"/>
  <pageSetup scale="9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/>
  </sheetPr>
  <dimension ref="A2:Z33"/>
  <sheetViews>
    <sheetView showGridLines="0" zoomScaleNormal="100" workbookViewId="0">
      <selection activeCell="T8" sqref="T8"/>
    </sheetView>
  </sheetViews>
  <sheetFormatPr defaultRowHeight="14.4"/>
  <cols>
    <col min="2" max="2" width="13" customWidth="1"/>
    <col min="3" max="4" width="8.6640625" customWidth="1"/>
    <col min="5" max="5" width="11.5546875" bestFit="1" customWidth="1"/>
    <col min="6" max="6" width="27.6640625" bestFit="1" customWidth="1"/>
    <col min="7" max="7" width="8.33203125" bestFit="1" customWidth="1"/>
    <col min="8" max="8" width="9.33203125" bestFit="1" customWidth="1"/>
    <col min="9" max="9" width="8.88671875" bestFit="1" customWidth="1"/>
    <col min="10" max="10" width="11.6640625" bestFit="1" customWidth="1"/>
    <col min="11" max="11" width="12.33203125" bestFit="1" customWidth="1"/>
    <col min="12" max="13" width="14.44140625" customWidth="1"/>
    <col min="14" max="16" width="14.44140625" hidden="1" customWidth="1"/>
    <col min="17" max="17" width="17.44140625" bestFit="1" customWidth="1"/>
    <col min="18" max="18" width="16.33203125" customWidth="1"/>
    <col min="19" max="19" width="15.5546875" bestFit="1" customWidth="1"/>
    <col min="20" max="20" width="12.6640625" customWidth="1"/>
    <col min="21" max="21" width="11.109375" customWidth="1"/>
    <col min="22" max="22" width="15.88671875" customWidth="1"/>
    <col min="23" max="23" width="12" bestFit="1" customWidth="1"/>
    <col min="24" max="24" width="12" customWidth="1"/>
    <col min="25" max="26" width="8.88671875" customWidth="1"/>
    <col min="27" max="27" width="12.44140625" customWidth="1"/>
    <col min="28" max="34" width="8.88671875" customWidth="1"/>
    <col min="35" max="35" width="10.88671875" customWidth="1"/>
    <col min="36" max="38" width="8.88671875" customWidth="1"/>
  </cols>
  <sheetData>
    <row r="2" spans="1:26" s="1" customFormat="1">
      <c r="A2" s="10" t="s">
        <v>53</v>
      </c>
      <c r="C2" s="10"/>
      <c r="D2" s="10"/>
      <c r="E2" s="3"/>
      <c r="F2" s="4"/>
      <c r="G2" s="4"/>
      <c r="H2" s="4"/>
      <c r="I2" s="4"/>
      <c r="J2" s="4"/>
      <c r="K2"/>
      <c r="L2" s="45"/>
      <c r="M2" s="45"/>
      <c r="N2" s="45"/>
      <c r="O2"/>
      <c r="P2"/>
    </row>
    <row r="3" spans="1:26" s="1" customFormat="1">
      <c r="A3" s="13" t="str">
        <f>HYPERLINK("#'Contents'!a1","Return to Contents")</f>
        <v>Return to Contents</v>
      </c>
      <c r="C3" s="13"/>
      <c r="D3" s="13"/>
      <c r="E3" s="3"/>
      <c r="F3" s="4"/>
      <c r="G3" s="4"/>
      <c r="H3" s="4"/>
      <c r="I3" s="4"/>
      <c r="J3" s="4"/>
      <c r="K3" s="49"/>
      <c r="L3" s="49"/>
      <c r="M3" s="49"/>
      <c r="N3" s="49"/>
      <c r="O3" s="49"/>
      <c r="P3" s="49"/>
    </row>
    <row r="4" spans="1:26" s="1" customFormat="1">
      <c r="A4" s="13"/>
      <c r="C4" s="13"/>
      <c r="D4" s="13"/>
      <c r="E4" s="3"/>
      <c r="F4" s="4"/>
      <c r="G4" s="4"/>
      <c r="H4" s="4"/>
      <c r="I4" s="4"/>
      <c r="J4" s="4"/>
      <c r="K4" s="49"/>
      <c r="L4" s="49"/>
      <c r="M4" s="49"/>
      <c r="N4" s="49"/>
      <c r="O4" s="49"/>
      <c r="P4" s="49"/>
    </row>
    <row r="5" spans="1:26" s="1" customFormat="1">
      <c r="A5" s="13"/>
      <c r="C5" s="13"/>
      <c r="D5" s="13"/>
      <c r="E5" s="3"/>
      <c r="F5" s="4"/>
      <c r="G5" s="4"/>
      <c r="H5" s="4"/>
      <c r="I5" s="4"/>
      <c r="J5" s="4"/>
      <c r="K5" s="49"/>
      <c r="L5" s="49"/>
      <c r="M5" s="49"/>
      <c r="N5" s="49"/>
      <c r="O5" s="49"/>
      <c r="P5" s="49"/>
    </row>
    <row r="6" spans="1:26" s="1" customFormat="1" ht="14.4" customHeight="1">
      <c r="B6" s="2"/>
      <c r="C6" s="2"/>
      <c r="D6" s="2"/>
      <c r="E6" s="5"/>
      <c r="F6" s="5"/>
      <c r="G6" s="5"/>
      <c r="H6" s="5"/>
      <c r="I6" s="5"/>
      <c r="J6" s="5"/>
      <c r="K6"/>
      <c r="L6" s="628" t="s">
        <v>77</v>
      </c>
      <c r="M6" s="629"/>
      <c r="N6" s="629"/>
      <c r="O6" s="629"/>
      <c r="P6" s="630"/>
      <c r="Q6" s="633" t="s">
        <v>82</v>
      </c>
      <c r="R6" s="631" t="s">
        <v>11</v>
      </c>
      <c r="S6" s="631" t="s">
        <v>73</v>
      </c>
      <c r="T6" s="203"/>
      <c r="U6" s="203"/>
      <c r="V6"/>
      <c r="W6"/>
      <c r="X6"/>
      <c r="Y6"/>
      <c r="Z6"/>
    </row>
    <row r="7" spans="1:26" s="1" customFormat="1" ht="41.4" customHeight="1">
      <c r="B7" s="15" t="s">
        <v>8</v>
      </c>
      <c r="C7" s="15" t="s">
        <v>67</v>
      </c>
      <c r="D7" s="15" t="s">
        <v>79</v>
      </c>
      <c r="E7" s="15" t="s">
        <v>3</v>
      </c>
      <c r="F7" s="27" t="s">
        <v>5</v>
      </c>
      <c r="G7" s="27" t="s">
        <v>141</v>
      </c>
      <c r="H7" s="27" t="s">
        <v>2</v>
      </c>
      <c r="I7" s="27" t="s">
        <v>57</v>
      </c>
      <c r="J7" s="27" t="s">
        <v>281</v>
      </c>
      <c r="K7" s="122" t="s">
        <v>65</v>
      </c>
      <c r="L7" s="18" t="s">
        <v>81</v>
      </c>
      <c r="M7" s="141" t="s">
        <v>3383</v>
      </c>
      <c r="N7" s="277" t="s">
        <v>131</v>
      </c>
      <c r="O7" s="143" t="s">
        <v>131</v>
      </c>
      <c r="P7" s="144" t="s">
        <v>131</v>
      </c>
      <c r="Q7" s="634"/>
      <c r="R7" s="632"/>
      <c r="S7" s="632"/>
      <c r="T7" s="203" t="s">
        <v>3395</v>
      </c>
      <c r="U7" s="203" t="s">
        <v>3396</v>
      </c>
      <c r="V7" t="s">
        <v>3397</v>
      </c>
      <c r="W7"/>
      <c r="X7"/>
      <c r="Y7"/>
      <c r="Z7"/>
    </row>
    <row r="8" spans="1:26" s="1" customFormat="1">
      <c r="B8" s="24" t="str">
        <f>E8&amp;"_"&amp;F8&amp;"_"&amp;G8&amp;"_"&amp;H8&amp;"_"&amp;I8&amp;"_"&amp;J8</f>
        <v>Residential_Residential Lighting_All_All_2017_Actual</v>
      </c>
      <c r="C8" s="24" t="b">
        <f>COUNTIF($B$8:B8,B8)=1</f>
        <v>1</v>
      </c>
      <c r="D8" s="24" t="b">
        <v>1</v>
      </c>
      <c r="E8" s="16" t="s">
        <v>1</v>
      </c>
      <c r="F8" s="17" t="s">
        <v>145</v>
      </c>
      <c r="G8" s="17" t="s">
        <v>28</v>
      </c>
      <c r="H8" s="17" t="s">
        <v>28</v>
      </c>
      <c r="I8" s="17">
        <v>2017</v>
      </c>
      <c r="J8" s="156" t="s">
        <v>167</v>
      </c>
      <c r="K8" s="123">
        <v>1</v>
      </c>
      <c r="L8" s="125">
        <f t="shared" ref="L8:L20" si="0">(T8-U8)*M8</f>
        <v>4982.58</v>
      </c>
      <c r="M8" s="276">
        <v>1</v>
      </c>
      <c r="N8" s="142"/>
      <c r="O8" s="59"/>
      <c r="P8" s="126"/>
      <c r="Q8" s="124">
        <f t="shared" ref="Q8:Q20" si="1">IF($D8,SUM(L8),0)</f>
        <v>4982.58</v>
      </c>
      <c r="R8" s="60">
        <f ca="1">SUMIFS(OFFSET(Analysis!$AN$35,,,InputRows),OFFSET(Analysis!$B$35,,,InputRows),SUBSTITUTE($B8,"All","*"))</f>
        <v>8130.0971999999992</v>
      </c>
      <c r="S8" s="60">
        <f t="shared" ref="S8:S20" ca="1" si="2">SUM(Q8:R8)</f>
        <v>13112.677199999998</v>
      </c>
      <c r="T8" s="197">
        <f>SUMIFS('VDSM Executive Summary'!$H$15:$H$39,'VDSM Executive Summary'!$M$15:$M$39,$F8)</f>
        <v>13112.68</v>
      </c>
      <c r="U8" s="197">
        <f>SUMIFS('VDSM Executive Summary'!$K$15:$K$39,'VDSM Executive Summary'!$M$15:$M$39,$F8)</f>
        <v>8130.1</v>
      </c>
      <c r="V8" s="45">
        <f t="shared" ref="V8:V20" si="3">SUM(T8:U8)</f>
        <v>21242.78</v>
      </c>
      <c r="W8"/>
      <c r="X8"/>
      <c r="Y8"/>
      <c r="Z8"/>
    </row>
    <row r="9" spans="1:26" s="1" customFormat="1">
      <c r="B9" s="24" t="str">
        <f t="shared" ref="B9:B20" si="4">E9&amp;"_"&amp;F9&amp;"_"&amp;G9&amp;"_"&amp;H9&amp;"_"&amp;I9&amp;"_"&amp;J9</f>
        <v>Residential_Appliance Recycling_All_All_2017_Actual</v>
      </c>
      <c r="C9" s="24" t="b">
        <f>COUNTIF($B$8:B9,B9)=1</f>
        <v>1</v>
      </c>
      <c r="D9" s="24" t="b">
        <v>1</v>
      </c>
      <c r="E9" s="16" t="s">
        <v>1</v>
      </c>
      <c r="F9" s="17" t="s">
        <v>203</v>
      </c>
      <c r="G9" s="17" t="s">
        <v>28</v>
      </c>
      <c r="H9" s="17" t="s">
        <v>28</v>
      </c>
      <c r="I9" s="17">
        <v>2017</v>
      </c>
      <c r="J9" s="156" t="s">
        <v>167</v>
      </c>
      <c r="K9" s="123">
        <v>1</v>
      </c>
      <c r="L9" s="125">
        <f t="shared" si="0"/>
        <v>5344.1899999999987</v>
      </c>
      <c r="M9" s="276">
        <v>1</v>
      </c>
      <c r="N9" s="142"/>
      <c r="O9" s="59"/>
      <c r="P9" s="126"/>
      <c r="Q9" s="124">
        <f t="shared" si="1"/>
        <v>5344.1899999999987</v>
      </c>
      <c r="R9" s="60">
        <f ca="1">SUMIFS(OFFSET(Analysis!$AN$35,,,InputRows),OFFSET(Analysis!$B$35,,,InputRows),SUBSTITUTE($B9,"All","*"))</f>
        <v>2200</v>
      </c>
      <c r="S9" s="60">
        <f t="shared" ca="1" si="2"/>
        <v>7544.1899999999987</v>
      </c>
      <c r="T9" s="197">
        <f>SUMIFS('VDSM Executive Summary'!$H$15:$H$39,'VDSM Executive Summary'!$M$15:$M$39,$F9)</f>
        <v>7544.1899999999987</v>
      </c>
      <c r="U9" s="197">
        <f>SUMIFS('VDSM Executive Summary'!$K$15:$K$39,'VDSM Executive Summary'!$M$15:$M$39,$F9)</f>
        <v>2200</v>
      </c>
      <c r="V9" s="45">
        <f t="shared" si="3"/>
        <v>9744.1899999999987</v>
      </c>
      <c r="W9"/>
      <c r="X9"/>
      <c r="Y9"/>
      <c r="Z9"/>
    </row>
    <row r="10" spans="1:26" s="1" customFormat="1">
      <c r="B10" s="24" t="str">
        <f t="shared" si="4"/>
        <v>Residential_High Efficiency HVAC_All_All_2017_Actual</v>
      </c>
      <c r="C10" s="24" t="b">
        <f>COUNTIF($B$8:B10,B10)=1</f>
        <v>1</v>
      </c>
      <c r="D10" s="24" t="b">
        <v>1</v>
      </c>
      <c r="E10" s="16" t="s">
        <v>1</v>
      </c>
      <c r="F10" s="17" t="s">
        <v>205</v>
      </c>
      <c r="G10" s="17" t="s">
        <v>28</v>
      </c>
      <c r="H10" s="17" t="s">
        <v>28</v>
      </c>
      <c r="I10" s="156">
        <v>2017</v>
      </c>
      <c r="J10" s="156" t="s">
        <v>167</v>
      </c>
      <c r="K10" s="123">
        <v>1</v>
      </c>
      <c r="L10" s="125">
        <f t="shared" si="0"/>
        <v>1662.5</v>
      </c>
      <c r="M10" s="276">
        <v>1</v>
      </c>
      <c r="N10" s="142"/>
      <c r="O10" s="59"/>
      <c r="P10" s="126"/>
      <c r="Q10" s="124">
        <f t="shared" si="1"/>
        <v>1662.5</v>
      </c>
      <c r="R10" s="60">
        <f ca="1">SUMIFS(OFFSET(Analysis!$AN$35,,,InputRows),OFFSET(Analysis!$B$35,,,InputRows),SUBSTITUTE($B10,"All","*"))</f>
        <v>13808.75</v>
      </c>
      <c r="S10" s="60">
        <f t="shared" ca="1" si="2"/>
        <v>15471.25</v>
      </c>
      <c r="T10" s="197">
        <f>SUMIFS('VDSM Executive Summary'!$H$15:$H$39,'VDSM Executive Summary'!$M$15:$M$39,$F10)</f>
        <v>15471.25</v>
      </c>
      <c r="U10" s="197">
        <f>SUMIFS('VDSM Executive Summary'!$K$15:$K$39,'VDSM Executive Summary'!$M$15:$M$39,$F10)</f>
        <v>13808.75</v>
      </c>
      <c r="V10" s="45">
        <f t="shared" si="3"/>
        <v>29280</v>
      </c>
      <c r="W10"/>
      <c r="X10"/>
      <c r="Y10"/>
      <c r="Z10"/>
    </row>
    <row r="11" spans="1:26" s="1" customFormat="1">
      <c r="B11" s="24" t="str">
        <f t="shared" si="4"/>
        <v>Residential_Whole House Efficiency_All_All_2017_Actual</v>
      </c>
      <c r="C11" s="24" t="b">
        <f>COUNTIF($B$8:B11,B11)=1</f>
        <v>1</v>
      </c>
      <c r="D11" s="24" t="b">
        <v>1</v>
      </c>
      <c r="E11" s="16" t="s">
        <v>1</v>
      </c>
      <c r="F11" s="17" t="s">
        <v>147</v>
      </c>
      <c r="G11" s="17" t="s">
        <v>28</v>
      </c>
      <c r="H11" s="17" t="s">
        <v>28</v>
      </c>
      <c r="I11" s="156">
        <v>2017</v>
      </c>
      <c r="J11" s="156" t="s">
        <v>167</v>
      </c>
      <c r="K11" s="123">
        <v>1</v>
      </c>
      <c r="L11" s="125">
        <f t="shared" si="0"/>
        <v>14765.66</v>
      </c>
      <c r="M11" s="276">
        <v>1</v>
      </c>
      <c r="N11" s="142"/>
      <c r="O11" s="59"/>
      <c r="P11" s="126"/>
      <c r="Q11" s="124">
        <f t="shared" si="1"/>
        <v>14765.66</v>
      </c>
      <c r="R11" s="60">
        <f ca="1">SUMIFS(OFFSET(Analysis!$AN$35,,,InputRows),OFFSET(Analysis!$B$35,,,InputRows),SUBSTITUTE($B11,"All","*"))</f>
        <v>0</v>
      </c>
      <c r="S11" s="60">
        <f t="shared" ca="1" si="2"/>
        <v>14765.66</v>
      </c>
      <c r="T11" s="197">
        <f>SUMIFS('VDSM Executive Summary'!$H$15:$H$39,'VDSM Executive Summary'!$M$15:$M$39,$F11)</f>
        <v>14765.66</v>
      </c>
      <c r="U11" s="197">
        <f>SUMIFS('VDSM Executive Summary'!$K$15:$K$39,'VDSM Executive Summary'!$M$15:$M$39,$F11)</f>
        <v>0</v>
      </c>
      <c r="V11" s="45">
        <f t="shared" si="3"/>
        <v>14765.66</v>
      </c>
      <c r="W11"/>
      <c r="X11"/>
      <c r="Y11"/>
      <c r="Z11"/>
    </row>
    <row r="12" spans="1:26" s="1" customFormat="1">
      <c r="B12" s="24" t="str">
        <f t="shared" si="4"/>
        <v>Residential_Residential Audit_All_All_2017_Actual</v>
      </c>
      <c r="C12" s="24" t="b">
        <f>COUNTIF($B$8:B12,B12)=1</f>
        <v>1</v>
      </c>
      <c r="D12" s="24" t="b">
        <v>1</v>
      </c>
      <c r="E12" s="16" t="s">
        <v>1</v>
      </c>
      <c r="F12" s="17" t="s">
        <v>144</v>
      </c>
      <c r="G12" s="17" t="s">
        <v>28</v>
      </c>
      <c r="H12" s="17" t="s">
        <v>28</v>
      </c>
      <c r="I12" s="17">
        <v>2017</v>
      </c>
      <c r="J12" s="156" t="s">
        <v>167</v>
      </c>
      <c r="K12" s="123">
        <v>1</v>
      </c>
      <c r="L12" s="125">
        <f t="shared" si="0"/>
        <v>12780</v>
      </c>
      <c r="M12" s="276">
        <v>1</v>
      </c>
      <c r="N12" s="142"/>
      <c r="O12" s="59"/>
      <c r="P12" s="126"/>
      <c r="Q12" s="124">
        <f t="shared" si="1"/>
        <v>12780</v>
      </c>
      <c r="R12" s="60">
        <f ca="1">SUMIFS(OFFSET(Analysis!$AN$35,,,InputRows),OFFSET(Analysis!$B$35,,,InputRows),SUBSTITUTE($B12,"All","*"))</f>
        <v>0</v>
      </c>
      <c r="S12" s="60">
        <f t="shared" ca="1" si="2"/>
        <v>12780</v>
      </c>
      <c r="T12" s="197">
        <f>SUMIFS('VDSM Executive Summary'!$H$15:$H$39,'VDSM Executive Summary'!$M$15:$M$39,$F12)</f>
        <v>12780</v>
      </c>
      <c r="U12" s="197">
        <f>SUMIFS('VDSM Executive Summary'!$K$15:$K$39,'VDSM Executive Summary'!$M$15:$M$39,$F12)</f>
        <v>0</v>
      </c>
      <c r="V12" s="45">
        <f t="shared" si="3"/>
        <v>12780</v>
      </c>
      <c r="W12"/>
      <c r="X12"/>
      <c r="Y12"/>
      <c r="Z12"/>
    </row>
    <row r="13" spans="1:26" s="1" customFormat="1">
      <c r="B13" s="24" t="str">
        <f t="shared" si="4"/>
        <v>Residential_School-Based Education_All_All_2017_Actual</v>
      </c>
      <c r="C13" s="24" t="b">
        <f>COUNTIF($B$8:B13,B13)=1</f>
        <v>1</v>
      </c>
      <c r="D13" s="24" t="b">
        <v>1</v>
      </c>
      <c r="E13" s="16" t="s">
        <v>1</v>
      </c>
      <c r="F13" s="17" t="s">
        <v>224</v>
      </c>
      <c r="G13" s="17" t="s">
        <v>28</v>
      </c>
      <c r="H13" s="17" t="s">
        <v>28</v>
      </c>
      <c r="I13" s="17">
        <v>2017</v>
      </c>
      <c r="J13" s="156" t="s">
        <v>167</v>
      </c>
      <c r="K13" s="123">
        <v>1</v>
      </c>
      <c r="L13" s="125">
        <f t="shared" si="0"/>
        <v>62222.55</v>
      </c>
      <c r="M13" s="276">
        <v>1</v>
      </c>
      <c r="N13" s="142"/>
      <c r="O13" s="59"/>
      <c r="P13" s="126"/>
      <c r="Q13" s="124">
        <f t="shared" si="1"/>
        <v>62222.55</v>
      </c>
      <c r="R13" s="60">
        <f ca="1">SUMIFS(OFFSET(Analysis!$AN$35,,,InputRows),OFFSET(Analysis!$B$35,,,InputRows),SUBSTITUTE($B13,"All","*"))</f>
        <v>0</v>
      </c>
      <c r="S13" s="60">
        <f t="shared" ca="1" si="2"/>
        <v>62222.55</v>
      </c>
      <c r="T13" s="197">
        <f>SUMIFS('VDSM Executive Summary'!$H$15:$H$39,'VDSM Executive Summary'!$M$15:$M$39,$F13)</f>
        <v>62222.55</v>
      </c>
      <c r="U13" s="197">
        <f>SUMIFS('VDSM Executive Summary'!$K$15:$K$39,'VDSM Executive Summary'!$M$15:$M$39,$F13)</f>
        <v>0</v>
      </c>
      <c r="V13" s="45">
        <f t="shared" si="3"/>
        <v>62222.55</v>
      </c>
      <c r="W13"/>
      <c r="X13"/>
      <c r="Y13"/>
      <c r="Z13"/>
    </row>
    <row r="14" spans="1:26" s="1" customFormat="1">
      <c r="B14" s="24" t="str">
        <f t="shared" si="4"/>
        <v>Residential_Weatherization_All_All_2017_Actual</v>
      </c>
      <c r="C14" s="24" t="b">
        <f>COUNTIF($B$8:B14,B14)=1</f>
        <v>1</v>
      </c>
      <c r="D14" s="24" t="b">
        <v>1</v>
      </c>
      <c r="E14" s="16" t="s">
        <v>1</v>
      </c>
      <c r="F14" s="17" t="s">
        <v>83</v>
      </c>
      <c r="G14" s="17" t="s">
        <v>28</v>
      </c>
      <c r="H14" s="17" t="s">
        <v>28</v>
      </c>
      <c r="I14" s="17">
        <v>2017</v>
      </c>
      <c r="J14" s="156" t="s">
        <v>167</v>
      </c>
      <c r="K14" s="123">
        <v>1</v>
      </c>
      <c r="L14" s="125">
        <f t="shared" si="0"/>
        <v>131.49</v>
      </c>
      <c r="M14" s="276">
        <v>1</v>
      </c>
      <c r="N14" s="142"/>
      <c r="O14" s="59"/>
      <c r="P14" s="126"/>
      <c r="Q14" s="124">
        <f t="shared" si="1"/>
        <v>131.49</v>
      </c>
      <c r="R14" s="60">
        <f ca="1">SUMIFS(OFFSET(Analysis!$AN$35,,,InputRows),OFFSET(Analysis!$B$35,,,InputRows),SUBSTITUTE($B14,"All","*"))</f>
        <v>0</v>
      </c>
      <c r="S14" s="60">
        <f t="shared" ca="1" si="2"/>
        <v>131.49</v>
      </c>
      <c r="T14" s="197">
        <f>SUMIFS('VDSM Executive Summary'!$H$15:$H$39,'VDSM Executive Summary'!$M$15:$M$39,$F14)</f>
        <v>131.49</v>
      </c>
      <c r="U14" s="197">
        <f>SUMIFS('VDSM Executive Summary'!$K$15:$K$39,'VDSM Executive Summary'!$M$15:$M$39,$F14)</f>
        <v>0</v>
      </c>
      <c r="V14" s="45">
        <f t="shared" si="3"/>
        <v>131.49</v>
      </c>
      <c r="W14"/>
      <c r="X14"/>
      <c r="Y14"/>
      <c r="Z14"/>
    </row>
    <row r="15" spans="1:26" s="1" customFormat="1">
      <c r="B15" s="24" t="str">
        <f t="shared" si="4"/>
        <v>C&amp;I_C&amp;I Prescriptive_All_All_2017_Actual</v>
      </c>
      <c r="C15" s="24" t="b">
        <f>COUNTIF($B$8:B15,B15)=1</f>
        <v>1</v>
      </c>
      <c r="D15" s="24" t="b">
        <v>1</v>
      </c>
      <c r="E15" s="16" t="s">
        <v>142</v>
      </c>
      <c r="F15" s="17" t="s">
        <v>228</v>
      </c>
      <c r="G15" s="17" t="s">
        <v>28</v>
      </c>
      <c r="H15" s="17" t="s">
        <v>28</v>
      </c>
      <c r="I15" s="17">
        <v>2017</v>
      </c>
      <c r="J15" s="156" t="s">
        <v>167</v>
      </c>
      <c r="K15" s="123">
        <v>1</v>
      </c>
      <c r="L15" s="125">
        <f t="shared" si="0"/>
        <v>27539.22</v>
      </c>
      <c r="M15" s="276">
        <v>1</v>
      </c>
      <c r="N15" s="142"/>
      <c r="O15" s="59"/>
      <c r="P15" s="126"/>
      <c r="Q15" s="124">
        <f t="shared" si="1"/>
        <v>27539.22</v>
      </c>
      <c r="R15" s="60">
        <f ca="1">SUMIFS(OFFSET(Analysis!$AN$35,,,InputRows),OFFSET(Analysis!$B$35,,,InputRows),SUBSTITUTE($B15,"All","*"))</f>
        <v>212569.81034000003</v>
      </c>
      <c r="S15" s="60">
        <f t="shared" ca="1" si="2"/>
        <v>240109.03034000003</v>
      </c>
      <c r="T15" s="197">
        <f>SUMIFS('VDSM Executive Summary'!$H$15:$H$39,'VDSM Executive Summary'!$M$15:$M$39,$F15)</f>
        <v>240109.03</v>
      </c>
      <c r="U15" s="197">
        <f>SUMIFS('VDSM Executive Summary'!$K$15:$K$39,'VDSM Executive Summary'!$M$15:$M$39,$F15)</f>
        <v>212569.81</v>
      </c>
      <c r="V15" s="45">
        <f t="shared" si="3"/>
        <v>452678.83999999997</v>
      </c>
      <c r="W15"/>
      <c r="X15"/>
      <c r="Y15"/>
      <c r="Z15"/>
    </row>
    <row r="16" spans="1:26" s="1" customFormat="1">
      <c r="B16" s="24" t="str">
        <f t="shared" si="4"/>
        <v>C&amp;I_C&amp;I Custom_All_All_2017_Actual</v>
      </c>
      <c r="C16" s="24" t="b">
        <f>COUNTIF($B$8:B16,B16)=1</f>
        <v>1</v>
      </c>
      <c r="D16" s="24" t="b">
        <v>1</v>
      </c>
      <c r="E16" s="16" t="s">
        <v>142</v>
      </c>
      <c r="F16" s="17" t="s">
        <v>187</v>
      </c>
      <c r="G16" s="17" t="s">
        <v>28</v>
      </c>
      <c r="H16" s="17" t="s">
        <v>28</v>
      </c>
      <c r="I16" s="17">
        <v>2017</v>
      </c>
      <c r="J16" s="156" t="s">
        <v>167</v>
      </c>
      <c r="K16" s="123">
        <v>1</v>
      </c>
      <c r="L16" s="125">
        <f t="shared" si="0"/>
        <v>27628.48000000004</v>
      </c>
      <c r="M16" s="276">
        <v>1</v>
      </c>
      <c r="N16" s="142"/>
      <c r="O16" s="59"/>
      <c r="P16" s="126"/>
      <c r="Q16" s="124">
        <f t="shared" si="1"/>
        <v>27628.48000000004</v>
      </c>
      <c r="R16" s="60">
        <f ca="1">SUMIFS(OFFSET(Analysis!$AN$35,,,InputRows),OFFSET(Analysis!$B$35,,,InputRows),SUBSTITUTE($B16,"All","*"))</f>
        <v>212345.44996</v>
      </c>
      <c r="S16" s="60">
        <f t="shared" ca="1" si="2"/>
        <v>239973.92996000004</v>
      </c>
      <c r="T16" s="197">
        <f>SUMIFS('VDSM Executive Summary'!$H$15:$H$39,'VDSM Executive Summary'!$M$15:$M$39,$F16)</f>
        <v>239973.93000000005</v>
      </c>
      <c r="U16" s="197">
        <f>SUMIFS('VDSM Executive Summary'!$K$15:$K$39,'VDSM Executive Summary'!$M$15:$M$39,$F16)</f>
        <v>212345.45</v>
      </c>
      <c r="V16" s="45">
        <f t="shared" si="3"/>
        <v>452319.38000000006</v>
      </c>
      <c r="W16"/>
      <c r="X16"/>
      <c r="Y16"/>
      <c r="Z16"/>
    </row>
    <row r="17" spans="2:26" s="1" customFormat="1">
      <c r="B17" s="24" t="str">
        <f t="shared" ref="B17:B18" si="5">E17&amp;"_"&amp;F17&amp;"_"&amp;G17&amp;"_"&amp;H17&amp;"_"&amp;I17&amp;"_"&amp;J17</f>
        <v>Residential_Cross Marketing and Training_All_All_2017_Actual</v>
      </c>
      <c r="C17" s="24" t="b">
        <f>COUNTIF($B$8:B17,B17)=1</f>
        <v>1</v>
      </c>
      <c r="D17" s="24" t="b">
        <v>1</v>
      </c>
      <c r="E17" s="16" t="s">
        <v>1</v>
      </c>
      <c r="F17" s="156" t="s">
        <v>162</v>
      </c>
      <c r="G17" s="156" t="s">
        <v>28</v>
      </c>
      <c r="H17" s="156" t="s">
        <v>28</v>
      </c>
      <c r="I17" s="156">
        <v>2017</v>
      </c>
      <c r="J17" s="156" t="s">
        <v>167</v>
      </c>
      <c r="K17" s="123">
        <v>1</v>
      </c>
      <c r="L17" s="125">
        <f t="shared" si="0"/>
        <v>54955.978000000003</v>
      </c>
      <c r="M17" s="276">
        <v>0.7</v>
      </c>
      <c r="N17" s="142"/>
      <c r="O17" s="59"/>
      <c r="P17" s="126"/>
      <c r="Q17" s="124">
        <f t="shared" si="1"/>
        <v>54955.978000000003</v>
      </c>
      <c r="R17" s="60">
        <f ca="1">SUMIFS(OFFSET(Analysis!$AN$35,,,InputRows),OFFSET(Analysis!$B$35,,,InputRows),SUBSTITUTE($B17,"All","*"))</f>
        <v>0</v>
      </c>
      <c r="S17" s="60">
        <f t="shared" ca="1" si="2"/>
        <v>54955.978000000003</v>
      </c>
      <c r="T17" s="285">
        <f>SUMIFS('VDSM Executive Summary'!$H$15:$H$39,'VDSM Executive Summary'!$M$15:$M$39,$F17)</f>
        <v>78508.540000000008</v>
      </c>
      <c r="U17" s="285">
        <f>SUMIFS('VDSM Executive Summary'!$K$15:$K$39,'VDSM Executive Summary'!$M$15:$M$39,$F17)</f>
        <v>0</v>
      </c>
      <c r="V17" s="45">
        <f t="shared" si="3"/>
        <v>78508.540000000008</v>
      </c>
      <c r="W17"/>
      <c r="X17"/>
      <c r="Y17"/>
      <c r="Z17"/>
    </row>
    <row r="18" spans="2:26" s="1" customFormat="1">
      <c r="B18" s="24" t="str">
        <f t="shared" si="5"/>
        <v>Residential_General Administration_All_All_2017_Actual</v>
      </c>
      <c r="C18" s="24" t="b">
        <f>COUNTIF($B$8:B18,B18)=1</f>
        <v>1</v>
      </c>
      <c r="D18" s="24" t="b">
        <v>1</v>
      </c>
      <c r="E18" s="16" t="s">
        <v>1</v>
      </c>
      <c r="F18" s="156" t="s">
        <v>163</v>
      </c>
      <c r="G18" s="156" t="s">
        <v>28</v>
      </c>
      <c r="H18" s="156" t="s">
        <v>28</v>
      </c>
      <c r="I18" s="156">
        <v>2017</v>
      </c>
      <c r="J18" s="156" t="s">
        <v>167</v>
      </c>
      <c r="K18" s="123">
        <v>1</v>
      </c>
      <c r="L18" s="125">
        <f t="shared" si="0"/>
        <v>41089.020000000004</v>
      </c>
      <c r="M18" s="276">
        <v>0.5</v>
      </c>
      <c r="N18" s="142"/>
      <c r="O18" s="59"/>
      <c r="P18" s="126"/>
      <c r="Q18" s="124">
        <f t="shared" si="1"/>
        <v>41089.020000000004</v>
      </c>
      <c r="R18" s="60">
        <f ca="1">SUMIFS(OFFSET(Analysis!$AN$35,,,InputRows),OFFSET(Analysis!$B$35,,,InputRows),SUBSTITUTE($B18,"All","*"))</f>
        <v>0</v>
      </c>
      <c r="S18" s="60">
        <f t="shared" ca="1" si="2"/>
        <v>41089.020000000004</v>
      </c>
      <c r="T18" s="197">
        <f>SUMIFS('VDSM Executive Summary'!$H$15:$H$39,'VDSM Executive Summary'!$M$15:$M$39,$F18)</f>
        <v>82178.040000000008</v>
      </c>
      <c r="U18" s="197">
        <f>SUMIFS('VDSM Executive Summary'!$K$15:$K$39,'VDSM Executive Summary'!$M$15:$M$39,$F18)</f>
        <v>0</v>
      </c>
      <c r="V18" s="45">
        <f t="shared" si="3"/>
        <v>82178.040000000008</v>
      </c>
      <c r="W18"/>
      <c r="X18"/>
      <c r="Y18"/>
      <c r="Z18"/>
    </row>
    <row r="19" spans="2:26" s="1" customFormat="1">
      <c r="B19" s="24" t="str">
        <f t="shared" si="4"/>
        <v>C&amp;I_Cross Marketing and Training_All_All_2017_Actual</v>
      </c>
      <c r="C19" s="24" t="b">
        <f>COUNTIF($B$8:B19,B19)=1</f>
        <v>1</v>
      </c>
      <c r="D19" s="24" t="b">
        <v>1</v>
      </c>
      <c r="E19" s="16" t="s">
        <v>142</v>
      </c>
      <c r="F19" s="156" t="s">
        <v>162</v>
      </c>
      <c r="G19" s="156" t="s">
        <v>28</v>
      </c>
      <c r="H19" s="156" t="s">
        <v>28</v>
      </c>
      <c r="I19" s="156">
        <v>2017</v>
      </c>
      <c r="J19" s="156" t="s">
        <v>167</v>
      </c>
      <c r="K19" s="123">
        <v>1</v>
      </c>
      <c r="L19" s="125">
        <f t="shared" si="0"/>
        <v>23552.562000000005</v>
      </c>
      <c r="M19" s="276">
        <f>1-M17</f>
        <v>0.30000000000000004</v>
      </c>
      <c r="N19" s="142"/>
      <c r="O19" s="59"/>
      <c r="P19" s="126"/>
      <c r="Q19" s="124">
        <f t="shared" si="1"/>
        <v>23552.562000000005</v>
      </c>
      <c r="R19" s="60">
        <f ca="1">SUMIFS(OFFSET(Analysis!$AN$35,,,InputRows),OFFSET(Analysis!$B$35,,,InputRows),SUBSTITUTE($B19,"All","*"))</f>
        <v>0</v>
      </c>
      <c r="S19" s="60">
        <f t="shared" ca="1" si="2"/>
        <v>23552.562000000005</v>
      </c>
      <c r="T19" s="285">
        <f>SUMIFS('VDSM Executive Summary'!$H$15:$H$39,'VDSM Executive Summary'!$M$15:$M$39,$F19)</f>
        <v>78508.540000000008</v>
      </c>
      <c r="U19" s="285">
        <f>SUMIFS('VDSM Executive Summary'!$K$15:$K$39,'VDSM Executive Summary'!$M$15:$M$39,$F19)</f>
        <v>0</v>
      </c>
      <c r="V19" s="45">
        <f t="shared" si="3"/>
        <v>78508.540000000008</v>
      </c>
      <c r="W19"/>
      <c r="X19"/>
      <c r="Y19"/>
      <c r="Z19"/>
    </row>
    <row r="20" spans="2:26" s="1" customFormat="1">
      <c r="B20" s="24" t="str">
        <f t="shared" si="4"/>
        <v>C&amp;I_General Administration_All_All_2017_Actual</v>
      </c>
      <c r="C20" s="24" t="b">
        <f>COUNTIF($B$8:B20,B20)=1</f>
        <v>1</v>
      </c>
      <c r="D20" s="24" t="b">
        <v>1</v>
      </c>
      <c r="E20" s="16" t="s">
        <v>142</v>
      </c>
      <c r="F20" s="156" t="s">
        <v>163</v>
      </c>
      <c r="G20" s="156" t="s">
        <v>28</v>
      </c>
      <c r="H20" s="156" t="s">
        <v>28</v>
      </c>
      <c r="I20" s="156">
        <v>2017</v>
      </c>
      <c r="J20" s="156" t="s">
        <v>167</v>
      </c>
      <c r="K20" s="123">
        <v>1</v>
      </c>
      <c r="L20" s="125">
        <f t="shared" si="0"/>
        <v>41089.020000000004</v>
      </c>
      <c r="M20" s="276">
        <f>1-M18</f>
        <v>0.5</v>
      </c>
      <c r="N20" s="142"/>
      <c r="O20" s="59"/>
      <c r="P20" s="126"/>
      <c r="Q20" s="124">
        <f t="shared" si="1"/>
        <v>41089.020000000004</v>
      </c>
      <c r="R20" s="60">
        <f ca="1">SUMIFS(OFFSET(Analysis!$AN$35,,,InputRows),OFFSET(Analysis!$B$35,,,InputRows),SUBSTITUTE($B20,"All","*"))</f>
        <v>0</v>
      </c>
      <c r="S20" s="60">
        <f t="shared" ca="1" si="2"/>
        <v>41089.020000000004</v>
      </c>
      <c r="T20" s="197">
        <f>SUMIFS('VDSM Executive Summary'!$H$15:$H$39,'VDSM Executive Summary'!$M$15:$M$39,$F20)</f>
        <v>82178.040000000008</v>
      </c>
      <c r="U20" s="197">
        <f>SUMIFS('VDSM Executive Summary'!$K$15:$K$39,'VDSM Executive Summary'!$M$15:$M$39,$F20)</f>
        <v>0</v>
      </c>
      <c r="V20" s="45">
        <f t="shared" si="3"/>
        <v>82178.040000000008</v>
      </c>
      <c r="W20"/>
      <c r="X20"/>
      <c r="Y20"/>
      <c r="Z20"/>
    </row>
    <row r="21" spans="2:26" s="1" customFormat="1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X21"/>
      <c r="Y21"/>
    </row>
    <row r="22" spans="2:26" s="1" customFormat="1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X22"/>
      <c r="Y22"/>
    </row>
    <row r="23" spans="2:26" s="1" customFormat="1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X23"/>
      <c r="Y23"/>
    </row>
    <row r="24" spans="2:26" s="1" customFormat="1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X24"/>
      <c r="Y24"/>
    </row>
    <row r="25" spans="2:26" s="1" customFormat="1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X25"/>
      <c r="Y25"/>
    </row>
    <row r="26" spans="2:26" s="1" customFormat="1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X26"/>
      <c r="Y26"/>
    </row>
    <row r="27" spans="2:26" s="1" customFormat="1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X27"/>
      <c r="Y27"/>
    </row>
    <row r="28" spans="2:26" s="1" customFormat="1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X28"/>
      <c r="Y28"/>
    </row>
    <row r="29" spans="2:26" s="1" customFormat="1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X29"/>
      <c r="Y29"/>
    </row>
    <row r="30" spans="2:26" s="1" customFormat="1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X30"/>
      <c r="Y30"/>
    </row>
    <row r="31" spans="2:26" s="1" customForma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X31"/>
      <c r="Y31"/>
    </row>
    <row r="32" spans="2:26" s="1" customFormat="1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X32"/>
      <c r="Y32"/>
    </row>
    <row r="33" spans="2:25" s="1" customFormat="1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X33"/>
      <c r="Y33"/>
    </row>
  </sheetData>
  <mergeCells count="4">
    <mergeCell ref="L6:P6"/>
    <mergeCell ref="R6:R7"/>
    <mergeCell ref="Q6:Q7"/>
    <mergeCell ref="S6:S7"/>
  </mergeCells>
  <conditionalFormatting sqref="D8:D16">
    <cfRule type="cellIs" dxfId="63" priority="23" operator="equal">
      <formula>FALSE</formula>
    </cfRule>
    <cfRule type="cellIs" dxfId="62" priority="24" operator="equal">
      <formula>TRUE</formula>
    </cfRule>
  </conditionalFormatting>
  <conditionalFormatting sqref="D19">
    <cfRule type="cellIs" dxfId="61" priority="21" operator="equal">
      <formula>FALSE</formula>
    </cfRule>
    <cfRule type="cellIs" dxfId="60" priority="22" operator="equal">
      <formula>TRUE</formula>
    </cfRule>
  </conditionalFormatting>
  <conditionalFormatting sqref="D20">
    <cfRule type="cellIs" dxfId="59" priority="19" operator="equal">
      <formula>FALSE</formula>
    </cfRule>
    <cfRule type="cellIs" dxfId="58" priority="20" operator="equal">
      <formula>TRUE</formula>
    </cfRule>
  </conditionalFormatting>
  <conditionalFormatting sqref="D17">
    <cfRule type="cellIs" dxfId="57" priority="3" operator="equal">
      <formula>FALSE</formula>
    </cfRule>
    <cfRule type="cellIs" dxfId="56" priority="4" operator="equal">
      <formula>TRUE</formula>
    </cfRule>
  </conditionalFormatting>
  <conditionalFormatting sqref="D18">
    <cfRule type="cellIs" dxfId="55" priority="1" operator="equal">
      <formula>FALSE</formula>
    </cfRule>
    <cfRule type="cellIs" dxfId="54" priority="2" operator="equal">
      <formula>TRUE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5"/>
    <outlinePr summaryBelow="0"/>
  </sheetPr>
  <dimension ref="A1:IF263"/>
  <sheetViews>
    <sheetView showGridLines="0" zoomScaleNormal="100" workbookViewId="0">
      <pane xSplit="10" ySplit="9" topLeftCell="AZ10" activePane="bottomRight" state="frozen"/>
      <selection activeCell="K33" sqref="K33"/>
      <selection pane="topRight" activeCell="K33" sqref="K33"/>
      <selection pane="bottomLeft" activeCell="K33" sqref="K33"/>
      <selection pane="bottomRight" activeCell="BB17" sqref="BB17"/>
    </sheetView>
  </sheetViews>
  <sheetFormatPr defaultColWidth="9.109375" defaultRowHeight="14.4"/>
  <cols>
    <col min="1" max="1" width="4.6640625" customWidth="1"/>
    <col min="2" max="2" width="7" customWidth="1"/>
    <col min="3" max="3" width="4.5546875" customWidth="1"/>
    <col min="4" max="4" width="14.5546875" customWidth="1"/>
    <col min="5" max="5" width="17.109375" customWidth="1"/>
    <col min="6" max="6" width="16.33203125" customWidth="1"/>
    <col min="7" max="7" width="31.109375" customWidth="1"/>
    <col min="8" max="8" width="8.5546875" bestFit="1" customWidth="1"/>
    <col min="9" max="9" width="8.5546875" customWidth="1"/>
    <col min="10" max="10" width="1" customWidth="1"/>
    <col min="11" max="11" width="12.6640625" customWidth="1"/>
    <col min="12" max="13" width="13" customWidth="1"/>
    <col min="14" max="14" width="13" hidden="1" customWidth="1"/>
    <col min="15" max="15" width="9.44140625" hidden="1" customWidth="1"/>
    <col min="16" max="16" width="2" customWidth="1"/>
    <col min="17" max="17" width="14.109375" customWidth="1"/>
    <col min="18" max="18" width="20.5546875" customWidth="1"/>
    <col min="19" max="19" width="14.109375" customWidth="1"/>
    <col min="20" max="20" width="2" hidden="1" customWidth="1"/>
    <col min="21" max="22" width="15.6640625" hidden="1" customWidth="1"/>
    <col min="23" max="23" width="11.33203125" hidden="1" customWidth="1"/>
    <col min="24" max="24" width="2.44140625" customWidth="1"/>
    <col min="25" max="25" width="14.109375" customWidth="1"/>
    <col min="26" max="26" width="20.5546875" customWidth="1"/>
    <col min="27" max="27" width="14.109375" customWidth="1"/>
    <col min="28" max="28" width="2" hidden="1" customWidth="1"/>
    <col min="29" max="30" width="15.6640625" hidden="1" customWidth="1"/>
    <col min="31" max="31" width="11.33203125" hidden="1" customWidth="1"/>
    <col min="32" max="32" width="2.44140625" customWidth="1"/>
    <col min="33" max="33" width="12.44140625" customWidth="1"/>
    <col min="34" max="35" width="16" hidden="1" customWidth="1"/>
    <col min="36" max="36" width="14.44140625" customWidth="1"/>
    <col min="37" max="37" width="17.109375" hidden="1" customWidth="1"/>
    <col min="38" max="39" width="16" hidden="1" customWidth="1"/>
    <col min="40" max="42" width="16" customWidth="1"/>
    <col min="43" max="43" width="2" customWidth="1"/>
    <col min="44" max="48" width="17.88671875" customWidth="1"/>
    <col min="49" max="51" width="15.5546875" customWidth="1"/>
    <col min="52" max="52" width="2" customWidth="1"/>
    <col min="53" max="58" width="14.44140625" customWidth="1"/>
    <col min="59" max="59" width="16.33203125" customWidth="1"/>
    <col min="60" max="60" width="13.44140625" customWidth="1"/>
    <col min="61" max="61" width="2" customWidth="1"/>
    <col min="62" max="68" width="14.44140625" customWidth="1"/>
    <col min="69" max="69" width="16.33203125" customWidth="1"/>
    <col min="70" max="70" width="13.44140625" customWidth="1"/>
    <col min="71" max="71" width="2" customWidth="1"/>
    <col min="72" max="72" width="14.33203125" bestFit="1" customWidth="1"/>
    <col min="73" max="73" width="13.44140625" customWidth="1"/>
    <col min="74" max="74" width="19.5546875" customWidth="1"/>
    <col min="75" max="76" width="13.88671875" customWidth="1"/>
    <col min="77" max="77" width="17.33203125" customWidth="1"/>
    <col min="78" max="78" width="15.109375" customWidth="1"/>
    <col min="79" max="79" width="14.44140625" customWidth="1"/>
    <col min="80" max="80" width="2" customWidth="1"/>
    <col min="81" max="81" width="14.33203125" bestFit="1" customWidth="1"/>
    <col min="82" max="82" width="10" bestFit="1" customWidth="1"/>
    <col min="83" max="85" width="12.6640625" customWidth="1"/>
    <col min="86" max="87" width="17" customWidth="1"/>
    <col min="88" max="88" width="15.109375" customWidth="1"/>
    <col min="89" max="89" width="15.5546875" customWidth="1"/>
    <col min="90" max="90" width="1.5546875" customWidth="1"/>
    <col min="91" max="91" width="12.33203125" bestFit="1" customWidth="1"/>
    <col min="92" max="92" width="8.6640625" customWidth="1"/>
    <col min="93" max="93" width="17.33203125" customWidth="1"/>
    <col min="94" max="94" width="12.88671875" bestFit="1" customWidth="1"/>
    <col min="95" max="95" width="15.6640625" bestFit="1" customWidth="1"/>
    <col min="96" max="97" width="17.33203125" customWidth="1"/>
    <col min="98" max="98" width="14.109375" customWidth="1"/>
    <col min="99" max="99" width="14.44140625" customWidth="1"/>
    <col min="100" max="100" width="17.33203125" customWidth="1"/>
    <col min="101" max="101" width="2" customWidth="1"/>
    <col min="102" max="107" width="12" customWidth="1"/>
    <col min="108" max="115" width="12" hidden="1" customWidth="1"/>
    <col min="116" max="154" width="10.6640625" hidden="1" customWidth="1"/>
    <col min="155" max="155" width="0.6640625" customWidth="1"/>
    <col min="156" max="161" width="12" customWidth="1"/>
    <col min="162" max="169" width="12" hidden="1" customWidth="1"/>
    <col min="170" max="208" width="10.6640625" hidden="1" customWidth="1"/>
    <col min="209" max="209" width="0.6640625" customWidth="1"/>
    <col min="210" max="212" width="9.6640625" hidden="1" customWidth="1"/>
    <col min="213" max="213" width="8.5546875" hidden="1" customWidth="1"/>
    <col min="214" max="214" width="9.6640625" hidden="1" customWidth="1"/>
    <col min="215" max="240" width="9.109375" hidden="1" customWidth="1"/>
  </cols>
  <sheetData>
    <row r="1" spans="1:240" s="39" customFormat="1">
      <c r="A1" s="58"/>
      <c r="B1" s="39" t="b">
        <v>1</v>
      </c>
      <c r="C1" s="39" t="b">
        <v>1</v>
      </c>
      <c r="G1" s="40"/>
      <c r="N1" s="39" t="b">
        <v>1</v>
      </c>
      <c r="O1" s="39" t="b">
        <v>1</v>
      </c>
      <c r="T1" s="39" t="b">
        <v>1</v>
      </c>
      <c r="U1" s="39" t="b">
        <v>1</v>
      </c>
      <c r="V1" s="39" t="b">
        <v>1</v>
      </c>
      <c r="W1" s="39" t="b">
        <v>1</v>
      </c>
      <c r="AB1" s="39" t="b">
        <v>1</v>
      </c>
      <c r="AC1" s="39" t="b">
        <v>1</v>
      </c>
      <c r="AD1" s="39" t="b">
        <v>1</v>
      </c>
      <c r="AE1" s="39" t="b">
        <v>1</v>
      </c>
      <c r="AH1" s="39" t="b">
        <v>1</v>
      </c>
      <c r="AI1" s="39" t="b">
        <v>1</v>
      </c>
      <c r="AK1" s="39" t="b">
        <v>1</v>
      </c>
      <c r="AL1" s="39" t="b">
        <v>1</v>
      </c>
      <c r="AM1" s="39" t="b">
        <v>1</v>
      </c>
      <c r="DD1" s="39" t="b">
        <v>1</v>
      </c>
      <c r="DE1" s="39" t="b">
        <v>1</v>
      </c>
      <c r="DF1" s="39" t="b">
        <v>1</v>
      </c>
      <c r="DG1" s="39" t="b">
        <v>1</v>
      </c>
      <c r="DH1" s="39" t="b">
        <v>1</v>
      </c>
      <c r="DI1" s="39" t="b">
        <v>1</v>
      </c>
      <c r="DJ1" s="39" t="b">
        <v>1</v>
      </c>
      <c r="DK1" s="39" t="b">
        <v>1</v>
      </c>
      <c r="DL1" s="39" t="b">
        <v>1</v>
      </c>
      <c r="DM1" s="39" t="b">
        <v>1</v>
      </c>
      <c r="DN1" s="39" t="b">
        <v>1</v>
      </c>
      <c r="DO1" s="39" t="b">
        <v>1</v>
      </c>
      <c r="DP1" s="39" t="b">
        <v>1</v>
      </c>
      <c r="DQ1" s="39" t="b">
        <v>1</v>
      </c>
      <c r="DR1" s="39" t="b">
        <v>1</v>
      </c>
      <c r="DS1" s="39" t="b">
        <v>1</v>
      </c>
      <c r="DT1" s="39" t="b">
        <v>1</v>
      </c>
      <c r="DU1" s="39" t="b">
        <v>1</v>
      </c>
      <c r="DV1" s="39" t="b">
        <v>1</v>
      </c>
      <c r="DW1" s="39" t="b">
        <v>1</v>
      </c>
      <c r="DX1" s="39" t="b">
        <v>1</v>
      </c>
      <c r="DY1" s="39" t="b">
        <v>1</v>
      </c>
      <c r="DZ1" s="39" t="b">
        <v>1</v>
      </c>
      <c r="EA1" s="39" t="b">
        <v>1</v>
      </c>
      <c r="EB1" s="39" t="b">
        <v>1</v>
      </c>
      <c r="EC1" s="39" t="b">
        <v>1</v>
      </c>
      <c r="ED1" s="39" t="b">
        <v>1</v>
      </c>
      <c r="EE1" s="39" t="b">
        <v>1</v>
      </c>
      <c r="EF1" s="39" t="b">
        <v>1</v>
      </c>
      <c r="EG1" s="39" t="b">
        <v>1</v>
      </c>
      <c r="EH1" s="39" t="b">
        <v>1</v>
      </c>
      <c r="EI1" s="39" t="b">
        <v>1</v>
      </c>
      <c r="EJ1" s="39" t="b">
        <v>1</v>
      </c>
      <c r="EK1" s="39" t="b">
        <v>1</v>
      </c>
      <c r="EL1" s="39" t="b">
        <v>1</v>
      </c>
      <c r="EM1" s="39" t="b">
        <v>1</v>
      </c>
      <c r="EN1" s="39" t="b">
        <v>1</v>
      </c>
      <c r="EO1" s="39" t="b">
        <v>1</v>
      </c>
      <c r="EP1" s="39" t="b">
        <v>1</v>
      </c>
      <c r="EQ1" s="39" t="b">
        <v>1</v>
      </c>
      <c r="ER1" s="39" t="b">
        <v>1</v>
      </c>
      <c r="ES1" s="39" t="b">
        <v>1</v>
      </c>
      <c r="ET1" s="39" t="b">
        <v>1</v>
      </c>
      <c r="EU1" s="39" t="b">
        <v>1</v>
      </c>
      <c r="EV1" s="39" t="b">
        <v>1</v>
      </c>
      <c r="EW1" s="39" t="b">
        <v>1</v>
      </c>
      <c r="EX1" s="39" t="b">
        <v>1</v>
      </c>
      <c r="FF1" s="39" t="b">
        <v>1</v>
      </c>
      <c r="FG1" s="39" t="b">
        <v>1</v>
      </c>
      <c r="FH1" s="39" t="b">
        <v>1</v>
      </c>
      <c r="FI1" s="39" t="b">
        <v>1</v>
      </c>
      <c r="FJ1" s="39" t="b">
        <v>1</v>
      </c>
      <c r="FK1" s="39" t="b">
        <v>1</v>
      </c>
      <c r="FL1" s="39" t="b">
        <v>1</v>
      </c>
      <c r="FM1" s="39" t="b">
        <v>1</v>
      </c>
      <c r="FN1" s="39" t="b">
        <v>1</v>
      </c>
      <c r="FO1" s="39" t="b">
        <v>1</v>
      </c>
      <c r="FP1" s="39" t="b">
        <v>1</v>
      </c>
      <c r="FQ1" s="39" t="b">
        <v>1</v>
      </c>
      <c r="FR1" s="39" t="b">
        <v>1</v>
      </c>
      <c r="FS1" s="39" t="b">
        <v>1</v>
      </c>
      <c r="FT1" s="39" t="b">
        <v>1</v>
      </c>
      <c r="FU1" s="39" t="b">
        <v>1</v>
      </c>
      <c r="FV1" s="39" t="b">
        <v>1</v>
      </c>
      <c r="FW1" s="39" t="b">
        <v>1</v>
      </c>
      <c r="FX1" s="39" t="b">
        <v>1</v>
      </c>
      <c r="FY1" s="39" t="b">
        <v>1</v>
      </c>
      <c r="FZ1" s="39" t="b">
        <v>1</v>
      </c>
      <c r="GA1" s="39" t="b">
        <v>1</v>
      </c>
      <c r="GB1" s="39" t="b">
        <v>1</v>
      </c>
      <c r="GC1" s="39" t="b">
        <v>1</v>
      </c>
      <c r="GD1" s="39" t="b">
        <v>1</v>
      </c>
      <c r="GE1" s="39" t="b">
        <v>1</v>
      </c>
      <c r="GF1" s="39" t="b">
        <v>1</v>
      </c>
      <c r="GG1" s="39" t="b">
        <v>1</v>
      </c>
      <c r="GH1" s="39" t="b">
        <v>1</v>
      </c>
      <c r="GI1" s="39" t="b">
        <v>1</v>
      </c>
      <c r="GJ1" s="39" t="b">
        <v>1</v>
      </c>
      <c r="GK1" s="39" t="b">
        <v>1</v>
      </c>
      <c r="GL1" s="39" t="b">
        <v>1</v>
      </c>
      <c r="GM1" s="39" t="b">
        <v>1</v>
      </c>
      <c r="GN1" s="39" t="b">
        <v>1</v>
      </c>
      <c r="GO1" s="39" t="b">
        <v>1</v>
      </c>
      <c r="GP1" s="39" t="b">
        <v>1</v>
      </c>
      <c r="GQ1" s="39" t="b">
        <v>1</v>
      </c>
      <c r="GR1" s="39" t="b">
        <v>1</v>
      </c>
      <c r="GS1" s="39" t="b">
        <v>1</v>
      </c>
      <c r="GT1" s="39" t="b">
        <v>1</v>
      </c>
      <c r="GU1" s="39" t="b">
        <v>1</v>
      </c>
      <c r="GV1" s="39" t="b">
        <v>1</v>
      </c>
      <c r="GW1" s="39" t="b">
        <v>1</v>
      </c>
      <c r="GX1" s="39" t="b">
        <v>1</v>
      </c>
      <c r="GY1" s="39" t="b">
        <v>1</v>
      </c>
      <c r="GZ1" s="39" t="b">
        <v>1</v>
      </c>
      <c r="HB1" s="39" t="b">
        <v>1</v>
      </c>
      <c r="HC1" s="39" t="b">
        <v>1</v>
      </c>
      <c r="HD1" s="39" t="b">
        <v>1</v>
      </c>
      <c r="HE1" s="39" t="b">
        <v>1</v>
      </c>
      <c r="HF1" s="39" t="b">
        <v>1</v>
      </c>
      <c r="HG1" s="39" t="b">
        <v>1</v>
      </c>
      <c r="HH1" s="39" t="b">
        <v>1</v>
      </c>
      <c r="HI1" s="39" t="b">
        <v>1</v>
      </c>
      <c r="HJ1" s="39" t="b">
        <v>1</v>
      </c>
      <c r="HK1" s="39" t="b">
        <v>1</v>
      </c>
      <c r="HL1" s="39" t="b">
        <v>1</v>
      </c>
      <c r="HM1" s="39" t="b">
        <v>1</v>
      </c>
      <c r="HN1" s="39" t="b">
        <v>1</v>
      </c>
      <c r="HO1" s="39" t="b">
        <v>1</v>
      </c>
      <c r="HP1" s="39" t="b">
        <v>1</v>
      </c>
      <c r="HQ1" s="39" t="b">
        <v>1</v>
      </c>
      <c r="HR1" s="39" t="b">
        <v>1</v>
      </c>
      <c r="HS1" s="39" t="b">
        <v>1</v>
      </c>
      <c r="HT1" s="39" t="b">
        <v>1</v>
      </c>
      <c r="HU1" s="39" t="b">
        <v>1</v>
      </c>
      <c r="HV1" s="39" t="b">
        <v>1</v>
      </c>
      <c r="HW1" s="39" t="b">
        <v>1</v>
      </c>
      <c r="HX1" s="39" t="b">
        <v>1</v>
      </c>
      <c r="HY1" s="39" t="b">
        <v>1</v>
      </c>
      <c r="HZ1" s="39" t="b">
        <v>1</v>
      </c>
      <c r="IA1" s="39" t="b">
        <v>1</v>
      </c>
      <c r="IB1" s="39" t="b">
        <v>1</v>
      </c>
      <c r="IC1" s="39" t="b">
        <v>1</v>
      </c>
      <c r="ID1" s="39" t="b">
        <v>1</v>
      </c>
      <c r="IE1" s="39" t="b">
        <v>1</v>
      </c>
      <c r="IF1" s="39" t="b">
        <v>1</v>
      </c>
    </row>
    <row r="2" spans="1:240" s="39" customFormat="1">
      <c r="A2" s="58"/>
      <c r="D2" s="40"/>
      <c r="G2" s="40"/>
    </row>
    <row r="3" spans="1:240" s="39" customFormat="1">
      <c r="A3" s="58" t="s">
        <v>20</v>
      </c>
      <c r="D3" s="40"/>
      <c r="G3" s="40"/>
      <c r="M3" s="332"/>
    </row>
    <row r="4" spans="1:240" s="36" customFormat="1">
      <c r="A4" s="34" t="str">
        <f>HYPERLINK("#'Contents'!a1","Return to Contents")</f>
        <v>Return to Contents</v>
      </c>
      <c r="C4" s="52"/>
      <c r="D4"/>
      <c r="E4" s="34"/>
      <c r="F4" s="34"/>
      <c r="G4"/>
      <c r="H4" s="34"/>
      <c r="I4" s="34"/>
      <c r="K4"/>
      <c r="L4"/>
      <c r="M4"/>
      <c r="N4"/>
      <c r="O4" s="52"/>
      <c r="Q4" s="33"/>
      <c r="R4" s="33"/>
      <c r="S4" s="33"/>
      <c r="U4" s="33"/>
      <c r="V4" s="33"/>
      <c r="W4" s="33"/>
      <c r="Y4" s="33"/>
      <c r="Z4" s="33"/>
      <c r="AA4" s="33"/>
      <c r="AC4" s="33"/>
      <c r="AD4" s="33"/>
      <c r="AE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R4" s="33"/>
      <c r="AS4" s="33"/>
      <c r="AT4" s="33"/>
      <c r="AU4" s="33"/>
      <c r="AV4" s="33"/>
      <c r="AW4" s="33"/>
      <c r="AX4" s="33"/>
      <c r="AY4" s="33"/>
      <c r="BA4" s="33"/>
      <c r="BB4" s="33"/>
      <c r="BC4" s="33"/>
      <c r="BD4" s="33"/>
      <c r="BE4" s="33"/>
      <c r="BF4" s="33"/>
      <c r="BG4" s="33"/>
      <c r="BH4" s="33"/>
      <c r="BJ4" s="33"/>
      <c r="BK4" s="33"/>
      <c r="BL4" s="33"/>
      <c r="BM4" s="33"/>
      <c r="BN4" s="33"/>
      <c r="BO4" s="33"/>
      <c r="BP4" s="33"/>
      <c r="BQ4" s="33"/>
      <c r="BR4" s="33"/>
      <c r="BT4" s="33"/>
      <c r="BU4" s="33"/>
      <c r="BV4" s="33"/>
      <c r="BW4" s="33"/>
      <c r="BX4" s="33"/>
      <c r="BY4" s="33"/>
      <c r="BZ4" s="33"/>
      <c r="CA4" s="33"/>
      <c r="CC4" s="33"/>
      <c r="CD4" s="33"/>
      <c r="CE4" s="33"/>
      <c r="CF4" s="33"/>
      <c r="CG4" s="33"/>
      <c r="CH4" s="33"/>
      <c r="CI4" s="33"/>
      <c r="CJ4" s="33"/>
      <c r="CK4" s="33"/>
      <c r="CM4" s="33"/>
      <c r="CN4" s="33"/>
      <c r="CO4" s="33"/>
      <c r="CP4" s="33"/>
      <c r="CQ4" s="33"/>
      <c r="CR4" s="33"/>
      <c r="CS4" s="33"/>
      <c r="CT4" s="33"/>
      <c r="CU4" s="33"/>
      <c r="CV4" s="64"/>
      <c r="CX4" s="33"/>
      <c r="EZ4" s="33"/>
    </row>
    <row r="5" spans="1:240" s="36" customFormat="1">
      <c r="A5" s="39"/>
      <c r="C5" s="53"/>
      <c r="D5" s="35"/>
      <c r="E5" s="35"/>
      <c r="F5" s="35"/>
      <c r="G5" s="35"/>
      <c r="H5" s="35"/>
      <c r="I5" s="35"/>
      <c r="K5"/>
      <c r="L5"/>
      <c r="M5"/>
      <c r="N5"/>
      <c r="O5" s="53"/>
      <c r="BT5" s="72"/>
      <c r="BU5" s="72"/>
      <c r="BV5" s="72"/>
      <c r="BW5" s="72"/>
      <c r="BX5" s="72"/>
      <c r="BY5" s="72"/>
    </row>
    <row r="6" spans="1:240" s="36" customFormat="1">
      <c r="A6" s="39"/>
      <c r="C6" s="53"/>
      <c r="D6" s="35"/>
      <c r="E6" s="35"/>
      <c r="F6" s="35"/>
      <c r="G6" s="35"/>
      <c r="H6" s="35"/>
      <c r="I6" s="35"/>
      <c r="K6"/>
      <c r="L6"/>
      <c r="M6"/>
      <c r="N6"/>
      <c r="O6" s="53"/>
    </row>
    <row r="7" spans="1:240" s="78" customFormat="1" ht="29.4" customHeight="1">
      <c r="A7" s="73"/>
      <c r="B7" s="74"/>
      <c r="C7" s="75"/>
      <c r="D7" s="75"/>
      <c r="E7" s="75"/>
      <c r="F7" s="75"/>
      <c r="G7" s="75"/>
      <c r="H7" s="75"/>
      <c r="I7" s="75"/>
      <c r="J7" s="76">
        <v>0</v>
      </c>
      <c r="K7" s="639" t="s">
        <v>52</v>
      </c>
      <c r="L7" s="640"/>
      <c r="M7" s="640"/>
      <c r="N7" s="640"/>
      <c r="O7" s="641"/>
      <c r="P7" s="76"/>
      <c r="Q7" s="639" t="s">
        <v>60</v>
      </c>
      <c r="R7" s="640"/>
      <c r="S7" s="641"/>
      <c r="T7" s="76">
        <v>0</v>
      </c>
      <c r="U7" s="639" t="s">
        <v>61</v>
      </c>
      <c r="V7" s="640"/>
      <c r="W7" s="641"/>
      <c r="X7" s="76">
        <v>0</v>
      </c>
      <c r="Y7" s="639" t="s">
        <v>60</v>
      </c>
      <c r="Z7" s="640"/>
      <c r="AA7" s="641"/>
      <c r="AB7" s="76">
        <v>0</v>
      </c>
      <c r="AC7" s="639" t="s">
        <v>61</v>
      </c>
      <c r="AD7" s="640"/>
      <c r="AE7" s="641"/>
      <c r="AF7" s="76">
        <v>0</v>
      </c>
      <c r="AG7" s="639" t="s">
        <v>29</v>
      </c>
      <c r="AH7" s="640"/>
      <c r="AI7" s="640"/>
      <c r="AJ7" s="640"/>
      <c r="AK7" s="640"/>
      <c r="AL7" s="640"/>
      <c r="AM7" s="640"/>
      <c r="AN7" s="640"/>
      <c r="AO7" s="640"/>
      <c r="AP7" s="641"/>
      <c r="AQ7" s="77">
        <v>0</v>
      </c>
      <c r="AR7" s="635" t="s">
        <v>133</v>
      </c>
      <c r="AS7" s="636"/>
      <c r="AT7" s="636"/>
      <c r="AU7" s="636"/>
      <c r="AV7" s="636"/>
      <c r="AW7" s="636"/>
      <c r="AX7" s="636"/>
      <c r="AY7" s="647"/>
      <c r="AZ7" s="76">
        <v>0</v>
      </c>
      <c r="BA7" s="639" t="s">
        <v>100</v>
      </c>
      <c r="BB7" s="640"/>
      <c r="BC7" s="640"/>
      <c r="BD7" s="640"/>
      <c r="BE7" s="642"/>
      <c r="BF7" s="642"/>
      <c r="BG7" s="642"/>
      <c r="BH7" s="643"/>
      <c r="BI7" s="76">
        <v>0</v>
      </c>
      <c r="BJ7" s="639" t="s">
        <v>191</v>
      </c>
      <c r="BK7" s="640"/>
      <c r="BL7" s="640"/>
      <c r="BM7" s="640"/>
      <c r="BN7" s="642"/>
      <c r="BO7" s="642"/>
      <c r="BP7" s="642"/>
      <c r="BQ7" s="642"/>
      <c r="BR7" s="643"/>
      <c r="BS7" s="76">
        <v>0</v>
      </c>
      <c r="BT7" s="639" t="s">
        <v>99</v>
      </c>
      <c r="BU7" s="640"/>
      <c r="BV7" s="640"/>
      <c r="BW7" s="640"/>
      <c r="BX7" s="640"/>
      <c r="BY7" s="642"/>
      <c r="BZ7" s="642"/>
      <c r="CA7" s="643"/>
      <c r="CB7" s="76">
        <v>0</v>
      </c>
      <c r="CC7" s="639" t="s">
        <v>98</v>
      </c>
      <c r="CD7" s="640"/>
      <c r="CE7" s="640"/>
      <c r="CF7" s="640"/>
      <c r="CG7" s="640"/>
      <c r="CH7" s="642"/>
      <c r="CI7" s="642"/>
      <c r="CJ7" s="642"/>
      <c r="CK7" s="643"/>
      <c r="CL7" s="76">
        <v>0</v>
      </c>
      <c r="CM7" s="639" t="s">
        <v>102</v>
      </c>
      <c r="CN7" s="640"/>
      <c r="CO7" s="640"/>
      <c r="CP7" s="640"/>
      <c r="CQ7" s="640"/>
      <c r="CR7" s="642"/>
      <c r="CS7" s="642"/>
      <c r="CT7" s="642"/>
      <c r="CU7" s="642"/>
      <c r="CV7" s="643"/>
      <c r="CW7" s="76">
        <v>0</v>
      </c>
      <c r="CX7" s="635" t="str">
        <f>"Net "&amp;$Q$8&amp;" Impacts @meter"</f>
        <v>Net kWh Impacts @meter</v>
      </c>
      <c r="CY7" s="636"/>
      <c r="CZ7" s="636"/>
      <c r="DA7" s="636"/>
      <c r="DB7" s="636"/>
      <c r="DC7" s="636"/>
      <c r="DD7" s="636"/>
      <c r="DE7" s="636"/>
      <c r="DF7" s="636"/>
      <c r="DG7" s="636"/>
      <c r="DH7" s="636"/>
      <c r="DI7" s="636"/>
      <c r="DJ7" s="636"/>
      <c r="DK7" s="636"/>
      <c r="DL7" s="636"/>
      <c r="DM7" s="636"/>
      <c r="DN7" s="636"/>
      <c r="DO7" s="636"/>
      <c r="DP7" s="636"/>
      <c r="DQ7" s="636"/>
      <c r="DR7" s="636"/>
      <c r="DS7" s="636"/>
      <c r="DT7" s="636"/>
      <c r="DU7" s="636"/>
      <c r="DV7" s="636"/>
      <c r="DW7" s="636"/>
      <c r="DX7" s="636"/>
      <c r="DY7" s="636"/>
      <c r="DZ7" s="636"/>
      <c r="EA7" s="636"/>
      <c r="EB7" s="636"/>
      <c r="EC7" s="636"/>
      <c r="ED7" s="636"/>
      <c r="EE7" s="636"/>
      <c r="EF7" s="636"/>
      <c r="EG7" s="636"/>
      <c r="EH7" s="636"/>
      <c r="EI7" s="636"/>
      <c r="EJ7" s="636"/>
      <c r="EK7" s="636"/>
      <c r="EL7" s="636"/>
      <c r="EM7" s="636"/>
      <c r="EN7" s="636"/>
      <c r="EO7" s="636"/>
      <c r="EP7" s="636"/>
      <c r="EQ7" s="636"/>
      <c r="ER7" s="636"/>
      <c r="ES7" s="636"/>
      <c r="ET7" s="636"/>
      <c r="EU7" s="636"/>
      <c r="EV7" s="636"/>
      <c r="EW7" s="636"/>
      <c r="EX7" s="636"/>
      <c r="EY7" s="77"/>
      <c r="EZ7" s="635" t="str">
        <f>"Net "&amp;$Y$8&amp;" Impacts @meter"</f>
        <v>Net kW Impacts @meter</v>
      </c>
      <c r="FA7" s="636"/>
      <c r="FB7" s="636"/>
      <c r="FC7" s="636"/>
      <c r="FD7" s="636"/>
      <c r="FE7" s="636"/>
      <c r="FF7" s="636"/>
      <c r="FG7" s="636"/>
      <c r="FH7" s="636"/>
      <c r="FI7" s="636"/>
      <c r="FJ7" s="636"/>
      <c r="FK7" s="636"/>
      <c r="FL7" s="636"/>
      <c r="FM7" s="636"/>
      <c r="FN7" s="636"/>
      <c r="FO7" s="636"/>
      <c r="FP7" s="636"/>
      <c r="FQ7" s="636"/>
      <c r="FR7" s="636"/>
      <c r="FS7" s="636"/>
      <c r="FT7" s="636"/>
      <c r="FU7" s="636"/>
      <c r="FV7" s="636"/>
      <c r="FW7" s="636"/>
      <c r="FX7" s="636"/>
      <c r="FY7" s="636"/>
      <c r="FZ7" s="636"/>
      <c r="GA7" s="636"/>
      <c r="GB7" s="636"/>
      <c r="GC7" s="636"/>
      <c r="GD7" s="636"/>
      <c r="GE7" s="636"/>
      <c r="GF7" s="636"/>
      <c r="GG7" s="636"/>
      <c r="GH7" s="636"/>
      <c r="GI7" s="636"/>
      <c r="GJ7" s="636"/>
      <c r="GK7" s="636"/>
      <c r="GL7" s="636"/>
      <c r="GM7" s="636"/>
      <c r="GN7" s="636"/>
      <c r="GO7" s="636"/>
      <c r="GP7" s="636"/>
      <c r="GQ7" s="636"/>
      <c r="GR7" s="636"/>
      <c r="GS7" s="636"/>
      <c r="GT7" s="636"/>
      <c r="GU7" s="636"/>
      <c r="GV7" s="636"/>
      <c r="GW7" s="636"/>
      <c r="GX7" s="636"/>
      <c r="GY7" s="636"/>
      <c r="GZ7" s="636"/>
      <c r="HA7" s="77"/>
      <c r="HB7" s="145"/>
      <c r="HC7" s="145"/>
      <c r="HD7" s="145"/>
      <c r="HE7" s="145"/>
      <c r="HF7" s="145"/>
      <c r="HG7" s="145"/>
      <c r="HH7" s="145"/>
      <c r="HI7" s="145"/>
      <c r="HJ7" s="145"/>
      <c r="HK7" s="145"/>
      <c r="HL7" s="145"/>
      <c r="HM7" s="145"/>
      <c r="HN7" s="145"/>
      <c r="HO7" s="145"/>
      <c r="HP7" s="145"/>
      <c r="HQ7" s="145"/>
      <c r="HR7" s="145"/>
      <c r="HS7" s="145"/>
      <c r="HT7" s="145"/>
      <c r="HU7" s="145"/>
      <c r="HV7" s="145"/>
      <c r="HW7" s="145"/>
      <c r="HX7" s="145"/>
      <c r="HY7" s="145"/>
      <c r="HZ7" s="145"/>
      <c r="IA7" s="145"/>
      <c r="IB7" s="145"/>
      <c r="IC7" s="145"/>
      <c r="ID7" s="145"/>
      <c r="IE7" s="145"/>
      <c r="IF7" s="145"/>
    </row>
    <row r="8" spans="1:240" s="78" customFormat="1">
      <c r="A8" s="73"/>
      <c r="B8" s="79"/>
      <c r="C8" s="80"/>
      <c r="D8" s="80"/>
      <c r="E8" s="80"/>
      <c r="F8" s="80"/>
      <c r="G8" s="80"/>
      <c r="H8" s="80"/>
      <c r="I8" s="80"/>
      <c r="J8" s="76"/>
      <c r="K8" s="644"/>
      <c r="L8" s="645"/>
      <c r="M8" s="645"/>
      <c r="N8" s="645"/>
      <c r="O8" s="646"/>
      <c r="P8" s="76"/>
      <c r="Q8" s="160" t="str">
        <f>'General Inputs'!$E$17</f>
        <v>kWh</v>
      </c>
      <c r="R8" s="161" t="str">
        <f>Q8</f>
        <v>kWh</v>
      </c>
      <c r="S8" s="162" t="str">
        <f>R8</f>
        <v>kWh</v>
      </c>
      <c r="T8" s="76"/>
      <c r="U8" s="160" t="str">
        <f>$S$8</f>
        <v>kWh</v>
      </c>
      <c r="V8" s="161" t="str">
        <f>U8</f>
        <v>kWh</v>
      </c>
      <c r="W8" s="162" t="str">
        <f>V8</f>
        <v>kWh</v>
      </c>
      <c r="X8" s="76"/>
      <c r="Y8" s="160" t="str">
        <f>'General Inputs'!$E$18</f>
        <v>kW</v>
      </c>
      <c r="Z8" s="161" t="str">
        <f>Y8</f>
        <v>kW</v>
      </c>
      <c r="AA8" s="162" t="str">
        <f>Z8</f>
        <v>kW</v>
      </c>
      <c r="AB8" s="76"/>
      <c r="AC8" s="160" t="str">
        <f>$Y$8</f>
        <v>kW</v>
      </c>
      <c r="AD8" s="161" t="str">
        <f>AC8</f>
        <v>kW</v>
      </c>
      <c r="AE8" s="162" t="str">
        <f>AD8</f>
        <v>kW</v>
      </c>
      <c r="AF8" s="76"/>
      <c r="AG8" s="644"/>
      <c r="AH8" s="645"/>
      <c r="AI8" s="645"/>
      <c r="AJ8" s="645"/>
      <c r="AK8" s="645"/>
      <c r="AL8" s="645"/>
      <c r="AM8" s="645"/>
      <c r="AN8" s="645"/>
      <c r="AO8" s="645"/>
      <c r="AP8" s="646"/>
      <c r="AQ8" s="81"/>
      <c r="AR8" s="637"/>
      <c r="AS8" s="638"/>
      <c r="AT8" s="638"/>
      <c r="AU8" s="638"/>
      <c r="AV8" s="638"/>
      <c r="AW8" s="638"/>
      <c r="AX8" s="638"/>
      <c r="AY8" s="648"/>
      <c r="AZ8" s="76"/>
      <c r="BA8" s="104"/>
      <c r="BB8" s="105"/>
      <c r="BC8" s="105"/>
      <c r="BD8" s="106"/>
      <c r="BE8" s="82" t="s">
        <v>48</v>
      </c>
      <c r="BF8" s="82" t="s">
        <v>48</v>
      </c>
      <c r="BG8" s="82" t="s">
        <v>49</v>
      </c>
      <c r="BH8" s="82" t="s">
        <v>49</v>
      </c>
      <c r="BI8" s="76"/>
      <c r="BJ8" s="104"/>
      <c r="BK8" s="105"/>
      <c r="BL8" s="105"/>
      <c r="BM8" s="106"/>
      <c r="BN8" s="82" t="s">
        <v>48</v>
      </c>
      <c r="BO8" s="82" t="s">
        <v>48</v>
      </c>
      <c r="BP8" s="82" t="s">
        <v>48</v>
      </c>
      <c r="BQ8" s="82" t="s">
        <v>49</v>
      </c>
      <c r="BR8" s="82" t="s">
        <v>49</v>
      </c>
      <c r="BS8" s="76"/>
      <c r="BT8" s="104"/>
      <c r="BU8" s="105"/>
      <c r="BV8" s="105"/>
      <c r="BW8" s="105"/>
      <c r="BX8" s="106"/>
      <c r="BY8" s="82" t="s">
        <v>48</v>
      </c>
      <c r="BZ8" s="82" t="s">
        <v>48</v>
      </c>
      <c r="CA8" s="82" t="s">
        <v>49</v>
      </c>
      <c r="CB8" s="76"/>
      <c r="CC8" s="104"/>
      <c r="CD8" s="105"/>
      <c r="CE8" s="105"/>
      <c r="CF8" s="105"/>
      <c r="CG8" s="105"/>
      <c r="CH8" s="107" t="s">
        <v>48</v>
      </c>
      <c r="CI8" s="107" t="s">
        <v>48</v>
      </c>
      <c r="CJ8" s="82" t="s">
        <v>49</v>
      </c>
      <c r="CK8" s="82" t="s">
        <v>49</v>
      </c>
      <c r="CL8" s="76"/>
      <c r="CM8" s="104"/>
      <c r="CN8" s="105"/>
      <c r="CO8" s="105"/>
      <c r="CP8" s="105"/>
      <c r="CQ8" s="106"/>
      <c r="CR8" s="82" t="s">
        <v>48</v>
      </c>
      <c r="CS8" s="82" t="s">
        <v>48</v>
      </c>
      <c r="CT8" s="82" t="s">
        <v>49</v>
      </c>
      <c r="CU8" s="82" t="s">
        <v>49</v>
      </c>
      <c r="CV8" s="82" t="s">
        <v>49</v>
      </c>
      <c r="CW8" s="76"/>
      <c r="CX8" s="637"/>
      <c r="CY8" s="638"/>
      <c r="CZ8" s="638"/>
      <c r="DA8" s="638"/>
      <c r="DB8" s="638"/>
      <c r="DC8" s="638"/>
      <c r="DD8" s="638"/>
      <c r="DE8" s="638"/>
      <c r="DF8" s="638"/>
      <c r="DG8" s="638"/>
      <c r="DH8" s="638"/>
      <c r="DI8" s="638"/>
      <c r="DJ8" s="638"/>
      <c r="DK8" s="638"/>
      <c r="DL8" s="638"/>
      <c r="DM8" s="638"/>
      <c r="DN8" s="638"/>
      <c r="DO8" s="638"/>
      <c r="DP8" s="638"/>
      <c r="DQ8" s="638"/>
      <c r="DR8" s="638"/>
      <c r="DS8" s="638"/>
      <c r="DT8" s="638"/>
      <c r="DU8" s="638"/>
      <c r="DV8" s="638"/>
      <c r="DW8" s="638"/>
      <c r="DX8" s="638"/>
      <c r="DY8" s="638"/>
      <c r="DZ8" s="638"/>
      <c r="EA8" s="638"/>
      <c r="EB8" s="638"/>
      <c r="EC8" s="638"/>
      <c r="ED8" s="638"/>
      <c r="EE8" s="638"/>
      <c r="EF8" s="638"/>
      <c r="EG8" s="638"/>
      <c r="EH8" s="638"/>
      <c r="EI8" s="638"/>
      <c r="EJ8" s="638"/>
      <c r="EK8" s="638"/>
      <c r="EL8" s="638"/>
      <c r="EM8" s="638"/>
      <c r="EN8" s="638"/>
      <c r="EO8" s="638"/>
      <c r="EP8" s="638"/>
      <c r="EQ8" s="638"/>
      <c r="ER8" s="638"/>
      <c r="ES8" s="638"/>
      <c r="ET8" s="638"/>
      <c r="EU8" s="638"/>
      <c r="EV8" s="638"/>
      <c r="EW8" s="638"/>
      <c r="EX8" s="638"/>
      <c r="EY8" s="83"/>
      <c r="EZ8" s="637"/>
      <c r="FA8" s="638"/>
      <c r="FB8" s="638"/>
      <c r="FC8" s="638"/>
      <c r="FD8" s="638"/>
      <c r="FE8" s="638"/>
      <c r="FF8" s="638"/>
      <c r="FG8" s="638"/>
      <c r="FH8" s="638"/>
      <c r="FI8" s="638"/>
      <c r="FJ8" s="638"/>
      <c r="FK8" s="638"/>
      <c r="FL8" s="638"/>
      <c r="FM8" s="638"/>
      <c r="FN8" s="638"/>
      <c r="FO8" s="638"/>
      <c r="FP8" s="638"/>
      <c r="FQ8" s="638"/>
      <c r="FR8" s="638"/>
      <c r="FS8" s="638"/>
      <c r="FT8" s="638"/>
      <c r="FU8" s="638"/>
      <c r="FV8" s="638"/>
      <c r="FW8" s="638"/>
      <c r="FX8" s="638"/>
      <c r="FY8" s="638"/>
      <c r="FZ8" s="638"/>
      <c r="GA8" s="638"/>
      <c r="GB8" s="638"/>
      <c r="GC8" s="638"/>
      <c r="GD8" s="638"/>
      <c r="GE8" s="638"/>
      <c r="GF8" s="638"/>
      <c r="GG8" s="638"/>
      <c r="GH8" s="638"/>
      <c r="GI8" s="638"/>
      <c r="GJ8" s="638"/>
      <c r="GK8" s="638"/>
      <c r="GL8" s="638"/>
      <c r="GM8" s="638"/>
      <c r="GN8" s="638"/>
      <c r="GO8" s="638"/>
      <c r="GP8" s="638"/>
      <c r="GQ8" s="638"/>
      <c r="GR8" s="638"/>
      <c r="GS8" s="638"/>
      <c r="GT8" s="638"/>
      <c r="GU8" s="638"/>
      <c r="GV8" s="638"/>
      <c r="GW8" s="638"/>
      <c r="GX8" s="638"/>
      <c r="GY8" s="638"/>
      <c r="GZ8" s="638"/>
      <c r="HA8" s="83"/>
      <c r="HB8" s="145"/>
      <c r="HC8" s="145"/>
      <c r="HD8" s="145"/>
      <c r="HE8" s="145"/>
      <c r="HF8" s="145"/>
      <c r="HG8" s="145"/>
      <c r="HH8" s="145"/>
      <c r="HI8" s="145"/>
      <c r="HJ8" s="145"/>
      <c r="HK8" s="145"/>
      <c r="HL8" s="145"/>
      <c r="HM8" s="145"/>
      <c r="HN8" s="145"/>
      <c r="HO8" s="145"/>
      <c r="HP8" s="145"/>
      <c r="HQ8" s="145"/>
      <c r="HR8" s="145"/>
      <c r="HS8" s="145"/>
      <c r="HT8" s="145"/>
      <c r="HU8" s="145"/>
      <c r="HV8" s="145"/>
      <c r="HW8" s="145"/>
      <c r="HX8" s="145"/>
      <c r="HY8" s="146"/>
      <c r="HZ8" s="146"/>
      <c r="IA8" s="146"/>
      <c r="IB8" s="146"/>
      <c r="IC8" s="146"/>
      <c r="ID8" s="146"/>
      <c r="IE8" s="146"/>
      <c r="IF8" s="146"/>
    </row>
    <row r="9" spans="1:240" s="92" customFormat="1" ht="90" customHeight="1">
      <c r="A9" s="73"/>
      <c r="B9" s="84" t="str">
        <f t="shared" ref="B9" si="0">D9&amp;"_"&amp;E9&amp;"_"&amp;F9&amp;"_"&amp;G9&amp;"_"&amp;H9</f>
        <v>Sector_Program_End Use_Measure_Program Year</v>
      </c>
      <c r="C9" s="84" t="s">
        <v>62</v>
      </c>
      <c r="D9" s="84" t="s">
        <v>3</v>
      </c>
      <c r="E9" s="84" t="s">
        <v>5</v>
      </c>
      <c r="F9" s="84" t="s">
        <v>141</v>
      </c>
      <c r="G9" s="84" t="s">
        <v>2</v>
      </c>
      <c r="H9" s="84" t="s">
        <v>57</v>
      </c>
      <c r="I9" s="84" t="s">
        <v>3394</v>
      </c>
      <c r="J9" s="85" t="s">
        <v>24</v>
      </c>
      <c r="K9" s="86" t="s">
        <v>14</v>
      </c>
      <c r="L9" s="86" t="s">
        <v>121</v>
      </c>
      <c r="M9" s="86" t="s">
        <v>157</v>
      </c>
      <c r="N9" s="86" t="s">
        <v>126</v>
      </c>
      <c r="O9" s="86" t="s">
        <v>125</v>
      </c>
      <c r="P9" s="85" t="s">
        <v>24</v>
      </c>
      <c r="Q9" s="87" t="str">
        <f>"Gross Savings ("&amp;Q$8&amp;")"</f>
        <v>Gross Savings (kWh)</v>
      </c>
      <c r="R9" s="87" t="str">
        <f>"Adjusted Gross Savings ("&amp;R$8&amp;")"</f>
        <v>Adjusted Gross Savings (kWh)</v>
      </c>
      <c r="S9" s="87" t="str">
        <f>"Net Savings ("&amp;S$8&amp;")"</f>
        <v>Net Savings (kWh)</v>
      </c>
      <c r="T9" s="85" t="s">
        <v>24</v>
      </c>
      <c r="U9" s="87" t="str">
        <f>Q9</f>
        <v>Gross Savings (kWh)</v>
      </c>
      <c r="V9" s="87" t="str">
        <f t="shared" ref="V9:W9" si="1">R9</f>
        <v>Adjusted Gross Savings (kWh)</v>
      </c>
      <c r="W9" s="87" t="str">
        <f t="shared" si="1"/>
        <v>Net Savings (kWh)</v>
      </c>
      <c r="X9" s="85" t="s">
        <v>24</v>
      </c>
      <c r="Y9" s="87" t="str">
        <f>"Gross Savings ("&amp;Y$8&amp;")"</f>
        <v>Gross Savings (kW)</v>
      </c>
      <c r="Z9" s="87" t="str">
        <f>"Adjusted Gross Savings ("&amp;Z$8&amp;")"</f>
        <v>Adjusted Gross Savings (kW)</v>
      </c>
      <c r="AA9" s="87" t="str">
        <f>"Net Savings ("&amp;AA$8&amp;")"</f>
        <v>Net Savings (kW)</v>
      </c>
      <c r="AB9" s="85" t="s">
        <v>24</v>
      </c>
      <c r="AC9" s="87" t="str">
        <f>Y9</f>
        <v>Gross Savings (kW)</v>
      </c>
      <c r="AD9" s="87" t="str">
        <f t="shared" ref="AD9" si="2">Z9</f>
        <v>Adjusted Gross Savings (kW)</v>
      </c>
      <c r="AE9" s="87" t="str">
        <f t="shared" ref="AE9" si="3">AA9</f>
        <v>Net Savings (kW)</v>
      </c>
      <c r="AF9" s="85" t="s">
        <v>24</v>
      </c>
      <c r="AG9" s="86" t="s">
        <v>0</v>
      </c>
      <c r="AH9" s="86" t="s">
        <v>70</v>
      </c>
      <c r="AI9" s="86" t="str">
        <f>"Lifetime Savings ("&amp;$Q$8&amp;")"</f>
        <v>Lifetime Savings (kWh)</v>
      </c>
      <c r="AJ9" s="86" t="s">
        <v>10</v>
      </c>
      <c r="AK9" s="86" t="s">
        <v>92</v>
      </c>
      <c r="AL9" s="86" t="s">
        <v>93</v>
      </c>
      <c r="AM9" s="86" t="s">
        <v>90</v>
      </c>
      <c r="AN9" s="86" t="s">
        <v>11</v>
      </c>
      <c r="AO9" s="86" t="s">
        <v>69</v>
      </c>
      <c r="AP9" s="86" t="s">
        <v>73</v>
      </c>
      <c r="AQ9" s="85" t="s">
        <v>24</v>
      </c>
      <c r="AR9" s="88" t="s">
        <v>132</v>
      </c>
      <c r="AS9" s="88" t="s">
        <v>190</v>
      </c>
      <c r="AT9" s="90" t="s">
        <v>11</v>
      </c>
      <c r="AU9" s="90" t="s">
        <v>59</v>
      </c>
      <c r="AV9" s="90" t="s">
        <v>50</v>
      </c>
      <c r="AW9" s="90" t="s">
        <v>54</v>
      </c>
      <c r="AX9" s="90" t="s">
        <v>189</v>
      </c>
      <c r="AY9" s="90" t="str">
        <f>"Discounted Lifetime savings ("&amp;$Q$8&amp;")"</f>
        <v>Discounted Lifetime savings (kWh)</v>
      </c>
      <c r="AZ9" s="85"/>
      <c r="BA9" s="88" t="s">
        <v>96</v>
      </c>
      <c r="BB9" s="88" t="s">
        <v>97</v>
      </c>
      <c r="BC9" s="88" t="s">
        <v>114</v>
      </c>
      <c r="BD9" s="88" t="s">
        <v>115</v>
      </c>
      <c r="BE9" s="88" t="s">
        <v>54</v>
      </c>
      <c r="BF9" s="88" t="s">
        <v>189</v>
      </c>
      <c r="BG9" s="89" t="s">
        <v>9</v>
      </c>
      <c r="BH9" s="88" t="s">
        <v>132</v>
      </c>
      <c r="BI9" s="85" t="s">
        <v>24</v>
      </c>
      <c r="BJ9" s="88" t="s">
        <v>96</v>
      </c>
      <c r="BK9" s="88" t="s">
        <v>97</v>
      </c>
      <c r="BL9" s="88" t="s">
        <v>114</v>
      </c>
      <c r="BM9" s="88" t="s">
        <v>115</v>
      </c>
      <c r="BN9" s="88" t="s">
        <v>54</v>
      </c>
      <c r="BO9" s="88" t="s">
        <v>189</v>
      </c>
      <c r="BP9" s="88" t="s">
        <v>190</v>
      </c>
      <c r="BQ9" s="89" t="s">
        <v>9</v>
      </c>
      <c r="BR9" s="88" t="s">
        <v>132</v>
      </c>
      <c r="BS9" s="85" t="s">
        <v>24</v>
      </c>
      <c r="BT9" s="90" t="s">
        <v>96</v>
      </c>
      <c r="BU9" s="90" t="s">
        <v>97</v>
      </c>
      <c r="BV9" s="90" t="s">
        <v>120</v>
      </c>
      <c r="BW9" s="90" t="s">
        <v>116</v>
      </c>
      <c r="BX9" s="90" t="s">
        <v>117</v>
      </c>
      <c r="BY9" s="90" t="s">
        <v>94</v>
      </c>
      <c r="BZ9" s="90" t="s">
        <v>11</v>
      </c>
      <c r="CA9" s="88" t="s">
        <v>132</v>
      </c>
      <c r="CB9" s="85" t="s">
        <v>24</v>
      </c>
      <c r="CC9" s="88" t="s">
        <v>96</v>
      </c>
      <c r="CD9" s="88" t="s">
        <v>95</v>
      </c>
      <c r="CE9" s="88" t="s">
        <v>124</v>
      </c>
      <c r="CF9" s="88" t="s">
        <v>118</v>
      </c>
      <c r="CG9" s="88" t="s">
        <v>119</v>
      </c>
      <c r="CH9" s="88" t="s">
        <v>54</v>
      </c>
      <c r="CI9" s="88" t="s">
        <v>189</v>
      </c>
      <c r="CJ9" s="88" t="s">
        <v>11</v>
      </c>
      <c r="CK9" s="88" t="s">
        <v>9</v>
      </c>
      <c r="CL9" s="85" t="s">
        <v>24</v>
      </c>
      <c r="CM9" s="88" t="s">
        <v>96</v>
      </c>
      <c r="CN9" s="88" t="s">
        <v>95</v>
      </c>
      <c r="CO9" s="88" t="s">
        <v>101</v>
      </c>
      <c r="CP9" s="88" t="s">
        <v>112</v>
      </c>
      <c r="CQ9" s="88" t="s">
        <v>113</v>
      </c>
      <c r="CR9" s="88" t="s">
        <v>54</v>
      </c>
      <c r="CS9" s="88" t="s">
        <v>189</v>
      </c>
      <c r="CT9" s="90" t="s">
        <v>50</v>
      </c>
      <c r="CU9" s="90" t="s">
        <v>11</v>
      </c>
      <c r="CV9" s="90" t="s">
        <v>59</v>
      </c>
      <c r="CW9" s="85"/>
      <c r="CX9" s="90">
        <f>BaseYear</f>
        <v>2017</v>
      </c>
      <c r="CY9" s="90">
        <f t="shared" ref="CY9:ED9" si="4">CX9+1</f>
        <v>2018</v>
      </c>
      <c r="CZ9" s="90">
        <f t="shared" si="4"/>
        <v>2019</v>
      </c>
      <c r="DA9" s="90">
        <f t="shared" si="4"/>
        <v>2020</v>
      </c>
      <c r="DB9" s="90">
        <f t="shared" si="4"/>
        <v>2021</v>
      </c>
      <c r="DC9" s="90">
        <f t="shared" si="4"/>
        <v>2022</v>
      </c>
      <c r="DD9" s="90">
        <f t="shared" si="4"/>
        <v>2023</v>
      </c>
      <c r="DE9" s="90">
        <f t="shared" si="4"/>
        <v>2024</v>
      </c>
      <c r="DF9" s="90">
        <f t="shared" si="4"/>
        <v>2025</v>
      </c>
      <c r="DG9" s="90">
        <f t="shared" si="4"/>
        <v>2026</v>
      </c>
      <c r="DH9" s="90">
        <f t="shared" si="4"/>
        <v>2027</v>
      </c>
      <c r="DI9" s="90">
        <f t="shared" si="4"/>
        <v>2028</v>
      </c>
      <c r="DJ9" s="90">
        <f t="shared" si="4"/>
        <v>2029</v>
      </c>
      <c r="DK9" s="90">
        <f t="shared" si="4"/>
        <v>2030</v>
      </c>
      <c r="DL9" s="90">
        <f t="shared" si="4"/>
        <v>2031</v>
      </c>
      <c r="DM9" s="90">
        <f t="shared" si="4"/>
        <v>2032</v>
      </c>
      <c r="DN9" s="90">
        <f t="shared" si="4"/>
        <v>2033</v>
      </c>
      <c r="DO9" s="90">
        <f t="shared" si="4"/>
        <v>2034</v>
      </c>
      <c r="DP9" s="90">
        <f t="shared" si="4"/>
        <v>2035</v>
      </c>
      <c r="DQ9" s="90">
        <f t="shared" si="4"/>
        <v>2036</v>
      </c>
      <c r="DR9" s="90">
        <f t="shared" si="4"/>
        <v>2037</v>
      </c>
      <c r="DS9" s="90">
        <f t="shared" si="4"/>
        <v>2038</v>
      </c>
      <c r="DT9" s="90">
        <f t="shared" si="4"/>
        <v>2039</v>
      </c>
      <c r="DU9" s="90">
        <f t="shared" si="4"/>
        <v>2040</v>
      </c>
      <c r="DV9" s="90">
        <f t="shared" si="4"/>
        <v>2041</v>
      </c>
      <c r="DW9" s="90">
        <f t="shared" si="4"/>
        <v>2042</v>
      </c>
      <c r="DX9" s="90">
        <f t="shared" si="4"/>
        <v>2043</v>
      </c>
      <c r="DY9" s="90">
        <f t="shared" si="4"/>
        <v>2044</v>
      </c>
      <c r="DZ9" s="90">
        <f t="shared" si="4"/>
        <v>2045</v>
      </c>
      <c r="EA9" s="90">
        <f t="shared" si="4"/>
        <v>2046</v>
      </c>
      <c r="EB9" s="90">
        <f t="shared" si="4"/>
        <v>2047</v>
      </c>
      <c r="EC9" s="90">
        <f t="shared" si="4"/>
        <v>2048</v>
      </c>
      <c r="ED9" s="90">
        <f t="shared" si="4"/>
        <v>2049</v>
      </c>
      <c r="EE9" s="90">
        <f t="shared" ref="EE9:EX9" si="5">ED9+1</f>
        <v>2050</v>
      </c>
      <c r="EF9" s="90">
        <f t="shared" si="5"/>
        <v>2051</v>
      </c>
      <c r="EG9" s="90">
        <f t="shared" si="5"/>
        <v>2052</v>
      </c>
      <c r="EH9" s="90">
        <f t="shared" si="5"/>
        <v>2053</v>
      </c>
      <c r="EI9" s="90">
        <f t="shared" si="5"/>
        <v>2054</v>
      </c>
      <c r="EJ9" s="90">
        <f t="shared" si="5"/>
        <v>2055</v>
      </c>
      <c r="EK9" s="90">
        <f t="shared" si="5"/>
        <v>2056</v>
      </c>
      <c r="EL9" s="90">
        <f t="shared" si="5"/>
        <v>2057</v>
      </c>
      <c r="EM9" s="90">
        <f t="shared" si="5"/>
        <v>2058</v>
      </c>
      <c r="EN9" s="90">
        <f t="shared" si="5"/>
        <v>2059</v>
      </c>
      <c r="EO9" s="90">
        <f t="shared" si="5"/>
        <v>2060</v>
      </c>
      <c r="EP9" s="90">
        <f t="shared" si="5"/>
        <v>2061</v>
      </c>
      <c r="EQ9" s="90">
        <f t="shared" si="5"/>
        <v>2062</v>
      </c>
      <c r="ER9" s="90">
        <f t="shared" si="5"/>
        <v>2063</v>
      </c>
      <c r="ES9" s="90">
        <f t="shared" si="5"/>
        <v>2064</v>
      </c>
      <c r="ET9" s="90">
        <f t="shared" si="5"/>
        <v>2065</v>
      </c>
      <c r="EU9" s="90">
        <f t="shared" si="5"/>
        <v>2066</v>
      </c>
      <c r="EV9" s="90">
        <f t="shared" si="5"/>
        <v>2067</v>
      </c>
      <c r="EW9" s="90">
        <f t="shared" si="5"/>
        <v>2068</v>
      </c>
      <c r="EX9" s="90">
        <f t="shared" si="5"/>
        <v>2069</v>
      </c>
      <c r="EY9" s="91"/>
      <c r="EZ9" s="90">
        <f>BaseYear</f>
        <v>2017</v>
      </c>
      <c r="FA9" s="90">
        <f t="shared" ref="FA9" si="6">EZ9+1</f>
        <v>2018</v>
      </c>
      <c r="FB9" s="90">
        <f t="shared" ref="FB9" si="7">FA9+1</f>
        <v>2019</v>
      </c>
      <c r="FC9" s="90">
        <f t="shared" ref="FC9" si="8">FB9+1</f>
        <v>2020</v>
      </c>
      <c r="FD9" s="90">
        <f t="shared" ref="FD9" si="9">FC9+1</f>
        <v>2021</v>
      </c>
      <c r="FE9" s="90">
        <f t="shared" ref="FE9" si="10">FD9+1</f>
        <v>2022</v>
      </c>
      <c r="FF9" s="90">
        <f t="shared" ref="FF9" si="11">FE9+1</f>
        <v>2023</v>
      </c>
      <c r="FG9" s="90">
        <f t="shared" ref="FG9" si="12">FF9+1</f>
        <v>2024</v>
      </c>
      <c r="FH9" s="90">
        <f t="shared" ref="FH9" si="13">FG9+1</f>
        <v>2025</v>
      </c>
      <c r="FI9" s="90">
        <f t="shared" ref="FI9" si="14">FH9+1</f>
        <v>2026</v>
      </c>
      <c r="FJ9" s="90">
        <f t="shared" ref="FJ9" si="15">FI9+1</f>
        <v>2027</v>
      </c>
      <c r="FK9" s="90">
        <f t="shared" ref="FK9" si="16">FJ9+1</f>
        <v>2028</v>
      </c>
      <c r="FL9" s="90">
        <f t="shared" ref="FL9" si="17">FK9+1</f>
        <v>2029</v>
      </c>
      <c r="FM9" s="90">
        <f t="shared" ref="FM9" si="18">FL9+1</f>
        <v>2030</v>
      </c>
      <c r="FN9" s="90">
        <f t="shared" ref="FN9" si="19">FM9+1</f>
        <v>2031</v>
      </c>
      <c r="FO9" s="90">
        <f t="shared" ref="FO9" si="20">FN9+1</f>
        <v>2032</v>
      </c>
      <c r="FP9" s="90">
        <f t="shared" ref="FP9" si="21">FO9+1</f>
        <v>2033</v>
      </c>
      <c r="FQ9" s="90">
        <f t="shared" ref="FQ9" si="22">FP9+1</f>
        <v>2034</v>
      </c>
      <c r="FR9" s="90">
        <f t="shared" ref="FR9" si="23">FQ9+1</f>
        <v>2035</v>
      </c>
      <c r="FS9" s="90">
        <f t="shared" ref="FS9" si="24">FR9+1</f>
        <v>2036</v>
      </c>
      <c r="FT9" s="90">
        <f t="shared" ref="FT9" si="25">FS9+1</f>
        <v>2037</v>
      </c>
      <c r="FU9" s="90">
        <f t="shared" ref="FU9" si="26">FT9+1</f>
        <v>2038</v>
      </c>
      <c r="FV9" s="90">
        <f t="shared" ref="FV9" si="27">FU9+1</f>
        <v>2039</v>
      </c>
      <c r="FW9" s="90">
        <f t="shared" ref="FW9" si="28">FV9+1</f>
        <v>2040</v>
      </c>
      <c r="FX9" s="90">
        <f t="shared" ref="FX9" si="29">FW9+1</f>
        <v>2041</v>
      </c>
      <c r="FY9" s="90">
        <f t="shared" ref="FY9" si="30">FX9+1</f>
        <v>2042</v>
      </c>
      <c r="FZ9" s="90">
        <f t="shared" ref="FZ9" si="31">FY9+1</f>
        <v>2043</v>
      </c>
      <c r="GA9" s="90">
        <f t="shared" ref="GA9" si="32">FZ9+1</f>
        <v>2044</v>
      </c>
      <c r="GB9" s="90">
        <f t="shared" ref="GB9" si="33">GA9+1</f>
        <v>2045</v>
      </c>
      <c r="GC9" s="90">
        <f t="shared" ref="GC9" si="34">GB9+1</f>
        <v>2046</v>
      </c>
      <c r="GD9" s="90">
        <f t="shared" ref="GD9" si="35">GC9+1</f>
        <v>2047</v>
      </c>
      <c r="GE9" s="90">
        <f t="shared" ref="GE9" si="36">GD9+1</f>
        <v>2048</v>
      </c>
      <c r="GF9" s="90">
        <f t="shared" ref="GF9" si="37">GE9+1</f>
        <v>2049</v>
      </c>
      <c r="GG9" s="90">
        <f t="shared" ref="GG9" si="38">GF9+1</f>
        <v>2050</v>
      </c>
      <c r="GH9" s="90">
        <f t="shared" ref="GH9" si="39">GG9+1</f>
        <v>2051</v>
      </c>
      <c r="GI9" s="90">
        <f t="shared" ref="GI9" si="40">GH9+1</f>
        <v>2052</v>
      </c>
      <c r="GJ9" s="90">
        <f t="shared" ref="GJ9" si="41">GI9+1</f>
        <v>2053</v>
      </c>
      <c r="GK9" s="90">
        <f t="shared" ref="GK9" si="42">GJ9+1</f>
        <v>2054</v>
      </c>
      <c r="GL9" s="90">
        <f t="shared" ref="GL9" si="43">GK9+1</f>
        <v>2055</v>
      </c>
      <c r="GM9" s="90">
        <f t="shared" ref="GM9" si="44">GL9+1</f>
        <v>2056</v>
      </c>
      <c r="GN9" s="90">
        <f t="shared" ref="GN9" si="45">GM9+1</f>
        <v>2057</v>
      </c>
      <c r="GO9" s="90">
        <f t="shared" ref="GO9" si="46">GN9+1</f>
        <v>2058</v>
      </c>
      <c r="GP9" s="90">
        <f t="shared" ref="GP9" si="47">GO9+1</f>
        <v>2059</v>
      </c>
      <c r="GQ9" s="90">
        <f t="shared" ref="GQ9" si="48">GP9+1</f>
        <v>2060</v>
      </c>
      <c r="GR9" s="90">
        <f t="shared" ref="GR9" si="49">GQ9+1</f>
        <v>2061</v>
      </c>
      <c r="GS9" s="90">
        <f t="shared" ref="GS9" si="50">GR9+1</f>
        <v>2062</v>
      </c>
      <c r="GT9" s="90">
        <f t="shared" ref="GT9" si="51">GS9+1</f>
        <v>2063</v>
      </c>
      <c r="GU9" s="90">
        <f t="shared" ref="GU9" si="52">GT9+1</f>
        <v>2064</v>
      </c>
      <c r="GV9" s="90">
        <f t="shared" ref="GV9" si="53">GU9+1</f>
        <v>2065</v>
      </c>
      <c r="GW9" s="90">
        <f t="shared" ref="GW9" si="54">GV9+1</f>
        <v>2066</v>
      </c>
      <c r="GX9" s="90">
        <f t="shared" ref="GX9" si="55">GW9+1</f>
        <v>2067</v>
      </c>
      <c r="GY9" s="90">
        <f t="shared" ref="GY9" si="56">GX9+1</f>
        <v>2068</v>
      </c>
      <c r="GZ9" s="90">
        <f t="shared" ref="GZ9" si="57">GY9+1</f>
        <v>2069</v>
      </c>
      <c r="HA9" s="91"/>
      <c r="HB9" s="147" t="s">
        <v>4</v>
      </c>
      <c r="HC9" s="147" t="s">
        <v>15</v>
      </c>
      <c r="HD9" s="147" t="s">
        <v>180</v>
      </c>
      <c r="HE9" s="147" t="s">
        <v>16</v>
      </c>
      <c r="HF9" s="147" t="s">
        <v>6</v>
      </c>
      <c r="HG9" s="147"/>
      <c r="HH9" s="147"/>
      <c r="HI9" s="147"/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47"/>
      <c r="HU9" s="147"/>
      <c r="HV9" s="147"/>
      <c r="HW9" s="147"/>
      <c r="HX9" s="147"/>
      <c r="HY9" s="147"/>
      <c r="HZ9" s="147"/>
      <c r="IA9" s="147"/>
      <c r="IB9" s="147"/>
      <c r="IC9" s="147"/>
      <c r="ID9" s="147"/>
      <c r="IE9" s="147"/>
      <c r="IF9" s="147"/>
    </row>
    <row r="10" spans="1:240" s="36" customFormat="1" ht="14.4" customHeight="1">
      <c r="A10" s="39"/>
      <c r="B10" s="108" t="str">
        <f>D10&amp;"_"&amp;E10&amp;"_"&amp;F10&amp;"_"&amp;G10&amp;"_"&amp;H10&amp;"_"&amp;I10</f>
        <v>All_All_All_All_2017_Actual</v>
      </c>
      <c r="C10" s="108"/>
      <c r="D10" s="109" t="s">
        <v>28</v>
      </c>
      <c r="E10" s="109" t="s">
        <v>28</v>
      </c>
      <c r="F10" s="109" t="s">
        <v>28</v>
      </c>
      <c r="G10" s="109" t="s">
        <v>28</v>
      </c>
      <c r="H10" s="109">
        <v>2017</v>
      </c>
      <c r="I10" s="109" t="s">
        <v>167</v>
      </c>
      <c r="J10" s="37"/>
      <c r="K10" s="99"/>
      <c r="L10" s="38"/>
      <c r="M10" s="133"/>
      <c r="N10" s="132"/>
      <c r="O10" s="132"/>
      <c r="P10" s="37"/>
      <c r="Q10" s="129">
        <f ca="1">SUMIFS(OFFSET(Q$35,,,TotalMeasures),OFFSET($B$35,,,TotalMeasures),SUBSTITUTE($B10,"All","*"))</f>
        <v>4650408.8635299997</v>
      </c>
      <c r="R10" s="129">
        <f ca="1">SUMIFS(OFFSET(R$35,,,TotalMeasures),OFFSET($B$35,,,TotalMeasures),SUBSTITUTE($B10,"All","*"))</f>
        <v>4650408.8635299997</v>
      </c>
      <c r="S10" s="129">
        <f ca="1">SUMIFS(OFFSET(S$35,,,TotalMeasures),OFFSET($B$35,,,TotalMeasures),SUBSTITUTE($B10,"All","*"))</f>
        <v>4650408.8635299997</v>
      </c>
      <c r="T10" s="37"/>
      <c r="U10" s="129">
        <f ca="1">SUMIFS(OFFSET(U$35,,,TotalMeasures),OFFSET($B$35,,,TotalMeasures),SUBSTITUTE($B10,"All","*"))</f>
        <v>4309.2442713670926</v>
      </c>
      <c r="V10" s="129">
        <f ca="1">SUMIFS(OFFSET(V$35,,,TotalMeasures),OFFSET($B$35,,,TotalMeasures),SUBSTITUTE($B10,"All","*"))</f>
        <v>4309.2442713670926</v>
      </c>
      <c r="W10" s="129">
        <f ca="1">SUMIFS(OFFSET(W$35,,,TotalMeasures),OFFSET($B$35,,,TotalMeasures),SUBSTITUTE($B10,"All","*"))</f>
        <v>4309.2442713670926</v>
      </c>
      <c r="X10" s="37"/>
      <c r="Y10" s="129">
        <f ca="1">SUMIFS(OFFSET(Y$35,,,TotalMeasures),OFFSET($B$35,,,TotalMeasures),SUBSTITUTE($B10,"All","*"))</f>
        <v>1012.12992028</v>
      </c>
      <c r="Z10" s="129">
        <f ca="1">SUMIFS(OFFSET(Z$35,,,TotalMeasures),OFFSET($B$35,,,TotalMeasures),SUBSTITUTE($B10,"All","*"))</f>
        <v>1012.12992028</v>
      </c>
      <c r="AA10" s="129">
        <f ca="1">SUMIFS(OFFSET(AA$35,,,TotalMeasures),OFFSET($B$35,,,TotalMeasures),SUBSTITUTE($B10,"All","*"))</f>
        <v>1012.12992028</v>
      </c>
      <c r="AB10" s="37"/>
      <c r="AC10" s="129">
        <f ca="1">SUMIFS(OFFSET(AC$35,,,TotalMeasures),OFFSET($B$35,,,TotalMeasures),SUBSTITUTE($B10,"All","*"))</f>
        <v>4.4361841659058348</v>
      </c>
      <c r="AD10" s="129">
        <f ca="1">SUMIFS(OFFSET(AD$35,,,TotalMeasures),OFFSET($B$35,,,TotalMeasures),SUBSTITUTE($B10,"All","*"))</f>
        <v>4.4361841659058348</v>
      </c>
      <c r="AE10" s="129">
        <f ca="1">SUMIFS(OFFSET(AE$35,,,TotalMeasures),OFFSET($B$35,,,TotalMeasures),SUBSTITUTE($B10,"All","*"))</f>
        <v>4.4361841659058348</v>
      </c>
      <c r="AF10" s="37"/>
      <c r="AG10" s="97"/>
      <c r="AH10" s="97"/>
      <c r="AI10" s="97">
        <f t="shared" ref="AI10:AN10" ca="1" si="58">SUMIFS(OFFSET(AI$35,,,TotalMeasures),OFFSET($B$35,,,TotalMeasures),SUBSTITUTE($B10,"All","*"))</f>
        <v>62780178.594163671</v>
      </c>
      <c r="AJ10" s="100">
        <f t="shared" ca="1" si="58"/>
        <v>809937.12616804987</v>
      </c>
      <c r="AK10" s="100">
        <f t="shared" ca="1" si="58"/>
        <v>19677.077018822089</v>
      </c>
      <c r="AL10" s="100">
        <f t="shared" ca="1" si="58"/>
        <v>0</v>
      </c>
      <c r="AM10" s="100">
        <f t="shared" ca="1" si="58"/>
        <v>0</v>
      </c>
      <c r="AN10" s="100">
        <f t="shared" ca="1" si="58"/>
        <v>449054.10750000004</v>
      </c>
      <c r="AO10" s="163">
        <f ca="1">SUMIFS(OFFSET(AO$17,,,TotalPrograms),OFFSET($B$17,,,TotalPrograms),SUBSTITUTE($B10,"All","*"))</f>
        <v>317743.25000000012</v>
      </c>
      <c r="AP10" s="100">
        <f ca="1">AO10+AN10</f>
        <v>766797.35750000016</v>
      </c>
      <c r="AQ10" s="37"/>
      <c r="AR10" s="100">
        <f ca="1">SUMIFS(OFFSET(AR$35,,,TotalMeasures),OFFSET($B$35,,,TotalMeasures),SUBSTITUTE($B10,"All","*"))</f>
        <v>809937.12616804987</v>
      </c>
      <c r="AS10" s="100">
        <f ca="1">SUMIFS(OFFSET(AS$35,,,TotalMeasures),OFFSET($B$35,,,TotalMeasures),SUBSTITUTE($B10,"All","*"))</f>
        <v>452857.37638754171</v>
      </c>
      <c r="AT10" s="100">
        <f ca="1">SUMIFS(OFFSET(AT$35,,,TotalMeasures),OFFSET($B$35,,,TotalMeasures),SUBSTITUTE($B10,"All","*"))</f>
        <v>449054.10750000004</v>
      </c>
      <c r="AU10" s="100">
        <f ca="1">SUMPRODUCT(--($CX$9:$EX$9=$H10)*$AO10,'General Inputs'!$K$40:$BK$40)</f>
        <v>317743.25000000012</v>
      </c>
      <c r="AV10" s="100">
        <f ca="1">SUMIFS(OFFSET(AV$35,,,TotalMeasures),OFFSET($B$35,,,TotalMeasures),SUBSTITUTE($B10,"All","*"))</f>
        <v>4562083.5300948275</v>
      </c>
      <c r="AW10" s="100">
        <f ca="1">SUMIFS(OFFSET(AW$35,,,TotalMeasures),OFFSET($B$35,,,TotalMeasures),SUBSTITUTE($B10,"All","*"))</f>
        <v>1789443.3217923539</v>
      </c>
      <c r="AX10" s="100">
        <f ca="1">SUMIFS(OFFSET(AX$35,,,TotalMeasures),OFFSET($B$35,,,TotalMeasures),SUBSTITUTE($B10,"All","*"))</f>
        <v>152496.19764871406</v>
      </c>
      <c r="AY10" s="98">
        <f ca="1">SUMIFS(OFFSET(AY$35,,,TotalMeasures),OFFSET($B$35,,,TotalMeasures),SUBSTITUTE($B10,"All","*"))</f>
        <v>37941099.581724033</v>
      </c>
      <c r="AZ10" s="37"/>
      <c r="BA10" s="100">
        <f ca="1">BD10-BC10</f>
        <v>814259.14327301807</v>
      </c>
      <c r="BB10" s="102">
        <f ca="1">BD10/BC10</f>
        <v>1.7220655431106615</v>
      </c>
      <c r="BC10" s="100">
        <f ca="1">SUMIFS($BE10:$BH10,$BE$8:$BH$8,"Cost")</f>
        <v>1127680.3761680499</v>
      </c>
      <c r="BD10" s="100">
        <f ca="1">SUMIFS($BE10:$BH10,$BE$8:$BH$8,"BENEFIT")</f>
        <v>1941939.5194410679</v>
      </c>
      <c r="BE10" s="100">
        <f ca="1">AW10</f>
        <v>1789443.3217923539</v>
      </c>
      <c r="BF10" s="100">
        <f ca="1">AX10</f>
        <v>152496.19764871406</v>
      </c>
      <c r="BG10" s="100">
        <f ca="1">AU10</f>
        <v>317743.25000000012</v>
      </c>
      <c r="BH10" s="100">
        <f ca="1">AR10</f>
        <v>809937.12616804987</v>
      </c>
      <c r="BI10" s="37"/>
      <c r="BJ10" s="100">
        <f ca="1">BM10-BL10</f>
        <v>1267116.5196605599</v>
      </c>
      <c r="BK10" s="102">
        <f ca="1">BM10/BL10</f>
        <v>2.1236486387803657</v>
      </c>
      <c r="BL10" s="100">
        <f ca="1">SUMIFS($BN10:$BR10,$BN$8:$BR$8,"Cost")</f>
        <v>1127680.3761680499</v>
      </c>
      <c r="BM10" s="100">
        <f ca="1">SUMIFS($BN10:$BR10,$BN$8:$BR$8,"BENEFIT")</f>
        <v>2394796.8958286098</v>
      </c>
      <c r="BN10" s="100">
        <f ca="1">AW10</f>
        <v>1789443.3217923539</v>
      </c>
      <c r="BO10" s="100">
        <f ca="1">AX10</f>
        <v>152496.19764871406</v>
      </c>
      <c r="BP10" s="100">
        <f ca="1">AS10</f>
        <v>452857.37638754171</v>
      </c>
      <c r="BQ10" s="100">
        <f ca="1">AU10</f>
        <v>317743.25000000012</v>
      </c>
      <c r="BR10" s="100">
        <f ca="1">AR10</f>
        <v>809937.12616804987</v>
      </c>
      <c r="BS10" s="37"/>
      <c r="BT10" s="100">
        <f t="shared" ref="BT10" ca="1" si="59">BX10-BW10</f>
        <v>4201200.5114267776</v>
      </c>
      <c r="BU10" s="102">
        <f t="shared" ref="BU10" ca="1" si="60">BX10/BW10</f>
        <v>6.1870699288762951</v>
      </c>
      <c r="BV10" s="102" t="e">
        <f ca="1">BW10/(BX10/AG10)</f>
        <v>#DIV/0!</v>
      </c>
      <c r="BW10" s="100">
        <f ca="1">SUMIFS($BY10:$CA10,$BY$8:$CA$8,"cost")</f>
        <v>809937.12616804987</v>
      </c>
      <c r="BX10" s="100">
        <f ca="1">SUMIFS($BY10:$CA10,$BY$8:$CA$8,"benefit")</f>
        <v>5011137.6375948275</v>
      </c>
      <c r="BY10" s="100">
        <f ca="1">AV10</f>
        <v>4562083.5300948275</v>
      </c>
      <c r="BZ10" s="100">
        <f ca="1">AT10</f>
        <v>449054.10750000004</v>
      </c>
      <c r="CA10" s="100">
        <f ca="1">AR10</f>
        <v>809937.12616804987</v>
      </c>
      <c r="CB10" s="37"/>
      <c r="CC10" s="100">
        <f t="shared" ref="CC10" ca="1" si="61">CG10-CF10</f>
        <v>1175142.1619410678</v>
      </c>
      <c r="CD10" s="102">
        <f t="shared" ref="CD10" ca="1" si="62">CG10/CF10</f>
        <v>2.5325328790547736</v>
      </c>
      <c r="CE10" s="103">
        <f ca="1">CF10/CONVERT($AY10,$Q$8,"kWh")/(1-$M10)</f>
        <v>2.0210203867400859E-2</v>
      </c>
      <c r="CF10" s="100">
        <f ca="1">SUMIFS($CH10:$CK10,$CH$8:$CK$8,"Cost")</f>
        <v>766797.35750000016</v>
      </c>
      <c r="CG10" s="100">
        <f ca="1">SUMIFS($CH10:$CK10,$CH$8:$CK$8,"BENEFIT")</f>
        <v>1941939.5194410679</v>
      </c>
      <c r="CH10" s="100">
        <f ca="1">AW10</f>
        <v>1789443.3217923539</v>
      </c>
      <c r="CI10" s="100">
        <f ca="1">AX10</f>
        <v>152496.19764871406</v>
      </c>
      <c r="CJ10" s="100">
        <f ca="1">AT10</f>
        <v>449054.10750000004</v>
      </c>
      <c r="CK10" s="100">
        <f ca="1">AU10</f>
        <v>317743.25000000012</v>
      </c>
      <c r="CL10" s="37"/>
      <c r="CM10" s="100">
        <f t="shared" ref="CM10" ca="1" si="63">CQ10-CP10</f>
        <v>-3386941.3681537593</v>
      </c>
      <c r="CN10" s="102">
        <f t="shared" ref="CN10" ca="1" si="64">CQ10/CP10</f>
        <v>0.36441788818394022</v>
      </c>
      <c r="CO10" s="128"/>
      <c r="CP10" s="100">
        <f ca="1">SUMIFS($CR10:$CV10,$CR$8:$CV$8,"Cost")</f>
        <v>5328880.8875948275</v>
      </c>
      <c r="CQ10" s="100">
        <f ca="1">SUMIFS($CR10:$CV10,$CR$8:$CV$8,"BENEFIT")</f>
        <v>1941939.5194410679</v>
      </c>
      <c r="CR10" s="100">
        <f ca="1">AW10</f>
        <v>1789443.3217923539</v>
      </c>
      <c r="CS10" s="100">
        <f ca="1">AX10</f>
        <v>152496.19764871406</v>
      </c>
      <c r="CT10" s="100">
        <f ca="1">AV10</f>
        <v>4562083.5300948275</v>
      </c>
      <c r="CU10" s="100">
        <f ca="1">AT10</f>
        <v>449054.10750000004</v>
      </c>
      <c r="CV10" s="100">
        <f ca="1">AU10</f>
        <v>317743.25000000012</v>
      </c>
      <c r="CW10" s="37"/>
      <c r="CX10" s="48">
        <f t="shared" ref="CX10:EC10" ca="1" si="65">SUMIFS(OFFSET(CX$35,,,TotalMeasures),OFFSET($B$35,,,TotalMeasures),SUBSTITUTE($B10,"All","*"))</f>
        <v>4650408.8635299997</v>
      </c>
      <c r="CY10" s="48">
        <f t="shared" ca="1" si="65"/>
        <v>4650408.8635299997</v>
      </c>
      <c r="CZ10" s="48">
        <f t="shared" ca="1" si="65"/>
        <v>4650408.8635299997</v>
      </c>
      <c r="DA10" s="48">
        <f t="shared" ca="1" si="65"/>
        <v>4650408.8635299997</v>
      </c>
      <c r="DB10" s="48">
        <f t="shared" ca="1" si="65"/>
        <v>4650408.8635299997</v>
      </c>
      <c r="DC10" s="48">
        <f t="shared" ca="1" si="65"/>
        <v>4173214.8635299993</v>
      </c>
      <c r="DD10" s="48">
        <f t="shared" ca="1" si="65"/>
        <v>4173214.8635299993</v>
      </c>
      <c r="DE10" s="48">
        <f t="shared" ca="1" si="65"/>
        <v>4173214.8635299993</v>
      </c>
      <c r="DF10" s="48">
        <f t="shared" ca="1" si="65"/>
        <v>3731336.1828013663</v>
      </c>
      <c r="DG10" s="48">
        <f t="shared" ca="1" si="65"/>
        <v>3731336.1828013663</v>
      </c>
      <c r="DH10" s="48">
        <f t="shared" ca="1" si="65"/>
        <v>3594043.1705013663</v>
      </c>
      <c r="DI10" s="48">
        <f t="shared" ca="1" si="65"/>
        <v>3594043.1705013663</v>
      </c>
      <c r="DJ10" s="48">
        <f t="shared" ca="1" si="65"/>
        <v>3594043.1705013663</v>
      </c>
      <c r="DK10" s="48">
        <f t="shared" ca="1" si="65"/>
        <v>3573215.1705013663</v>
      </c>
      <c r="DL10" s="48">
        <f t="shared" ca="1" si="65"/>
        <v>3568025.1705013663</v>
      </c>
      <c r="DM10" s="48">
        <f t="shared" ca="1" si="65"/>
        <v>1529523.3052713666</v>
      </c>
      <c r="DN10" s="48">
        <f t="shared" ca="1" si="65"/>
        <v>46462.081271367089</v>
      </c>
      <c r="DO10" s="48">
        <f t="shared" ca="1" si="65"/>
        <v>46462.081271367089</v>
      </c>
      <c r="DP10" s="48">
        <f t="shared" ca="1" si="65"/>
        <v>0</v>
      </c>
      <c r="DQ10" s="48">
        <f t="shared" ca="1" si="65"/>
        <v>0</v>
      </c>
      <c r="DR10" s="48">
        <f t="shared" ca="1" si="65"/>
        <v>0</v>
      </c>
      <c r="DS10" s="48">
        <f t="shared" ca="1" si="65"/>
        <v>0</v>
      </c>
      <c r="DT10" s="48">
        <f t="shared" ca="1" si="65"/>
        <v>0</v>
      </c>
      <c r="DU10" s="48">
        <f t="shared" ca="1" si="65"/>
        <v>0</v>
      </c>
      <c r="DV10" s="48">
        <f t="shared" ca="1" si="65"/>
        <v>0</v>
      </c>
      <c r="DW10" s="48">
        <f t="shared" ca="1" si="65"/>
        <v>0</v>
      </c>
      <c r="DX10" s="48">
        <f t="shared" ca="1" si="65"/>
        <v>0</v>
      </c>
      <c r="DY10" s="48">
        <f t="shared" ca="1" si="65"/>
        <v>0</v>
      </c>
      <c r="DZ10" s="48">
        <f t="shared" ca="1" si="65"/>
        <v>0</v>
      </c>
      <c r="EA10" s="48">
        <f t="shared" ca="1" si="65"/>
        <v>0</v>
      </c>
      <c r="EB10" s="48">
        <f t="shared" ca="1" si="65"/>
        <v>0</v>
      </c>
      <c r="EC10" s="48">
        <f t="shared" ca="1" si="65"/>
        <v>0</v>
      </c>
      <c r="ED10" s="48">
        <f t="shared" ref="ED10:EX10" ca="1" si="66">SUMIFS(OFFSET(ED$35,,,TotalMeasures),OFFSET($B$35,,,TotalMeasures),SUBSTITUTE($B10,"All","*"))</f>
        <v>0</v>
      </c>
      <c r="EE10" s="48">
        <f t="shared" ca="1" si="66"/>
        <v>0</v>
      </c>
      <c r="EF10" s="48">
        <f t="shared" ca="1" si="66"/>
        <v>0</v>
      </c>
      <c r="EG10" s="48">
        <f t="shared" ca="1" si="66"/>
        <v>0</v>
      </c>
      <c r="EH10" s="48">
        <f t="shared" ca="1" si="66"/>
        <v>0</v>
      </c>
      <c r="EI10" s="48">
        <f t="shared" ca="1" si="66"/>
        <v>0</v>
      </c>
      <c r="EJ10" s="48">
        <f t="shared" ca="1" si="66"/>
        <v>0</v>
      </c>
      <c r="EK10" s="48">
        <f t="shared" ca="1" si="66"/>
        <v>0</v>
      </c>
      <c r="EL10" s="48">
        <f t="shared" ca="1" si="66"/>
        <v>0</v>
      </c>
      <c r="EM10" s="48">
        <f t="shared" ca="1" si="66"/>
        <v>0</v>
      </c>
      <c r="EN10" s="48">
        <f t="shared" ca="1" si="66"/>
        <v>0</v>
      </c>
      <c r="EO10" s="48">
        <f t="shared" ca="1" si="66"/>
        <v>0</v>
      </c>
      <c r="EP10" s="48">
        <f t="shared" ca="1" si="66"/>
        <v>0</v>
      </c>
      <c r="EQ10" s="48">
        <f t="shared" ca="1" si="66"/>
        <v>0</v>
      </c>
      <c r="ER10" s="48">
        <f t="shared" ca="1" si="66"/>
        <v>0</v>
      </c>
      <c r="ES10" s="48">
        <f t="shared" ca="1" si="66"/>
        <v>0</v>
      </c>
      <c r="ET10" s="48">
        <f t="shared" ca="1" si="66"/>
        <v>0</v>
      </c>
      <c r="EU10" s="48">
        <f t="shared" ca="1" si="66"/>
        <v>0</v>
      </c>
      <c r="EV10" s="48">
        <f t="shared" ca="1" si="66"/>
        <v>0</v>
      </c>
      <c r="EW10" s="48">
        <f t="shared" ca="1" si="66"/>
        <v>0</v>
      </c>
      <c r="EX10" s="48">
        <f t="shared" ca="1" si="66"/>
        <v>0</v>
      </c>
      <c r="EY10" s="69"/>
      <c r="EZ10" s="48">
        <f t="shared" ref="EZ10:GE10" ca="1" si="67">SUMIFS(OFFSET(EZ$35,,,TotalMeasures),OFFSET($B$35,,,TotalMeasures),SUBSTITUTE($B10,"All","*"))</f>
        <v>1012.12992028</v>
      </c>
      <c r="FA10" s="48">
        <f t="shared" ca="1" si="67"/>
        <v>1012.12992028</v>
      </c>
      <c r="FB10" s="48">
        <f t="shared" ca="1" si="67"/>
        <v>1012.12992028</v>
      </c>
      <c r="FC10" s="48">
        <f t="shared" ca="1" si="67"/>
        <v>1012.12992028</v>
      </c>
      <c r="FD10" s="48">
        <f t="shared" ca="1" si="67"/>
        <v>1012.12992028</v>
      </c>
      <c r="FE10" s="48">
        <f t="shared" ca="1" si="67"/>
        <v>964.04992027999992</v>
      </c>
      <c r="FF10" s="48">
        <f t="shared" ca="1" si="67"/>
        <v>964.04992027999992</v>
      </c>
      <c r="FG10" s="48">
        <f t="shared" ca="1" si="67"/>
        <v>964.04992027999992</v>
      </c>
      <c r="FH10" s="48">
        <f t="shared" ca="1" si="67"/>
        <v>876.56596644590581</v>
      </c>
      <c r="FI10" s="48">
        <f t="shared" ca="1" si="67"/>
        <v>876.56596644590581</v>
      </c>
      <c r="FJ10" s="48">
        <f t="shared" ca="1" si="67"/>
        <v>861.21870916590569</v>
      </c>
      <c r="FK10" s="48">
        <f t="shared" ca="1" si="67"/>
        <v>861.21870916590569</v>
      </c>
      <c r="FL10" s="48">
        <f t="shared" ca="1" si="67"/>
        <v>861.21870916590569</v>
      </c>
      <c r="FM10" s="48">
        <f t="shared" ca="1" si="67"/>
        <v>853.42870916590573</v>
      </c>
      <c r="FN10" s="48">
        <f t="shared" ca="1" si="67"/>
        <v>852.49870916590567</v>
      </c>
      <c r="FO10" s="48">
        <f t="shared" ca="1" si="67"/>
        <v>357.01413916590576</v>
      </c>
      <c r="FP10" s="48">
        <f t="shared" ca="1" si="67"/>
        <v>22.126184165905833</v>
      </c>
      <c r="FQ10" s="48">
        <f t="shared" ca="1" si="67"/>
        <v>22.126184165905833</v>
      </c>
      <c r="FR10" s="48">
        <f t="shared" ca="1" si="67"/>
        <v>0</v>
      </c>
      <c r="FS10" s="48">
        <f t="shared" ca="1" si="67"/>
        <v>0</v>
      </c>
      <c r="FT10" s="48">
        <f t="shared" ca="1" si="67"/>
        <v>0</v>
      </c>
      <c r="FU10" s="48">
        <f t="shared" ca="1" si="67"/>
        <v>0</v>
      </c>
      <c r="FV10" s="48">
        <f t="shared" ca="1" si="67"/>
        <v>0</v>
      </c>
      <c r="FW10" s="48">
        <f t="shared" ca="1" si="67"/>
        <v>0</v>
      </c>
      <c r="FX10" s="48">
        <f t="shared" ca="1" si="67"/>
        <v>0</v>
      </c>
      <c r="FY10" s="48">
        <f t="shared" ca="1" si="67"/>
        <v>0</v>
      </c>
      <c r="FZ10" s="48">
        <f t="shared" ca="1" si="67"/>
        <v>0</v>
      </c>
      <c r="GA10" s="48">
        <f t="shared" ca="1" si="67"/>
        <v>0</v>
      </c>
      <c r="GB10" s="48">
        <f t="shared" ca="1" si="67"/>
        <v>0</v>
      </c>
      <c r="GC10" s="48">
        <f t="shared" ca="1" si="67"/>
        <v>0</v>
      </c>
      <c r="GD10" s="48">
        <f t="shared" ca="1" si="67"/>
        <v>0</v>
      </c>
      <c r="GE10" s="48">
        <f t="shared" ca="1" si="67"/>
        <v>0</v>
      </c>
      <c r="GF10" s="48">
        <f t="shared" ref="GF10:GZ10" ca="1" si="68">SUMIFS(OFFSET(GF$35,,,TotalMeasures),OFFSET($B$35,,,TotalMeasures),SUBSTITUTE($B10,"All","*"))</f>
        <v>0</v>
      </c>
      <c r="GG10" s="48">
        <f t="shared" ca="1" si="68"/>
        <v>0</v>
      </c>
      <c r="GH10" s="48">
        <f t="shared" ca="1" si="68"/>
        <v>0</v>
      </c>
      <c r="GI10" s="48">
        <f t="shared" ca="1" si="68"/>
        <v>0</v>
      </c>
      <c r="GJ10" s="48">
        <f t="shared" ca="1" si="68"/>
        <v>0</v>
      </c>
      <c r="GK10" s="48">
        <f t="shared" ca="1" si="68"/>
        <v>0</v>
      </c>
      <c r="GL10" s="48">
        <f t="shared" ca="1" si="68"/>
        <v>0</v>
      </c>
      <c r="GM10" s="48">
        <f t="shared" ca="1" si="68"/>
        <v>0</v>
      </c>
      <c r="GN10" s="48">
        <f t="shared" ca="1" si="68"/>
        <v>0</v>
      </c>
      <c r="GO10" s="48">
        <f t="shared" ca="1" si="68"/>
        <v>0</v>
      </c>
      <c r="GP10" s="48">
        <f t="shared" ca="1" si="68"/>
        <v>0</v>
      </c>
      <c r="GQ10" s="48">
        <f t="shared" ca="1" si="68"/>
        <v>0</v>
      </c>
      <c r="GR10" s="48">
        <f t="shared" ca="1" si="68"/>
        <v>0</v>
      </c>
      <c r="GS10" s="48">
        <f t="shared" ca="1" si="68"/>
        <v>0</v>
      </c>
      <c r="GT10" s="48">
        <f t="shared" ca="1" si="68"/>
        <v>0</v>
      </c>
      <c r="GU10" s="48">
        <f t="shared" ca="1" si="68"/>
        <v>0</v>
      </c>
      <c r="GV10" s="48">
        <f t="shared" ca="1" si="68"/>
        <v>0</v>
      </c>
      <c r="GW10" s="48">
        <f t="shared" ca="1" si="68"/>
        <v>0</v>
      </c>
      <c r="GX10" s="48">
        <f t="shared" ca="1" si="68"/>
        <v>0</v>
      </c>
      <c r="GY10" s="48">
        <f t="shared" ca="1" si="68"/>
        <v>0</v>
      </c>
      <c r="GZ10" s="48">
        <f t="shared" ca="1" si="68"/>
        <v>0</v>
      </c>
      <c r="HA10" s="69"/>
      <c r="HB10" s="150">
        <f t="shared" ref="HB10" ca="1" si="69">IFERROR(BB10,"n/a")</f>
        <v>1.7220655431106615</v>
      </c>
      <c r="HC10" s="150">
        <f ca="1">IFERROR(CD10,"n/a")</f>
        <v>2.5325328790547736</v>
      </c>
      <c r="HD10" s="150">
        <f t="shared" ref="HD10" ca="1" si="70">IFERROR(BK10,"n/a")</f>
        <v>2.1236486387803657</v>
      </c>
      <c r="HE10" s="150">
        <f ca="1">IFERROR(BU10,"n/a")</f>
        <v>6.1870699288762951</v>
      </c>
      <c r="HF10" s="150">
        <f ca="1">IFERROR(CN10,"n/a")</f>
        <v>0.36441788818394022</v>
      </c>
      <c r="HG10" s="148"/>
      <c r="HH10" s="149"/>
      <c r="HI10" s="149"/>
      <c r="HJ10" s="149"/>
      <c r="HK10" s="150"/>
      <c r="HL10" s="149"/>
      <c r="HM10" s="149"/>
      <c r="HN10" s="149"/>
      <c r="HO10" s="150"/>
      <c r="HP10" s="148"/>
      <c r="HQ10" s="149"/>
      <c r="HR10" s="149"/>
      <c r="HS10" s="149"/>
      <c r="HT10" s="150"/>
      <c r="HU10" s="149"/>
      <c r="HV10" s="149"/>
      <c r="HW10" s="149"/>
      <c r="HX10" s="150"/>
      <c r="HY10" s="151"/>
      <c r="HZ10" s="150"/>
      <c r="IA10" s="150"/>
      <c r="IB10" s="152"/>
      <c r="IC10" s="150"/>
      <c r="ID10" s="152"/>
      <c r="IE10" s="150"/>
      <c r="IF10" s="153"/>
    </row>
    <row r="11" spans="1:240" s="36" customFormat="1" ht="14.4" customHeight="1">
      <c r="A11" s="39"/>
      <c r="B11" s="110"/>
      <c r="C11" s="110"/>
      <c r="D11" s="111"/>
      <c r="E11" s="111"/>
      <c r="F11" s="111"/>
      <c r="G11" s="111"/>
      <c r="H11" s="111"/>
      <c r="I11" s="111"/>
      <c r="J11" s="112"/>
      <c r="K11" s="113"/>
      <c r="L11" s="114"/>
      <c r="M11" s="115"/>
      <c r="N11" s="116"/>
      <c r="O11" s="116"/>
      <c r="P11" s="112"/>
      <c r="Q11" s="130"/>
      <c r="R11" s="130"/>
      <c r="S11" s="130"/>
      <c r="T11" s="112"/>
      <c r="U11" s="130"/>
      <c r="V11" s="130"/>
      <c r="W11" s="130"/>
      <c r="X11" s="112"/>
      <c r="Y11" s="130"/>
      <c r="Z11" s="130"/>
      <c r="AA11" s="130"/>
      <c r="AB11" s="112"/>
      <c r="AC11" s="130"/>
      <c r="AD11" s="130"/>
      <c r="AE11" s="130"/>
      <c r="AF11" s="112"/>
      <c r="AG11" s="117"/>
      <c r="AH11" s="117"/>
      <c r="AI11" s="117"/>
      <c r="AJ11" s="118"/>
      <c r="AK11" s="118"/>
      <c r="AL11" s="118"/>
      <c r="AM11" s="118"/>
      <c r="AN11" s="118"/>
      <c r="AO11" s="118"/>
      <c r="AP11" s="118"/>
      <c r="AQ11" s="112"/>
      <c r="AR11" s="118"/>
      <c r="AS11" s="118"/>
      <c r="AT11" s="118"/>
      <c r="AU11" s="118"/>
      <c r="AV11" s="118"/>
      <c r="AW11" s="118"/>
      <c r="AX11" s="118"/>
      <c r="AY11" s="164"/>
      <c r="AZ11" s="112"/>
      <c r="BA11" s="118"/>
      <c r="BB11" s="119"/>
      <c r="BC11" s="118"/>
      <c r="BD11" s="118"/>
      <c r="BE11" s="118"/>
      <c r="BF11" s="118"/>
      <c r="BG11" s="118"/>
      <c r="BH11" s="118"/>
      <c r="BI11" s="112"/>
      <c r="BJ11" s="118"/>
      <c r="BK11" s="119"/>
      <c r="BL11" s="118"/>
      <c r="BM11" s="118"/>
      <c r="BN11" s="118"/>
      <c r="BO11" s="118"/>
      <c r="BP11" s="118"/>
      <c r="BQ11" s="118"/>
      <c r="BR11" s="118"/>
      <c r="BS11" s="112"/>
      <c r="BT11" s="118"/>
      <c r="BU11" s="119"/>
      <c r="BV11" s="119"/>
      <c r="BW11" s="118"/>
      <c r="BX11" s="118"/>
      <c r="BY11" s="118"/>
      <c r="BZ11" s="118"/>
      <c r="CA11" s="118"/>
      <c r="CB11" s="112"/>
      <c r="CC11" s="118"/>
      <c r="CD11" s="119"/>
      <c r="CE11" s="120"/>
      <c r="CF11" s="118"/>
      <c r="CG11" s="118"/>
      <c r="CH11" s="118"/>
      <c r="CI11" s="118">
        <f t="shared" ref="CI11:CI67" si="71">AX11</f>
        <v>0</v>
      </c>
      <c r="CJ11" s="118">
        <f t="shared" ref="CJ11:CJ67" si="72">AT11</f>
        <v>0</v>
      </c>
      <c r="CK11" s="118"/>
      <c r="CL11" s="112"/>
      <c r="CM11" s="118"/>
      <c r="CN11" s="119"/>
      <c r="CO11" s="131"/>
      <c r="CP11" s="118"/>
      <c r="CQ11" s="118"/>
      <c r="CR11" s="118"/>
      <c r="CS11" s="118">
        <f t="shared" ref="CS11:CS67" si="73">AX11</f>
        <v>0</v>
      </c>
      <c r="CT11" s="118"/>
      <c r="CU11" s="118"/>
      <c r="CV11" s="118"/>
      <c r="CW11" s="112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69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69"/>
      <c r="HB11" s="150">
        <f t="shared" ref="HB11:HB65" si="74">IFERROR(BB11,"n/a")</f>
        <v>0</v>
      </c>
      <c r="HC11" s="150">
        <f t="shared" ref="HC11:HC41" si="75">IFERROR(CD11,"n/a")</f>
        <v>0</v>
      </c>
      <c r="HD11" s="150">
        <f t="shared" ref="HD11:HD65" si="76">IFERROR(BK11,"n/a")</f>
        <v>0</v>
      </c>
      <c r="HE11" s="150">
        <f t="shared" ref="HE11:HE41" si="77">IFERROR(BU11,"n/a")</f>
        <v>0</v>
      </c>
      <c r="HF11" s="150">
        <f t="shared" ref="HF11:HF41" si="78">IFERROR(CN11,"n/a")</f>
        <v>0</v>
      </c>
      <c r="HG11" s="148"/>
      <c r="HH11" s="149"/>
      <c r="HI11" s="149"/>
      <c r="HJ11" s="149"/>
      <c r="HK11" s="150"/>
      <c r="HL11" s="149"/>
      <c r="HM11" s="149"/>
      <c r="HN11" s="149"/>
      <c r="HO11" s="150"/>
      <c r="HP11" s="148"/>
      <c r="HQ11" s="149"/>
      <c r="HR11" s="149"/>
      <c r="HS11" s="149"/>
      <c r="HT11" s="150"/>
      <c r="HU11" s="149"/>
      <c r="HV11" s="149"/>
      <c r="HW11" s="149"/>
      <c r="HX11" s="150"/>
      <c r="HY11" s="151"/>
      <c r="HZ11" s="150"/>
      <c r="IA11" s="150"/>
      <c r="IB11" s="152"/>
      <c r="IC11" s="150"/>
      <c r="ID11" s="152"/>
      <c r="IE11" s="150"/>
      <c r="IF11" s="153"/>
    </row>
    <row r="12" spans="1:240" s="36" customFormat="1" ht="14.4" customHeight="1">
      <c r="A12" s="39"/>
      <c r="B12" s="108" t="str">
        <f t="shared" ref="B12:B15" si="79">D12&amp;"_"&amp;E12&amp;"_"&amp;F12&amp;"_"&amp;G12&amp;"_"&amp;H12&amp;"_"&amp;I12</f>
        <v>Residential_All_All_All_2017_Actual</v>
      </c>
      <c r="C12" s="108"/>
      <c r="D12" s="109" t="s">
        <v>1</v>
      </c>
      <c r="E12" s="109" t="s">
        <v>28</v>
      </c>
      <c r="F12" s="109" t="s">
        <v>28</v>
      </c>
      <c r="G12" s="109" t="s">
        <v>28</v>
      </c>
      <c r="H12" s="109">
        <v>2017</v>
      </c>
      <c r="I12" s="109" t="s">
        <v>167</v>
      </c>
      <c r="J12" s="37"/>
      <c r="K12" s="99"/>
      <c r="L12" s="38"/>
      <c r="M12" s="133"/>
      <c r="N12" s="132"/>
      <c r="O12" s="132"/>
      <c r="P12" s="37"/>
      <c r="Q12" s="129">
        <f t="shared" ref="Q12:S15" ca="1" si="80">SUMIFS(OFFSET(Q$35,,,TotalMeasures),OFFSET($B$35,,,TotalMeasures),SUBSTITUTE($B12,"All","*"))</f>
        <v>807391.91512999998</v>
      </c>
      <c r="R12" s="129">
        <f t="shared" ca="1" si="80"/>
        <v>807391.91512999998</v>
      </c>
      <c r="S12" s="129">
        <f t="shared" ca="1" si="80"/>
        <v>807391.91512999998</v>
      </c>
      <c r="T12" s="37"/>
      <c r="U12" s="129">
        <f t="shared" ref="U12:W15" ca="1" si="81">SUMIFS(OFFSET(U$35,,,TotalMeasures),OFFSET($B$35,,,TotalMeasures),SUBSTITUTE($B12,"All","*"))</f>
        <v>4309.2442713670926</v>
      </c>
      <c r="V12" s="129">
        <f t="shared" ca="1" si="81"/>
        <v>4309.2442713670926</v>
      </c>
      <c r="W12" s="129">
        <f t="shared" ca="1" si="81"/>
        <v>4309.2442713670926</v>
      </c>
      <c r="X12" s="37"/>
      <c r="Y12" s="129">
        <f t="shared" ref="Y12:AA15" ca="1" si="82">SUMIFS(OFFSET(Y$35,,,TotalMeasures),OFFSET($B$35,,,TotalMeasures),SUBSTITUTE($B12,"All","*"))</f>
        <v>120.49245728000001</v>
      </c>
      <c r="Z12" s="129">
        <f t="shared" ca="1" si="82"/>
        <v>120.49245728000001</v>
      </c>
      <c r="AA12" s="129">
        <f t="shared" ca="1" si="82"/>
        <v>120.49245728000001</v>
      </c>
      <c r="AB12" s="37"/>
      <c r="AC12" s="129">
        <f t="shared" ref="AC12:AE15" ca="1" si="83">SUMIFS(OFFSET(AC$35,,,TotalMeasures),OFFSET($B$35,,,TotalMeasures),SUBSTITUTE($B12,"All","*"))</f>
        <v>4.4361841659058348</v>
      </c>
      <c r="AD12" s="129">
        <f t="shared" ca="1" si="83"/>
        <v>4.4361841659058348</v>
      </c>
      <c r="AE12" s="129">
        <f t="shared" ca="1" si="83"/>
        <v>4.4361841659058348</v>
      </c>
      <c r="AF12" s="37"/>
      <c r="AG12" s="97"/>
      <c r="AH12" s="97"/>
      <c r="AI12" s="97">
        <f t="shared" ref="AI12:AN15" ca="1" si="84">SUMIFS(OFFSET(AI$35,,,TotalMeasures),OFFSET($B$35,,,TotalMeasures),SUBSTITUTE($B12,"All","*"))</f>
        <v>6089355.4531636713</v>
      </c>
      <c r="AJ12" s="100">
        <f t="shared" ca="1" si="84"/>
        <v>62707.797235804355</v>
      </c>
      <c r="AK12" s="100">
        <f t="shared" ca="1" si="84"/>
        <v>19677.077018822089</v>
      </c>
      <c r="AL12" s="100">
        <f t="shared" ca="1" si="84"/>
        <v>0</v>
      </c>
      <c r="AM12" s="100">
        <f t="shared" ca="1" si="84"/>
        <v>0</v>
      </c>
      <c r="AN12" s="100">
        <f t="shared" ca="1" si="84"/>
        <v>24138.8472</v>
      </c>
      <c r="AO12" s="163">
        <f ca="1">SUMIFS(OFFSET(AO$17,,,TotalPrograms),OFFSET($B$17,,,TotalPrograms),SUBSTITUTE($B12,"All","*"))</f>
        <v>197933.96800000005</v>
      </c>
      <c r="AP12" s="100">
        <f t="shared" ref="AP12:AP15" ca="1" si="85">AO12+AN12</f>
        <v>222072.81520000004</v>
      </c>
      <c r="AQ12" s="37"/>
      <c r="AR12" s="100">
        <f t="shared" ref="AR12:AT15" ca="1" si="86">SUMIFS(OFFSET(AR$35,,,TotalMeasures),OFFSET($B$35,,,TotalMeasures),SUBSTITUTE($B12,"All","*"))</f>
        <v>62707.797235804355</v>
      </c>
      <c r="AS12" s="100">
        <f t="shared" ca="1" si="86"/>
        <v>53258.827992245388</v>
      </c>
      <c r="AT12" s="100">
        <f t="shared" ca="1" si="86"/>
        <v>24138.8472</v>
      </c>
      <c r="AU12" s="100">
        <f ca="1">SUMPRODUCT(--($CX$9:$EX$9=$H12)*$AO12,'General Inputs'!$K$40:$BK$40)</f>
        <v>197933.96800000005</v>
      </c>
      <c r="AV12" s="100">
        <f t="shared" ref="AV12:AY15" ca="1" si="87">SUMIFS(OFFSET(AV$35,,,TotalMeasures),OFFSET($B$35,,,TotalMeasures),SUBSTITUTE($B12,"All","*"))</f>
        <v>647917.3093032575</v>
      </c>
      <c r="AW12" s="100">
        <f t="shared" ca="1" si="87"/>
        <v>204220.09890176234</v>
      </c>
      <c r="AX12" s="100">
        <f t="shared" ca="1" si="87"/>
        <v>13253.416301705107</v>
      </c>
      <c r="AY12" s="98">
        <f t="shared" ca="1" si="87"/>
        <v>4462107.9435182717</v>
      </c>
      <c r="AZ12" s="37"/>
      <c r="BA12" s="100">
        <f t="shared" ref="BA12:BA15" ca="1" si="88">BD12-BC12</f>
        <v>-43168.250032336946</v>
      </c>
      <c r="BB12" s="102">
        <f t="shared" ref="BB12:BB15" ca="1" si="89">BD12/BC12</f>
        <v>0.83437708076722727</v>
      </c>
      <c r="BC12" s="100">
        <f t="shared" ref="BC12:BC15" ca="1" si="90">SUMIFS($BE12:$BH12,$BE$8:$BH$8,"Cost")</f>
        <v>260641.7652358044</v>
      </c>
      <c r="BD12" s="100">
        <f t="shared" ref="BD12:BD15" ca="1" si="91">SUMIFS($BE12:$BH12,$BE$8:$BH$8,"BENEFIT")</f>
        <v>217473.51520346745</v>
      </c>
      <c r="BE12" s="100">
        <f t="shared" ref="BE12:BE15" ca="1" si="92">AW12</f>
        <v>204220.09890176234</v>
      </c>
      <c r="BF12" s="100">
        <f t="shared" ref="BF12:BF15" ca="1" si="93">AX12</f>
        <v>13253.416301705107</v>
      </c>
      <c r="BG12" s="100">
        <f t="shared" ref="BG12:BG15" ca="1" si="94">AU12</f>
        <v>197933.96800000005</v>
      </c>
      <c r="BH12" s="100">
        <f t="shared" ref="BH12:BH15" ca="1" si="95">AR12</f>
        <v>62707.797235804355</v>
      </c>
      <c r="BI12" s="37"/>
      <c r="BJ12" s="100">
        <f t="shared" ref="BJ12:BJ15" ca="1" si="96">BM12-BL12</f>
        <v>10090.577959908434</v>
      </c>
      <c r="BK12" s="102">
        <f t="shared" ref="BK12:BK15" ca="1" si="97">BM12/BL12</f>
        <v>1.0387143555092924</v>
      </c>
      <c r="BL12" s="100">
        <f t="shared" ref="BL12:BL15" ca="1" si="98">SUMIFS($BN12:$BR12,$BN$8:$BR$8,"Cost")</f>
        <v>260641.7652358044</v>
      </c>
      <c r="BM12" s="100">
        <f t="shared" ref="BM12:BM15" ca="1" si="99">SUMIFS($BN12:$BR12,$BN$8:$BR$8,"BENEFIT")</f>
        <v>270732.34319571283</v>
      </c>
      <c r="BN12" s="100">
        <f t="shared" ref="BN12:BN15" ca="1" si="100">AW12</f>
        <v>204220.09890176234</v>
      </c>
      <c r="BO12" s="100">
        <f t="shared" ref="BO12:BO15" ca="1" si="101">AX12</f>
        <v>13253.416301705107</v>
      </c>
      <c r="BP12" s="100">
        <f t="shared" ref="BP12:BP15" ca="1" si="102">AS12</f>
        <v>53258.827992245388</v>
      </c>
      <c r="BQ12" s="100">
        <f t="shared" ref="BQ12:BQ15" ca="1" si="103">AU12</f>
        <v>197933.96800000005</v>
      </c>
      <c r="BR12" s="100">
        <f t="shared" ref="BR12:BR15" ca="1" si="104">AR12</f>
        <v>62707.797235804355</v>
      </c>
      <c r="BS12" s="37"/>
      <c r="BT12" s="100">
        <f t="shared" ref="BT12:BT15" ca="1" si="105">BX12-BW12</f>
        <v>609348.35926745308</v>
      </c>
      <c r="BU12" s="102">
        <f t="shared" ref="BU12:BU15" ca="1" si="106">BX12/BW12</f>
        <v>10.717266211346564</v>
      </c>
      <c r="BV12" s="102" t="e">
        <f t="shared" ref="BV12:BV15" ca="1" si="107">BW12/(BX12/AG12)</f>
        <v>#DIV/0!</v>
      </c>
      <c r="BW12" s="100">
        <f t="shared" ref="BW12:BW15" ca="1" si="108">SUMIFS($BY12:$CA12,$BY$8:$CA$8,"cost")</f>
        <v>62707.797235804355</v>
      </c>
      <c r="BX12" s="100">
        <f t="shared" ref="BX12:BX15" ca="1" si="109">SUMIFS($BY12:$CA12,$BY$8:$CA$8,"benefit")</f>
        <v>672056.15650325746</v>
      </c>
      <c r="BY12" s="100">
        <f t="shared" ref="BY12:BY15" ca="1" si="110">AV12</f>
        <v>647917.3093032575</v>
      </c>
      <c r="BZ12" s="100">
        <f t="shared" ref="BZ12:BZ15" ca="1" si="111">AT12</f>
        <v>24138.8472</v>
      </c>
      <c r="CA12" s="100">
        <f t="shared" ref="CA12:CA15" ca="1" si="112">AR12</f>
        <v>62707.797235804355</v>
      </c>
      <c r="CB12" s="37"/>
      <c r="CC12" s="100">
        <f t="shared" ref="CC12:CC15" ca="1" si="113">CG12-CF12</f>
        <v>-4599.2999965325871</v>
      </c>
      <c r="CD12" s="102">
        <f t="shared" ref="CD12:CD15" ca="1" si="114">CG12/CF12</f>
        <v>0.97928922550745157</v>
      </c>
      <c r="CE12" s="103">
        <f t="shared" ref="CE12:CE15" ca="1" si="115">CF12/CONVERT($AY12,$Q$8,"kWh")/(1-$M12)</f>
        <v>4.9768588750208634E-2</v>
      </c>
      <c r="CF12" s="100">
        <f t="shared" ref="CF12:CF15" ca="1" si="116">SUMIFS($CH12:$CK12,$CH$8:$CK$8,"Cost")</f>
        <v>222072.81520000004</v>
      </c>
      <c r="CG12" s="100">
        <f t="shared" ref="CG12:CG15" ca="1" si="117">SUMIFS($CH12:$CK12,$CH$8:$CK$8,"BENEFIT")</f>
        <v>217473.51520346745</v>
      </c>
      <c r="CH12" s="100">
        <f t="shared" ref="CH12:CH15" ca="1" si="118">AW12</f>
        <v>204220.09890176234</v>
      </c>
      <c r="CI12" s="100">
        <f t="shared" ca="1" si="71"/>
        <v>13253.416301705107</v>
      </c>
      <c r="CJ12" s="100">
        <f t="shared" ca="1" si="72"/>
        <v>24138.8472</v>
      </c>
      <c r="CK12" s="100">
        <f t="shared" ref="CK12:CK15" ca="1" si="119">AU12</f>
        <v>197933.96800000005</v>
      </c>
      <c r="CL12" s="37"/>
      <c r="CM12" s="100">
        <f t="shared" ref="CM12:CM15" ca="1" si="120">CQ12-CP12</f>
        <v>-652516.60929979</v>
      </c>
      <c r="CN12" s="102">
        <f t="shared" ref="CN12:CN15" ca="1" si="121">CQ12/CP12</f>
        <v>0.24997239517820893</v>
      </c>
      <c r="CO12" s="128"/>
      <c r="CP12" s="100">
        <f t="shared" ref="CP12:CP15" ca="1" si="122">SUMIFS($CR12:$CV12,$CR$8:$CV$8,"Cost")</f>
        <v>869990.12450325745</v>
      </c>
      <c r="CQ12" s="100">
        <f t="shared" ref="CQ12:CQ15" ca="1" si="123">SUMIFS($CR12:$CV12,$CR$8:$CV$8,"BENEFIT")</f>
        <v>217473.51520346745</v>
      </c>
      <c r="CR12" s="100">
        <f t="shared" ref="CR12:CR15" ca="1" si="124">AW12</f>
        <v>204220.09890176234</v>
      </c>
      <c r="CS12" s="100">
        <f t="shared" ca="1" si="73"/>
        <v>13253.416301705107</v>
      </c>
      <c r="CT12" s="100">
        <f t="shared" ref="CT12:CT15" ca="1" si="125">AV12</f>
        <v>647917.3093032575</v>
      </c>
      <c r="CU12" s="100">
        <f t="shared" ref="CU12:CU15" ca="1" si="126">AT12</f>
        <v>24138.8472</v>
      </c>
      <c r="CV12" s="100">
        <f t="shared" ref="CV12:CV15" ca="1" si="127">AU12</f>
        <v>197933.96800000005</v>
      </c>
      <c r="CW12" s="37"/>
      <c r="CX12" s="48">
        <f t="shared" ref="CX12:DG15" ca="1" si="128">SUMIFS(OFFSET(CX$35,,,TotalMeasures),OFFSET($B$35,,,TotalMeasures),SUBSTITUTE($B12,"All","*"))</f>
        <v>807391.91512999998</v>
      </c>
      <c r="CY12" s="48">
        <f t="shared" ca="1" si="128"/>
        <v>807391.91512999998</v>
      </c>
      <c r="CZ12" s="48">
        <f t="shared" ca="1" si="128"/>
        <v>807391.91512999998</v>
      </c>
      <c r="DA12" s="48">
        <f t="shared" ca="1" si="128"/>
        <v>807391.91512999998</v>
      </c>
      <c r="DB12" s="48">
        <f t="shared" ca="1" si="128"/>
        <v>807391.91512999998</v>
      </c>
      <c r="DC12" s="48">
        <f t="shared" ca="1" si="128"/>
        <v>330197.91512999998</v>
      </c>
      <c r="DD12" s="48">
        <f t="shared" ca="1" si="128"/>
        <v>330197.91512999998</v>
      </c>
      <c r="DE12" s="48">
        <f t="shared" ca="1" si="128"/>
        <v>330197.91512999998</v>
      </c>
      <c r="DF12" s="48">
        <f t="shared" ca="1" si="128"/>
        <v>236532.42140136709</v>
      </c>
      <c r="DG12" s="48">
        <f t="shared" ca="1" si="128"/>
        <v>236532.42140136709</v>
      </c>
      <c r="DH12" s="48">
        <f t="shared" ref="DH12:DQ15" ca="1" si="129">SUMIFS(OFFSET(DH$35,,,TotalMeasures),OFFSET($B$35,,,TotalMeasures),SUBSTITUTE($B12,"All","*"))</f>
        <v>99239.409101367099</v>
      </c>
      <c r="DI12" s="48">
        <f t="shared" ca="1" si="129"/>
        <v>99239.409101367099</v>
      </c>
      <c r="DJ12" s="48">
        <f t="shared" ca="1" si="129"/>
        <v>99239.409101367099</v>
      </c>
      <c r="DK12" s="48">
        <f t="shared" ca="1" si="129"/>
        <v>78411.409101367099</v>
      </c>
      <c r="DL12" s="48">
        <f t="shared" ca="1" si="129"/>
        <v>73221.409101367099</v>
      </c>
      <c r="DM12" s="48">
        <f t="shared" ca="1" si="129"/>
        <v>46462.081271367089</v>
      </c>
      <c r="DN12" s="48">
        <f t="shared" ca="1" si="129"/>
        <v>46462.081271367089</v>
      </c>
      <c r="DO12" s="48">
        <f t="shared" ca="1" si="129"/>
        <v>46462.081271367089</v>
      </c>
      <c r="DP12" s="48">
        <f t="shared" ca="1" si="129"/>
        <v>0</v>
      </c>
      <c r="DQ12" s="48">
        <f t="shared" ca="1" si="129"/>
        <v>0</v>
      </c>
      <c r="DR12" s="48">
        <f t="shared" ref="DR12:EA15" ca="1" si="130">SUMIFS(OFFSET(DR$35,,,TotalMeasures),OFFSET($B$35,,,TotalMeasures),SUBSTITUTE($B12,"All","*"))</f>
        <v>0</v>
      </c>
      <c r="DS12" s="48">
        <f t="shared" ca="1" si="130"/>
        <v>0</v>
      </c>
      <c r="DT12" s="48">
        <f t="shared" ca="1" si="130"/>
        <v>0</v>
      </c>
      <c r="DU12" s="48">
        <f t="shared" ca="1" si="130"/>
        <v>0</v>
      </c>
      <c r="DV12" s="48">
        <f t="shared" ca="1" si="130"/>
        <v>0</v>
      </c>
      <c r="DW12" s="48">
        <f t="shared" ca="1" si="130"/>
        <v>0</v>
      </c>
      <c r="DX12" s="48">
        <f t="shared" ca="1" si="130"/>
        <v>0</v>
      </c>
      <c r="DY12" s="48">
        <f t="shared" ca="1" si="130"/>
        <v>0</v>
      </c>
      <c r="DZ12" s="48">
        <f t="shared" ca="1" si="130"/>
        <v>0</v>
      </c>
      <c r="EA12" s="48">
        <f t="shared" ca="1" si="130"/>
        <v>0</v>
      </c>
      <c r="EB12" s="48">
        <f t="shared" ref="EB12:EK15" ca="1" si="131">SUMIFS(OFFSET(EB$35,,,TotalMeasures),OFFSET($B$35,,,TotalMeasures),SUBSTITUTE($B12,"All","*"))</f>
        <v>0</v>
      </c>
      <c r="EC12" s="48">
        <f t="shared" ca="1" si="131"/>
        <v>0</v>
      </c>
      <c r="ED12" s="48">
        <f t="shared" ca="1" si="131"/>
        <v>0</v>
      </c>
      <c r="EE12" s="48">
        <f t="shared" ca="1" si="131"/>
        <v>0</v>
      </c>
      <c r="EF12" s="48">
        <f t="shared" ca="1" si="131"/>
        <v>0</v>
      </c>
      <c r="EG12" s="48">
        <f t="shared" ca="1" si="131"/>
        <v>0</v>
      </c>
      <c r="EH12" s="48">
        <f t="shared" ca="1" si="131"/>
        <v>0</v>
      </c>
      <c r="EI12" s="48">
        <f t="shared" ca="1" si="131"/>
        <v>0</v>
      </c>
      <c r="EJ12" s="48">
        <f t="shared" ca="1" si="131"/>
        <v>0</v>
      </c>
      <c r="EK12" s="48">
        <f t="shared" ca="1" si="131"/>
        <v>0</v>
      </c>
      <c r="EL12" s="48">
        <f t="shared" ref="EL12:EX15" ca="1" si="132">SUMIFS(OFFSET(EL$35,,,TotalMeasures),OFFSET($B$35,,,TotalMeasures),SUBSTITUTE($B12,"All","*"))</f>
        <v>0</v>
      </c>
      <c r="EM12" s="48">
        <f t="shared" ca="1" si="132"/>
        <v>0</v>
      </c>
      <c r="EN12" s="48">
        <f t="shared" ca="1" si="132"/>
        <v>0</v>
      </c>
      <c r="EO12" s="48">
        <f t="shared" ca="1" si="132"/>
        <v>0</v>
      </c>
      <c r="EP12" s="48">
        <f t="shared" ca="1" si="132"/>
        <v>0</v>
      </c>
      <c r="EQ12" s="48">
        <f t="shared" ca="1" si="132"/>
        <v>0</v>
      </c>
      <c r="ER12" s="48">
        <f t="shared" ca="1" si="132"/>
        <v>0</v>
      </c>
      <c r="ES12" s="48">
        <f t="shared" ca="1" si="132"/>
        <v>0</v>
      </c>
      <c r="ET12" s="48">
        <f t="shared" ca="1" si="132"/>
        <v>0</v>
      </c>
      <c r="EU12" s="48">
        <f t="shared" ca="1" si="132"/>
        <v>0</v>
      </c>
      <c r="EV12" s="48">
        <f t="shared" ca="1" si="132"/>
        <v>0</v>
      </c>
      <c r="EW12" s="48">
        <f t="shared" ca="1" si="132"/>
        <v>0</v>
      </c>
      <c r="EX12" s="48">
        <f t="shared" ca="1" si="132"/>
        <v>0</v>
      </c>
      <c r="EY12" s="69"/>
      <c r="EZ12" s="48">
        <f t="shared" ref="EZ12:FI15" ca="1" si="133">SUMIFS(OFFSET(EZ$35,,,TotalMeasures),OFFSET($B$35,,,TotalMeasures),SUBSTITUTE($B12,"All","*"))</f>
        <v>120.49245728000001</v>
      </c>
      <c r="FA12" s="48">
        <f t="shared" ca="1" si="133"/>
        <v>120.49245728000001</v>
      </c>
      <c r="FB12" s="48">
        <f t="shared" ca="1" si="133"/>
        <v>120.49245728000001</v>
      </c>
      <c r="FC12" s="48">
        <f t="shared" ca="1" si="133"/>
        <v>120.49245728000001</v>
      </c>
      <c r="FD12" s="48">
        <f t="shared" ca="1" si="133"/>
        <v>120.49245728000001</v>
      </c>
      <c r="FE12" s="48">
        <f t="shared" ca="1" si="133"/>
        <v>72.412457280000027</v>
      </c>
      <c r="FF12" s="48">
        <f t="shared" ca="1" si="133"/>
        <v>72.412457280000027</v>
      </c>
      <c r="FG12" s="48">
        <f t="shared" ca="1" si="133"/>
        <v>72.412457280000027</v>
      </c>
      <c r="FH12" s="48">
        <f t="shared" ca="1" si="133"/>
        <v>47.82764144590584</v>
      </c>
      <c r="FI12" s="48">
        <f t="shared" ca="1" si="133"/>
        <v>47.82764144590584</v>
      </c>
      <c r="FJ12" s="48">
        <f t="shared" ref="FJ12:FS15" ca="1" si="134">SUMIFS(OFFSET(FJ$35,,,TotalMeasures),OFFSET($B$35,,,TotalMeasures),SUBSTITUTE($B12,"All","*"))</f>
        <v>32.480384165905839</v>
      </c>
      <c r="FK12" s="48">
        <f t="shared" ca="1" si="134"/>
        <v>32.480384165905839</v>
      </c>
      <c r="FL12" s="48">
        <f t="shared" ca="1" si="134"/>
        <v>32.480384165905839</v>
      </c>
      <c r="FM12" s="48">
        <f t="shared" ca="1" si="134"/>
        <v>24.690384165905833</v>
      </c>
      <c r="FN12" s="48">
        <f t="shared" ca="1" si="134"/>
        <v>23.760384165905833</v>
      </c>
      <c r="FO12" s="48">
        <f t="shared" ca="1" si="134"/>
        <v>22.126184165905833</v>
      </c>
      <c r="FP12" s="48">
        <f t="shared" ca="1" si="134"/>
        <v>22.126184165905833</v>
      </c>
      <c r="FQ12" s="48">
        <f t="shared" ca="1" si="134"/>
        <v>22.126184165905833</v>
      </c>
      <c r="FR12" s="48">
        <f t="shared" ca="1" si="134"/>
        <v>0</v>
      </c>
      <c r="FS12" s="48">
        <f t="shared" ca="1" si="134"/>
        <v>0</v>
      </c>
      <c r="FT12" s="48">
        <f t="shared" ref="FT12:GC15" ca="1" si="135">SUMIFS(OFFSET(FT$35,,,TotalMeasures),OFFSET($B$35,,,TotalMeasures),SUBSTITUTE($B12,"All","*"))</f>
        <v>0</v>
      </c>
      <c r="FU12" s="48">
        <f t="shared" ca="1" si="135"/>
        <v>0</v>
      </c>
      <c r="FV12" s="48">
        <f t="shared" ca="1" si="135"/>
        <v>0</v>
      </c>
      <c r="FW12" s="48">
        <f t="shared" ca="1" si="135"/>
        <v>0</v>
      </c>
      <c r="FX12" s="48">
        <f t="shared" ca="1" si="135"/>
        <v>0</v>
      </c>
      <c r="FY12" s="48">
        <f t="shared" ca="1" si="135"/>
        <v>0</v>
      </c>
      <c r="FZ12" s="48">
        <f t="shared" ca="1" si="135"/>
        <v>0</v>
      </c>
      <c r="GA12" s="48">
        <f t="shared" ca="1" si="135"/>
        <v>0</v>
      </c>
      <c r="GB12" s="48">
        <f t="shared" ca="1" si="135"/>
        <v>0</v>
      </c>
      <c r="GC12" s="48">
        <f t="shared" ca="1" si="135"/>
        <v>0</v>
      </c>
      <c r="GD12" s="48">
        <f t="shared" ref="GD12:GM15" ca="1" si="136">SUMIFS(OFFSET(GD$35,,,TotalMeasures),OFFSET($B$35,,,TotalMeasures),SUBSTITUTE($B12,"All","*"))</f>
        <v>0</v>
      </c>
      <c r="GE12" s="48">
        <f t="shared" ca="1" si="136"/>
        <v>0</v>
      </c>
      <c r="GF12" s="48">
        <f t="shared" ca="1" si="136"/>
        <v>0</v>
      </c>
      <c r="GG12" s="48">
        <f t="shared" ca="1" si="136"/>
        <v>0</v>
      </c>
      <c r="GH12" s="48">
        <f t="shared" ca="1" si="136"/>
        <v>0</v>
      </c>
      <c r="GI12" s="48">
        <f t="shared" ca="1" si="136"/>
        <v>0</v>
      </c>
      <c r="GJ12" s="48">
        <f t="shared" ca="1" si="136"/>
        <v>0</v>
      </c>
      <c r="GK12" s="48">
        <f t="shared" ca="1" si="136"/>
        <v>0</v>
      </c>
      <c r="GL12" s="48">
        <f t="shared" ca="1" si="136"/>
        <v>0</v>
      </c>
      <c r="GM12" s="48">
        <f t="shared" ca="1" si="136"/>
        <v>0</v>
      </c>
      <c r="GN12" s="48">
        <f t="shared" ref="GN12:GZ15" ca="1" si="137">SUMIFS(OFFSET(GN$35,,,TotalMeasures),OFFSET($B$35,,,TotalMeasures),SUBSTITUTE($B12,"All","*"))</f>
        <v>0</v>
      </c>
      <c r="GO12" s="48">
        <f t="shared" ca="1" si="137"/>
        <v>0</v>
      </c>
      <c r="GP12" s="48">
        <f t="shared" ca="1" si="137"/>
        <v>0</v>
      </c>
      <c r="GQ12" s="48">
        <f t="shared" ca="1" si="137"/>
        <v>0</v>
      </c>
      <c r="GR12" s="48">
        <f t="shared" ca="1" si="137"/>
        <v>0</v>
      </c>
      <c r="GS12" s="48">
        <f t="shared" ca="1" si="137"/>
        <v>0</v>
      </c>
      <c r="GT12" s="48">
        <f t="shared" ca="1" si="137"/>
        <v>0</v>
      </c>
      <c r="GU12" s="48">
        <f t="shared" ca="1" si="137"/>
        <v>0</v>
      </c>
      <c r="GV12" s="48">
        <f t="shared" ca="1" si="137"/>
        <v>0</v>
      </c>
      <c r="GW12" s="48">
        <f t="shared" ca="1" si="137"/>
        <v>0</v>
      </c>
      <c r="GX12" s="48">
        <f t="shared" ca="1" si="137"/>
        <v>0</v>
      </c>
      <c r="GY12" s="48">
        <f t="shared" ca="1" si="137"/>
        <v>0</v>
      </c>
      <c r="GZ12" s="48">
        <f t="shared" ca="1" si="137"/>
        <v>0</v>
      </c>
      <c r="HA12" s="69"/>
      <c r="HB12" s="150">
        <f t="shared" ca="1" si="74"/>
        <v>0.83437708076722727</v>
      </c>
      <c r="HC12" s="150">
        <f t="shared" ca="1" si="75"/>
        <v>0.97928922550745157</v>
      </c>
      <c r="HD12" s="150">
        <f t="shared" ca="1" si="76"/>
        <v>1.0387143555092924</v>
      </c>
      <c r="HE12" s="150">
        <f t="shared" ca="1" si="77"/>
        <v>10.717266211346564</v>
      </c>
      <c r="HF12" s="150">
        <f t="shared" ca="1" si="78"/>
        <v>0.24997239517820893</v>
      </c>
      <c r="HG12" s="148"/>
      <c r="HH12" s="149"/>
      <c r="HI12" s="149"/>
      <c r="HJ12" s="149"/>
      <c r="HK12" s="150"/>
      <c r="HL12" s="149"/>
      <c r="HM12" s="149"/>
      <c r="HN12" s="149"/>
      <c r="HO12" s="150"/>
      <c r="HP12" s="148"/>
      <c r="HQ12" s="149"/>
      <c r="HR12" s="149"/>
      <c r="HS12" s="149"/>
      <c r="HT12" s="150"/>
      <c r="HU12" s="149"/>
      <c r="HV12" s="149"/>
      <c r="HW12" s="149"/>
      <c r="HX12" s="150"/>
      <c r="HY12" s="151"/>
      <c r="HZ12" s="150"/>
      <c r="IA12" s="150"/>
      <c r="IB12" s="152"/>
      <c r="IC12" s="150"/>
      <c r="ID12" s="152"/>
      <c r="IE12" s="150"/>
      <c r="IF12" s="153"/>
    </row>
    <row r="13" spans="1:240" s="36" customFormat="1" ht="14.4" customHeight="1">
      <c r="A13" s="39"/>
      <c r="B13" s="108" t="str">
        <f t="shared" si="79"/>
        <v>C&amp;I_All_All_All_2017_Actual</v>
      </c>
      <c r="C13" s="108"/>
      <c r="D13" s="109" t="s">
        <v>142</v>
      </c>
      <c r="E13" s="109" t="s">
        <v>28</v>
      </c>
      <c r="F13" s="109" t="s">
        <v>28</v>
      </c>
      <c r="G13" s="109" t="s">
        <v>28</v>
      </c>
      <c r="H13" s="109">
        <v>2017</v>
      </c>
      <c r="I13" s="109" t="s">
        <v>167</v>
      </c>
      <c r="J13" s="37"/>
      <c r="K13" s="99"/>
      <c r="L13" s="38"/>
      <c r="M13" s="133"/>
      <c r="N13" s="132"/>
      <c r="O13" s="132"/>
      <c r="P13" s="37"/>
      <c r="Q13" s="129">
        <f t="shared" ca="1" si="80"/>
        <v>3843016.9483999992</v>
      </c>
      <c r="R13" s="129">
        <f t="shared" ca="1" si="80"/>
        <v>3843016.9483999992</v>
      </c>
      <c r="S13" s="129">
        <f t="shared" ca="1" si="80"/>
        <v>3843016.9483999992</v>
      </c>
      <c r="T13" s="37"/>
      <c r="U13" s="129">
        <f t="shared" ca="1" si="81"/>
        <v>0</v>
      </c>
      <c r="V13" s="129">
        <f t="shared" ca="1" si="81"/>
        <v>0</v>
      </c>
      <c r="W13" s="129">
        <f t="shared" ca="1" si="81"/>
        <v>0</v>
      </c>
      <c r="X13" s="37"/>
      <c r="Y13" s="129">
        <f t="shared" ca="1" si="82"/>
        <v>891.63746299999991</v>
      </c>
      <c r="Z13" s="129">
        <f t="shared" ca="1" si="82"/>
        <v>891.63746299999991</v>
      </c>
      <c r="AA13" s="129">
        <f t="shared" ca="1" si="82"/>
        <v>891.63746299999991</v>
      </c>
      <c r="AB13" s="37"/>
      <c r="AC13" s="129">
        <f t="shared" ca="1" si="83"/>
        <v>0</v>
      </c>
      <c r="AD13" s="129">
        <f t="shared" ca="1" si="83"/>
        <v>0</v>
      </c>
      <c r="AE13" s="129">
        <f t="shared" ca="1" si="83"/>
        <v>0</v>
      </c>
      <c r="AF13" s="37"/>
      <c r="AG13" s="97"/>
      <c r="AH13" s="97"/>
      <c r="AI13" s="97">
        <f t="shared" ca="1" si="84"/>
        <v>56690823.141000003</v>
      </c>
      <c r="AJ13" s="100">
        <f t="shared" ca="1" si="84"/>
        <v>747229.32893224561</v>
      </c>
      <c r="AK13" s="100">
        <f t="shared" ca="1" si="84"/>
        <v>0</v>
      </c>
      <c r="AL13" s="100">
        <f t="shared" ca="1" si="84"/>
        <v>0</v>
      </c>
      <c r="AM13" s="100">
        <f t="shared" ca="1" si="84"/>
        <v>0</v>
      </c>
      <c r="AN13" s="100">
        <f t="shared" ca="1" si="84"/>
        <v>424915.26030000002</v>
      </c>
      <c r="AO13" s="163">
        <f ca="1">SUMIFS(OFFSET(AO$17,,,TotalPrograms),OFFSET($B$17,,,TotalPrograms),SUBSTITUTE($B13,"All","*"))</f>
        <v>119809.28200000005</v>
      </c>
      <c r="AP13" s="100">
        <f t="shared" ca="1" si="85"/>
        <v>544724.54230000009</v>
      </c>
      <c r="AQ13" s="37"/>
      <c r="AR13" s="100">
        <f t="shared" ca="1" si="86"/>
        <v>747229.32893224561</v>
      </c>
      <c r="AS13" s="100">
        <f t="shared" ca="1" si="86"/>
        <v>399598.54839529633</v>
      </c>
      <c r="AT13" s="100">
        <f t="shared" ca="1" si="86"/>
        <v>424915.26030000002</v>
      </c>
      <c r="AU13" s="100">
        <f ca="1">SUMPRODUCT(--($CX$9:$EX$9=$H13)*$AO13,'General Inputs'!$K$40:$BK$40)</f>
        <v>119809.28200000005</v>
      </c>
      <c r="AV13" s="100">
        <f t="shared" ca="1" si="87"/>
        <v>3914166.2207915699</v>
      </c>
      <c r="AW13" s="100">
        <f t="shared" ca="1" si="87"/>
        <v>1585223.2228905915</v>
      </c>
      <c r="AX13" s="100">
        <f t="shared" ca="1" si="87"/>
        <v>139242.78134700897</v>
      </c>
      <c r="AY13" s="98">
        <f t="shared" ca="1" si="87"/>
        <v>33478991.638205763</v>
      </c>
      <c r="AZ13" s="37"/>
      <c r="BA13" s="100">
        <f t="shared" ca="1" si="88"/>
        <v>857427.39330535475</v>
      </c>
      <c r="BB13" s="102">
        <f t="shared" ca="1" si="89"/>
        <v>1.9889148908644831</v>
      </c>
      <c r="BC13" s="100">
        <f t="shared" ca="1" si="90"/>
        <v>867038.61093224562</v>
      </c>
      <c r="BD13" s="100">
        <f t="shared" ca="1" si="91"/>
        <v>1724466.0042376004</v>
      </c>
      <c r="BE13" s="100">
        <f t="shared" ca="1" si="92"/>
        <v>1585223.2228905915</v>
      </c>
      <c r="BF13" s="100">
        <f t="shared" ca="1" si="93"/>
        <v>139242.78134700897</v>
      </c>
      <c r="BG13" s="100">
        <f t="shared" ca="1" si="94"/>
        <v>119809.28200000005</v>
      </c>
      <c r="BH13" s="100">
        <f t="shared" ca="1" si="95"/>
        <v>747229.32893224561</v>
      </c>
      <c r="BI13" s="37"/>
      <c r="BJ13" s="100">
        <f t="shared" ca="1" si="96"/>
        <v>1257025.9417006511</v>
      </c>
      <c r="BK13" s="102">
        <f t="shared" ca="1" si="97"/>
        <v>2.4497923458669142</v>
      </c>
      <c r="BL13" s="100">
        <f t="shared" ca="1" si="98"/>
        <v>867038.61093224562</v>
      </c>
      <c r="BM13" s="100">
        <f t="shared" ca="1" si="99"/>
        <v>2124064.5526328967</v>
      </c>
      <c r="BN13" s="100">
        <f t="shared" ca="1" si="100"/>
        <v>1585223.2228905915</v>
      </c>
      <c r="BO13" s="100">
        <f t="shared" ca="1" si="101"/>
        <v>139242.78134700897</v>
      </c>
      <c r="BP13" s="100">
        <f t="shared" ca="1" si="102"/>
        <v>399598.54839529633</v>
      </c>
      <c r="BQ13" s="100">
        <f t="shared" ca="1" si="103"/>
        <v>119809.28200000005</v>
      </c>
      <c r="BR13" s="100">
        <f t="shared" ca="1" si="104"/>
        <v>747229.32893224561</v>
      </c>
      <c r="BS13" s="37"/>
      <c r="BT13" s="100">
        <f t="shared" ca="1" si="105"/>
        <v>3591852.1521593244</v>
      </c>
      <c r="BU13" s="102">
        <f t="shared" ca="1" si="106"/>
        <v>5.806893965594079</v>
      </c>
      <c r="BV13" s="102" t="e">
        <f t="shared" ca="1" si="107"/>
        <v>#DIV/0!</v>
      </c>
      <c r="BW13" s="100">
        <f t="shared" ca="1" si="108"/>
        <v>747229.32893224561</v>
      </c>
      <c r="BX13" s="100">
        <f t="shared" ca="1" si="109"/>
        <v>4339081.4810915701</v>
      </c>
      <c r="BY13" s="100">
        <f t="shared" ca="1" si="110"/>
        <v>3914166.2207915699</v>
      </c>
      <c r="BZ13" s="100">
        <f t="shared" ca="1" si="111"/>
        <v>424915.26030000002</v>
      </c>
      <c r="CA13" s="100">
        <f t="shared" ca="1" si="112"/>
        <v>747229.32893224561</v>
      </c>
      <c r="CB13" s="37"/>
      <c r="CC13" s="100">
        <f t="shared" ca="1" si="113"/>
        <v>1179741.4619376003</v>
      </c>
      <c r="CD13" s="102">
        <f t="shared" ca="1" si="114"/>
        <v>3.1657578653540321</v>
      </c>
      <c r="CE13" s="103">
        <f t="shared" ca="1" si="115"/>
        <v>1.6270637663960225E-2</v>
      </c>
      <c r="CF13" s="100">
        <f t="shared" ca="1" si="116"/>
        <v>544724.54230000009</v>
      </c>
      <c r="CG13" s="100">
        <f t="shared" ca="1" si="117"/>
        <v>1724466.0042376004</v>
      </c>
      <c r="CH13" s="100">
        <f t="shared" ca="1" si="118"/>
        <v>1585223.2228905915</v>
      </c>
      <c r="CI13" s="100">
        <f t="shared" ca="1" si="71"/>
        <v>139242.78134700897</v>
      </c>
      <c r="CJ13" s="100">
        <f t="shared" ca="1" si="72"/>
        <v>424915.26030000002</v>
      </c>
      <c r="CK13" s="100">
        <f t="shared" ca="1" si="119"/>
        <v>119809.28200000005</v>
      </c>
      <c r="CL13" s="37"/>
      <c r="CM13" s="100">
        <f t="shared" ca="1" si="120"/>
        <v>-2734424.7588539692</v>
      </c>
      <c r="CN13" s="102">
        <f t="shared" ca="1" si="121"/>
        <v>0.38674775765126451</v>
      </c>
      <c r="CO13" s="128"/>
      <c r="CP13" s="100">
        <f t="shared" ca="1" si="122"/>
        <v>4458890.7630915698</v>
      </c>
      <c r="CQ13" s="100">
        <f t="shared" ca="1" si="123"/>
        <v>1724466.0042376004</v>
      </c>
      <c r="CR13" s="100">
        <f t="shared" ca="1" si="124"/>
        <v>1585223.2228905915</v>
      </c>
      <c r="CS13" s="100">
        <f t="shared" ca="1" si="73"/>
        <v>139242.78134700897</v>
      </c>
      <c r="CT13" s="100">
        <f t="shared" ca="1" si="125"/>
        <v>3914166.2207915699</v>
      </c>
      <c r="CU13" s="100">
        <f t="shared" ca="1" si="126"/>
        <v>424915.26030000002</v>
      </c>
      <c r="CV13" s="100">
        <f t="shared" ca="1" si="127"/>
        <v>119809.28200000005</v>
      </c>
      <c r="CW13" s="37"/>
      <c r="CX13" s="48">
        <f t="shared" ca="1" si="128"/>
        <v>3843016.9483999992</v>
      </c>
      <c r="CY13" s="48">
        <f t="shared" ca="1" si="128"/>
        <v>3843016.9483999992</v>
      </c>
      <c r="CZ13" s="48">
        <f t="shared" ca="1" si="128"/>
        <v>3843016.9483999992</v>
      </c>
      <c r="DA13" s="48">
        <f t="shared" ca="1" si="128"/>
        <v>3843016.9483999992</v>
      </c>
      <c r="DB13" s="48">
        <f t="shared" ca="1" si="128"/>
        <v>3843016.9483999992</v>
      </c>
      <c r="DC13" s="48">
        <f t="shared" ca="1" si="128"/>
        <v>3843016.9483999992</v>
      </c>
      <c r="DD13" s="48">
        <f t="shared" ca="1" si="128"/>
        <v>3843016.9483999992</v>
      </c>
      <c r="DE13" s="48">
        <f t="shared" ca="1" si="128"/>
        <v>3843016.9483999992</v>
      </c>
      <c r="DF13" s="48">
        <f t="shared" ca="1" si="128"/>
        <v>3494803.7613999993</v>
      </c>
      <c r="DG13" s="48">
        <f t="shared" ca="1" si="128"/>
        <v>3494803.7613999993</v>
      </c>
      <c r="DH13" s="48">
        <f t="shared" ca="1" si="129"/>
        <v>3494803.7613999993</v>
      </c>
      <c r="DI13" s="48">
        <f t="shared" ca="1" si="129"/>
        <v>3494803.7613999993</v>
      </c>
      <c r="DJ13" s="48">
        <f t="shared" ca="1" si="129"/>
        <v>3494803.7613999993</v>
      </c>
      <c r="DK13" s="48">
        <f t="shared" ca="1" si="129"/>
        <v>3494803.7613999993</v>
      </c>
      <c r="DL13" s="48">
        <f t="shared" ca="1" si="129"/>
        <v>3494803.7613999993</v>
      </c>
      <c r="DM13" s="48">
        <f t="shared" ca="1" si="129"/>
        <v>1483061.2239999995</v>
      </c>
      <c r="DN13" s="48">
        <f t="shared" ca="1" si="129"/>
        <v>0</v>
      </c>
      <c r="DO13" s="48">
        <f t="shared" ca="1" si="129"/>
        <v>0</v>
      </c>
      <c r="DP13" s="48">
        <f t="shared" ca="1" si="129"/>
        <v>0</v>
      </c>
      <c r="DQ13" s="48">
        <f t="shared" ca="1" si="129"/>
        <v>0</v>
      </c>
      <c r="DR13" s="48">
        <f t="shared" ca="1" si="130"/>
        <v>0</v>
      </c>
      <c r="DS13" s="48">
        <f t="shared" ca="1" si="130"/>
        <v>0</v>
      </c>
      <c r="DT13" s="48">
        <f t="shared" ca="1" si="130"/>
        <v>0</v>
      </c>
      <c r="DU13" s="48">
        <f t="shared" ca="1" si="130"/>
        <v>0</v>
      </c>
      <c r="DV13" s="48">
        <f t="shared" ca="1" si="130"/>
        <v>0</v>
      </c>
      <c r="DW13" s="48">
        <f t="shared" ca="1" si="130"/>
        <v>0</v>
      </c>
      <c r="DX13" s="48">
        <f t="shared" ca="1" si="130"/>
        <v>0</v>
      </c>
      <c r="DY13" s="48">
        <f t="shared" ca="1" si="130"/>
        <v>0</v>
      </c>
      <c r="DZ13" s="48">
        <f t="shared" ca="1" si="130"/>
        <v>0</v>
      </c>
      <c r="EA13" s="48">
        <f t="shared" ca="1" si="130"/>
        <v>0</v>
      </c>
      <c r="EB13" s="48">
        <f t="shared" ca="1" si="131"/>
        <v>0</v>
      </c>
      <c r="EC13" s="48">
        <f t="shared" ca="1" si="131"/>
        <v>0</v>
      </c>
      <c r="ED13" s="48">
        <f t="shared" ca="1" si="131"/>
        <v>0</v>
      </c>
      <c r="EE13" s="48">
        <f t="shared" ca="1" si="131"/>
        <v>0</v>
      </c>
      <c r="EF13" s="48">
        <f t="shared" ca="1" si="131"/>
        <v>0</v>
      </c>
      <c r="EG13" s="48">
        <f t="shared" ca="1" si="131"/>
        <v>0</v>
      </c>
      <c r="EH13" s="48">
        <f t="shared" ca="1" si="131"/>
        <v>0</v>
      </c>
      <c r="EI13" s="48">
        <f t="shared" ca="1" si="131"/>
        <v>0</v>
      </c>
      <c r="EJ13" s="48">
        <f t="shared" ca="1" si="131"/>
        <v>0</v>
      </c>
      <c r="EK13" s="48">
        <f t="shared" ca="1" si="131"/>
        <v>0</v>
      </c>
      <c r="EL13" s="48">
        <f t="shared" ca="1" si="132"/>
        <v>0</v>
      </c>
      <c r="EM13" s="48">
        <f t="shared" ca="1" si="132"/>
        <v>0</v>
      </c>
      <c r="EN13" s="48">
        <f t="shared" ca="1" si="132"/>
        <v>0</v>
      </c>
      <c r="EO13" s="48">
        <f t="shared" ca="1" si="132"/>
        <v>0</v>
      </c>
      <c r="EP13" s="48">
        <f t="shared" ca="1" si="132"/>
        <v>0</v>
      </c>
      <c r="EQ13" s="48">
        <f t="shared" ca="1" si="132"/>
        <v>0</v>
      </c>
      <c r="ER13" s="48">
        <f t="shared" ca="1" si="132"/>
        <v>0</v>
      </c>
      <c r="ES13" s="48">
        <f t="shared" ca="1" si="132"/>
        <v>0</v>
      </c>
      <c r="ET13" s="48">
        <f t="shared" ca="1" si="132"/>
        <v>0</v>
      </c>
      <c r="EU13" s="48">
        <f t="shared" ca="1" si="132"/>
        <v>0</v>
      </c>
      <c r="EV13" s="48">
        <f t="shared" ca="1" si="132"/>
        <v>0</v>
      </c>
      <c r="EW13" s="48">
        <f t="shared" ca="1" si="132"/>
        <v>0</v>
      </c>
      <c r="EX13" s="48">
        <f t="shared" ca="1" si="132"/>
        <v>0</v>
      </c>
      <c r="EY13" s="69"/>
      <c r="EZ13" s="48">
        <f t="shared" ca="1" si="133"/>
        <v>891.63746299999991</v>
      </c>
      <c r="FA13" s="48">
        <f t="shared" ca="1" si="133"/>
        <v>891.63746299999991</v>
      </c>
      <c r="FB13" s="48">
        <f t="shared" ca="1" si="133"/>
        <v>891.63746299999991</v>
      </c>
      <c r="FC13" s="48">
        <f t="shared" ca="1" si="133"/>
        <v>891.63746299999991</v>
      </c>
      <c r="FD13" s="48">
        <f t="shared" ca="1" si="133"/>
        <v>891.63746299999991</v>
      </c>
      <c r="FE13" s="48">
        <f t="shared" ca="1" si="133"/>
        <v>891.63746299999991</v>
      </c>
      <c r="FF13" s="48">
        <f t="shared" ca="1" si="133"/>
        <v>891.63746299999991</v>
      </c>
      <c r="FG13" s="48">
        <f t="shared" ca="1" si="133"/>
        <v>891.63746299999991</v>
      </c>
      <c r="FH13" s="48">
        <f t="shared" ca="1" si="133"/>
        <v>828.73832499999992</v>
      </c>
      <c r="FI13" s="48">
        <f t="shared" ca="1" si="133"/>
        <v>828.73832499999992</v>
      </c>
      <c r="FJ13" s="48">
        <f t="shared" ca="1" si="134"/>
        <v>828.73832499999992</v>
      </c>
      <c r="FK13" s="48">
        <f t="shared" ca="1" si="134"/>
        <v>828.73832499999992</v>
      </c>
      <c r="FL13" s="48">
        <f t="shared" ca="1" si="134"/>
        <v>828.73832499999992</v>
      </c>
      <c r="FM13" s="48">
        <f t="shared" ca="1" si="134"/>
        <v>828.73832499999992</v>
      </c>
      <c r="FN13" s="48">
        <f t="shared" ca="1" si="134"/>
        <v>828.73832499999992</v>
      </c>
      <c r="FO13" s="48">
        <f t="shared" ca="1" si="134"/>
        <v>334.88795499999992</v>
      </c>
      <c r="FP13" s="48">
        <f t="shared" ca="1" si="134"/>
        <v>0</v>
      </c>
      <c r="FQ13" s="48">
        <f t="shared" ca="1" si="134"/>
        <v>0</v>
      </c>
      <c r="FR13" s="48">
        <f t="shared" ca="1" si="134"/>
        <v>0</v>
      </c>
      <c r="FS13" s="48">
        <f t="shared" ca="1" si="134"/>
        <v>0</v>
      </c>
      <c r="FT13" s="48">
        <f t="shared" ca="1" si="135"/>
        <v>0</v>
      </c>
      <c r="FU13" s="48">
        <f t="shared" ca="1" si="135"/>
        <v>0</v>
      </c>
      <c r="FV13" s="48">
        <f t="shared" ca="1" si="135"/>
        <v>0</v>
      </c>
      <c r="FW13" s="48">
        <f t="shared" ca="1" si="135"/>
        <v>0</v>
      </c>
      <c r="FX13" s="48">
        <f t="shared" ca="1" si="135"/>
        <v>0</v>
      </c>
      <c r="FY13" s="48">
        <f t="shared" ca="1" si="135"/>
        <v>0</v>
      </c>
      <c r="FZ13" s="48">
        <f t="shared" ca="1" si="135"/>
        <v>0</v>
      </c>
      <c r="GA13" s="48">
        <f t="shared" ca="1" si="135"/>
        <v>0</v>
      </c>
      <c r="GB13" s="48">
        <f t="shared" ca="1" si="135"/>
        <v>0</v>
      </c>
      <c r="GC13" s="48">
        <f t="shared" ca="1" si="135"/>
        <v>0</v>
      </c>
      <c r="GD13" s="48">
        <f t="shared" ca="1" si="136"/>
        <v>0</v>
      </c>
      <c r="GE13" s="48">
        <f t="shared" ca="1" si="136"/>
        <v>0</v>
      </c>
      <c r="GF13" s="48">
        <f t="shared" ca="1" si="136"/>
        <v>0</v>
      </c>
      <c r="GG13" s="48">
        <f t="shared" ca="1" si="136"/>
        <v>0</v>
      </c>
      <c r="GH13" s="48">
        <f t="shared" ca="1" si="136"/>
        <v>0</v>
      </c>
      <c r="GI13" s="48">
        <f t="shared" ca="1" si="136"/>
        <v>0</v>
      </c>
      <c r="GJ13" s="48">
        <f t="shared" ca="1" si="136"/>
        <v>0</v>
      </c>
      <c r="GK13" s="48">
        <f t="shared" ca="1" si="136"/>
        <v>0</v>
      </c>
      <c r="GL13" s="48">
        <f t="shared" ca="1" si="136"/>
        <v>0</v>
      </c>
      <c r="GM13" s="48">
        <f t="shared" ca="1" si="136"/>
        <v>0</v>
      </c>
      <c r="GN13" s="48">
        <f t="shared" ca="1" si="137"/>
        <v>0</v>
      </c>
      <c r="GO13" s="48">
        <f t="shared" ca="1" si="137"/>
        <v>0</v>
      </c>
      <c r="GP13" s="48">
        <f t="shared" ca="1" si="137"/>
        <v>0</v>
      </c>
      <c r="GQ13" s="48">
        <f t="shared" ca="1" si="137"/>
        <v>0</v>
      </c>
      <c r="GR13" s="48">
        <f t="shared" ca="1" si="137"/>
        <v>0</v>
      </c>
      <c r="GS13" s="48">
        <f t="shared" ca="1" si="137"/>
        <v>0</v>
      </c>
      <c r="GT13" s="48">
        <f t="shared" ca="1" si="137"/>
        <v>0</v>
      </c>
      <c r="GU13" s="48">
        <f t="shared" ca="1" si="137"/>
        <v>0</v>
      </c>
      <c r="GV13" s="48">
        <f t="shared" ca="1" si="137"/>
        <v>0</v>
      </c>
      <c r="GW13" s="48">
        <f t="shared" ca="1" si="137"/>
        <v>0</v>
      </c>
      <c r="GX13" s="48">
        <f t="shared" ca="1" si="137"/>
        <v>0</v>
      </c>
      <c r="GY13" s="48">
        <f t="shared" ca="1" si="137"/>
        <v>0</v>
      </c>
      <c r="GZ13" s="48">
        <f t="shared" ca="1" si="137"/>
        <v>0</v>
      </c>
      <c r="HA13" s="69"/>
      <c r="HB13" s="150">
        <f t="shared" ca="1" si="74"/>
        <v>1.9889148908644831</v>
      </c>
      <c r="HC13" s="150">
        <f t="shared" ca="1" si="75"/>
        <v>3.1657578653540321</v>
      </c>
      <c r="HD13" s="150">
        <f t="shared" ca="1" si="76"/>
        <v>2.4497923458669142</v>
      </c>
      <c r="HE13" s="150">
        <f t="shared" ca="1" si="77"/>
        <v>5.806893965594079</v>
      </c>
      <c r="HF13" s="150">
        <f t="shared" ca="1" si="78"/>
        <v>0.38674775765126451</v>
      </c>
      <c r="HG13" s="148"/>
      <c r="HH13" s="149"/>
      <c r="HI13" s="149"/>
      <c r="HJ13" s="149"/>
      <c r="HK13" s="150"/>
      <c r="HL13" s="149"/>
      <c r="HM13" s="149"/>
      <c r="HN13" s="149"/>
      <c r="HO13" s="150"/>
      <c r="HP13" s="148"/>
      <c r="HQ13" s="149"/>
      <c r="HR13" s="149"/>
      <c r="HS13" s="149"/>
      <c r="HT13" s="150"/>
      <c r="HU13" s="149"/>
      <c r="HV13" s="149"/>
      <c r="HW13" s="149"/>
      <c r="HX13" s="150"/>
      <c r="HY13" s="151"/>
      <c r="HZ13" s="150"/>
      <c r="IA13" s="150"/>
      <c r="IB13" s="152"/>
      <c r="IC13" s="150"/>
      <c r="ID13" s="152"/>
      <c r="IE13" s="150"/>
      <c r="IF13" s="153"/>
    </row>
    <row r="14" spans="1:240" s="36" customFormat="1" ht="14.4" customHeight="1">
      <c r="A14" s="39"/>
      <c r="B14" s="108" t="str">
        <f t="shared" si="79"/>
        <v>All_Cross Marketing and Training_All_All_2017_Actual</v>
      </c>
      <c r="C14" s="108"/>
      <c r="D14" s="109" t="s">
        <v>28</v>
      </c>
      <c r="E14" s="109" t="s">
        <v>162</v>
      </c>
      <c r="F14" s="109" t="s">
        <v>28</v>
      </c>
      <c r="G14" s="109" t="s">
        <v>28</v>
      </c>
      <c r="H14" s="109">
        <v>2017</v>
      </c>
      <c r="I14" s="109" t="s">
        <v>167</v>
      </c>
      <c r="J14" s="37"/>
      <c r="K14" s="99"/>
      <c r="L14" s="38"/>
      <c r="M14" s="133"/>
      <c r="N14" s="132"/>
      <c r="O14" s="132"/>
      <c r="P14" s="37"/>
      <c r="Q14" s="129">
        <f t="shared" ca="1" si="80"/>
        <v>0</v>
      </c>
      <c r="R14" s="129">
        <f t="shared" ca="1" si="80"/>
        <v>0</v>
      </c>
      <c r="S14" s="129">
        <f t="shared" ca="1" si="80"/>
        <v>0</v>
      </c>
      <c r="T14" s="37"/>
      <c r="U14" s="129">
        <f t="shared" ca="1" si="81"/>
        <v>0</v>
      </c>
      <c r="V14" s="129">
        <f t="shared" ca="1" si="81"/>
        <v>0</v>
      </c>
      <c r="W14" s="129">
        <f t="shared" ca="1" si="81"/>
        <v>0</v>
      </c>
      <c r="X14" s="37"/>
      <c r="Y14" s="129">
        <f t="shared" ca="1" si="82"/>
        <v>0</v>
      </c>
      <c r="Z14" s="129">
        <f t="shared" ca="1" si="82"/>
        <v>0</v>
      </c>
      <c r="AA14" s="129">
        <f t="shared" ca="1" si="82"/>
        <v>0</v>
      </c>
      <c r="AB14" s="37"/>
      <c r="AC14" s="129">
        <f t="shared" ca="1" si="83"/>
        <v>0</v>
      </c>
      <c r="AD14" s="129">
        <f t="shared" ca="1" si="83"/>
        <v>0</v>
      </c>
      <c r="AE14" s="129">
        <f t="shared" ca="1" si="83"/>
        <v>0</v>
      </c>
      <c r="AF14" s="37"/>
      <c r="AG14" s="97"/>
      <c r="AH14" s="97"/>
      <c r="AI14" s="97">
        <f t="shared" ca="1" si="84"/>
        <v>0</v>
      </c>
      <c r="AJ14" s="100">
        <f t="shared" ca="1" si="84"/>
        <v>0</v>
      </c>
      <c r="AK14" s="100">
        <f t="shared" ca="1" si="84"/>
        <v>0</v>
      </c>
      <c r="AL14" s="100">
        <f t="shared" ca="1" si="84"/>
        <v>0</v>
      </c>
      <c r="AM14" s="100">
        <f t="shared" ca="1" si="84"/>
        <v>0</v>
      </c>
      <c r="AN14" s="100">
        <f t="shared" ca="1" si="84"/>
        <v>0</v>
      </c>
      <c r="AO14" s="163">
        <f ca="1">SUMIFS(OFFSET(AO$17,,,TotalPrograms),OFFSET($B$17,,,TotalPrograms),SUBSTITUTE($B14,"All","*"))</f>
        <v>78508.540000000008</v>
      </c>
      <c r="AP14" s="100">
        <f t="shared" ca="1" si="85"/>
        <v>78508.540000000008</v>
      </c>
      <c r="AQ14" s="37"/>
      <c r="AR14" s="100">
        <f t="shared" ca="1" si="86"/>
        <v>0</v>
      </c>
      <c r="AS14" s="100">
        <f t="shared" ca="1" si="86"/>
        <v>0</v>
      </c>
      <c r="AT14" s="100">
        <f t="shared" ca="1" si="86"/>
        <v>0</v>
      </c>
      <c r="AU14" s="100">
        <f ca="1">SUMPRODUCT(--($CX$9:$EX$9=$H14)*$AO14,'General Inputs'!$K$40:$BK$40)</f>
        <v>78508.540000000008</v>
      </c>
      <c r="AV14" s="100">
        <f t="shared" ca="1" si="87"/>
        <v>0</v>
      </c>
      <c r="AW14" s="100">
        <f t="shared" ca="1" si="87"/>
        <v>0</v>
      </c>
      <c r="AX14" s="100">
        <f t="shared" ca="1" si="87"/>
        <v>0</v>
      </c>
      <c r="AY14" s="98">
        <f t="shared" ca="1" si="87"/>
        <v>0</v>
      </c>
      <c r="AZ14" s="37"/>
      <c r="BA14" s="100">
        <f t="shared" ca="1" si="88"/>
        <v>-78508.540000000008</v>
      </c>
      <c r="BB14" s="102">
        <f t="shared" ca="1" si="89"/>
        <v>0</v>
      </c>
      <c r="BC14" s="100">
        <f t="shared" ca="1" si="90"/>
        <v>78508.540000000008</v>
      </c>
      <c r="BD14" s="100">
        <f t="shared" ca="1" si="91"/>
        <v>0</v>
      </c>
      <c r="BE14" s="100">
        <f t="shared" ca="1" si="92"/>
        <v>0</v>
      </c>
      <c r="BF14" s="100">
        <f t="shared" ca="1" si="93"/>
        <v>0</v>
      </c>
      <c r="BG14" s="100">
        <f t="shared" ca="1" si="94"/>
        <v>78508.540000000008</v>
      </c>
      <c r="BH14" s="100">
        <f t="shared" ca="1" si="95"/>
        <v>0</v>
      </c>
      <c r="BI14" s="37"/>
      <c r="BJ14" s="100">
        <f t="shared" ca="1" si="96"/>
        <v>-78508.540000000008</v>
      </c>
      <c r="BK14" s="102">
        <f t="shared" ca="1" si="97"/>
        <v>0</v>
      </c>
      <c r="BL14" s="100">
        <f t="shared" ca="1" si="98"/>
        <v>78508.540000000008</v>
      </c>
      <c r="BM14" s="100">
        <f t="shared" ca="1" si="99"/>
        <v>0</v>
      </c>
      <c r="BN14" s="100">
        <f t="shared" ca="1" si="100"/>
        <v>0</v>
      </c>
      <c r="BO14" s="100">
        <f t="shared" ca="1" si="101"/>
        <v>0</v>
      </c>
      <c r="BP14" s="100">
        <f t="shared" ca="1" si="102"/>
        <v>0</v>
      </c>
      <c r="BQ14" s="100">
        <f t="shared" ca="1" si="103"/>
        <v>78508.540000000008</v>
      </c>
      <c r="BR14" s="100">
        <f t="shared" ca="1" si="104"/>
        <v>0</v>
      </c>
      <c r="BS14" s="37"/>
      <c r="BT14" s="100">
        <f t="shared" ca="1" si="105"/>
        <v>0</v>
      </c>
      <c r="BU14" s="102" t="e">
        <f t="shared" ca="1" si="106"/>
        <v>#DIV/0!</v>
      </c>
      <c r="BV14" s="102" t="e">
        <f t="shared" ca="1" si="107"/>
        <v>#DIV/0!</v>
      </c>
      <c r="BW14" s="100">
        <f t="shared" ca="1" si="108"/>
        <v>0</v>
      </c>
      <c r="BX14" s="100">
        <f t="shared" ca="1" si="109"/>
        <v>0</v>
      </c>
      <c r="BY14" s="100">
        <f t="shared" ca="1" si="110"/>
        <v>0</v>
      </c>
      <c r="BZ14" s="100">
        <f t="shared" ca="1" si="111"/>
        <v>0</v>
      </c>
      <c r="CA14" s="100">
        <f t="shared" ca="1" si="112"/>
        <v>0</v>
      </c>
      <c r="CB14" s="37"/>
      <c r="CC14" s="100">
        <f t="shared" ca="1" si="113"/>
        <v>-78508.540000000008</v>
      </c>
      <c r="CD14" s="102">
        <f t="shared" ca="1" si="114"/>
        <v>0</v>
      </c>
      <c r="CE14" s="103" t="e">
        <f t="shared" ca="1" si="115"/>
        <v>#DIV/0!</v>
      </c>
      <c r="CF14" s="100">
        <f t="shared" ca="1" si="116"/>
        <v>78508.540000000008</v>
      </c>
      <c r="CG14" s="100">
        <f t="shared" ca="1" si="117"/>
        <v>0</v>
      </c>
      <c r="CH14" s="100">
        <f t="shared" ca="1" si="118"/>
        <v>0</v>
      </c>
      <c r="CI14" s="100">
        <f t="shared" ref="CI14:CI15" ca="1" si="138">AX14</f>
        <v>0</v>
      </c>
      <c r="CJ14" s="100">
        <f t="shared" ref="CJ14:CJ15" ca="1" si="139">AT14</f>
        <v>0</v>
      </c>
      <c r="CK14" s="100">
        <f t="shared" ca="1" si="119"/>
        <v>78508.540000000008</v>
      </c>
      <c r="CL14" s="37"/>
      <c r="CM14" s="100">
        <f t="shared" ca="1" si="120"/>
        <v>-78508.540000000008</v>
      </c>
      <c r="CN14" s="102">
        <f t="shared" ca="1" si="121"/>
        <v>0</v>
      </c>
      <c r="CO14" s="128"/>
      <c r="CP14" s="100">
        <f t="shared" ca="1" si="122"/>
        <v>78508.540000000008</v>
      </c>
      <c r="CQ14" s="100">
        <f t="shared" ca="1" si="123"/>
        <v>0</v>
      </c>
      <c r="CR14" s="100">
        <f t="shared" ca="1" si="124"/>
        <v>0</v>
      </c>
      <c r="CS14" s="100">
        <f t="shared" ref="CS14:CS15" ca="1" si="140">AX14</f>
        <v>0</v>
      </c>
      <c r="CT14" s="100">
        <f t="shared" ca="1" si="125"/>
        <v>0</v>
      </c>
      <c r="CU14" s="100">
        <f t="shared" ca="1" si="126"/>
        <v>0</v>
      </c>
      <c r="CV14" s="100">
        <f t="shared" ca="1" si="127"/>
        <v>78508.540000000008</v>
      </c>
      <c r="CW14" s="37"/>
      <c r="CX14" s="48">
        <f t="shared" ca="1" si="128"/>
        <v>0</v>
      </c>
      <c r="CY14" s="48">
        <f t="shared" ca="1" si="128"/>
        <v>0</v>
      </c>
      <c r="CZ14" s="48">
        <f t="shared" ca="1" si="128"/>
        <v>0</v>
      </c>
      <c r="DA14" s="48">
        <f t="shared" ca="1" si="128"/>
        <v>0</v>
      </c>
      <c r="DB14" s="48">
        <f t="shared" ca="1" si="128"/>
        <v>0</v>
      </c>
      <c r="DC14" s="48">
        <f t="shared" ca="1" si="128"/>
        <v>0</v>
      </c>
      <c r="DD14" s="48">
        <f t="shared" ca="1" si="128"/>
        <v>0</v>
      </c>
      <c r="DE14" s="48">
        <f t="shared" ca="1" si="128"/>
        <v>0</v>
      </c>
      <c r="DF14" s="48">
        <f t="shared" ca="1" si="128"/>
        <v>0</v>
      </c>
      <c r="DG14" s="48">
        <f t="shared" ca="1" si="128"/>
        <v>0</v>
      </c>
      <c r="DH14" s="48">
        <f t="shared" ca="1" si="129"/>
        <v>0</v>
      </c>
      <c r="DI14" s="48">
        <f t="shared" ca="1" si="129"/>
        <v>0</v>
      </c>
      <c r="DJ14" s="48">
        <f t="shared" ca="1" si="129"/>
        <v>0</v>
      </c>
      <c r="DK14" s="48">
        <f t="shared" ca="1" si="129"/>
        <v>0</v>
      </c>
      <c r="DL14" s="48">
        <f t="shared" ca="1" si="129"/>
        <v>0</v>
      </c>
      <c r="DM14" s="48">
        <f t="shared" ca="1" si="129"/>
        <v>0</v>
      </c>
      <c r="DN14" s="48">
        <f t="shared" ca="1" si="129"/>
        <v>0</v>
      </c>
      <c r="DO14" s="48">
        <f t="shared" ca="1" si="129"/>
        <v>0</v>
      </c>
      <c r="DP14" s="48">
        <f t="shared" ca="1" si="129"/>
        <v>0</v>
      </c>
      <c r="DQ14" s="48">
        <f t="shared" ca="1" si="129"/>
        <v>0</v>
      </c>
      <c r="DR14" s="48">
        <f t="shared" ca="1" si="130"/>
        <v>0</v>
      </c>
      <c r="DS14" s="48">
        <f t="shared" ca="1" si="130"/>
        <v>0</v>
      </c>
      <c r="DT14" s="48">
        <f t="shared" ca="1" si="130"/>
        <v>0</v>
      </c>
      <c r="DU14" s="48">
        <f t="shared" ca="1" si="130"/>
        <v>0</v>
      </c>
      <c r="DV14" s="48">
        <f t="shared" ca="1" si="130"/>
        <v>0</v>
      </c>
      <c r="DW14" s="48">
        <f t="shared" ca="1" si="130"/>
        <v>0</v>
      </c>
      <c r="DX14" s="48">
        <f t="shared" ca="1" si="130"/>
        <v>0</v>
      </c>
      <c r="DY14" s="48">
        <f t="shared" ca="1" si="130"/>
        <v>0</v>
      </c>
      <c r="DZ14" s="48">
        <f t="shared" ca="1" si="130"/>
        <v>0</v>
      </c>
      <c r="EA14" s="48">
        <f t="shared" ca="1" si="130"/>
        <v>0</v>
      </c>
      <c r="EB14" s="48">
        <f t="shared" ca="1" si="131"/>
        <v>0</v>
      </c>
      <c r="EC14" s="48">
        <f t="shared" ca="1" si="131"/>
        <v>0</v>
      </c>
      <c r="ED14" s="48">
        <f t="shared" ca="1" si="131"/>
        <v>0</v>
      </c>
      <c r="EE14" s="48">
        <f t="shared" ca="1" si="131"/>
        <v>0</v>
      </c>
      <c r="EF14" s="48">
        <f t="shared" ca="1" si="131"/>
        <v>0</v>
      </c>
      <c r="EG14" s="48">
        <f t="shared" ca="1" si="131"/>
        <v>0</v>
      </c>
      <c r="EH14" s="48">
        <f t="shared" ca="1" si="131"/>
        <v>0</v>
      </c>
      <c r="EI14" s="48">
        <f t="shared" ca="1" si="131"/>
        <v>0</v>
      </c>
      <c r="EJ14" s="48">
        <f t="shared" ca="1" si="131"/>
        <v>0</v>
      </c>
      <c r="EK14" s="48">
        <f t="shared" ca="1" si="131"/>
        <v>0</v>
      </c>
      <c r="EL14" s="48">
        <f t="shared" ca="1" si="132"/>
        <v>0</v>
      </c>
      <c r="EM14" s="48">
        <f t="shared" ca="1" si="132"/>
        <v>0</v>
      </c>
      <c r="EN14" s="48">
        <f t="shared" ca="1" si="132"/>
        <v>0</v>
      </c>
      <c r="EO14" s="48">
        <f t="shared" ca="1" si="132"/>
        <v>0</v>
      </c>
      <c r="EP14" s="48">
        <f t="shared" ca="1" si="132"/>
        <v>0</v>
      </c>
      <c r="EQ14" s="48">
        <f t="shared" ca="1" si="132"/>
        <v>0</v>
      </c>
      <c r="ER14" s="48">
        <f t="shared" ca="1" si="132"/>
        <v>0</v>
      </c>
      <c r="ES14" s="48">
        <f t="shared" ca="1" si="132"/>
        <v>0</v>
      </c>
      <c r="ET14" s="48">
        <f t="shared" ca="1" si="132"/>
        <v>0</v>
      </c>
      <c r="EU14" s="48">
        <f t="shared" ca="1" si="132"/>
        <v>0</v>
      </c>
      <c r="EV14" s="48">
        <f t="shared" ca="1" si="132"/>
        <v>0</v>
      </c>
      <c r="EW14" s="48">
        <f t="shared" ca="1" si="132"/>
        <v>0</v>
      </c>
      <c r="EX14" s="48">
        <f t="shared" ca="1" si="132"/>
        <v>0</v>
      </c>
      <c r="EY14" s="69"/>
      <c r="EZ14" s="48">
        <f t="shared" ca="1" si="133"/>
        <v>0</v>
      </c>
      <c r="FA14" s="48">
        <f t="shared" ca="1" si="133"/>
        <v>0</v>
      </c>
      <c r="FB14" s="48">
        <f t="shared" ca="1" si="133"/>
        <v>0</v>
      </c>
      <c r="FC14" s="48">
        <f t="shared" ca="1" si="133"/>
        <v>0</v>
      </c>
      <c r="FD14" s="48">
        <f t="shared" ca="1" si="133"/>
        <v>0</v>
      </c>
      <c r="FE14" s="48">
        <f t="shared" ca="1" si="133"/>
        <v>0</v>
      </c>
      <c r="FF14" s="48">
        <f t="shared" ca="1" si="133"/>
        <v>0</v>
      </c>
      <c r="FG14" s="48">
        <f t="shared" ca="1" si="133"/>
        <v>0</v>
      </c>
      <c r="FH14" s="48">
        <f t="shared" ca="1" si="133"/>
        <v>0</v>
      </c>
      <c r="FI14" s="48">
        <f t="shared" ca="1" si="133"/>
        <v>0</v>
      </c>
      <c r="FJ14" s="48">
        <f t="shared" ca="1" si="134"/>
        <v>0</v>
      </c>
      <c r="FK14" s="48">
        <f t="shared" ca="1" si="134"/>
        <v>0</v>
      </c>
      <c r="FL14" s="48">
        <f t="shared" ca="1" si="134"/>
        <v>0</v>
      </c>
      <c r="FM14" s="48">
        <f t="shared" ca="1" si="134"/>
        <v>0</v>
      </c>
      <c r="FN14" s="48">
        <f t="shared" ca="1" si="134"/>
        <v>0</v>
      </c>
      <c r="FO14" s="48">
        <f t="shared" ca="1" si="134"/>
        <v>0</v>
      </c>
      <c r="FP14" s="48">
        <f t="shared" ca="1" si="134"/>
        <v>0</v>
      </c>
      <c r="FQ14" s="48">
        <f t="shared" ca="1" si="134"/>
        <v>0</v>
      </c>
      <c r="FR14" s="48">
        <f t="shared" ca="1" si="134"/>
        <v>0</v>
      </c>
      <c r="FS14" s="48">
        <f t="shared" ca="1" si="134"/>
        <v>0</v>
      </c>
      <c r="FT14" s="48">
        <f t="shared" ca="1" si="135"/>
        <v>0</v>
      </c>
      <c r="FU14" s="48">
        <f t="shared" ca="1" si="135"/>
        <v>0</v>
      </c>
      <c r="FV14" s="48">
        <f t="shared" ca="1" si="135"/>
        <v>0</v>
      </c>
      <c r="FW14" s="48">
        <f t="shared" ca="1" si="135"/>
        <v>0</v>
      </c>
      <c r="FX14" s="48">
        <f t="shared" ca="1" si="135"/>
        <v>0</v>
      </c>
      <c r="FY14" s="48">
        <f t="shared" ca="1" si="135"/>
        <v>0</v>
      </c>
      <c r="FZ14" s="48">
        <f t="shared" ca="1" si="135"/>
        <v>0</v>
      </c>
      <c r="GA14" s="48">
        <f t="shared" ca="1" si="135"/>
        <v>0</v>
      </c>
      <c r="GB14" s="48">
        <f t="shared" ca="1" si="135"/>
        <v>0</v>
      </c>
      <c r="GC14" s="48">
        <f t="shared" ca="1" si="135"/>
        <v>0</v>
      </c>
      <c r="GD14" s="48">
        <f t="shared" ca="1" si="136"/>
        <v>0</v>
      </c>
      <c r="GE14" s="48">
        <f t="shared" ca="1" si="136"/>
        <v>0</v>
      </c>
      <c r="GF14" s="48">
        <f t="shared" ca="1" si="136"/>
        <v>0</v>
      </c>
      <c r="GG14" s="48">
        <f t="shared" ca="1" si="136"/>
        <v>0</v>
      </c>
      <c r="GH14" s="48">
        <f t="shared" ca="1" si="136"/>
        <v>0</v>
      </c>
      <c r="GI14" s="48">
        <f t="shared" ca="1" si="136"/>
        <v>0</v>
      </c>
      <c r="GJ14" s="48">
        <f t="shared" ca="1" si="136"/>
        <v>0</v>
      </c>
      <c r="GK14" s="48">
        <f t="shared" ca="1" si="136"/>
        <v>0</v>
      </c>
      <c r="GL14" s="48">
        <f t="shared" ca="1" si="136"/>
        <v>0</v>
      </c>
      <c r="GM14" s="48">
        <f t="shared" ca="1" si="136"/>
        <v>0</v>
      </c>
      <c r="GN14" s="48">
        <f t="shared" ca="1" si="137"/>
        <v>0</v>
      </c>
      <c r="GO14" s="48">
        <f t="shared" ca="1" si="137"/>
        <v>0</v>
      </c>
      <c r="GP14" s="48">
        <f t="shared" ca="1" si="137"/>
        <v>0</v>
      </c>
      <c r="GQ14" s="48">
        <f t="shared" ca="1" si="137"/>
        <v>0</v>
      </c>
      <c r="GR14" s="48">
        <f t="shared" ca="1" si="137"/>
        <v>0</v>
      </c>
      <c r="GS14" s="48">
        <f t="shared" ca="1" si="137"/>
        <v>0</v>
      </c>
      <c r="GT14" s="48">
        <f t="shared" ca="1" si="137"/>
        <v>0</v>
      </c>
      <c r="GU14" s="48">
        <f t="shared" ca="1" si="137"/>
        <v>0</v>
      </c>
      <c r="GV14" s="48">
        <f t="shared" ca="1" si="137"/>
        <v>0</v>
      </c>
      <c r="GW14" s="48">
        <f t="shared" ca="1" si="137"/>
        <v>0</v>
      </c>
      <c r="GX14" s="48">
        <f t="shared" ca="1" si="137"/>
        <v>0</v>
      </c>
      <c r="GY14" s="48">
        <f t="shared" ca="1" si="137"/>
        <v>0</v>
      </c>
      <c r="GZ14" s="48">
        <f t="shared" ca="1" si="137"/>
        <v>0</v>
      </c>
      <c r="HA14" s="69"/>
      <c r="HB14" s="150">
        <f t="shared" ref="HB14:HB15" ca="1" si="141">IFERROR(BB14,"n/a")</f>
        <v>0</v>
      </c>
      <c r="HC14" s="150">
        <f t="shared" ca="1" si="75"/>
        <v>0</v>
      </c>
      <c r="HD14" s="150">
        <f t="shared" ref="HD14:HD15" ca="1" si="142">IFERROR(BK14,"n/a")</f>
        <v>0</v>
      </c>
      <c r="HE14" s="150" t="str">
        <f t="shared" ca="1" si="77"/>
        <v>n/a</v>
      </c>
      <c r="HF14" s="150">
        <f t="shared" ca="1" si="78"/>
        <v>0</v>
      </c>
      <c r="HG14" s="148"/>
      <c r="HH14" s="149"/>
      <c r="HI14" s="149"/>
      <c r="HJ14" s="149"/>
      <c r="HK14" s="150"/>
      <c r="HL14" s="149"/>
      <c r="HM14" s="149"/>
      <c r="HN14" s="149"/>
      <c r="HO14" s="150"/>
      <c r="HP14" s="148"/>
      <c r="HQ14" s="149"/>
      <c r="HR14" s="149"/>
      <c r="HS14" s="149"/>
      <c r="HT14" s="150"/>
      <c r="HU14" s="149"/>
      <c r="HV14" s="149"/>
      <c r="HW14" s="149"/>
      <c r="HX14" s="150"/>
      <c r="HY14" s="151"/>
      <c r="HZ14" s="150"/>
      <c r="IA14" s="150"/>
      <c r="IB14" s="152"/>
      <c r="IC14" s="150"/>
      <c r="ID14" s="152"/>
      <c r="IE14" s="150"/>
      <c r="IF14" s="153"/>
    </row>
    <row r="15" spans="1:240" s="36" customFormat="1" ht="14.4" customHeight="1">
      <c r="A15" s="39"/>
      <c r="B15" s="108" t="str">
        <f t="shared" si="79"/>
        <v>All_General Administration_All_All_2017_Actual</v>
      </c>
      <c r="C15" s="108"/>
      <c r="D15" s="109" t="s">
        <v>28</v>
      </c>
      <c r="E15" s="109" t="s">
        <v>163</v>
      </c>
      <c r="F15" s="109" t="s">
        <v>28</v>
      </c>
      <c r="G15" s="109" t="s">
        <v>28</v>
      </c>
      <c r="H15" s="109">
        <v>2017</v>
      </c>
      <c r="I15" s="109" t="s">
        <v>167</v>
      </c>
      <c r="J15" s="37"/>
      <c r="K15" s="99"/>
      <c r="L15" s="38"/>
      <c r="M15" s="133"/>
      <c r="N15" s="132"/>
      <c r="O15" s="132"/>
      <c r="P15" s="37"/>
      <c r="Q15" s="129">
        <f t="shared" ca="1" si="80"/>
        <v>0</v>
      </c>
      <c r="R15" s="129">
        <f t="shared" ca="1" si="80"/>
        <v>0</v>
      </c>
      <c r="S15" s="129">
        <f t="shared" ca="1" si="80"/>
        <v>0</v>
      </c>
      <c r="T15" s="37"/>
      <c r="U15" s="129">
        <f t="shared" ca="1" si="81"/>
        <v>0</v>
      </c>
      <c r="V15" s="129">
        <f t="shared" ca="1" si="81"/>
        <v>0</v>
      </c>
      <c r="W15" s="129">
        <f t="shared" ca="1" si="81"/>
        <v>0</v>
      </c>
      <c r="X15" s="37"/>
      <c r="Y15" s="129">
        <f t="shared" ca="1" si="82"/>
        <v>0</v>
      </c>
      <c r="Z15" s="129">
        <f t="shared" ca="1" si="82"/>
        <v>0</v>
      </c>
      <c r="AA15" s="129">
        <f t="shared" ca="1" si="82"/>
        <v>0</v>
      </c>
      <c r="AB15" s="37"/>
      <c r="AC15" s="129">
        <f t="shared" ca="1" si="83"/>
        <v>0</v>
      </c>
      <c r="AD15" s="129">
        <f t="shared" ca="1" si="83"/>
        <v>0</v>
      </c>
      <c r="AE15" s="129">
        <f t="shared" ca="1" si="83"/>
        <v>0</v>
      </c>
      <c r="AF15" s="37"/>
      <c r="AG15" s="97"/>
      <c r="AH15" s="97"/>
      <c r="AI15" s="97">
        <f t="shared" ca="1" si="84"/>
        <v>0</v>
      </c>
      <c r="AJ15" s="100">
        <f t="shared" ca="1" si="84"/>
        <v>0</v>
      </c>
      <c r="AK15" s="100">
        <f t="shared" ca="1" si="84"/>
        <v>0</v>
      </c>
      <c r="AL15" s="100">
        <f t="shared" ca="1" si="84"/>
        <v>0</v>
      </c>
      <c r="AM15" s="100">
        <f t="shared" ca="1" si="84"/>
        <v>0</v>
      </c>
      <c r="AN15" s="100">
        <f t="shared" ca="1" si="84"/>
        <v>0</v>
      </c>
      <c r="AO15" s="163">
        <f ca="1">SUMIFS(OFFSET(AO$17,,,TotalPrograms),OFFSET($B$17,,,TotalPrograms),SUBSTITUTE($B15,"All","*"))</f>
        <v>82178.040000000008</v>
      </c>
      <c r="AP15" s="100">
        <f t="shared" ca="1" si="85"/>
        <v>82178.040000000008</v>
      </c>
      <c r="AQ15" s="37"/>
      <c r="AR15" s="100">
        <f t="shared" ca="1" si="86"/>
        <v>0</v>
      </c>
      <c r="AS15" s="100">
        <f t="shared" ca="1" si="86"/>
        <v>0</v>
      </c>
      <c r="AT15" s="100">
        <f t="shared" ca="1" si="86"/>
        <v>0</v>
      </c>
      <c r="AU15" s="100">
        <f ca="1">SUMPRODUCT(--($CX$9:$EX$9=$H15)*$AO15,'General Inputs'!$K$40:$BK$40)</f>
        <v>82178.040000000008</v>
      </c>
      <c r="AV15" s="100">
        <f t="shared" ca="1" si="87"/>
        <v>0</v>
      </c>
      <c r="AW15" s="100">
        <f t="shared" ca="1" si="87"/>
        <v>0</v>
      </c>
      <c r="AX15" s="100">
        <f t="shared" ca="1" si="87"/>
        <v>0</v>
      </c>
      <c r="AY15" s="98">
        <f t="shared" ca="1" si="87"/>
        <v>0</v>
      </c>
      <c r="AZ15" s="37"/>
      <c r="BA15" s="100">
        <f t="shared" ca="1" si="88"/>
        <v>-82178.040000000008</v>
      </c>
      <c r="BB15" s="102">
        <f t="shared" ca="1" si="89"/>
        <v>0</v>
      </c>
      <c r="BC15" s="100">
        <f t="shared" ca="1" si="90"/>
        <v>82178.040000000008</v>
      </c>
      <c r="BD15" s="100">
        <f t="shared" ca="1" si="91"/>
        <v>0</v>
      </c>
      <c r="BE15" s="100">
        <f t="shared" ca="1" si="92"/>
        <v>0</v>
      </c>
      <c r="BF15" s="100">
        <f t="shared" ca="1" si="93"/>
        <v>0</v>
      </c>
      <c r="BG15" s="100">
        <f t="shared" ca="1" si="94"/>
        <v>82178.040000000008</v>
      </c>
      <c r="BH15" s="100">
        <f t="shared" ca="1" si="95"/>
        <v>0</v>
      </c>
      <c r="BI15" s="37"/>
      <c r="BJ15" s="100">
        <f t="shared" ca="1" si="96"/>
        <v>-82178.040000000008</v>
      </c>
      <c r="BK15" s="102">
        <f t="shared" ca="1" si="97"/>
        <v>0</v>
      </c>
      <c r="BL15" s="100">
        <f t="shared" ca="1" si="98"/>
        <v>82178.040000000008</v>
      </c>
      <c r="BM15" s="100">
        <f t="shared" ca="1" si="99"/>
        <v>0</v>
      </c>
      <c r="BN15" s="100">
        <f t="shared" ca="1" si="100"/>
        <v>0</v>
      </c>
      <c r="BO15" s="100">
        <f t="shared" ca="1" si="101"/>
        <v>0</v>
      </c>
      <c r="BP15" s="100">
        <f t="shared" ca="1" si="102"/>
        <v>0</v>
      </c>
      <c r="BQ15" s="100">
        <f t="shared" ca="1" si="103"/>
        <v>82178.040000000008</v>
      </c>
      <c r="BR15" s="100">
        <f t="shared" ca="1" si="104"/>
        <v>0</v>
      </c>
      <c r="BS15" s="37"/>
      <c r="BT15" s="100">
        <f t="shared" ca="1" si="105"/>
        <v>0</v>
      </c>
      <c r="BU15" s="102" t="e">
        <f t="shared" ca="1" si="106"/>
        <v>#DIV/0!</v>
      </c>
      <c r="BV15" s="102" t="e">
        <f t="shared" ca="1" si="107"/>
        <v>#DIV/0!</v>
      </c>
      <c r="BW15" s="100">
        <f t="shared" ca="1" si="108"/>
        <v>0</v>
      </c>
      <c r="BX15" s="100">
        <f t="shared" ca="1" si="109"/>
        <v>0</v>
      </c>
      <c r="BY15" s="100">
        <f t="shared" ca="1" si="110"/>
        <v>0</v>
      </c>
      <c r="BZ15" s="100">
        <f t="shared" ca="1" si="111"/>
        <v>0</v>
      </c>
      <c r="CA15" s="100">
        <f t="shared" ca="1" si="112"/>
        <v>0</v>
      </c>
      <c r="CB15" s="37"/>
      <c r="CC15" s="100">
        <f t="shared" ca="1" si="113"/>
        <v>-82178.040000000008</v>
      </c>
      <c r="CD15" s="102">
        <f t="shared" ca="1" si="114"/>
        <v>0</v>
      </c>
      <c r="CE15" s="103" t="e">
        <f t="shared" ca="1" si="115"/>
        <v>#DIV/0!</v>
      </c>
      <c r="CF15" s="100">
        <f t="shared" ca="1" si="116"/>
        <v>82178.040000000008</v>
      </c>
      <c r="CG15" s="100">
        <f t="shared" ca="1" si="117"/>
        <v>0</v>
      </c>
      <c r="CH15" s="100">
        <f t="shared" ca="1" si="118"/>
        <v>0</v>
      </c>
      <c r="CI15" s="100">
        <f t="shared" ca="1" si="138"/>
        <v>0</v>
      </c>
      <c r="CJ15" s="100">
        <f t="shared" ca="1" si="139"/>
        <v>0</v>
      </c>
      <c r="CK15" s="100">
        <f t="shared" ca="1" si="119"/>
        <v>82178.040000000008</v>
      </c>
      <c r="CL15" s="37"/>
      <c r="CM15" s="100">
        <f t="shared" ca="1" si="120"/>
        <v>-82178.040000000008</v>
      </c>
      <c r="CN15" s="102">
        <f t="shared" ca="1" si="121"/>
        <v>0</v>
      </c>
      <c r="CO15" s="128"/>
      <c r="CP15" s="100">
        <f t="shared" ca="1" si="122"/>
        <v>82178.040000000008</v>
      </c>
      <c r="CQ15" s="100">
        <f t="shared" ca="1" si="123"/>
        <v>0</v>
      </c>
      <c r="CR15" s="100">
        <f t="shared" ca="1" si="124"/>
        <v>0</v>
      </c>
      <c r="CS15" s="100">
        <f t="shared" ca="1" si="140"/>
        <v>0</v>
      </c>
      <c r="CT15" s="100">
        <f t="shared" ca="1" si="125"/>
        <v>0</v>
      </c>
      <c r="CU15" s="100">
        <f t="shared" ca="1" si="126"/>
        <v>0</v>
      </c>
      <c r="CV15" s="100">
        <f t="shared" ca="1" si="127"/>
        <v>82178.040000000008</v>
      </c>
      <c r="CW15" s="37"/>
      <c r="CX15" s="48">
        <f t="shared" ca="1" si="128"/>
        <v>0</v>
      </c>
      <c r="CY15" s="48">
        <f t="shared" ca="1" si="128"/>
        <v>0</v>
      </c>
      <c r="CZ15" s="48">
        <f t="shared" ca="1" si="128"/>
        <v>0</v>
      </c>
      <c r="DA15" s="48">
        <f t="shared" ca="1" si="128"/>
        <v>0</v>
      </c>
      <c r="DB15" s="48">
        <f t="shared" ca="1" si="128"/>
        <v>0</v>
      </c>
      <c r="DC15" s="48">
        <f t="shared" ca="1" si="128"/>
        <v>0</v>
      </c>
      <c r="DD15" s="48">
        <f t="shared" ca="1" si="128"/>
        <v>0</v>
      </c>
      <c r="DE15" s="48">
        <f t="shared" ca="1" si="128"/>
        <v>0</v>
      </c>
      <c r="DF15" s="48">
        <f t="shared" ca="1" si="128"/>
        <v>0</v>
      </c>
      <c r="DG15" s="48">
        <f t="shared" ca="1" si="128"/>
        <v>0</v>
      </c>
      <c r="DH15" s="48">
        <f t="shared" ca="1" si="129"/>
        <v>0</v>
      </c>
      <c r="DI15" s="48">
        <f t="shared" ca="1" si="129"/>
        <v>0</v>
      </c>
      <c r="DJ15" s="48">
        <f t="shared" ca="1" si="129"/>
        <v>0</v>
      </c>
      <c r="DK15" s="48">
        <f t="shared" ca="1" si="129"/>
        <v>0</v>
      </c>
      <c r="DL15" s="48">
        <f t="shared" ca="1" si="129"/>
        <v>0</v>
      </c>
      <c r="DM15" s="48">
        <f t="shared" ca="1" si="129"/>
        <v>0</v>
      </c>
      <c r="DN15" s="48">
        <f t="shared" ca="1" si="129"/>
        <v>0</v>
      </c>
      <c r="DO15" s="48">
        <f t="shared" ca="1" si="129"/>
        <v>0</v>
      </c>
      <c r="DP15" s="48">
        <f t="shared" ca="1" si="129"/>
        <v>0</v>
      </c>
      <c r="DQ15" s="48">
        <f t="shared" ca="1" si="129"/>
        <v>0</v>
      </c>
      <c r="DR15" s="48">
        <f t="shared" ca="1" si="130"/>
        <v>0</v>
      </c>
      <c r="DS15" s="48">
        <f t="shared" ca="1" si="130"/>
        <v>0</v>
      </c>
      <c r="DT15" s="48">
        <f t="shared" ca="1" si="130"/>
        <v>0</v>
      </c>
      <c r="DU15" s="48">
        <f t="shared" ca="1" si="130"/>
        <v>0</v>
      </c>
      <c r="DV15" s="48">
        <f t="shared" ca="1" si="130"/>
        <v>0</v>
      </c>
      <c r="DW15" s="48">
        <f t="shared" ca="1" si="130"/>
        <v>0</v>
      </c>
      <c r="DX15" s="48">
        <f t="shared" ca="1" si="130"/>
        <v>0</v>
      </c>
      <c r="DY15" s="48">
        <f t="shared" ca="1" si="130"/>
        <v>0</v>
      </c>
      <c r="DZ15" s="48">
        <f t="shared" ca="1" si="130"/>
        <v>0</v>
      </c>
      <c r="EA15" s="48">
        <f t="shared" ca="1" si="130"/>
        <v>0</v>
      </c>
      <c r="EB15" s="48">
        <f t="shared" ca="1" si="131"/>
        <v>0</v>
      </c>
      <c r="EC15" s="48">
        <f t="shared" ca="1" si="131"/>
        <v>0</v>
      </c>
      <c r="ED15" s="48">
        <f t="shared" ca="1" si="131"/>
        <v>0</v>
      </c>
      <c r="EE15" s="48">
        <f t="shared" ca="1" si="131"/>
        <v>0</v>
      </c>
      <c r="EF15" s="48">
        <f t="shared" ca="1" si="131"/>
        <v>0</v>
      </c>
      <c r="EG15" s="48">
        <f t="shared" ca="1" si="131"/>
        <v>0</v>
      </c>
      <c r="EH15" s="48">
        <f t="shared" ca="1" si="131"/>
        <v>0</v>
      </c>
      <c r="EI15" s="48">
        <f t="shared" ca="1" si="131"/>
        <v>0</v>
      </c>
      <c r="EJ15" s="48">
        <f t="shared" ca="1" si="131"/>
        <v>0</v>
      </c>
      <c r="EK15" s="48">
        <f t="shared" ca="1" si="131"/>
        <v>0</v>
      </c>
      <c r="EL15" s="48">
        <f t="shared" ca="1" si="132"/>
        <v>0</v>
      </c>
      <c r="EM15" s="48">
        <f t="shared" ca="1" si="132"/>
        <v>0</v>
      </c>
      <c r="EN15" s="48">
        <f t="shared" ca="1" si="132"/>
        <v>0</v>
      </c>
      <c r="EO15" s="48">
        <f t="shared" ca="1" si="132"/>
        <v>0</v>
      </c>
      <c r="EP15" s="48">
        <f t="shared" ca="1" si="132"/>
        <v>0</v>
      </c>
      <c r="EQ15" s="48">
        <f t="shared" ca="1" si="132"/>
        <v>0</v>
      </c>
      <c r="ER15" s="48">
        <f t="shared" ca="1" si="132"/>
        <v>0</v>
      </c>
      <c r="ES15" s="48">
        <f t="shared" ca="1" si="132"/>
        <v>0</v>
      </c>
      <c r="ET15" s="48">
        <f t="shared" ca="1" si="132"/>
        <v>0</v>
      </c>
      <c r="EU15" s="48">
        <f t="shared" ca="1" si="132"/>
        <v>0</v>
      </c>
      <c r="EV15" s="48">
        <f t="shared" ca="1" si="132"/>
        <v>0</v>
      </c>
      <c r="EW15" s="48">
        <f t="shared" ca="1" si="132"/>
        <v>0</v>
      </c>
      <c r="EX15" s="48">
        <f t="shared" ca="1" si="132"/>
        <v>0</v>
      </c>
      <c r="EY15" s="69"/>
      <c r="EZ15" s="48">
        <f t="shared" ca="1" si="133"/>
        <v>0</v>
      </c>
      <c r="FA15" s="48">
        <f t="shared" ca="1" si="133"/>
        <v>0</v>
      </c>
      <c r="FB15" s="48">
        <f t="shared" ca="1" si="133"/>
        <v>0</v>
      </c>
      <c r="FC15" s="48">
        <f t="shared" ca="1" si="133"/>
        <v>0</v>
      </c>
      <c r="FD15" s="48">
        <f t="shared" ca="1" si="133"/>
        <v>0</v>
      </c>
      <c r="FE15" s="48">
        <f t="shared" ca="1" si="133"/>
        <v>0</v>
      </c>
      <c r="FF15" s="48">
        <f t="shared" ca="1" si="133"/>
        <v>0</v>
      </c>
      <c r="FG15" s="48">
        <f t="shared" ca="1" si="133"/>
        <v>0</v>
      </c>
      <c r="FH15" s="48">
        <f t="shared" ca="1" si="133"/>
        <v>0</v>
      </c>
      <c r="FI15" s="48">
        <f t="shared" ca="1" si="133"/>
        <v>0</v>
      </c>
      <c r="FJ15" s="48">
        <f t="shared" ca="1" si="134"/>
        <v>0</v>
      </c>
      <c r="FK15" s="48">
        <f t="shared" ca="1" si="134"/>
        <v>0</v>
      </c>
      <c r="FL15" s="48">
        <f t="shared" ca="1" si="134"/>
        <v>0</v>
      </c>
      <c r="FM15" s="48">
        <f t="shared" ca="1" si="134"/>
        <v>0</v>
      </c>
      <c r="FN15" s="48">
        <f t="shared" ca="1" si="134"/>
        <v>0</v>
      </c>
      <c r="FO15" s="48">
        <f t="shared" ca="1" si="134"/>
        <v>0</v>
      </c>
      <c r="FP15" s="48">
        <f t="shared" ca="1" si="134"/>
        <v>0</v>
      </c>
      <c r="FQ15" s="48">
        <f t="shared" ca="1" si="134"/>
        <v>0</v>
      </c>
      <c r="FR15" s="48">
        <f t="shared" ca="1" si="134"/>
        <v>0</v>
      </c>
      <c r="FS15" s="48">
        <f t="shared" ca="1" si="134"/>
        <v>0</v>
      </c>
      <c r="FT15" s="48">
        <f t="shared" ca="1" si="135"/>
        <v>0</v>
      </c>
      <c r="FU15" s="48">
        <f t="shared" ca="1" si="135"/>
        <v>0</v>
      </c>
      <c r="FV15" s="48">
        <f t="shared" ca="1" si="135"/>
        <v>0</v>
      </c>
      <c r="FW15" s="48">
        <f t="shared" ca="1" si="135"/>
        <v>0</v>
      </c>
      <c r="FX15" s="48">
        <f t="shared" ca="1" si="135"/>
        <v>0</v>
      </c>
      <c r="FY15" s="48">
        <f t="shared" ca="1" si="135"/>
        <v>0</v>
      </c>
      <c r="FZ15" s="48">
        <f t="shared" ca="1" si="135"/>
        <v>0</v>
      </c>
      <c r="GA15" s="48">
        <f t="shared" ca="1" si="135"/>
        <v>0</v>
      </c>
      <c r="GB15" s="48">
        <f t="shared" ca="1" si="135"/>
        <v>0</v>
      </c>
      <c r="GC15" s="48">
        <f t="shared" ca="1" si="135"/>
        <v>0</v>
      </c>
      <c r="GD15" s="48">
        <f t="shared" ca="1" si="136"/>
        <v>0</v>
      </c>
      <c r="GE15" s="48">
        <f t="shared" ca="1" si="136"/>
        <v>0</v>
      </c>
      <c r="GF15" s="48">
        <f t="shared" ca="1" si="136"/>
        <v>0</v>
      </c>
      <c r="GG15" s="48">
        <f t="shared" ca="1" si="136"/>
        <v>0</v>
      </c>
      <c r="GH15" s="48">
        <f t="shared" ca="1" si="136"/>
        <v>0</v>
      </c>
      <c r="GI15" s="48">
        <f t="shared" ca="1" si="136"/>
        <v>0</v>
      </c>
      <c r="GJ15" s="48">
        <f t="shared" ca="1" si="136"/>
        <v>0</v>
      </c>
      <c r="GK15" s="48">
        <f t="shared" ca="1" si="136"/>
        <v>0</v>
      </c>
      <c r="GL15" s="48">
        <f t="shared" ca="1" si="136"/>
        <v>0</v>
      </c>
      <c r="GM15" s="48">
        <f t="shared" ca="1" si="136"/>
        <v>0</v>
      </c>
      <c r="GN15" s="48">
        <f t="shared" ca="1" si="137"/>
        <v>0</v>
      </c>
      <c r="GO15" s="48">
        <f t="shared" ca="1" si="137"/>
        <v>0</v>
      </c>
      <c r="GP15" s="48">
        <f t="shared" ca="1" si="137"/>
        <v>0</v>
      </c>
      <c r="GQ15" s="48">
        <f t="shared" ca="1" si="137"/>
        <v>0</v>
      </c>
      <c r="GR15" s="48">
        <f t="shared" ca="1" si="137"/>
        <v>0</v>
      </c>
      <c r="GS15" s="48">
        <f t="shared" ca="1" si="137"/>
        <v>0</v>
      </c>
      <c r="GT15" s="48">
        <f t="shared" ca="1" si="137"/>
        <v>0</v>
      </c>
      <c r="GU15" s="48">
        <f t="shared" ca="1" si="137"/>
        <v>0</v>
      </c>
      <c r="GV15" s="48">
        <f t="shared" ca="1" si="137"/>
        <v>0</v>
      </c>
      <c r="GW15" s="48">
        <f t="shared" ca="1" si="137"/>
        <v>0</v>
      </c>
      <c r="GX15" s="48">
        <f t="shared" ca="1" si="137"/>
        <v>0</v>
      </c>
      <c r="GY15" s="48">
        <f t="shared" ca="1" si="137"/>
        <v>0</v>
      </c>
      <c r="GZ15" s="48">
        <f t="shared" ca="1" si="137"/>
        <v>0</v>
      </c>
      <c r="HA15" s="69"/>
      <c r="HB15" s="150">
        <f t="shared" ca="1" si="141"/>
        <v>0</v>
      </c>
      <c r="HC15" s="150">
        <f t="shared" ca="1" si="75"/>
        <v>0</v>
      </c>
      <c r="HD15" s="150">
        <f t="shared" ca="1" si="142"/>
        <v>0</v>
      </c>
      <c r="HE15" s="150" t="str">
        <f t="shared" ca="1" si="77"/>
        <v>n/a</v>
      </c>
      <c r="HF15" s="150">
        <f t="shared" ca="1" si="78"/>
        <v>0</v>
      </c>
      <c r="HG15" s="148"/>
      <c r="HH15" s="149"/>
      <c r="HI15" s="149"/>
      <c r="HJ15" s="149"/>
      <c r="HK15" s="150"/>
      <c r="HL15" s="149"/>
      <c r="HM15" s="149"/>
      <c r="HN15" s="149"/>
      <c r="HO15" s="150"/>
      <c r="HP15" s="148"/>
      <c r="HQ15" s="149"/>
      <c r="HR15" s="149"/>
      <c r="HS15" s="149"/>
      <c r="HT15" s="150"/>
      <c r="HU15" s="149"/>
      <c r="HV15" s="149"/>
      <c r="HW15" s="149"/>
      <c r="HX15" s="150"/>
      <c r="HY15" s="151"/>
      <c r="HZ15" s="150"/>
      <c r="IA15" s="150"/>
      <c r="IB15" s="152"/>
      <c r="IC15" s="150"/>
      <c r="ID15" s="152"/>
      <c r="IE15" s="150"/>
      <c r="IF15" s="153"/>
    </row>
    <row r="16" spans="1:240" s="36" customFormat="1" ht="14.4" customHeight="1">
      <c r="A16" s="39"/>
      <c r="B16" s="110"/>
      <c r="C16" s="110"/>
      <c r="D16" s="111"/>
      <c r="E16" s="111"/>
      <c r="F16" s="111"/>
      <c r="G16" s="111"/>
      <c r="H16" s="111"/>
      <c r="I16" s="111"/>
      <c r="J16" s="112"/>
      <c r="K16" s="113"/>
      <c r="L16" s="114"/>
      <c r="M16" s="115"/>
      <c r="N16" s="116"/>
      <c r="O16" s="116"/>
      <c r="P16" s="112"/>
      <c r="Q16" s="130"/>
      <c r="R16" s="130"/>
      <c r="S16" s="130"/>
      <c r="T16" s="112"/>
      <c r="U16" s="130"/>
      <c r="V16" s="130"/>
      <c r="W16" s="130"/>
      <c r="X16" s="112"/>
      <c r="Y16" s="130"/>
      <c r="Z16" s="130"/>
      <c r="AA16" s="130"/>
      <c r="AB16" s="112"/>
      <c r="AC16" s="130"/>
      <c r="AD16" s="130"/>
      <c r="AE16" s="130"/>
      <c r="AF16" s="112"/>
      <c r="AG16" s="117"/>
      <c r="AH16" s="117"/>
      <c r="AI16" s="117"/>
      <c r="AJ16" s="118"/>
      <c r="AK16" s="118"/>
      <c r="AL16" s="118"/>
      <c r="AM16" s="118"/>
      <c r="AN16" s="118"/>
      <c r="AO16" s="118"/>
      <c r="AP16" s="118"/>
      <c r="AQ16" s="112"/>
      <c r="AR16" s="118"/>
      <c r="AS16" s="118"/>
      <c r="AT16" s="118"/>
      <c r="AU16" s="118"/>
      <c r="AV16" s="118"/>
      <c r="AW16" s="118"/>
      <c r="AX16" s="118"/>
      <c r="AY16" s="164"/>
      <c r="AZ16" s="112"/>
      <c r="BA16" s="118"/>
      <c r="BB16" s="119"/>
      <c r="BC16" s="118"/>
      <c r="BD16" s="118"/>
      <c r="BE16" s="118"/>
      <c r="BF16" s="118"/>
      <c r="BG16" s="118"/>
      <c r="BH16" s="118"/>
      <c r="BI16" s="112"/>
      <c r="BJ16" s="118"/>
      <c r="BK16" s="119"/>
      <c r="BL16" s="118"/>
      <c r="BM16" s="118"/>
      <c r="BN16" s="118"/>
      <c r="BO16" s="118"/>
      <c r="BP16" s="118"/>
      <c r="BQ16" s="118"/>
      <c r="BR16" s="118"/>
      <c r="BS16" s="112"/>
      <c r="BT16" s="118"/>
      <c r="BU16" s="119"/>
      <c r="BV16" s="119"/>
      <c r="BW16" s="118"/>
      <c r="BX16" s="118"/>
      <c r="BY16" s="118"/>
      <c r="BZ16" s="118"/>
      <c r="CA16" s="118"/>
      <c r="CB16" s="112"/>
      <c r="CC16" s="118"/>
      <c r="CD16" s="119"/>
      <c r="CE16" s="120"/>
      <c r="CF16" s="118"/>
      <c r="CG16" s="118"/>
      <c r="CH16" s="118"/>
      <c r="CI16" s="118">
        <f t="shared" si="71"/>
        <v>0</v>
      </c>
      <c r="CJ16" s="118">
        <f t="shared" si="72"/>
        <v>0</v>
      </c>
      <c r="CK16" s="118"/>
      <c r="CL16" s="112"/>
      <c r="CM16" s="118"/>
      <c r="CN16" s="119"/>
      <c r="CO16" s="131"/>
      <c r="CP16" s="118"/>
      <c r="CQ16" s="118"/>
      <c r="CR16" s="118"/>
      <c r="CS16" s="118">
        <f t="shared" si="73"/>
        <v>0</v>
      </c>
      <c r="CT16" s="118"/>
      <c r="CU16" s="118"/>
      <c r="CV16" s="118"/>
      <c r="CW16" s="112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69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69"/>
      <c r="HB16" s="150">
        <f t="shared" si="74"/>
        <v>0</v>
      </c>
      <c r="HC16" s="150">
        <f t="shared" si="75"/>
        <v>0</v>
      </c>
      <c r="HD16" s="150">
        <f t="shared" si="76"/>
        <v>0</v>
      </c>
      <c r="HE16" s="150">
        <f t="shared" si="77"/>
        <v>0</v>
      </c>
      <c r="HF16" s="150">
        <f t="shared" si="78"/>
        <v>0</v>
      </c>
      <c r="HG16" s="148"/>
      <c r="HH16" s="149"/>
      <c r="HI16" s="149"/>
      <c r="HJ16" s="149"/>
      <c r="HK16" s="150"/>
      <c r="HL16" s="149"/>
      <c r="HM16" s="149"/>
      <c r="HN16" s="149"/>
      <c r="HO16" s="150"/>
      <c r="HP16" s="148"/>
      <c r="HQ16" s="149"/>
      <c r="HR16" s="149"/>
      <c r="HS16" s="149"/>
      <c r="HT16" s="150"/>
      <c r="HU16" s="149"/>
      <c r="HV16" s="149"/>
      <c r="HW16" s="149"/>
      <c r="HX16" s="150"/>
      <c r="HY16" s="151"/>
      <c r="HZ16" s="150"/>
      <c r="IA16" s="150"/>
      <c r="IB16" s="152"/>
      <c r="IC16" s="150"/>
      <c r="ID16" s="152"/>
      <c r="IE16" s="150"/>
      <c r="IF16" s="153"/>
    </row>
    <row r="17" spans="1:240" s="36" customFormat="1" ht="14.4" customHeight="1">
      <c r="A17" s="39"/>
      <c r="B17" s="108" t="str">
        <f t="shared" ref="B17:B29" si="143">D17&amp;"_"&amp;E17&amp;"_"&amp;F17&amp;"_"&amp;G17&amp;"_"&amp;H17&amp;"_"&amp;I17</f>
        <v>Residential_Residential Lighting_All_All_2017_Actual</v>
      </c>
      <c r="C17" s="108"/>
      <c r="D17" s="109" t="s">
        <v>1</v>
      </c>
      <c r="E17" s="109" t="s">
        <v>145</v>
      </c>
      <c r="F17" s="109" t="s">
        <v>28</v>
      </c>
      <c r="G17" s="109" t="s">
        <v>28</v>
      </c>
      <c r="H17" s="109">
        <v>2017</v>
      </c>
      <c r="I17" s="109" t="s">
        <v>167</v>
      </c>
      <c r="J17" s="37"/>
      <c r="K17" s="99"/>
      <c r="L17" s="38">
        <f t="shared" ref="L17:L29" ca="1" si="144">SUMIFS(OFFSET(L$35,,,TotalMeasures),OFFSET($B$35,,,TotalMeasures),SUBSTITUTE($B17,"All","*"))</f>
        <v>1538</v>
      </c>
      <c r="M17" s="133"/>
      <c r="N17" s="132"/>
      <c r="O17" s="132"/>
      <c r="P17" s="37"/>
      <c r="Q17" s="129">
        <f t="shared" ref="Q17:S29" ca="1" si="145">SUMIFS(OFFSET(Q$35,,,TotalMeasures),OFFSET($B$35,,,TotalMeasures),SUBSTITUTE($B17,"All","*"))</f>
        <v>72337.012300000002</v>
      </c>
      <c r="R17" s="129">
        <f t="shared" ca="1" si="145"/>
        <v>72337.012300000002</v>
      </c>
      <c r="S17" s="129">
        <f t="shared" ca="1" si="145"/>
        <v>72337.012300000002</v>
      </c>
      <c r="T17" s="37"/>
      <c r="U17" s="129">
        <f t="shared" ref="U17:W29" ca="1" si="146">SUMIFS(OFFSET(U$35,,,TotalMeasures),OFFSET($B$35,,,TotalMeasures),SUBSTITUTE($B17,"All","*"))</f>
        <v>0</v>
      </c>
      <c r="V17" s="129">
        <f t="shared" ca="1" si="146"/>
        <v>0</v>
      </c>
      <c r="W17" s="129">
        <f t="shared" ca="1" si="146"/>
        <v>0</v>
      </c>
      <c r="X17" s="37"/>
      <c r="Y17" s="129">
        <f t="shared" ref="Y17:AA29" ca="1" si="147">SUMIFS(OFFSET(Y$35,,,TotalMeasures),OFFSET($B$35,,,TotalMeasures),SUBSTITUTE($B17,"All","*"))</f>
        <v>8.5052572799999986</v>
      </c>
      <c r="Z17" s="129">
        <f t="shared" ca="1" si="147"/>
        <v>8.5052572799999986</v>
      </c>
      <c r="AA17" s="129">
        <f t="shared" ca="1" si="147"/>
        <v>8.5052572799999986</v>
      </c>
      <c r="AB17" s="37"/>
      <c r="AC17" s="129">
        <f t="shared" ref="AC17:AE29" ca="1" si="148">SUMIFS(OFFSET(AC$35,,,TotalMeasures),OFFSET($B$35,,,TotalMeasures),SUBSTITUTE($B17,"All","*"))</f>
        <v>0</v>
      </c>
      <c r="AD17" s="129">
        <f t="shared" ca="1" si="148"/>
        <v>0</v>
      </c>
      <c r="AE17" s="129">
        <f t="shared" ca="1" si="148"/>
        <v>0</v>
      </c>
      <c r="AF17" s="37"/>
      <c r="AG17" s="97"/>
      <c r="AH17" s="97"/>
      <c r="AI17" s="97">
        <f t="shared" ref="AI17:AN29" ca="1" si="149">SUMIFS(OFFSET(AI$35,,,TotalMeasures),OFFSET($B$35,,,TotalMeasures),SUBSTITUTE($B17,"All","*"))</f>
        <v>723370.12299999991</v>
      </c>
      <c r="AJ17" s="100">
        <f t="shared" ca="1" si="149"/>
        <v>17335</v>
      </c>
      <c r="AK17" s="100">
        <f t="shared" ca="1" si="149"/>
        <v>0</v>
      </c>
      <c r="AL17" s="100">
        <f t="shared" ca="1" si="149"/>
        <v>0</v>
      </c>
      <c r="AM17" s="100">
        <f t="shared" ca="1" si="149"/>
        <v>0</v>
      </c>
      <c r="AN17" s="100">
        <f t="shared" ca="1" si="149"/>
        <v>8130.0971999999992</v>
      </c>
      <c r="AO17" s="163">
        <f>INDEX('Program Inputs'!$Q:$Q,MATCH($B17,'Program Inputs'!$B:$B,0))</f>
        <v>4982.58</v>
      </c>
      <c r="AP17" s="100">
        <f t="shared" ref="AP17:AP29" ca="1" si="150">AO17+AN17</f>
        <v>13112.677199999998</v>
      </c>
      <c r="AQ17" s="37"/>
      <c r="AR17" s="100">
        <f t="shared" ref="AR17:AT29" ca="1" si="151">SUMIFS(OFFSET(AR$35,,,TotalMeasures),OFFSET($B$35,,,TotalMeasures),SUBSTITUTE($B17,"All","*"))</f>
        <v>17335</v>
      </c>
      <c r="AS17" s="100">
        <f t="shared" ca="1" si="151"/>
        <v>6073.5374882083797</v>
      </c>
      <c r="AT17" s="100">
        <f t="shared" ca="1" si="151"/>
        <v>8130.0971999999992</v>
      </c>
      <c r="AU17" s="100">
        <f>SUMPRODUCT(--($CX$9:$EX$9=$H17)*$AO17,'General Inputs'!$K$40:$BK$40)</f>
        <v>4982.58</v>
      </c>
      <c r="AV17" s="100">
        <f t="shared" ref="AV17:AY29" ca="1" si="152">SUMIFS(OFFSET(AV$35,,,TotalMeasures),OFFSET($B$35,,,TotalMeasures),SUBSTITUTE($B17,"All","*"))</f>
        <v>74540.064051255205</v>
      </c>
      <c r="AW17" s="100">
        <f t="shared" ca="1" si="152"/>
        <v>23494.632778156138</v>
      </c>
      <c r="AX17" s="100">
        <f t="shared" ca="1" si="152"/>
        <v>1039.0050708082376</v>
      </c>
      <c r="AY17" s="98">
        <f t="shared" ca="1" si="152"/>
        <v>508850.47405355144</v>
      </c>
      <c r="AZ17" s="37"/>
      <c r="BA17" s="100">
        <f t="shared" ref="BA17:BA29" ca="1" si="153">BD17-BC17</f>
        <v>2216.057848964374</v>
      </c>
      <c r="BB17" s="102">
        <f t="shared" ref="BB17:BB29" ca="1" si="154">BD17/BC17</f>
        <v>1.0992965119410067</v>
      </c>
      <c r="BC17" s="100">
        <f t="shared" ref="BC17:BC33" ca="1" si="155">SUMIFS($BE17:$BH17,$BE$8:$BH$8,"Cost")</f>
        <v>22317.58</v>
      </c>
      <c r="BD17" s="100">
        <f t="shared" ref="BD17:BD33" ca="1" si="156">SUMIFS($BE17:$BH17,$BE$8:$BH$8,"BENEFIT")</f>
        <v>24533.637848964376</v>
      </c>
      <c r="BE17" s="100">
        <f t="shared" ref="BE17:BE29" ca="1" si="157">AW17</f>
        <v>23494.632778156138</v>
      </c>
      <c r="BF17" s="100">
        <f t="shared" ref="BF17:BF33" ca="1" si="158">$AX17</f>
        <v>1039.0050708082376</v>
      </c>
      <c r="BG17" s="100">
        <f t="shared" ref="BG17:BG29" si="159">AU17</f>
        <v>4982.58</v>
      </c>
      <c r="BH17" s="100">
        <f t="shared" ref="BH17:BH29" ca="1" si="160">AR17</f>
        <v>17335</v>
      </c>
      <c r="BI17" s="37"/>
      <c r="BJ17" s="100">
        <f t="shared" ref="BJ17:BJ29" ca="1" si="161">BM17-BL17</f>
        <v>8289.5953371727519</v>
      </c>
      <c r="BK17" s="102">
        <f t="shared" ref="BK17:BK29" ca="1" si="162">BM17/BL17</f>
        <v>1.3714379129445375</v>
      </c>
      <c r="BL17" s="100">
        <f t="shared" ref="BL17:BL33" ca="1" si="163">SUMIFS($BN17:$BR17,$BN$8:$BR$8,"Cost")</f>
        <v>22317.58</v>
      </c>
      <c r="BM17" s="100">
        <f t="shared" ref="BM17:BM83" ca="1" si="164">SUMIFS($BN17:$BR17,$BN$8:$BR$8,"BENEFIT")</f>
        <v>30607.175337172754</v>
      </c>
      <c r="BN17" s="100">
        <f t="shared" ref="BN17:BN29" ca="1" si="165">AW17</f>
        <v>23494.632778156138</v>
      </c>
      <c r="BO17" s="100">
        <f t="shared" ref="BO17:BO29" ca="1" si="166">AX17</f>
        <v>1039.0050708082376</v>
      </c>
      <c r="BP17" s="100">
        <f t="shared" ref="BP17:BP29" ca="1" si="167">AS17</f>
        <v>6073.5374882083797</v>
      </c>
      <c r="BQ17" s="100">
        <f t="shared" ref="BQ17:BQ29" si="168">AU17</f>
        <v>4982.58</v>
      </c>
      <c r="BR17" s="100">
        <f t="shared" ref="BR17:BR29" ca="1" si="169">AR17</f>
        <v>17335</v>
      </c>
      <c r="BS17" s="37"/>
      <c r="BT17" s="100">
        <f t="shared" ref="BT17:BT29" ca="1" si="170">BX17-BW17</f>
        <v>65335.161251255209</v>
      </c>
      <c r="BU17" s="102">
        <f t="shared" ref="BU17:BU29" ca="1" si="171">BX17/BW17</f>
        <v>4.7689738247046556</v>
      </c>
      <c r="BV17" s="102" t="e">
        <f t="shared" ref="BV17:BV29" ca="1" si="172">BW17/(BX17/AG17)</f>
        <v>#DIV/0!</v>
      </c>
      <c r="BW17" s="100">
        <f t="shared" ref="BW17:BW33" ca="1" si="173">SUMIFS($BY17:$CA17,$BY$8:$CA$8,"cost")</f>
        <v>17335</v>
      </c>
      <c r="BX17" s="100">
        <f t="shared" ref="BX17:BX33" ca="1" si="174">SUMIFS($BY17:$CA17,$BY$8:$CA$8,"benefit")</f>
        <v>82670.161251255209</v>
      </c>
      <c r="BY17" s="100">
        <f t="shared" ref="BY17:BY29" ca="1" si="175">AV17</f>
        <v>74540.064051255205</v>
      </c>
      <c r="BZ17" s="100">
        <f t="shared" ref="BZ17:BZ29" ca="1" si="176">AT17</f>
        <v>8130.0971999999992</v>
      </c>
      <c r="CA17" s="100">
        <f t="shared" ref="CA17:CA29" ca="1" si="177">AR17</f>
        <v>17335</v>
      </c>
      <c r="CB17" s="37"/>
      <c r="CC17" s="100">
        <f t="shared" ref="CC17:CC29" ca="1" si="178">CG17-CF17</f>
        <v>11420.960648964377</v>
      </c>
      <c r="CD17" s="102">
        <f t="shared" ref="CD17:CD29" ca="1" si="179">CG17/CF17</f>
        <v>1.8709861819037519</v>
      </c>
      <c r="CE17" s="103">
        <f t="shared" ref="CE17:CE29" ca="1" si="180">CF17/CONVERT($AY17,$Q$8,"kWh")/(1-$M17)</f>
        <v>2.5769214864915346E-2</v>
      </c>
      <c r="CF17" s="100">
        <f t="shared" ref="CF17:CF33" ca="1" si="181">SUMIFS($CH17:$CK17,$CH$8:$CK$8,"Cost")</f>
        <v>13112.677199999998</v>
      </c>
      <c r="CG17" s="100">
        <f t="shared" ref="CG17:CG33" ca="1" si="182">SUMIFS($CH17:$CK17,$CH$8:$CK$8,"BENEFIT")</f>
        <v>24533.637848964376</v>
      </c>
      <c r="CH17" s="100">
        <f t="shared" ref="CH17:CH29" ca="1" si="183">AW17</f>
        <v>23494.632778156138</v>
      </c>
      <c r="CI17" s="100">
        <f t="shared" ref="CI17:CI29" ca="1" si="184">AX17</f>
        <v>1039.0050708082376</v>
      </c>
      <c r="CJ17" s="100">
        <f t="shared" ref="CJ17:CJ29" ca="1" si="185">AT17</f>
        <v>8130.0971999999992</v>
      </c>
      <c r="CK17" s="100">
        <f t="shared" ref="CK17:CK29" si="186">AU17</f>
        <v>4982.58</v>
      </c>
      <c r="CL17" s="37"/>
      <c r="CM17" s="100">
        <f t="shared" ref="CM17:CM29" ca="1" si="187">CQ17-CP17</f>
        <v>-63119.103402290835</v>
      </c>
      <c r="CN17" s="102">
        <f t="shared" ref="CN17:CN29" ca="1" si="188">CQ17/CP17</f>
        <v>0.27989584237461651</v>
      </c>
      <c r="CO17" s="128"/>
      <c r="CP17" s="100">
        <f t="shared" ref="CP17:CP33" ca="1" si="189">SUMIFS($CR17:$CV17,$CR$8:$CV$8,"Cost")</f>
        <v>87652.741251255211</v>
      </c>
      <c r="CQ17" s="100">
        <f t="shared" ref="CQ17:CQ33" ca="1" si="190">SUMIFS($CR17:$CV17,$CR$8:$CV$8,"BENEFIT")</f>
        <v>24533.637848964376</v>
      </c>
      <c r="CR17" s="100">
        <f t="shared" ref="CR17:CR29" ca="1" si="191">AW17</f>
        <v>23494.632778156138</v>
      </c>
      <c r="CS17" s="100">
        <f t="shared" ref="CS17:CS29" ca="1" si="192">AX17</f>
        <v>1039.0050708082376</v>
      </c>
      <c r="CT17" s="100">
        <f t="shared" ref="CT17:CT29" ca="1" si="193">AV17</f>
        <v>74540.064051255205</v>
      </c>
      <c r="CU17" s="100">
        <f t="shared" ref="CU17:CU29" ca="1" si="194">AT17</f>
        <v>8130.0971999999992</v>
      </c>
      <c r="CV17" s="100">
        <f t="shared" ref="CV17:CV29" si="195">AU17</f>
        <v>4982.58</v>
      </c>
      <c r="CW17" s="37"/>
      <c r="CX17" s="48">
        <f t="shared" ref="CX17:DG29" ca="1" si="196">SUMIFS(OFFSET(CX$35,,,TotalMeasures),OFFSET($B$35,,,TotalMeasures),SUBSTITUTE($B17,"All","*"))</f>
        <v>72337.012300000002</v>
      </c>
      <c r="CY17" s="48">
        <f t="shared" ca="1" si="196"/>
        <v>72337.012300000002</v>
      </c>
      <c r="CZ17" s="48">
        <f t="shared" ca="1" si="196"/>
        <v>72337.012300000002</v>
      </c>
      <c r="DA17" s="48">
        <f t="shared" ca="1" si="196"/>
        <v>72337.012300000002</v>
      </c>
      <c r="DB17" s="48">
        <f t="shared" ca="1" si="196"/>
        <v>72337.012300000002</v>
      </c>
      <c r="DC17" s="48">
        <f t="shared" ca="1" si="196"/>
        <v>72337.012300000002</v>
      </c>
      <c r="DD17" s="48">
        <f t="shared" ca="1" si="196"/>
        <v>72337.012300000002</v>
      </c>
      <c r="DE17" s="48">
        <f t="shared" ca="1" si="196"/>
        <v>72337.012300000002</v>
      </c>
      <c r="DF17" s="48">
        <f t="shared" ca="1" si="196"/>
        <v>72337.012300000002</v>
      </c>
      <c r="DG17" s="48">
        <f t="shared" ca="1" si="196"/>
        <v>72337.012300000002</v>
      </c>
      <c r="DH17" s="48">
        <f t="shared" ref="DH17:DQ29" ca="1" si="197">SUMIFS(OFFSET(DH$35,,,TotalMeasures),OFFSET($B$35,,,TotalMeasures),SUBSTITUTE($B17,"All","*"))</f>
        <v>0</v>
      </c>
      <c r="DI17" s="48">
        <f t="shared" ca="1" si="197"/>
        <v>0</v>
      </c>
      <c r="DJ17" s="48">
        <f t="shared" ca="1" si="197"/>
        <v>0</v>
      </c>
      <c r="DK17" s="48">
        <f t="shared" ca="1" si="197"/>
        <v>0</v>
      </c>
      <c r="DL17" s="48">
        <f t="shared" ca="1" si="197"/>
        <v>0</v>
      </c>
      <c r="DM17" s="48">
        <f t="shared" ca="1" si="197"/>
        <v>0</v>
      </c>
      <c r="DN17" s="48">
        <f t="shared" ca="1" si="197"/>
        <v>0</v>
      </c>
      <c r="DO17" s="48">
        <f t="shared" ca="1" si="197"/>
        <v>0</v>
      </c>
      <c r="DP17" s="48">
        <f t="shared" ca="1" si="197"/>
        <v>0</v>
      </c>
      <c r="DQ17" s="48">
        <f t="shared" ca="1" si="197"/>
        <v>0</v>
      </c>
      <c r="DR17" s="48">
        <f t="shared" ref="DR17:EA29" ca="1" si="198">SUMIFS(OFFSET(DR$35,,,TotalMeasures),OFFSET($B$35,,,TotalMeasures),SUBSTITUTE($B17,"All","*"))</f>
        <v>0</v>
      </c>
      <c r="DS17" s="48">
        <f t="shared" ca="1" si="198"/>
        <v>0</v>
      </c>
      <c r="DT17" s="48">
        <f t="shared" ca="1" si="198"/>
        <v>0</v>
      </c>
      <c r="DU17" s="48">
        <f t="shared" ca="1" si="198"/>
        <v>0</v>
      </c>
      <c r="DV17" s="48">
        <f t="shared" ca="1" si="198"/>
        <v>0</v>
      </c>
      <c r="DW17" s="48">
        <f t="shared" ca="1" si="198"/>
        <v>0</v>
      </c>
      <c r="DX17" s="48">
        <f t="shared" ca="1" si="198"/>
        <v>0</v>
      </c>
      <c r="DY17" s="48">
        <f t="shared" ca="1" si="198"/>
        <v>0</v>
      </c>
      <c r="DZ17" s="48">
        <f t="shared" ca="1" si="198"/>
        <v>0</v>
      </c>
      <c r="EA17" s="48">
        <f t="shared" ca="1" si="198"/>
        <v>0</v>
      </c>
      <c r="EB17" s="48">
        <f t="shared" ref="EB17:EK29" ca="1" si="199">SUMIFS(OFFSET(EB$35,,,TotalMeasures),OFFSET($B$35,,,TotalMeasures),SUBSTITUTE($B17,"All","*"))</f>
        <v>0</v>
      </c>
      <c r="EC17" s="48">
        <f t="shared" ca="1" si="199"/>
        <v>0</v>
      </c>
      <c r="ED17" s="48">
        <f t="shared" ca="1" si="199"/>
        <v>0</v>
      </c>
      <c r="EE17" s="48">
        <f t="shared" ca="1" si="199"/>
        <v>0</v>
      </c>
      <c r="EF17" s="48">
        <f t="shared" ca="1" si="199"/>
        <v>0</v>
      </c>
      <c r="EG17" s="48">
        <f t="shared" ca="1" si="199"/>
        <v>0</v>
      </c>
      <c r="EH17" s="48">
        <f t="shared" ca="1" si="199"/>
        <v>0</v>
      </c>
      <c r="EI17" s="48">
        <f t="shared" ca="1" si="199"/>
        <v>0</v>
      </c>
      <c r="EJ17" s="48">
        <f t="shared" ca="1" si="199"/>
        <v>0</v>
      </c>
      <c r="EK17" s="48">
        <f t="shared" ca="1" si="199"/>
        <v>0</v>
      </c>
      <c r="EL17" s="48">
        <f t="shared" ref="EL17:EX29" ca="1" si="200">SUMIFS(OFFSET(EL$35,,,TotalMeasures),OFFSET($B$35,,,TotalMeasures),SUBSTITUTE($B17,"All","*"))</f>
        <v>0</v>
      </c>
      <c r="EM17" s="48">
        <f t="shared" ca="1" si="200"/>
        <v>0</v>
      </c>
      <c r="EN17" s="48">
        <f t="shared" ca="1" si="200"/>
        <v>0</v>
      </c>
      <c r="EO17" s="48">
        <f t="shared" ca="1" si="200"/>
        <v>0</v>
      </c>
      <c r="EP17" s="48">
        <f t="shared" ca="1" si="200"/>
        <v>0</v>
      </c>
      <c r="EQ17" s="48">
        <f t="shared" ca="1" si="200"/>
        <v>0</v>
      </c>
      <c r="ER17" s="48">
        <f t="shared" ca="1" si="200"/>
        <v>0</v>
      </c>
      <c r="ES17" s="48">
        <f t="shared" ca="1" si="200"/>
        <v>0</v>
      </c>
      <c r="ET17" s="48">
        <f t="shared" ca="1" si="200"/>
        <v>0</v>
      </c>
      <c r="EU17" s="48">
        <f t="shared" ca="1" si="200"/>
        <v>0</v>
      </c>
      <c r="EV17" s="48">
        <f t="shared" ca="1" si="200"/>
        <v>0</v>
      </c>
      <c r="EW17" s="48">
        <f t="shared" ca="1" si="200"/>
        <v>0</v>
      </c>
      <c r="EX17" s="48">
        <f t="shared" ca="1" si="200"/>
        <v>0</v>
      </c>
      <c r="EY17" s="69"/>
      <c r="EZ17" s="48">
        <f t="shared" ref="EZ17:FI29" ca="1" si="201">SUMIFS(OFFSET(EZ$35,,,TotalMeasures),OFFSET($B$35,,,TotalMeasures),SUBSTITUTE($B17,"All","*"))</f>
        <v>8.5052572799999986</v>
      </c>
      <c r="FA17" s="48">
        <f t="shared" ca="1" si="201"/>
        <v>8.5052572799999986</v>
      </c>
      <c r="FB17" s="48">
        <f t="shared" ca="1" si="201"/>
        <v>8.5052572799999986</v>
      </c>
      <c r="FC17" s="48">
        <f t="shared" ca="1" si="201"/>
        <v>8.5052572799999986</v>
      </c>
      <c r="FD17" s="48">
        <f t="shared" ca="1" si="201"/>
        <v>8.5052572799999986</v>
      </c>
      <c r="FE17" s="48">
        <f t="shared" ca="1" si="201"/>
        <v>8.5052572799999986</v>
      </c>
      <c r="FF17" s="48">
        <f t="shared" ca="1" si="201"/>
        <v>8.5052572799999986</v>
      </c>
      <c r="FG17" s="48">
        <f t="shared" ca="1" si="201"/>
        <v>8.5052572799999986</v>
      </c>
      <c r="FH17" s="48">
        <f t="shared" ca="1" si="201"/>
        <v>8.5052572799999986</v>
      </c>
      <c r="FI17" s="48">
        <f t="shared" ca="1" si="201"/>
        <v>8.5052572799999986</v>
      </c>
      <c r="FJ17" s="48">
        <f t="shared" ref="FJ17:FS29" ca="1" si="202">SUMIFS(OFFSET(FJ$35,,,TotalMeasures),OFFSET($B$35,,,TotalMeasures),SUBSTITUTE($B17,"All","*"))</f>
        <v>0</v>
      </c>
      <c r="FK17" s="48">
        <f t="shared" ca="1" si="202"/>
        <v>0</v>
      </c>
      <c r="FL17" s="48">
        <f t="shared" ca="1" si="202"/>
        <v>0</v>
      </c>
      <c r="FM17" s="48">
        <f t="shared" ca="1" si="202"/>
        <v>0</v>
      </c>
      <c r="FN17" s="48">
        <f t="shared" ca="1" si="202"/>
        <v>0</v>
      </c>
      <c r="FO17" s="48">
        <f t="shared" ca="1" si="202"/>
        <v>0</v>
      </c>
      <c r="FP17" s="48">
        <f t="shared" ca="1" si="202"/>
        <v>0</v>
      </c>
      <c r="FQ17" s="48">
        <f t="shared" ca="1" si="202"/>
        <v>0</v>
      </c>
      <c r="FR17" s="48">
        <f t="shared" ca="1" si="202"/>
        <v>0</v>
      </c>
      <c r="FS17" s="48">
        <f t="shared" ca="1" si="202"/>
        <v>0</v>
      </c>
      <c r="FT17" s="48">
        <f t="shared" ref="FT17:GC29" ca="1" si="203">SUMIFS(OFFSET(FT$35,,,TotalMeasures),OFFSET($B$35,,,TotalMeasures),SUBSTITUTE($B17,"All","*"))</f>
        <v>0</v>
      </c>
      <c r="FU17" s="48">
        <f t="shared" ca="1" si="203"/>
        <v>0</v>
      </c>
      <c r="FV17" s="48">
        <f t="shared" ca="1" si="203"/>
        <v>0</v>
      </c>
      <c r="FW17" s="48">
        <f t="shared" ca="1" si="203"/>
        <v>0</v>
      </c>
      <c r="FX17" s="48">
        <f t="shared" ca="1" si="203"/>
        <v>0</v>
      </c>
      <c r="FY17" s="48">
        <f t="shared" ca="1" si="203"/>
        <v>0</v>
      </c>
      <c r="FZ17" s="48">
        <f t="shared" ca="1" si="203"/>
        <v>0</v>
      </c>
      <c r="GA17" s="48">
        <f t="shared" ca="1" si="203"/>
        <v>0</v>
      </c>
      <c r="GB17" s="48">
        <f t="shared" ca="1" si="203"/>
        <v>0</v>
      </c>
      <c r="GC17" s="48">
        <f t="shared" ca="1" si="203"/>
        <v>0</v>
      </c>
      <c r="GD17" s="48">
        <f t="shared" ref="GD17:GM29" ca="1" si="204">SUMIFS(OFFSET(GD$35,,,TotalMeasures),OFFSET($B$35,,,TotalMeasures),SUBSTITUTE($B17,"All","*"))</f>
        <v>0</v>
      </c>
      <c r="GE17" s="48">
        <f t="shared" ca="1" si="204"/>
        <v>0</v>
      </c>
      <c r="GF17" s="48">
        <f t="shared" ca="1" si="204"/>
        <v>0</v>
      </c>
      <c r="GG17" s="48">
        <f t="shared" ca="1" si="204"/>
        <v>0</v>
      </c>
      <c r="GH17" s="48">
        <f t="shared" ca="1" si="204"/>
        <v>0</v>
      </c>
      <c r="GI17" s="48">
        <f t="shared" ca="1" si="204"/>
        <v>0</v>
      </c>
      <c r="GJ17" s="48">
        <f t="shared" ca="1" si="204"/>
        <v>0</v>
      </c>
      <c r="GK17" s="48">
        <f t="shared" ca="1" si="204"/>
        <v>0</v>
      </c>
      <c r="GL17" s="48">
        <f t="shared" ca="1" si="204"/>
        <v>0</v>
      </c>
      <c r="GM17" s="48">
        <f t="shared" ca="1" si="204"/>
        <v>0</v>
      </c>
      <c r="GN17" s="48">
        <f t="shared" ref="GN17:GZ29" ca="1" si="205">SUMIFS(OFFSET(GN$35,,,TotalMeasures),OFFSET($B$35,,,TotalMeasures),SUBSTITUTE($B17,"All","*"))</f>
        <v>0</v>
      </c>
      <c r="GO17" s="48">
        <f t="shared" ca="1" si="205"/>
        <v>0</v>
      </c>
      <c r="GP17" s="48">
        <f t="shared" ca="1" si="205"/>
        <v>0</v>
      </c>
      <c r="GQ17" s="48">
        <f t="shared" ca="1" si="205"/>
        <v>0</v>
      </c>
      <c r="GR17" s="48">
        <f t="shared" ca="1" si="205"/>
        <v>0</v>
      </c>
      <c r="GS17" s="48">
        <f t="shared" ca="1" si="205"/>
        <v>0</v>
      </c>
      <c r="GT17" s="48">
        <f t="shared" ca="1" si="205"/>
        <v>0</v>
      </c>
      <c r="GU17" s="48">
        <f t="shared" ca="1" si="205"/>
        <v>0</v>
      </c>
      <c r="GV17" s="48">
        <f t="shared" ca="1" si="205"/>
        <v>0</v>
      </c>
      <c r="GW17" s="48">
        <f t="shared" ca="1" si="205"/>
        <v>0</v>
      </c>
      <c r="GX17" s="48">
        <f t="shared" ca="1" si="205"/>
        <v>0</v>
      </c>
      <c r="GY17" s="48">
        <f t="shared" ca="1" si="205"/>
        <v>0</v>
      </c>
      <c r="GZ17" s="48">
        <f t="shared" ca="1" si="205"/>
        <v>0</v>
      </c>
      <c r="HA17" s="69"/>
      <c r="HB17" s="150">
        <f t="shared" ref="HB17:HB29" ca="1" si="206">IFERROR(BB17,"n/a")</f>
        <v>1.0992965119410067</v>
      </c>
      <c r="HC17" s="150">
        <f t="shared" ca="1" si="75"/>
        <v>1.8709861819037519</v>
      </c>
      <c r="HD17" s="150">
        <f t="shared" ref="HD17:HD29" ca="1" si="207">IFERROR(BK17,"n/a")</f>
        <v>1.3714379129445375</v>
      </c>
      <c r="HE17" s="150">
        <f t="shared" ca="1" si="77"/>
        <v>4.7689738247046556</v>
      </c>
      <c r="HF17" s="150">
        <f t="shared" ca="1" si="78"/>
        <v>0.27989584237461651</v>
      </c>
      <c r="HG17" s="148"/>
      <c r="HH17" s="149"/>
      <c r="HI17" s="149"/>
      <c r="HJ17" s="149"/>
      <c r="HK17" s="150"/>
      <c r="HL17" s="149"/>
      <c r="HM17" s="149"/>
      <c r="HN17" s="149"/>
      <c r="HO17" s="150"/>
      <c r="HP17" s="148"/>
      <c r="HQ17" s="149"/>
      <c r="HR17" s="149"/>
      <c r="HS17" s="149"/>
      <c r="HT17" s="150"/>
      <c r="HU17" s="149"/>
      <c r="HV17" s="149"/>
      <c r="HW17" s="149"/>
      <c r="HX17" s="150"/>
      <c r="HY17" s="151"/>
      <c r="HZ17" s="150"/>
      <c r="IA17" s="150"/>
      <c r="IB17" s="152"/>
      <c r="IC17" s="150"/>
      <c r="ID17" s="152"/>
      <c r="IE17" s="150"/>
      <c r="IF17" s="153"/>
    </row>
    <row r="18" spans="1:240" s="36" customFormat="1" ht="14.4" customHeight="1">
      <c r="A18" s="39"/>
      <c r="B18" s="108" t="str">
        <f t="shared" si="143"/>
        <v>Residential_Appliance Recycling_All_All_2017_Actual</v>
      </c>
      <c r="C18" s="108"/>
      <c r="D18" s="109" t="s">
        <v>1</v>
      </c>
      <c r="E18" s="109" t="s">
        <v>203</v>
      </c>
      <c r="F18" s="109" t="s">
        <v>28</v>
      </c>
      <c r="G18" s="109" t="s">
        <v>28</v>
      </c>
      <c r="H18" s="109">
        <v>2017</v>
      </c>
      <c r="I18" s="109" t="s">
        <v>167</v>
      </c>
      <c r="J18" s="37"/>
      <c r="K18" s="99"/>
      <c r="L18" s="38">
        <f t="shared" ca="1" si="144"/>
        <v>44</v>
      </c>
      <c r="M18" s="133"/>
      <c r="N18" s="132"/>
      <c r="O18" s="132"/>
      <c r="P18" s="37"/>
      <c r="Q18" s="129">
        <f t="shared" ca="1" si="145"/>
        <v>55428</v>
      </c>
      <c r="R18" s="129">
        <f t="shared" ca="1" si="145"/>
        <v>55428</v>
      </c>
      <c r="S18" s="129">
        <f t="shared" ca="1" si="145"/>
        <v>55428</v>
      </c>
      <c r="T18" s="37"/>
      <c r="U18" s="129">
        <f t="shared" ca="1" si="146"/>
        <v>0</v>
      </c>
      <c r="V18" s="129">
        <f t="shared" ca="1" si="146"/>
        <v>0</v>
      </c>
      <c r="W18" s="129">
        <f t="shared" ca="1" si="146"/>
        <v>0</v>
      </c>
      <c r="X18" s="37"/>
      <c r="Y18" s="129">
        <f t="shared" ca="1" si="147"/>
        <v>6.320999999999998</v>
      </c>
      <c r="Z18" s="129">
        <f t="shared" ca="1" si="147"/>
        <v>6.320999999999998</v>
      </c>
      <c r="AA18" s="129">
        <f t="shared" ca="1" si="147"/>
        <v>6.320999999999998</v>
      </c>
      <c r="AB18" s="37"/>
      <c r="AC18" s="129">
        <f t="shared" ca="1" si="148"/>
        <v>0</v>
      </c>
      <c r="AD18" s="129">
        <f t="shared" ca="1" si="148"/>
        <v>0</v>
      </c>
      <c r="AE18" s="129">
        <f t="shared" ca="1" si="148"/>
        <v>0</v>
      </c>
      <c r="AF18" s="37"/>
      <c r="AG18" s="97"/>
      <c r="AH18" s="97"/>
      <c r="AI18" s="97">
        <f t="shared" ca="1" si="149"/>
        <v>443424</v>
      </c>
      <c r="AJ18" s="100">
        <f t="shared" ca="1" si="149"/>
        <v>4092</v>
      </c>
      <c r="AK18" s="100">
        <f t="shared" ca="1" si="149"/>
        <v>0</v>
      </c>
      <c r="AL18" s="100">
        <f t="shared" ca="1" si="149"/>
        <v>0</v>
      </c>
      <c r="AM18" s="100">
        <f t="shared" ca="1" si="149"/>
        <v>0</v>
      </c>
      <c r="AN18" s="100">
        <f t="shared" ca="1" si="149"/>
        <v>2200</v>
      </c>
      <c r="AO18" s="163">
        <f>INDEX('Program Inputs'!$Q:$Q,MATCH($B18,'Program Inputs'!$B:$B,0))</f>
        <v>5344.1899999999987</v>
      </c>
      <c r="AP18" s="100">
        <f t="shared" ca="1" si="150"/>
        <v>7544.1899999999987</v>
      </c>
      <c r="AQ18" s="37"/>
      <c r="AR18" s="100">
        <f t="shared" ca="1" si="151"/>
        <v>4092</v>
      </c>
      <c r="AS18" s="100">
        <f t="shared" ca="1" si="151"/>
        <v>4009.2174379569151</v>
      </c>
      <c r="AT18" s="100">
        <f t="shared" ca="1" si="151"/>
        <v>2200</v>
      </c>
      <c r="AU18" s="100">
        <f>SUMPRODUCT(--($CX$9:$EX$9=$H18)*$AO18,'General Inputs'!$K$40:$BK$40)</f>
        <v>5344.1899999999987</v>
      </c>
      <c r="AV18" s="100">
        <f t="shared" ca="1" si="152"/>
        <v>48642.530006690635</v>
      </c>
      <c r="AW18" s="100">
        <f t="shared" ca="1" si="152"/>
        <v>15331.867425305662</v>
      </c>
      <c r="AX18" s="100">
        <f t="shared" ca="1" si="152"/>
        <v>657.61809543777917</v>
      </c>
      <c r="AY18" s="98">
        <f t="shared" ca="1" si="152"/>
        <v>335898.51019260666</v>
      </c>
      <c r="AZ18" s="37"/>
      <c r="BA18" s="100">
        <f t="shared" ca="1" si="153"/>
        <v>6553.2955207434425</v>
      </c>
      <c r="BB18" s="102">
        <f t="shared" ca="1" si="154"/>
        <v>1.6944853294331126</v>
      </c>
      <c r="BC18" s="100">
        <f t="shared" ca="1" si="155"/>
        <v>9436.1899999999987</v>
      </c>
      <c r="BD18" s="100">
        <f t="shared" ca="1" si="156"/>
        <v>15989.485520743441</v>
      </c>
      <c r="BE18" s="100">
        <f t="shared" ca="1" si="157"/>
        <v>15331.867425305662</v>
      </c>
      <c r="BF18" s="100">
        <f t="shared" ca="1" si="158"/>
        <v>657.61809543777917</v>
      </c>
      <c r="BG18" s="100">
        <f t="shared" si="159"/>
        <v>5344.1899999999987</v>
      </c>
      <c r="BH18" s="100">
        <f t="shared" ca="1" si="160"/>
        <v>4092</v>
      </c>
      <c r="BI18" s="37"/>
      <c r="BJ18" s="100">
        <f t="shared" ca="1" si="161"/>
        <v>10562.512958700358</v>
      </c>
      <c r="BK18" s="102">
        <f t="shared" ca="1" si="162"/>
        <v>2.119362047468349</v>
      </c>
      <c r="BL18" s="100">
        <f t="shared" ca="1" si="163"/>
        <v>9436.1899999999987</v>
      </c>
      <c r="BM18" s="100">
        <f t="shared" ca="1" si="164"/>
        <v>19998.702958700356</v>
      </c>
      <c r="BN18" s="100">
        <f t="shared" ca="1" si="165"/>
        <v>15331.867425305662</v>
      </c>
      <c r="BO18" s="100">
        <f t="shared" ca="1" si="166"/>
        <v>657.61809543777917</v>
      </c>
      <c r="BP18" s="100">
        <f t="shared" ca="1" si="167"/>
        <v>4009.2174379569151</v>
      </c>
      <c r="BQ18" s="100">
        <f t="shared" si="168"/>
        <v>5344.1899999999987</v>
      </c>
      <c r="BR18" s="100">
        <f t="shared" ca="1" si="169"/>
        <v>4092</v>
      </c>
      <c r="BS18" s="37"/>
      <c r="BT18" s="100">
        <f t="shared" ca="1" si="170"/>
        <v>46750.530006690635</v>
      </c>
      <c r="BU18" s="102">
        <f t="shared" ca="1" si="171"/>
        <v>12.424860705447369</v>
      </c>
      <c r="BV18" s="102" t="e">
        <f t="shared" ca="1" si="172"/>
        <v>#DIV/0!</v>
      </c>
      <c r="BW18" s="100">
        <f t="shared" ca="1" si="173"/>
        <v>4092</v>
      </c>
      <c r="BX18" s="100">
        <f t="shared" ca="1" si="174"/>
        <v>50842.530006690635</v>
      </c>
      <c r="BY18" s="100">
        <f t="shared" ca="1" si="175"/>
        <v>48642.530006690635</v>
      </c>
      <c r="BZ18" s="100">
        <f t="shared" ca="1" si="176"/>
        <v>2200</v>
      </c>
      <c r="CA18" s="100">
        <f t="shared" ca="1" si="177"/>
        <v>4092</v>
      </c>
      <c r="CB18" s="37"/>
      <c r="CC18" s="100">
        <f t="shared" ca="1" si="178"/>
        <v>8445.2955207434425</v>
      </c>
      <c r="CD18" s="102">
        <f t="shared" ca="1" si="179"/>
        <v>2.1194436408339987</v>
      </c>
      <c r="CE18" s="103">
        <f t="shared" ca="1" si="180"/>
        <v>2.2459730457494751E-2</v>
      </c>
      <c r="CF18" s="100">
        <f t="shared" ca="1" si="181"/>
        <v>7544.1899999999987</v>
      </c>
      <c r="CG18" s="100">
        <f t="shared" ca="1" si="182"/>
        <v>15989.485520743441</v>
      </c>
      <c r="CH18" s="100">
        <f t="shared" ca="1" si="183"/>
        <v>15331.867425305662</v>
      </c>
      <c r="CI18" s="100">
        <f t="shared" ca="1" si="184"/>
        <v>657.61809543777917</v>
      </c>
      <c r="CJ18" s="100">
        <f t="shared" ca="1" si="185"/>
        <v>2200</v>
      </c>
      <c r="CK18" s="100">
        <f t="shared" si="186"/>
        <v>5344.1899999999987</v>
      </c>
      <c r="CL18" s="37"/>
      <c r="CM18" s="100">
        <f t="shared" ca="1" si="187"/>
        <v>-40197.234485947192</v>
      </c>
      <c r="CN18" s="102">
        <f t="shared" ca="1" si="188"/>
        <v>0.28457766388284339</v>
      </c>
      <c r="CO18" s="128"/>
      <c r="CP18" s="100">
        <f t="shared" ca="1" si="189"/>
        <v>56186.720006690637</v>
      </c>
      <c r="CQ18" s="100">
        <f t="shared" ca="1" si="190"/>
        <v>15989.485520743441</v>
      </c>
      <c r="CR18" s="100">
        <f t="shared" ca="1" si="191"/>
        <v>15331.867425305662</v>
      </c>
      <c r="CS18" s="100">
        <f t="shared" ca="1" si="192"/>
        <v>657.61809543777917</v>
      </c>
      <c r="CT18" s="100">
        <f t="shared" ca="1" si="193"/>
        <v>48642.530006690635</v>
      </c>
      <c r="CU18" s="100">
        <f t="shared" ca="1" si="194"/>
        <v>2200</v>
      </c>
      <c r="CV18" s="100">
        <f t="shared" si="195"/>
        <v>5344.1899999999987</v>
      </c>
      <c r="CW18" s="37"/>
      <c r="CX18" s="48">
        <f t="shared" ca="1" si="196"/>
        <v>55428</v>
      </c>
      <c r="CY18" s="48">
        <f t="shared" ca="1" si="196"/>
        <v>55428</v>
      </c>
      <c r="CZ18" s="48">
        <f t="shared" ca="1" si="196"/>
        <v>55428</v>
      </c>
      <c r="DA18" s="48">
        <f t="shared" ca="1" si="196"/>
        <v>55428</v>
      </c>
      <c r="DB18" s="48">
        <f t="shared" ca="1" si="196"/>
        <v>55428</v>
      </c>
      <c r="DC18" s="48">
        <f t="shared" ca="1" si="196"/>
        <v>55428</v>
      </c>
      <c r="DD18" s="48">
        <f t="shared" ca="1" si="196"/>
        <v>55428</v>
      </c>
      <c r="DE18" s="48">
        <f t="shared" ca="1" si="196"/>
        <v>55428</v>
      </c>
      <c r="DF18" s="48">
        <f t="shared" ca="1" si="196"/>
        <v>0</v>
      </c>
      <c r="DG18" s="48">
        <f t="shared" ca="1" si="196"/>
        <v>0</v>
      </c>
      <c r="DH18" s="48">
        <f t="shared" ca="1" si="197"/>
        <v>0</v>
      </c>
      <c r="DI18" s="48">
        <f t="shared" ca="1" si="197"/>
        <v>0</v>
      </c>
      <c r="DJ18" s="48">
        <f t="shared" ca="1" si="197"/>
        <v>0</v>
      </c>
      <c r="DK18" s="48">
        <f t="shared" ca="1" si="197"/>
        <v>0</v>
      </c>
      <c r="DL18" s="48">
        <f t="shared" ca="1" si="197"/>
        <v>0</v>
      </c>
      <c r="DM18" s="48">
        <f t="shared" ca="1" si="197"/>
        <v>0</v>
      </c>
      <c r="DN18" s="48">
        <f t="shared" ca="1" si="197"/>
        <v>0</v>
      </c>
      <c r="DO18" s="48">
        <f t="shared" ca="1" si="197"/>
        <v>0</v>
      </c>
      <c r="DP18" s="48">
        <f t="shared" ca="1" si="197"/>
        <v>0</v>
      </c>
      <c r="DQ18" s="48">
        <f t="shared" ca="1" si="197"/>
        <v>0</v>
      </c>
      <c r="DR18" s="48">
        <f t="shared" ca="1" si="198"/>
        <v>0</v>
      </c>
      <c r="DS18" s="48">
        <f t="shared" ca="1" si="198"/>
        <v>0</v>
      </c>
      <c r="DT18" s="48">
        <f t="shared" ca="1" si="198"/>
        <v>0</v>
      </c>
      <c r="DU18" s="48">
        <f t="shared" ca="1" si="198"/>
        <v>0</v>
      </c>
      <c r="DV18" s="48">
        <f t="shared" ca="1" si="198"/>
        <v>0</v>
      </c>
      <c r="DW18" s="48">
        <f t="shared" ca="1" si="198"/>
        <v>0</v>
      </c>
      <c r="DX18" s="48">
        <f t="shared" ca="1" si="198"/>
        <v>0</v>
      </c>
      <c r="DY18" s="48">
        <f t="shared" ca="1" si="198"/>
        <v>0</v>
      </c>
      <c r="DZ18" s="48">
        <f t="shared" ca="1" si="198"/>
        <v>0</v>
      </c>
      <c r="EA18" s="48">
        <f t="shared" ca="1" si="198"/>
        <v>0</v>
      </c>
      <c r="EB18" s="48">
        <f t="shared" ca="1" si="199"/>
        <v>0</v>
      </c>
      <c r="EC18" s="48">
        <f t="shared" ca="1" si="199"/>
        <v>0</v>
      </c>
      <c r="ED18" s="48">
        <f t="shared" ca="1" si="199"/>
        <v>0</v>
      </c>
      <c r="EE18" s="48">
        <f t="shared" ca="1" si="199"/>
        <v>0</v>
      </c>
      <c r="EF18" s="48">
        <f t="shared" ca="1" si="199"/>
        <v>0</v>
      </c>
      <c r="EG18" s="48">
        <f t="shared" ca="1" si="199"/>
        <v>0</v>
      </c>
      <c r="EH18" s="48">
        <f t="shared" ca="1" si="199"/>
        <v>0</v>
      </c>
      <c r="EI18" s="48">
        <f t="shared" ca="1" si="199"/>
        <v>0</v>
      </c>
      <c r="EJ18" s="48">
        <f t="shared" ca="1" si="199"/>
        <v>0</v>
      </c>
      <c r="EK18" s="48">
        <f t="shared" ca="1" si="199"/>
        <v>0</v>
      </c>
      <c r="EL18" s="48">
        <f t="shared" ca="1" si="200"/>
        <v>0</v>
      </c>
      <c r="EM18" s="48">
        <f t="shared" ca="1" si="200"/>
        <v>0</v>
      </c>
      <c r="EN18" s="48">
        <f t="shared" ca="1" si="200"/>
        <v>0</v>
      </c>
      <c r="EO18" s="48">
        <f t="shared" ca="1" si="200"/>
        <v>0</v>
      </c>
      <c r="EP18" s="48">
        <f t="shared" ca="1" si="200"/>
        <v>0</v>
      </c>
      <c r="EQ18" s="48">
        <f t="shared" ca="1" si="200"/>
        <v>0</v>
      </c>
      <c r="ER18" s="48">
        <f t="shared" ca="1" si="200"/>
        <v>0</v>
      </c>
      <c r="ES18" s="48">
        <f t="shared" ca="1" si="200"/>
        <v>0</v>
      </c>
      <c r="ET18" s="48">
        <f t="shared" ca="1" si="200"/>
        <v>0</v>
      </c>
      <c r="EU18" s="48">
        <f t="shared" ca="1" si="200"/>
        <v>0</v>
      </c>
      <c r="EV18" s="48">
        <f t="shared" ca="1" si="200"/>
        <v>0</v>
      </c>
      <c r="EW18" s="48">
        <f t="shared" ca="1" si="200"/>
        <v>0</v>
      </c>
      <c r="EX18" s="48">
        <f t="shared" ca="1" si="200"/>
        <v>0</v>
      </c>
      <c r="EY18" s="69"/>
      <c r="EZ18" s="48">
        <f t="shared" ca="1" si="201"/>
        <v>6.320999999999998</v>
      </c>
      <c r="FA18" s="48">
        <f t="shared" ca="1" si="201"/>
        <v>6.320999999999998</v>
      </c>
      <c r="FB18" s="48">
        <f t="shared" ca="1" si="201"/>
        <v>6.320999999999998</v>
      </c>
      <c r="FC18" s="48">
        <f t="shared" ca="1" si="201"/>
        <v>6.320999999999998</v>
      </c>
      <c r="FD18" s="48">
        <f t="shared" ca="1" si="201"/>
        <v>6.320999999999998</v>
      </c>
      <c r="FE18" s="48">
        <f t="shared" ca="1" si="201"/>
        <v>6.320999999999998</v>
      </c>
      <c r="FF18" s="48">
        <f t="shared" ca="1" si="201"/>
        <v>6.320999999999998</v>
      </c>
      <c r="FG18" s="48">
        <f t="shared" ca="1" si="201"/>
        <v>6.320999999999998</v>
      </c>
      <c r="FH18" s="48">
        <f t="shared" ca="1" si="201"/>
        <v>0</v>
      </c>
      <c r="FI18" s="48">
        <f t="shared" ca="1" si="201"/>
        <v>0</v>
      </c>
      <c r="FJ18" s="48">
        <f t="shared" ca="1" si="202"/>
        <v>0</v>
      </c>
      <c r="FK18" s="48">
        <f t="shared" ca="1" si="202"/>
        <v>0</v>
      </c>
      <c r="FL18" s="48">
        <f t="shared" ca="1" si="202"/>
        <v>0</v>
      </c>
      <c r="FM18" s="48">
        <f t="shared" ca="1" si="202"/>
        <v>0</v>
      </c>
      <c r="FN18" s="48">
        <f t="shared" ca="1" si="202"/>
        <v>0</v>
      </c>
      <c r="FO18" s="48">
        <f t="shared" ca="1" si="202"/>
        <v>0</v>
      </c>
      <c r="FP18" s="48">
        <f t="shared" ca="1" si="202"/>
        <v>0</v>
      </c>
      <c r="FQ18" s="48">
        <f t="shared" ca="1" si="202"/>
        <v>0</v>
      </c>
      <c r="FR18" s="48">
        <f t="shared" ca="1" si="202"/>
        <v>0</v>
      </c>
      <c r="FS18" s="48">
        <f t="shared" ca="1" si="202"/>
        <v>0</v>
      </c>
      <c r="FT18" s="48">
        <f t="shared" ca="1" si="203"/>
        <v>0</v>
      </c>
      <c r="FU18" s="48">
        <f t="shared" ca="1" si="203"/>
        <v>0</v>
      </c>
      <c r="FV18" s="48">
        <f t="shared" ca="1" si="203"/>
        <v>0</v>
      </c>
      <c r="FW18" s="48">
        <f t="shared" ca="1" si="203"/>
        <v>0</v>
      </c>
      <c r="FX18" s="48">
        <f t="shared" ca="1" si="203"/>
        <v>0</v>
      </c>
      <c r="FY18" s="48">
        <f t="shared" ca="1" si="203"/>
        <v>0</v>
      </c>
      <c r="FZ18" s="48">
        <f t="shared" ca="1" si="203"/>
        <v>0</v>
      </c>
      <c r="GA18" s="48">
        <f t="shared" ca="1" si="203"/>
        <v>0</v>
      </c>
      <c r="GB18" s="48">
        <f t="shared" ca="1" si="203"/>
        <v>0</v>
      </c>
      <c r="GC18" s="48">
        <f t="shared" ca="1" si="203"/>
        <v>0</v>
      </c>
      <c r="GD18" s="48">
        <f t="shared" ca="1" si="204"/>
        <v>0</v>
      </c>
      <c r="GE18" s="48">
        <f t="shared" ca="1" si="204"/>
        <v>0</v>
      </c>
      <c r="GF18" s="48">
        <f t="shared" ca="1" si="204"/>
        <v>0</v>
      </c>
      <c r="GG18" s="48">
        <f t="shared" ca="1" si="204"/>
        <v>0</v>
      </c>
      <c r="GH18" s="48">
        <f t="shared" ca="1" si="204"/>
        <v>0</v>
      </c>
      <c r="GI18" s="48">
        <f t="shared" ca="1" si="204"/>
        <v>0</v>
      </c>
      <c r="GJ18" s="48">
        <f t="shared" ca="1" si="204"/>
        <v>0</v>
      </c>
      <c r="GK18" s="48">
        <f t="shared" ca="1" si="204"/>
        <v>0</v>
      </c>
      <c r="GL18" s="48">
        <f t="shared" ca="1" si="204"/>
        <v>0</v>
      </c>
      <c r="GM18" s="48">
        <f t="shared" ca="1" si="204"/>
        <v>0</v>
      </c>
      <c r="GN18" s="48">
        <f t="shared" ca="1" si="205"/>
        <v>0</v>
      </c>
      <c r="GO18" s="48">
        <f t="shared" ca="1" si="205"/>
        <v>0</v>
      </c>
      <c r="GP18" s="48">
        <f t="shared" ca="1" si="205"/>
        <v>0</v>
      </c>
      <c r="GQ18" s="48">
        <f t="shared" ca="1" si="205"/>
        <v>0</v>
      </c>
      <c r="GR18" s="48">
        <f t="shared" ca="1" si="205"/>
        <v>0</v>
      </c>
      <c r="GS18" s="48">
        <f t="shared" ca="1" si="205"/>
        <v>0</v>
      </c>
      <c r="GT18" s="48">
        <f t="shared" ca="1" si="205"/>
        <v>0</v>
      </c>
      <c r="GU18" s="48">
        <f t="shared" ca="1" si="205"/>
        <v>0</v>
      </c>
      <c r="GV18" s="48">
        <f t="shared" ca="1" si="205"/>
        <v>0</v>
      </c>
      <c r="GW18" s="48">
        <f t="shared" ca="1" si="205"/>
        <v>0</v>
      </c>
      <c r="GX18" s="48">
        <f t="shared" ca="1" si="205"/>
        <v>0</v>
      </c>
      <c r="GY18" s="48">
        <f t="shared" ca="1" si="205"/>
        <v>0</v>
      </c>
      <c r="GZ18" s="48">
        <f t="shared" ca="1" si="205"/>
        <v>0</v>
      </c>
      <c r="HA18" s="69"/>
      <c r="HB18" s="150">
        <f t="shared" ca="1" si="206"/>
        <v>1.6944853294331126</v>
      </c>
      <c r="HC18" s="150">
        <f t="shared" ca="1" si="75"/>
        <v>2.1194436408339987</v>
      </c>
      <c r="HD18" s="150">
        <f t="shared" ca="1" si="207"/>
        <v>2.119362047468349</v>
      </c>
      <c r="HE18" s="150">
        <f t="shared" ca="1" si="77"/>
        <v>12.424860705447369</v>
      </c>
      <c r="HF18" s="150">
        <f t="shared" ca="1" si="78"/>
        <v>0.28457766388284339</v>
      </c>
      <c r="HG18" s="148"/>
      <c r="HH18" s="149"/>
      <c r="HI18" s="149"/>
      <c r="HJ18" s="149"/>
      <c r="HK18" s="150"/>
      <c r="HL18" s="149"/>
      <c r="HM18" s="149"/>
      <c r="HN18" s="149"/>
      <c r="HO18" s="150"/>
      <c r="HP18" s="148"/>
      <c r="HQ18" s="149"/>
      <c r="HR18" s="149"/>
      <c r="HS18" s="149"/>
      <c r="HT18" s="150"/>
      <c r="HU18" s="149"/>
      <c r="HV18" s="149"/>
      <c r="HW18" s="149"/>
      <c r="HX18" s="150"/>
      <c r="HY18" s="151"/>
      <c r="HZ18" s="150"/>
      <c r="IA18" s="150"/>
      <c r="IB18" s="152"/>
      <c r="IC18" s="150"/>
      <c r="ID18" s="152"/>
      <c r="IE18" s="150"/>
      <c r="IF18" s="153"/>
    </row>
    <row r="19" spans="1:240" s="36" customFormat="1" ht="14.4" customHeight="1">
      <c r="A19" s="39"/>
      <c r="B19" s="108" t="str">
        <f t="shared" si="143"/>
        <v>Residential_High Efficiency HVAC_All_All_2017_Actual</v>
      </c>
      <c r="C19" s="108"/>
      <c r="D19" s="109" t="s">
        <v>1</v>
      </c>
      <c r="E19" s="109" t="s">
        <v>205</v>
      </c>
      <c r="F19" s="109" t="s">
        <v>28</v>
      </c>
      <c r="G19" s="109" t="s">
        <v>28</v>
      </c>
      <c r="H19" s="109">
        <v>2017</v>
      </c>
      <c r="I19" s="109" t="s">
        <v>167</v>
      </c>
      <c r="J19" s="37"/>
      <c r="K19" s="99"/>
      <c r="L19" s="38">
        <f t="shared" ca="1" si="144"/>
        <v>71</v>
      </c>
      <c r="M19" s="133"/>
      <c r="N19" s="132"/>
      <c r="O19" s="132"/>
      <c r="P19" s="37"/>
      <c r="Q19" s="129">
        <f t="shared" ca="1" si="145"/>
        <v>111458.90283000001</v>
      </c>
      <c r="R19" s="129">
        <f t="shared" ca="1" si="145"/>
        <v>111458.90283000001</v>
      </c>
      <c r="S19" s="129">
        <f t="shared" ca="1" si="145"/>
        <v>111458.90283000001</v>
      </c>
      <c r="T19" s="37"/>
      <c r="U19" s="129">
        <f t="shared" ca="1" si="146"/>
        <v>4309.2442713670926</v>
      </c>
      <c r="V19" s="129">
        <f t="shared" ca="1" si="146"/>
        <v>4309.2442713670926</v>
      </c>
      <c r="W19" s="129">
        <f t="shared" ca="1" si="146"/>
        <v>4309.2442713670926</v>
      </c>
      <c r="X19" s="37"/>
      <c r="Y19" s="129">
        <f t="shared" ca="1" si="147"/>
        <v>42.024200000000008</v>
      </c>
      <c r="Z19" s="129">
        <f t="shared" ca="1" si="147"/>
        <v>42.024200000000008</v>
      </c>
      <c r="AA19" s="129">
        <f t="shared" ca="1" si="147"/>
        <v>42.024200000000008</v>
      </c>
      <c r="AB19" s="37"/>
      <c r="AC19" s="129">
        <f t="shared" ca="1" si="148"/>
        <v>4.4361841659058348</v>
      </c>
      <c r="AD19" s="129">
        <f t="shared" ca="1" si="148"/>
        <v>4.4361841659058348</v>
      </c>
      <c r="AE19" s="129">
        <f t="shared" ca="1" si="148"/>
        <v>4.4361841659058348</v>
      </c>
      <c r="AF19" s="37"/>
      <c r="AG19" s="97"/>
      <c r="AH19" s="97"/>
      <c r="AI19" s="97">
        <f t="shared" ca="1" si="149"/>
        <v>1543607.3301636712</v>
      </c>
      <c r="AJ19" s="100">
        <f t="shared" ca="1" si="149"/>
        <v>41280.797235804355</v>
      </c>
      <c r="AK19" s="100">
        <f t="shared" ca="1" si="149"/>
        <v>19677.077018822089</v>
      </c>
      <c r="AL19" s="100">
        <f t="shared" ca="1" si="149"/>
        <v>0</v>
      </c>
      <c r="AM19" s="100">
        <f t="shared" ca="1" si="149"/>
        <v>0</v>
      </c>
      <c r="AN19" s="100">
        <f t="shared" ca="1" si="149"/>
        <v>13808.75</v>
      </c>
      <c r="AO19" s="163">
        <f>INDEX('Program Inputs'!$Q:$Q,MATCH($B19,'Program Inputs'!$B:$B,0))</f>
        <v>1662.5</v>
      </c>
      <c r="AP19" s="100">
        <f t="shared" ca="1" si="150"/>
        <v>15471.25</v>
      </c>
      <c r="AQ19" s="37"/>
      <c r="AR19" s="100">
        <f t="shared" ca="1" si="151"/>
        <v>41280.797235804355</v>
      </c>
      <c r="AS19" s="100">
        <f t="shared" ca="1" si="151"/>
        <v>10936.218542611447</v>
      </c>
      <c r="AT19" s="100">
        <f t="shared" ca="1" si="151"/>
        <v>13808.75</v>
      </c>
      <c r="AU19" s="100">
        <f>SUMPRODUCT(--($CX$9:$EX$9=$H19)*$AO19,'General Inputs'!$K$40:$BK$40)</f>
        <v>1662.5</v>
      </c>
      <c r="AV19" s="100">
        <f t="shared" ca="1" si="152"/>
        <v>137336.22266457466</v>
      </c>
      <c r="AW19" s="100">
        <f t="shared" ca="1" si="152"/>
        <v>43287.648859874171</v>
      </c>
      <c r="AX19" s="100">
        <f t="shared" ca="1" si="152"/>
        <v>6006.0963762410056</v>
      </c>
      <c r="AY19" s="98">
        <f t="shared" ca="1" si="152"/>
        <v>916253.50145038019</v>
      </c>
      <c r="AZ19" s="37"/>
      <c r="BA19" s="100">
        <f t="shared" ca="1" si="153"/>
        <v>6350.4480003108183</v>
      </c>
      <c r="BB19" s="102">
        <f t="shared" ca="1" si="154"/>
        <v>1.1478798417699532</v>
      </c>
      <c r="BC19" s="100">
        <f t="shared" ca="1" si="155"/>
        <v>42943.297235804355</v>
      </c>
      <c r="BD19" s="100">
        <f t="shared" ca="1" si="156"/>
        <v>49293.745236115174</v>
      </c>
      <c r="BE19" s="100">
        <f t="shared" ca="1" si="157"/>
        <v>43287.648859874171</v>
      </c>
      <c r="BF19" s="100">
        <f t="shared" ca="1" si="158"/>
        <v>6006.0963762410056</v>
      </c>
      <c r="BG19" s="100">
        <f t="shared" si="159"/>
        <v>1662.5</v>
      </c>
      <c r="BH19" s="100">
        <f t="shared" ca="1" si="160"/>
        <v>41280.797235804355</v>
      </c>
      <c r="BI19" s="37"/>
      <c r="BJ19" s="100">
        <f t="shared" ca="1" si="161"/>
        <v>17286.666542922263</v>
      </c>
      <c r="BK19" s="102">
        <f t="shared" ca="1" si="162"/>
        <v>1.4025463263335389</v>
      </c>
      <c r="BL19" s="100">
        <f t="shared" ca="1" si="163"/>
        <v>42943.297235804355</v>
      </c>
      <c r="BM19" s="100">
        <f t="shared" ca="1" si="164"/>
        <v>60229.963778726618</v>
      </c>
      <c r="BN19" s="100">
        <f t="shared" ca="1" si="165"/>
        <v>43287.648859874171</v>
      </c>
      <c r="BO19" s="100">
        <f t="shared" ca="1" si="166"/>
        <v>6006.0963762410056</v>
      </c>
      <c r="BP19" s="100">
        <f t="shared" ca="1" si="167"/>
        <v>10936.218542611447</v>
      </c>
      <c r="BQ19" s="100">
        <f t="shared" si="168"/>
        <v>1662.5</v>
      </c>
      <c r="BR19" s="100">
        <f t="shared" ca="1" si="169"/>
        <v>41280.797235804355</v>
      </c>
      <c r="BS19" s="37"/>
      <c r="BT19" s="100">
        <f t="shared" ca="1" si="170"/>
        <v>109864.17542877031</v>
      </c>
      <c r="BU19" s="102">
        <f t="shared" ca="1" si="171"/>
        <v>3.661386959200513</v>
      </c>
      <c r="BV19" s="102" t="e">
        <f t="shared" ca="1" si="172"/>
        <v>#DIV/0!</v>
      </c>
      <c r="BW19" s="100">
        <f t="shared" ca="1" si="173"/>
        <v>41280.797235804355</v>
      </c>
      <c r="BX19" s="100">
        <f t="shared" ca="1" si="174"/>
        <v>151144.97266457466</v>
      </c>
      <c r="BY19" s="100">
        <f t="shared" ca="1" si="175"/>
        <v>137336.22266457466</v>
      </c>
      <c r="BZ19" s="100">
        <f t="shared" ca="1" si="176"/>
        <v>13808.75</v>
      </c>
      <c r="CA19" s="100">
        <f t="shared" ca="1" si="177"/>
        <v>41280.797235804355</v>
      </c>
      <c r="CB19" s="37"/>
      <c r="CC19" s="100">
        <f t="shared" ca="1" si="178"/>
        <v>33822.495236115174</v>
      </c>
      <c r="CD19" s="102">
        <f t="shared" ca="1" si="179"/>
        <v>3.1861514251346965</v>
      </c>
      <c r="CE19" s="103">
        <f t="shared" ca="1" si="180"/>
        <v>1.6885337928324248E-2</v>
      </c>
      <c r="CF19" s="100">
        <f t="shared" ca="1" si="181"/>
        <v>15471.25</v>
      </c>
      <c r="CG19" s="100">
        <f t="shared" ca="1" si="182"/>
        <v>49293.745236115174</v>
      </c>
      <c r="CH19" s="100">
        <f t="shared" ca="1" si="183"/>
        <v>43287.648859874171</v>
      </c>
      <c r="CI19" s="100">
        <f t="shared" ca="1" si="184"/>
        <v>6006.0963762410056</v>
      </c>
      <c r="CJ19" s="100">
        <f t="shared" ca="1" si="185"/>
        <v>13808.75</v>
      </c>
      <c r="CK19" s="100">
        <f t="shared" si="186"/>
        <v>1662.5</v>
      </c>
      <c r="CL19" s="37"/>
      <c r="CM19" s="100">
        <f t="shared" ca="1" si="187"/>
        <v>-103513.72742845948</v>
      </c>
      <c r="CN19" s="102">
        <f t="shared" ca="1" si="188"/>
        <v>0.32258726864961063</v>
      </c>
      <c r="CO19" s="128"/>
      <c r="CP19" s="100">
        <f t="shared" ca="1" si="189"/>
        <v>152807.47266457466</v>
      </c>
      <c r="CQ19" s="100">
        <f t="shared" ca="1" si="190"/>
        <v>49293.745236115174</v>
      </c>
      <c r="CR19" s="100">
        <f t="shared" ca="1" si="191"/>
        <v>43287.648859874171</v>
      </c>
      <c r="CS19" s="100">
        <f t="shared" ca="1" si="192"/>
        <v>6006.0963762410056</v>
      </c>
      <c r="CT19" s="100">
        <f t="shared" ca="1" si="193"/>
        <v>137336.22266457466</v>
      </c>
      <c r="CU19" s="100">
        <f t="shared" ca="1" si="194"/>
        <v>13808.75</v>
      </c>
      <c r="CV19" s="100">
        <f t="shared" si="195"/>
        <v>1662.5</v>
      </c>
      <c r="CW19" s="37"/>
      <c r="CX19" s="48">
        <f t="shared" ca="1" si="196"/>
        <v>111458.90283000001</v>
      </c>
      <c r="CY19" s="48">
        <f t="shared" ca="1" si="196"/>
        <v>111458.90283000001</v>
      </c>
      <c r="CZ19" s="48">
        <f t="shared" ca="1" si="196"/>
        <v>111458.90283000001</v>
      </c>
      <c r="DA19" s="48">
        <f t="shared" ca="1" si="196"/>
        <v>111458.90283000001</v>
      </c>
      <c r="DB19" s="48">
        <f t="shared" ca="1" si="196"/>
        <v>111458.90283000001</v>
      </c>
      <c r="DC19" s="48">
        <f t="shared" ca="1" si="196"/>
        <v>111458.90283000001</v>
      </c>
      <c r="DD19" s="48">
        <f t="shared" ca="1" si="196"/>
        <v>111458.90283000001</v>
      </c>
      <c r="DE19" s="48">
        <f t="shared" ca="1" si="196"/>
        <v>111458.90283000001</v>
      </c>
      <c r="DF19" s="48">
        <f t="shared" ca="1" si="196"/>
        <v>73221.409101367099</v>
      </c>
      <c r="DG19" s="48">
        <f t="shared" ca="1" si="196"/>
        <v>73221.409101367099</v>
      </c>
      <c r="DH19" s="48">
        <f t="shared" ca="1" si="197"/>
        <v>73221.409101367099</v>
      </c>
      <c r="DI19" s="48">
        <f t="shared" ca="1" si="197"/>
        <v>73221.409101367099</v>
      </c>
      <c r="DJ19" s="48">
        <f t="shared" ca="1" si="197"/>
        <v>73221.409101367099</v>
      </c>
      <c r="DK19" s="48">
        <f t="shared" ca="1" si="197"/>
        <v>73221.409101367099</v>
      </c>
      <c r="DL19" s="48">
        <f t="shared" ca="1" si="197"/>
        <v>73221.409101367099</v>
      </c>
      <c r="DM19" s="48">
        <f t="shared" ca="1" si="197"/>
        <v>46462.081271367089</v>
      </c>
      <c r="DN19" s="48">
        <f t="shared" ca="1" si="197"/>
        <v>46462.081271367089</v>
      </c>
      <c r="DO19" s="48">
        <f t="shared" ca="1" si="197"/>
        <v>46462.081271367089</v>
      </c>
      <c r="DP19" s="48">
        <f t="shared" ca="1" si="197"/>
        <v>0</v>
      </c>
      <c r="DQ19" s="48">
        <f t="shared" ca="1" si="197"/>
        <v>0</v>
      </c>
      <c r="DR19" s="48">
        <f t="shared" ca="1" si="198"/>
        <v>0</v>
      </c>
      <c r="DS19" s="48">
        <f t="shared" ca="1" si="198"/>
        <v>0</v>
      </c>
      <c r="DT19" s="48">
        <f t="shared" ca="1" si="198"/>
        <v>0</v>
      </c>
      <c r="DU19" s="48">
        <f t="shared" ca="1" si="198"/>
        <v>0</v>
      </c>
      <c r="DV19" s="48">
        <f t="shared" ca="1" si="198"/>
        <v>0</v>
      </c>
      <c r="DW19" s="48">
        <f t="shared" ca="1" si="198"/>
        <v>0</v>
      </c>
      <c r="DX19" s="48">
        <f t="shared" ca="1" si="198"/>
        <v>0</v>
      </c>
      <c r="DY19" s="48">
        <f t="shared" ca="1" si="198"/>
        <v>0</v>
      </c>
      <c r="DZ19" s="48">
        <f t="shared" ca="1" si="198"/>
        <v>0</v>
      </c>
      <c r="EA19" s="48">
        <f t="shared" ca="1" si="198"/>
        <v>0</v>
      </c>
      <c r="EB19" s="48">
        <f t="shared" ca="1" si="199"/>
        <v>0</v>
      </c>
      <c r="EC19" s="48">
        <f t="shared" ca="1" si="199"/>
        <v>0</v>
      </c>
      <c r="ED19" s="48">
        <f t="shared" ca="1" si="199"/>
        <v>0</v>
      </c>
      <c r="EE19" s="48">
        <f t="shared" ca="1" si="199"/>
        <v>0</v>
      </c>
      <c r="EF19" s="48">
        <f t="shared" ca="1" si="199"/>
        <v>0</v>
      </c>
      <c r="EG19" s="48">
        <f t="shared" ca="1" si="199"/>
        <v>0</v>
      </c>
      <c r="EH19" s="48">
        <f t="shared" ca="1" si="199"/>
        <v>0</v>
      </c>
      <c r="EI19" s="48">
        <f t="shared" ca="1" si="199"/>
        <v>0</v>
      </c>
      <c r="EJ19" s="48">
        <f t="shared" ca="1" si="199"/>
        <v>0</v>
      </c>
      <c r="EK19" s="48">
        <f t="shared" ca="1" si="199"/>
        <v>0</v>
      </c>
      <c r="EL19" s="48">
        <f t="shared" ca="1" si="200"/>
        <v>0</v>
      </c>
      <c r="EM19" s="48">
        <f t="shared" ca="1" si="200"/>
        <v>0</v>
      </c>
      <c r="EN19" s="48">
        <f t="shared" ca="1" si="200"/>
        <v>0</v>
      </c>
      <c r="EO19" s="48">
        <f t="shared" ca="1" si="200"/>
        <v>0</v>
      </c>
      <c r="EP19" s="48">
        <f t="shared" ca="1" si="200"/>
        <v>0</v>
      </c>
      <c r="EQ19" s="48">
        <f t="shared" ca="1" si="200"/>
        <v>0</v>
      </c>
      <c r="ER19" s="48">
        <f t="shared" ca="1" si="200"/>
        <v>0</v>
      </c>
      <c r="ES19" s="48">
        <f t="shared" ca="1" si="200"/>
        <v>0</v>
      </c>
      <c r="ET19" s="48">
        <f t="shared" ca="1" si="200"/>
        <v>0</v>
      </c>
      <c r="EU19" s="48">
        <f t="shared" ca="1" si="200"/>
        <v>0</v>
      </c>
      <c r="EV19" s="48">
        <f t="shared" ca="1" si="200"/>
        <v>0</v>
      </c>
      <c r="EW19" s="48">
        <f t="shared" ca="1" si="200"/>
        <v>0</v>
      </c>
      <c r="EX19" s="48">
        <f t="shared" ca="1" si="200"/>
        <v>0</v>
      </c>
      <c r="EY19" s="69"/>
      <c r="EZ19" s="48">
        <f t="shared" ca="1" si="201"/>
        <v>42.024200000000008</v>
      </c>
      <c r="FA19" s="48">
        <f t="shared" ca="1" si="201"/>
        <v>42.024200000000008</v>
      </c>
      <c r="FB19" s="48">
        <f t="shared" ca="1" si="201"/>
        <v>42.024200000000008</v>
      </c>
      <c r="FC19" s="48">
        <f t="shared" ca="1" si="201"/>
        <v>42.024200000000008</v>
      </c>
      <c r="FD19" s="48">
        <f t="shared" ca="1" si="201"/>
        <v>42.024200000000008</v>
      </c>
      <c r="FE19" s="48">
        <f t="shared" ca="1" si="201"/>
        <v>42.024200000000008</v>
      </c>
      <c r="FF19" s="48">
        <f t="shared" ca="1" si="201"/>
        <v>42.024200000000008</v>
      </c>
      <c r="FG19" s="48">
        <f t="shared" ca="1" si="201"/>
        <v>42.024200000000008</v>
      </c>
      <c r="FH19" s="48">
        <f t="shared" ca="1" si="201"/>
        <v>23.760384165905833</v>
      </c>
      <c r="FI19" s="48">
        <f t="shared" ca="1" si="201"/>
        <v>23.760384165905833</v>
      </c>
      <c r="FJ19" s="48">
        <f t="shared" ca="1" si="202"/>
        <v>23.760384165905833</v>
      </c>
      <c r="FK19" s="48">
        <f t="shared" ca="1" si="202"/>
        <v>23.760384165905833</v>
      </c>
      <c r="FL19" s="48">
        <f t="shared" ca="1" si="202"/>
        <v>23.760384165905833</v>
      </c>
      <c r="FM19" s="48">
        <f t="shared" ca="1" si="202"/>
        <v>23.760384165905833</v>
      </c>
      <c r="FN19" s="48">
        <f t="shared" ca="1" si="202"/>
        <v>23.760384165905833</v>
      </c>
      <c r="FO19" s="48">
        <f t="shared" ca="1" si="202"/>
        <v>22.126184165905833</v>
      </c>
      <c r="FP19" s="48">
        <f t="shared" ca="1" si="202"/>
        <v>22.126184165905833</v>
      </c>
      <c r="FQ19" s="48">
        <f t="shared" ca="1" si="202"/>
        <v>22.126184165905833</v>
      </c>
      <c r="FR19" s="48">
        <f t="shared" ca="1" si="202"/>
        <v>0</v>
      </c>
      <c r="FS19" s="48">
        <f t="shared" ca="1" si="202"/>
        <v>0</v>
      </c>
      <c r="FT19" s="48">
        <f t="shared" ca="1" si="203"/>
        <v>0</v>
      </c>
      <c r="FU19" s="48">
        <f t="shared" ca="1" si="203"/>
        <v>0</v>
      </c>
      <c r="FV19" s="48">
        <f t="shared" ca="1" si="203"/>
        <v>0</v>
      </c>
      <c r="FW19" s="48">
        <f t="shared" ca="1" si="203"/>
        <v>0</v>
      </c>
      <c r="FX19" s="48">
        <f t="shared" ca="1" si="203"/>
        <v>0</v>
      </c>
      <c r="FY19" s="48">
        <f t="shared" ca="1" si="203"/>
        <v>0</v>
      </c>
      <c r="FZ19" s="48">
        <f t="shared" ca="1" si="203"/>
        <v>0</v>
      </c>
      <c r="GA19" s="48">
        <f t="shared" ca="1" si="203"/>
        <v>0</v>
      </c>
      <c r="GB19" s="48">
        <f t="shared" ca="1" si="203"/>
        <v>0</v>
      </c>
      <c r="GC19" s="48">
        <f t="shared" ca="1" si="203"/>
        <v>0</v>
      </c>
      <c r="GD19" s="48">
        <f t="shared" ca="1" si="204"/>
        <v>0</v>
      </c>
      <c r="GE19" s="48">
        <f t="shared" ca="1" si="204"/>
        <v>0</v>
      </c>
      <c r="GF19" s="48">
        <f t="shared" ca="1" si="204"/>
        <v>0</v>
      </c>
      <c r="GG19" s="48">
        <f t="shared" ca="1" si="204"/>
        <v>0</v>
      </c>
      <c r="GH19" s="48">
        <f t="shared" ca="1" si="204"/>
        <v>0</v>
      </c>
      <c r="GI19" s="48">
        <f t="shared" ca="1" si="204"/>
        <v>0</v>
      </c>
      <c r="GJ19" s="48">
        <f t="shared" ca="1" si="204"/>
        <v>0</v>
      </c>
      <c r="GK19" s="48">
        <f t="shared" ca="1" si="204"/>
        <v>0</v>
      </c>
      <c r="GL19" s="48">
        <f t="shared" ca="1" si="204"/>
        <v>0</v>
      </c>
      <c r="GM19" s="48">
        <f t="shared" ca="1" si="204"/>
        <v>0</v>
      </c>
      <c r="GN19" s="48">
        <f t="shared" ca="1" si="205"/>
        <v>0</v>
      </c>
      <c r="GO19" s="48">
        <f t="shared" ca="1" si="205"/>
        <v>0</v>
      </c>
      <c r="GP19" s="48">
        <f t="shared" ca="1" si="205"/>
        <v>0</v>
      </c>
      <c r="GQ19" s="48">
        <f t="shared" ca="1" si="205"/>
        <v>0</v>
      </c>
      <c r="GR19" s="48">
        <f t="shared" ca="1" si="205"/>
        <v>0</v>
      </c>
      <c r="GS19" s="48">
        <f t="shared" ca="1" si="205"/>
        <v>0</v>
      </c>
      <c r="GT19" s="48">
        <f t="shared" ca="1" si="205"/>
        <v>0</v>
      </c>
      <c r="GU19" s="48">
        <f t="shared" ca="1" si="205"/>
        <v>0</v>
      </c>
      <c r="GV19" s="48">
        <f t="shared" ca="1" si="205"/>
        <v>0</v>
      </c>
      <c r="GW19" s="48">
        <f t="shared" ca="1" si="205"/>
        <v>0</v>
      </c>
      <c r="GX19" s="48">
        <f t="shared" ca="1" si="205"/>
        <v>0</v>
      </c>
      <c r="GY19" s="48">
        <f t="shared" ca="1" si="205"/>
        <v>0</v>
      </c>
      <c r="GZ19" s="48">
        <f t="shared" ca="1" si="205"/>
        <v>0</v>
      </c>
      <c r="HA19" s="69"/>
      <c r="HB19" s="150">
        <f t="shared" ca="1" si="206"/>
        <v>1.1478798417699532</v>
      </c>
      <c r="HC19" s="150">
        <f t="shared" ca="1" si="75"/>
        <v>3.1861514251346965</v>
      </c>
      <c r="HD19" s="150">
        <f t="shared" ca="1" si="207"/>
        <v>1.4025463263335389</v>
      </c>
      <c r="HE19" s="150">
        <f t="shared" ca="1" si="77"/>
        <v>3.661386959200513</v>
      </c>
      <c r="HF19" s="150">
        <f t="shared" ca="1" si="78"/>
        <v>0.32258726864961063</v>
      </c>
      <c r="HG19" s="148"/>
      <c r="HH19" s="149"/>
      <c r="HI19" s="149"/>
      <c r="HJ19" s="149"/>
      <c r="HK19" s="150"/>
      <c r="HL19" s="149"/>
      <c r="HM19" s="149"/>
      <c r="HN19" s="149"/>
      <c r="HO19" s="150"/>
      <c r="HP19" s="148"/>
      <c r="HQ19" s="149"/>
      <c r="HR19" s="149"/>
      <c r="HS19" s="149"/>
      <c r="HT19" s="150"/>
      <c r="HU19" s="149"/>
      <c r="HV19" s="149"/>
      <c r="HW19" s="149"/>
      <c r="HX19" s="150"/>
      <c r="HY19" s="151"/>
      <c r="HZ19" s="150"/>
      <c r="IA19" s="150"/>
      <c r="IB19" s="152"/>
      <c r="IC19" s="150"/>
      <c r="ID19" s="152"/>
      <c r="IE19" s="150"/>
      <c r="IF19" s="153"/>
    </row>
    <row r="20" spans="1:240" s="36" customFormat="1" ht="14.4" customHeight="1">
      <c r="A20" s="39"/>
      <c r="B20" s="108" t="str">
        <f t="shared" si="143"/>
        <v>Residential_Whole House Efficiency_All_All_2017_Actual</v>
      </c>
      <c r="C20" s="108"/>
      <c r="D20" s="109" t="s">
        <v>1</v>
      </c>
      <c r="E20" s="109" t="s">
        <v>147</v>
      </c>
      <c r="F20" s="109" t="s">
        <v>28</v>
      </c>
      <c r="G20" s="109" t="s">
        <v>28</v>
      </c>
      <c r="H20" s="109">
        <v>2017</v>
      </c>
      <c r="I20" s="109" t="s">
        <v>167</v>
      </c>
      <c r="J20" s="37"/>
      <c r="K20" s="99"/>
      <c r="L20" s="38">
        <f t="shared" ca="1" si="144"/>
        <v>78</v>
      </c>
      <c r="M20" s="133"/>
      <c r="N20" s="132"/>
      <c r="O20" s="132"/>
      <c r="P20" s="37"/>
      <c r="Q20" s="129">
        <f t="shared" ca="1" si="145"/>
        <v>36257</v>
      </c>
      <c r="R20" s="129">
        <f t="shared" ca="1" si="145"/>
        <v>36257</v>
      </c>
      <c r="S20" s="129">
        <f t="shared" ca="1" si="145"/>
        <v>36257</v>
      </c>
      <c r="T20" s="37"/>
      <c r="U20" s="129">
        <f t="shared" ca="1" si="146"/>
        <v>0</v>
      </c>
      <c r="V20" s="129">
        <f t="shared" ca="1" si="146"/>
        <v>0</v>
      </c>
      <c r="W20" s="129">
        <f t="shared" ca="1" si="146"/>
        <v>0</v>
      </c>
      <c r="X20" s="37"/>
      <c r="Y20" s="129">
        <f t="shared" ca="1" si="147"/>
        <v>9.4180000000000081</v>
      </c>
      <c r="Z20" s="129">
        <f t="shared" ca="1" si="147"/>
        <v>9.4180000000000081</v>
      </c>
      <c r="AA20" s="129">
        <f t="shared" ca="1" si="147"/>
        <v>9.4180000000000081</v>
      </c>
      <c r="AB20" s="37"/>
      <c r="AC20" s="129">
        <f t="shared" ca="1" si="148"/>
        <v>0</v>
      </c>
      <c r="AD20" s="129">
        <f t="shared" ca="1" si="148"/>
        <v>0</v>
      </c>
      <c r="AE20" s="129">
        <f t="shared" ca="1" si="148"/>
        <v>0</v>
      </c>
      <c r="AF20" s="37"/>
      <c r="AG20" s="97"/>
      <c r="AH20" s="97"/>
      <c r="AI20" s="97">
        <f t="shared" ca="1" si="149"/>
        <v>425054</v>
      </c>
      <c r="AJ20" s="100">
        <f t="shared" ca="1" si="149"/>
        <v>0</v>
      </c>
      <c r="AK20" s="100">
        <f t="shared" ca="1" si="149"/>
        <v>0</v>
      </c>
      <c r="AL20" s="100">
        <f t="shared" ca="1" si="149"/>
        <v>0</v>
      </c>
      <c r="AM20" s="100">
        <f t="shared" ca="1" si="149"/>
        <v>0</v>
      </c>
      <c r="AN20" s="100">
        <f t="shared" ca="1" si="149"/>
        <v>0</v>
      </c>
      <c r="AO20" s="163">
        <f>INDEX('Program Inputs'!$Q:$Q,MATCH($B20,'Program Inputs'!$B:$B,0))</f>
        <v>14765.66</v>
      </c>
      <c r="AP20" s="100">
        <f t="shared" ca="1" si="150"/>
        <v>14765.66</v>
      </c>
      <c r="AQ20" s="37"/>
      <c r="AR20" s="100">
        <f t="shared" ca="1" si="151"/>
        <v>0</v>
      </c>
      <c r="AS20" s="100">
        <f t="shared" ca="1" si="151"/>
        <v>3338.6305880942882</v>
      </c>
      <c r="AT20" s="100">
        <f t="shared" ca="1" si="151"/>
        <v>0</v>
      </c>
      <c r="AU20" s="100">
        <f>SUMPRODUCT(--($CX$9:$EX$9=$H20)*$AO20,'General Inputs'!$K$40:$BK$40)</f>
        <v>14765.66</v>
      </c>
      <c r="AV20" s="100">
        <f t="shared" ca="1" si="152"/>
        <v>41376.444129517236</v>
      </c>
      <c r="AW20" s="100">
        <f t="shared" ca="1" si="152"/>
        <v>13041.635701043266</v>
      </c>
      <c r="AX20" s="100">
        <f t="shared" ca="1" si="152"/>
        <v>1328.5390598451934</v>
      </c>
      <c r="AY20" s="98">
        <f t="shared" ca="1" si="152"/>
        <v>279715.69464085263</v>
      </c>
      <c r="AZ20" s="37"/>
      <c r="BA20" s="100">
        <f t="shared" ca="1" si="153"/>
        <v>-395.48523911154007</v>
      </c>
      <c r="BB20" s="102">
        <f t="shared" ca="1" si="154"/>
        <v>0.97321587798232245</v>
      </c>
      <c r="BC20" s="100">
        <f t="shared" ca="1" si="155"/>
        <v>14765.66</v>
      </c>
      <c r="BD20" s="100">
        <f t="shared" ca="1" si="156"/>
        <v>14370.17476088846</v>
      </c>
      <c r="BE20" s="100">
        <f t="shared" ca="1" si="157"/>
        <v>13041.635701043266</v>
      </c>
      <c r="BF20" s="100">
        <f t="shared" ca="1" si="158"/>
        <v>1328.5390598451934</v>
      </c>
      <c r="BG20" s="100">
        <f t="shared" si="159"/>
        <v>14765.66</v>
      </c>
      <c r="BH20" s="100">
        <f t="shared" ca="1" si="160"/>
        <v>0</v>
      </c>
      <c r="BI20" s="37"/>
      <c r="BJ20" s="100">
        <f t="shared" ca="1" si="161"/>
        <v>2943.1453489827472</v>
      </c>
      <c r="BK20" s="102">
        <f t="shared" ca="1" si="162"/>
        <v>1.1993236569840255</v>
      </c>
      <c r="BL20" s="100">
        <f t="shared" ca="1" si="163"/>
        <v>14765.66</v>
      </c>
      <c r="BM20" s="100">
        <f t="shared" ca="1" si="164"/>
        <v>17708.805348982747</v>
      </c>
      <c r="BN20" s="100">
        <f t="shared" ca="1" si="165"/>
        <v>13041.635701043266</v>
      </c>
      <c r="BO20" s="100">
        <f t="shared" ca="1" si="166"/>
        <v>1328.5390598451934</v>
      </c>
      <c r="BP20" s="100">
        <f t="shared" ca="1" si="167"/>
        <v>3338.6305880942882</v>
      </c>
      <c r="BQ20" s="100">
        <f t="shared" si="168"/>
        <v>14765.66</v>
      </c>
      <c r="BR20" s="100">
        <f t="shared" ca="1" si="169"/>
        <v>0</v>
      </c>
      <c r="BS20" s="37"/>
      <c r="BT20" s="100">
        <f t="shared" ca="1" si="170"/>
        <v>41376.444129517236</v>
      </c>
      <c r="BU20" s="102" t="e">
        <f t="shared" ca="1" si="171"/>
        <v>#DIV/0!</v>
      </c>
      <c r="BV20" s="102" t="e">
        <f t="shared" ca="1" si="172"/>
        <v>#DIV/0!</v>
      </c>
      <c r="BW20" s="100">
        <f t="shared" ca="1" si="173"/>
        <v>0</v>
      </c>
      <c r="BX20" s="100">
        <f t="shared" ca="1" si="174"/>
        <v>41376.444129517236</v>
      </c>
      <c r="BY20" s="100">
        <f t="shared" ca="1" si="175"/>
        <v>41376.444129517236</v>
      </c>
      <c r="BZ20" s="100">
        <f t="shared" ca="1" si="176"/>
        <v>0</v>
      </c>
      <c r="CA20" s="100">
        <f t="shared" ca="1" si="177"/>
        <v>0</v>
      </c>
      <c r="CB20" s="37"/>
      <c r="CC20" s="100">
        <f t="shared" ca="1" si="178"/>
        <v>-395.48523911154007</v>
      </c>
      <c r="CD20" s="102">
        <f t="shared" ca="1" si="179"/>
        <v>0.97321587798232245</v>
      </c>
      <c r="CE20" s="103">
        <f t="shared" ca="1" si="180"/>
        <v>5.2788099784528385E-2</v>
      </c>
      <c r="CF20" s="100">
        <f t="shared" ca="1" si="181"/>
        <v>14765.66</v>
      </c>
      <c r="CG20" s="100">
        <f t="shared" ca="1" si="182"/>
        <v>14370.17476088846</v>
      </c>
      <c r="CH20" s="100">
        <f t="shared" ca="1" si="183"/>
        <v>13041.635701043266</v>
      </c>
      <c r="CI20" s="100">
        <f t="shared" ca="1" si="184"/>
        <v>1328.5390598451934</v>
      </c>
      <c r="CJ20" s="100">
        <f t="shared" ca="1" si="185"/>
        <v>0</v>
      </c>
      <c r="CK20" s="100">
        <f t="shared" si="186"/>
        <v>14765.66</v>
      </c>
      <c r="CL20" s="37"/>
      <c r="CM20" s="100">
        <f t="shared" ca="1" si="187"/>
        <v>-41771.929368628771</v>
      </c>
      <c r="CN20" s="102">
        <f t="shared" ca="1" si="188"/>
        <v>0.25596074432367433</v>
      </c>
      <c r="CO20" s="128"/>
      <c r="CP20" s="100">
        <f t="shared" ca="1" si="189"/>
        <v>56142.104129517233</v>
      </c>
      <c r="CQ20" s="100">
        <f t="shared" ca="1" si="190"/>
        <v>14370.17476088846</v>
      </c>
      <c r="CR20" s="100">
        <f t="shared" ca="1" si="191"/>
        <v>13041.635701043266</v>
      </c>
      <c r="CS20" s="100">
        <f t="shared" ca="1" si="192"/>
        <v>1328.5390598451934</v>
      </c>
      <c r="CT20" s="100">
        <f t="shared" ca="1" si="193"/>
        <v>41376.444129517236</v>
      </c>
      <c r="CU20" s="100">
        <f t="shared" ca="1" si="194"/>
        <v>0</v>
      </c>
      <c r="CV20" s="100">
        <f t="shared" si="195"/>
        <v>14765.66</v>
      </c>
      <c r="CW20" s="37"/>
      <c r="CX20" s="48">
        <f t="shared" ca="1" si="196"/>
        <v>36257</v>
      </c>
      <c r="CY20" s="48">
        <f t="shared" ca="1" si="196"/>
        <v>36257</v>
      </c>
      <c r="CZ20" s="48">
        <f t="shared" ca="1" si="196"/>
        <v>36257</v>
      </c>
      <c r="DA20" s="48">
        <f t="shared" ca="1" si="196"/>
        <v>36257</v>
      </c>
      <c r="DB20" s="48">
        <f t="shared" ca="1" si="196"/>
        <v>36257</v>
      </c>
      <c r="DC20" s="48">
        <f t="shared" ca="1" si="196"/>
        <v>36257</v>
      </c>
      <c r="DD20" s="48">
        <f t="shared" ca="1" si="196"/>
        <v>36257</v>
      </c>
      <c r="DE20" s="48">
        <f t="shared" ca="1" si="196"/>
        <v>36257</v>
      </c>
      <c r="DF20" s="48">
        <f t="shared" ca="1" si="196"/>
        <v>36257</v>
      </c>
      <c r="DG20" s="48">
        <f t="shared" ca="1" si="196"/>
        <v>36257</v>
      </c>
      <c r="DH20" s="48">
        <f t="shared" ca="1" si="197"/>
        <v>20828</v>
      </c>
      <c r="DI20" s="48">
        <f t="shared" ca="1" si="197"/>
        <v>20828</v>
      </c>
      <c r="DJ20" s="48">
        <f t="shared" ca="1" si="197"/>
        <v>20828</v>
      </c>
      <c r="DK20" s="48">
        <f t="shared" ca="1" si="197"/>
        <v>0</v>
      </c>
      <c r="DL20" s="48">
        <f t="shared" ca="1" si="197"/>
        <v>0</v>
      </c>
      <c r="DM20" s="48">
        <f t="shared" ca="1" si="197"/>
        <v>0</v>
      </c>
      <c r="DN20" s="48">
        <f t="shared" ca="1" si="197"/>
        <v>0</v>
      </c>
      <c r="DO20" s="48">
        <f t="shared" ca="1" si="197"/>
        <v>0</v>
      </c>
      <c r="DP20" s="48">
        <f t="shared" ca="1" si="197"/>
        <v>0</v>
      </c>
      <c r="DQ20" s="48">
        <f t="shared" ca="1" si="197"/>
        <v>0</v>
      </c>
      <c r="DR20" s="48">
        <f t="shared" ca="1" si="198"/>
        <v>0</v>
      </c>
      <c r="DS20" s="48">
        <f t="shared" ca="1" si="198"/>
        <v>0</v>
      </c>
      <c r="DT20" s="48">
        <f t="shared" ca="1" si="198"/>
        <v>0</v>
      </c>
      <c r="DU20" s="48">
        <f t="shared" ca="1" si="198"/>
        <v>0</v>
      </c>
      <c r="DV20" s="48">
        <f t="shared" ca="1" si="198"/>
        <v>0</v>
      </c>
      <c r="DW20" s="48">
        <f t="shared" ca="1" si="198"/>
        <v>0</v>
      </c>
      <c r="DX20" s="48">
        <f t="shared" ca="1" si="198"/>
        <v>0</v>
      </c>
      <c r="DY20" s="48">
        <f t="shared" ca="1" si="198"/>
        <v>0</v>
      </c>
      <c r="DZ20" s="48">
        <f t="shared" ca="1" si="198"/>
        <v>0</v>
      </c>
      <c r="EA20" s="48">
        <f t="shared" ca="1" si="198"/>
        <v>0</v>
      </c>
      <c r="EB20" s="48">
        <f t="shared" ca="1" si="199"/>
        <v>0</v>
      </c>
      <c r="EC20" s="48">
        <f t="shared" ca="1" si="199"/>
        <v>0</v>
      </c>
      <c r="ED20" s="48">
        <f t="shared" ca="1" si="199"/>
        <v>0</v>
      </c>
      <c r="EE20" s="48">
        <f t="shared" ca="1" si="199"/>
        <v>0</v>
      </c>
      <c r="EF20" s="48">
        <f t="shared" ca="1" si="199"/>
        <v>0</v>
      </c>
      <c r="EG20" s="48">
        <f t="shared" ca="1" si="199"/>
        <v>0</v>
      </c>
      <c r="EH20" s="48">
        <f t="shared" ca="1" si="199"/>
        <v>0</v>
      </c>
      <c r="EI20" s="48">
        <f t="shared" ca="1" si="199"/>
        <v>0</v>
      </c>
      <c r="EJ20" s="48">
        <f t="shared" ca="1" si="199"/>
        <v>0</v>
      </c>
      <c r="EK20" s="48">
        <f t="shared" ca="1" si="199"/>
        <v>0</v>
      </c>
      <c r="EL20" s="48">
        <f t="shared" ca="1" si="200"/>
        <v>0</v>
      </c>
      <c r="EM20" s="48">
        <f t="shared" ca="1" si="200"/>
        <v>0</v>
      </c>
      <c r="EN20" s="48">
        <f t="shared" ca="1" si="200"/>
        <v>0</v>
      </c>
      <c r="EO20" s="48">
        <f t="shared" ca="1" si="200"/>
        <v>0</v>
      </c>
      <c r="EP20" s="48">
        <f t="shared" ca="1" si="200"/>
        <v>0</v>
      </c>
      <c r="EQ20" s="48">
        <f t="shared" ca="1" si="200"/>
        <v>0</v>
      </c>
      <c r="ER20" s="48">
        <f t="shared" ca="1" si="200"/>
        <v>0</v>
      </c>
      <c r="ES20" s="48">
        <f t="shared" ca="1" si="200"/>
        <v>0</v>
      </c>
      <c r="ET20" s="48">
        <f t="shared" ca="1" si="200"/>
        <v>0</v>
      </c>
      <c r="EU20" s="48">
        <f t="shared" ca="1" si="200"/>
        <v>0</v>
      </c>
      <c r="EV20" s="48">
        <f t="shared" ca="1" si="200"/>
        <v>0</v>
      </c>
      <c r="EW20" s="48">
        <f t="shared" ca="1" si="200"/>
        <v>0</v>
      </c>
      <c r="EX20" s="48">
        <f t="shared" ca="1" si="200"/>
        <v>0</v>
      </c>
      <c r="EY20" s="69"/>
      <c r="EZ20" s="48">
        <f t="shared" ca="1" si="201"/>
        <v>9.4180000000000081</v>
      </c>
      <c r="FA20" s="48">
        <f t="shared" ca="1" si="201"/>
        <v>9.4180000000000081</v>
      </c>
      <c r="FB20" s="48">
        <f t="shared" ca="1" si="201"/>
        <v>9.4180000000000081</v>
      </c>
      <c r="FC20" s="48">
        <f t="shared" ca="1" si="201"/>
        <v>9.4180000000000081</v>
      </c>
      <c r="FD20" s="48">
        <f t="shared" ca="1" si="201"/>
        <v>9.4180000000000081</v>
      </c>
      <c r="FE20" s="48">
        <f t="shared" ca="1" si="201"/>
        <v>9.4180000000000081</v>
      </c>
      <c r="FF20" s="48">
        <f t="shared" ca="1" si="201"/>
        <v>9.4180000000000081</v>
      </c>
      <c r="FG20" s="48">
        <f t="shared" ca="1" si="201"/>
        <v>9.4180000000000081</v>
      </c>
      <c r="FH20" s="48">
        <f t="shared" ca="1" si="201"/>
        <v>9.4180000000000081</v>
      </c>
      <c r="FI20" s="48">
        <f t="shared" ca="1" si="201"/>
        <v>9.4180000000000081</v>
      </c>
      <c r="FJ20" s="48">
        <f t="shared" ca="1" si="202"/>
        <v>7.7900000000000071</v>
      </c>
      <c r="FK20" s="48">
        <f t="shared" ca="1" si="202"/>
        <v>7.7900000000000071</v>
      </c>
      <c r="FL20" s="48">
        <f t="shared" ca="1" si="202"/>
        <v>7.7900000000000071</v>
      </c>
      <c r="FM20" s="48">
        <f t="shared" ca="1" si="202"/>
        <v>0</v>
      </c>
      <c r="FN20" s="48">
        <f t="shared" ca="1" si="202"/>
        <v>0</v>
      </c>
      <c r="FO20" s="48">
        <f t="shared" ca="1" si="202"/>
        <v>0</v>
      </c>
      <c r="FP20" s="48">
        <f t="shared" ca="1" si="202"/>
        <v>0</v>
      </c>
      <c r="FQ20" s="48">
        <f t="shared" ca="1" si="202"/>
        <v>0</v>
      </c>
      <c r="FR20" s="48">
        <f t="shared" ca="1" si="202"/>
        <v>0</v>
      </c>
      <c r="FS20" s="48">
        <f t="shared" ca="1" si="202"/>
        <v>0</v>
      </c>
      <c r="FT20" s="48">
        <f t="shared" ca="1" si="203"/>
        <v>0</v>
      </c>
      <c r="FU20" s="48">
        <f t="shared" ca="1" si="203"/>
        <v>0</v>
      </c>
      <c r="FV20" s="48">
        <f t="shared" ca="1" si="203"/>
        <v>0</v>
      </c>
      <c r="FW20" s="48">
        <f t="shared" ca="1" si="203"/>
        <v>0</v>
      </c>
      <c r="FX20" s="48">
        <f t="shared" ca="1" si="203"/>
        <v>0</v>
      </c>
      <c r="FY20" s="48">
        <f t="shared" ca="1" si="203"/>
        <v>0</v>
      </c>
      <c r="FZ20" s="48">
        <f t="shared" ca="1" si="203"/>
        <v>0</v>
      </c>
      <c r="GA20" s="48">
        <f t="shared" ca="1" si="203"/>
        <v>0</v>
      </c>
      <c r="GB20" s="48">
        <f t="shared" ca="1" si="203"/>
        <v>0</v>
      </c>
      <c r="GC20" s="48">
        <f t="shared" ca="1" si="203"/>
        <v>0</v>
      </c>
      <c r="GD20" s="48">
        <f t="shared" ca="1" si="204"/>
        <v>0</v>
      </c>
      <c r="GE20" s="48">
        <f t="shared" ca="1" si="204"/>
        <v>0</v>
      </c>
      <c r="GF20" s="48">
        <f t="shared" ca="1" si="204"/>
        <v>0</v>
      </c>
      <c r="GG20" s="48">
        <f t="shared" ca="1" si="204"/>
        <v>0</v>
      </c>
      <c r="GH20" s="48">
        <f t="shared" ca="1" si="204"/>
        <v>0</v>
      </c>
      <c r="GI20" s="48">
        <f t="shared" ca="1" si="204"/>
        <v>0</v>
      </c>
      <c r="GJ20" s="48">
        <f t="shared" ca="1" si="204"/>
        <v>0</v>
      </c>
      <c r="GK20" s="48">
        <f t="shared" ca="1" si="204"/>
        <v>0</v>
      </c>
      <c r="GL20" s="48">
        <f t="shared" ca="1" si="204"/>
        <v>0</v>
      </c>
      <c r="GM20" s="48">
        <f t="shared" ca="1" si="204"/>
        <v>0</v>
      </c>
      <c r="GN20" s="48">
        <f t="shared" ca="1" si="205"/>
        <v>0</v>
      </c>
      <c r="GO20" s="48">
        <f t="shared" ca="1" si="205"/>
        <v>0</v>
      </c>
      <c r="GP20" s="48">
        <f t="shared" ca="1" si="205"/>
        <v>0</v>
      </c>
      <c r="GQ20" s="48">
        <f t="shared" ca="1" si="205"/>
        <v>0</v>
      </c>
      <c r="GR20" s="48">
        <f t="shared" ca="1" si="205"/>
        <v>0</v>
      </c>
      <c r="GS20" s="48">
        <f t="shared" ca="1" si="205"/>
        <v>0</v>
      </c>
      <c r="GT20" s="48">
        <f t="shared" ca="1" si="205"/>
        <v>0</v>
      </c>
      <c r="GU20" s="48">
        <f t="shared" ca="1" si="205"/>
        <v>0</v>
      </c>
      <c r="GV20" s="48">
        <f t="shared" ca="1" si="205"/>
        <v>0</v>
      </c>
      <c r="GW20" s="48">
        <f t="shared" ca="1" si="205"/>
        <v>0</v>
      </c>
      <c r="GX20" s="48">
        <f t="shared" ca="1" si="205"/>
        <v>0</v>
      </c>
      <c r="GY20" s="48">
        <f t="shared" ca="1" si="205"/>
        <v>0</v>
      </c>
      <c r="GZ20" s="48">
        <f t="shared" ca="1" si="205"/>
        <v>0</v>
      </c>
      <c r="HA20" s="69"/>
      <c r="HB20" s="150">
        <f t="shared" ca="1" si="206"/>
        <v>0.97321587798232245</v>
      </c>
      <c r="HC20" s="150">
        <f t="shared" ca="1" si="75"/>
        <v>0.97321587798232245</v>
      </c>
      <c r="HD20" s="150">
        <f t="shared" ca="1" si="207"/>
        <v>1.1993236569840255</v>
      </c>
      <c r="HE20" s="150" t="str">
        <f t="shared" ca="1" si="77"/>
        <v>n/a</v>
      </c>
      <c r="HF20" s="150">
        <f t="shared" ca="1" si="78"/>
        <v>0.25596074432367433</v>
      </c>
      <c r="HG20" s="148"/>
      <c r="HH20" s="149"/>
      <c r="HI20" s="149"/>
      <c r="HJ20" s="149"/>
      <c r="HK20" s="150"/>
      <c r="HL20" s="149"/>
      <c r="HM20" s="149"/>
      <c r="HN20" s="149"/>
      <c r="HO20" s="150"/>
      <c r="HP20" s="148"/>
      <c r="HQ20" s="149"/>
      <c r="HR20" s="149"/>
      <c r="HS20" s="149"/>
      <c r="HT20" s="150"/>
      <c r="HU20" s="149"/>
      <c r="HV20" s="149"/>
      <c r="HW20" s="149"/>
      <c r="HX20" s="150"/>
      <c r="HY20" s="151"/>
      <c r="HZ20" s="150"/>
      <c r="IA20" s="150"/>
      <c r="IB20" s="152"/>
      <c r="IC20" s="150"/>
      <c r="ID20" s="152"/>
      <c r="IE20" s="150"/>
      <c r="IF20" s="153"/>
    </row>
    <row r="21" spans="1:240" s="36" customFormat="1" ht="14.4" customHeight="1">
      <c r="A21" s="39"/>
      <c r="B21" s="108" t="str">
        <f t="shared" si="143"/>
        <v>Residential_Residential Audit_All_All_2017_Actual</v>
      </c>
      <c r="C21" s="108"/>
      <c r="D21" s="109" t="s">
        <v>1</v>
      </c>
      <c r="E21" s="109" t="s">
        <v>144</v>
      </c>
      <c r="F21" s="109" t="s">
        <v>28</v>
      </c>
      <c r="G21" s="109" t="s">
        <v>28</v>
      </c>
      <c r="H21" s="109">
        <v>2017</v>
      </c>
      <c r="I21" s="109" t="s">
        <v>167</v>
      </c>
      <c r="J21" s="37"/>
      <c r="K21" s="99"/>
      <c r="L21" s="38">
        <f t="shared" ca="1" si="144"/>
        <v>225</v>
      </c>
      <c r="M21" s="133"/>
      <c r="N21" s="132"/>
      <c r="O21" s="132"/>
      <c r="P21" s="37"/>
      <c r="Q21" s="129">
        <f t="shared" ca="1" si="145"/>
        <v>47025</v>
      </c>
      <c r="R21" s="129">
        <f t="shared" ca="1" si="145"/>
        <v>47025</v>
      </c>
      <c r="S21" s="129">
        <f t="shared" ca="1" si="145"/>
        <v>47025</v>
      </c>
      <c r="T21" s="37"/>
      <c r="U21" s="129">
        <f t="shared" ca="1" si="146"/>
        <v>0</v>
      </c>
      <c r="V21" s="129">
        <f t="shared" ca="1" si="146"/>
        <v>0</v>
      </c>
      <c r="W21" s="129">
        <f t="shared" ca="1" si="146"/>
        <v>0</v>
      </c>
      <c r="X21" s="37"/>
      <c r="Y21" s="129">
        <f t="shared" ca="1" si="147"/>
        <v>4.9499999999999993</v>
      </c>
      <c r="Z21" s="129">
        <f t="shared" ca="1" si="147"/>
        <v>4.9499999999999993</v>
      </c>
      <c r="AA21" s="129">
        <f t="shared" ca="1" si="147"/>
        <v>4.9499999999999993</v>
      </c>
      <c r="AB21" s="37"/>
      <c r="AC21" s="129">
        <f t="shared" ca="1" si="148"/>
        <v>0</v>
      </c>
      <c r="AD21" s="129">
        <f t="shared" ca="1" si="148"/>
        <v>0</v>
      </c>
      <c r="AE21" s="129">
        <f t="shared" ca="1" si="148"/>
        <v>0</v>
      </c>
      <c r="AF21" s="37"/>
      <c r="AG21" s="97"/>
      <c r="AH21" s="97"/>
      <c r="AI21" s="97">
        <f t="shared" ca="1" si="149"/>
        <v>470250</v>
      </c>
      <c r="AJ21" s="100">
        <f t="shared" ca="1" si="149"/>
        <v>0</v>
      </c>
      <c r="AK21" s="100">
        <f t="shared" ca="1" si="149"/>
        <v>0</v>
      </c>
      <c r="AL21" s="100">
        <f t="shared" ca="1" si="149"/>
        <v>0</v>
      </c>
      <c r="AM21" s="100">
        <f t="shared" ca="1" si="149"/>
        <v>0</v>
      </c>
      <c r="AN21" s="100">
        <f t="shared" ca="1" si="149"/>
        <v>0</v>
      </c>
      <c r="AO21" s="163">
        <f>INDEX('Program Inputs'!$Q:$Q,MATCH($B21,'Program Inputs'!$B:$B,0))</f>
        <v>12780</v>
      </c>
      <c r="AP21" s="100">
        <f t="shared" ca="1" si="150"/>
        <v>12780</v>
      </c>
      <c r="AQ21" s="37"/>
      <c r="AR21" s="100">
        <f t="shared" ca="1" si="151"/>
        <v>0</v>
      </c>
      <c r="AS21" s="100">
        <f t="shared" ca="1" si="151"/>
        <v>3948.2982680914379</v>
      </c>
      <c r="AT21" s="100">
        <f t="shared" ca="1" si="151"/>
        <v>0</v>
      </c>
      <c r="AU21" s="100">
        <f>SUMPRODUCT(--($CX$9:$EX$9=$H21)*$AO21,'General Inputs'!$K$40:$BK$40)</f>
        <v>12780</v>
      </c>
      <c r="AV21" s="100">
        <f t="shared" ca="1" si="152"/>
        <v>48457.164604381593</v>
      </c>
      <c r="AW21" s="100">
        <f t="shared" ca="1" si="152"/>
        <v>15273.441233801032</v>
      </c>
      <c r="AX21" s="100">
        <f t="shared" ca="1" si="152"/>
        <v>604.69365372340326</v>
      </c>
      <c r="AY21" s="98">
        <f t="shared" ca="1" si="152"/>
        <v>330794.6068207777</v>
      </c>
      <c r="AZ21" s="37"/>
      <c r="BA21" s="100">
        <f t="shared" ca="1" si="153"/>
        <v>3098.1348875244348</v>
      </c>
      <c r="BB21" s="102">
        <f t="shared" ca="1" si="154"/>
        <v>1.2424205702288291</v>
      </c>
      <c r="BC21" s="100">
        <f t="shared" ca="1" si="155"/>
        <v>12780</v>
      </c>
      <c r="BD21" s="100">
        <f t="shared" ca="1" si="156"/>
        <v>15878.134887524435</v>
      </c>
      <c r="BE21" s="100">
        <f t="shared" ca="1" si="157"/>
        <v>15273.441233801032</v>
      </c>
      <c r="BF21" s="100">
        <f t="shared" ca="1" si="158"/>
        <v>604.69365372340326</v>
      </c>
      <c r="BG21" s="100">
        <f t="shared" si="159"/>
        <v>12780</v>
      </c>
      <c r="BH21" s="100">
        <f t="shared" ca="1" si="160"/>
        <v>0</v>
      </c>
      <c r="BI21" s="37"/>
      <c r="BJ21" s="100">
        <f t="shared" ca="1" si="161"/>
        <v>7046.4331556158722</v>
      </c>
      <c r="BK21" s="102">
        <f t="shared" ca="1" si="162"/>
        <v>1.551364096683558</v>
      </c>
      <c r="BL21" s="100">
        <f t="shared" ca="1" si="163"/>
        <v>12780</v>
      </c>
      <c r="BM21" s="100">
        <f t="shared" ca="1" si="164"/>
        <v>19826.433155615872</v>
      </c>
      <c r="BN21" s="100">
        <f t="shared" ca="1" si="165"/>
        <v>15273.441233801032</v>
      </c>
      <c r="BO21" s="100">
        <f t="shared" ca="1" si="166"/>
        <v>604.69365372340326</v>
      </c>
      <c r="BP21" s="100">
        <f t="shared" ca="1" si="167"/>
        <v>3948.2982680914379</v>
      </c>
      <c r="BQ21" s="100">
        <f t="shared" si="168"/>
        <v>12780</v>
      </c>
      <c r="BR21" s="100">
        <f t="shared" ca="1" si="169"/>
        <v>0</v>
      </c>
      <c r="BS21" s="37"/>
      <c r="BT21" s="100">
        <f t="shared" ca="1" si="170"/>
        <v>48457.164604381593</v>
      </c>
      <c r="BU21" s="102" t="e">
        <f t="shared" ca="1" si="171"/>
        <v>#DIV/0!</v>
      </c>
      <c r="BV21" s="102" t="e">
        <f t="shared" ca="1" si="172"/>
        <v>#DIV/0!</v>
      </c>
      <c r="BW21" s="100">
        <f t="shared" ca="1" si="173"/>
        <v>0</v>
      </c>
      <c r="BX21" s="100">
        <f t="shared" ca="1" si="174"/>
        <v>48457.164604381593</v>
      </c>
      <c r="BY21" s="100">
        <f t="shared" ca="1" si="175"/>
        <v>48457.164604381593</v>
      </c>
      <c r="BZ21" s="100">
        <f t="shared" ca="1" si="176"/>
        <v>0</v>
      </c>
      <c r="CA21" s="100">
        <f t="shared" ca="1" si="177"/>
        <v>0</v>
      </c>
      <c r="CB21" s="37"/>
      <c r="CC21" s="100">
        <f t="shared" ca="1" si="178"/>
        <v>3098.1348875244348</v>
      </c>
      <c r="CD21" s="102">
        <f t="shared" ca="1" si="179"/>
        <v>1.2424205702288291</v>
      </c>
      <c r="CE21" s="103">
        <f t="shared" ca="1" si="180"/>
        <v>3.863424534887934E-2</v>
      </c>
      <c r="CF21" s="100">
        <f t="shared" ca="1" si="181"/>
        <v>12780</v>
      </c>
      <c r="CG21" s="100">
        <f t="shared" ca="1" si="182"/>
        <v>15878.134887524435</v>
      </c>
      <c r="CH21" s="100">
        <f t="shared" ca="1" si="183"/>
        <v>15273.441233801032</v>
      </c>
      <c r="CI21" s="100">
        <f t="shared" ca="1" si="184"/>
        <v>604.69365372340326</v>
      </c>
      <c r="CJ21" s="100">
        <f t="shared" ca="1" si="185"/>
        <v>0</v>
      </c>
      <c r="CK21" s="100">
        <f t="shared" si="186"/>
        <v>12780</v>
      </c>
      <c r="CL21" s="37"/>
      <c r="CM21" s="100">
        <f t="shared" ca="1" si="187"/>
        <v>-45359.029716857156</v>
      </c>
      <c r="CN21" s="102">
        <f t="shared" ca="1" si="188"/>
        <v>0.25928919129590683</v>
      </c>
      <c r="CO21" s="128"/>
      <c r="CP21" s="100">
        <f t="shared" ca="1" si="189"/>
        <v>61237.164604381593</v>
      </c>
      <c r="CQ21" s="100">
        <f t="shared" ca="1" si="190"/>
        <v>15878.134887524435</v>
      </c>
      <c r="CR21" s="100">
        <f t="shared" ca="1" si="191"/>
        <v>15273.441233801032</v>
      </c>
      <c r="CS21" s="100">
        <f t="shared" ca="1" si="192"/>
        <v>604.69365372340326</v>
      </c>
      <c r="CT21" s="100">
        <f t="shared" ca="1" si="193"/>
        <v>48457.164604381593</v>
      </c>
      <c r="CU21" s="100">
        <f t="shared" ca="1" si="194"/>
        <v>0</v>
      </c>
      <c r="CV21" s="100">
        <f t="shared" si="195"/>
        <v>12780</v>
      </c>
      <c r="CW21" s="37"/>
      <c r="CX21" s="48">
        <f t="shared" ca="1" si="196"/>
        <v>47025</v>
      </c>
      <c r="CY21" s="48">
        <f t="shared" ca="1" si="196"/>
        <v>47025</v>
      </c>
      <c r="CZ21" s="48">
        <f t="shared" ca="1" si="196"/>
        <v>47025</v>
      </c>
      <c r="DA21" s="48">
        <f t="shared" ca="1" si="196"/>
        <v>47025</v>
      </c>
      <c r="DB21" s="48">
        <f t="shared" ca="1" si="196"/>
        <v>47025</v>
      </c>
      <c r="DC21" s="48">
        <f t="shared" ca="1" si="196"/>
        <v>47025</v>
      </c>
      <c r="DD21" s="48">
        <f t="shared" ca="1" si="196"/>
        <v>47025</v>
      </c>
      <c r="DE21" s="48">
        <f t="shared" ca="1" si="196"/>
        <v>47025</v>
      </c>
      <c r="DF21" s="48">
        <f t="shared" ca="1" si="196"/>
        <v>47025</v>
      </c>
      <c r="DG21" s="48">
        <f t="shared" ca="1" si="196"/>
        <v>47025</v>
      </c>
      <c r="DH21" s="48">
        <f t="shared" ca="1" si="197"/>
        <v>0</v>
      </c>
      <c r="DI21" s="48">
        <f t="shared" ca="1" si="197"/>
        <v>0</v>
      </c>
      <c r="DJ21" s="48">
        <f t="shared" ca="1" si="197"/>
        <v>0</v>
      </c>
      <c r="DK21" s="48">
        <f t="shared" ca="1" si="197"/>
        <v>0</v>
      </c>
      <c r="DL21" s="48">
        <f t="shared" ca="1" si="197"/>
        <v>0</v>
      </c>
      <c r="DM21" s="48">
        <f t="shared" ca="1" si="197"/>
        <v>0</v>
      </c>
      <c r="DN21" s="48">
        <f t="shared" ca="1" si="197"/>
        <v>0</v>
      </c>
      <c r="DO21" s="48">
        <f t="shared" ca="1" si="197"/>
        <v>0</v>
      </c>
      <c r="DP21" s="48">
        <f t="shared" ca="1" si="197"/>
        <v>0</v>
      </c>
      <c r="DQ21" s="48">
        <f t="shared" ca="1" si="197"/>
        <v>0</v>
      </c>
      <c r="DR21" s="48">
        <f t="shared" ca="1" si="198"/>
        <v>0</v>
      </c>
      <c r="DS21" s="48">
        <f t="shared" ca="1" si="198"/>
        <v>0</v>
      </c>
      <c r="DT21" s="48">
        <f t="shared" ca="1" si="198"/>
        <v>0</v>
      </c>
      <c r="DU21" s="48">
        <f t="shared" ca="1" si="198"/>
        <v>0</v>
      </c>
      <c r="DV21" s="48">
        <f t="shared" ca="1" si="198"/>
        <v>0</v>
      </c>
      <c r="DW21" s="48">
        <f t="shared" ca="1" si="198"/>
        <v>0</v>
      </c>
      <c r="DX21" s="48">
        <f t="shared" ca="1" si="198"/>
        <v>0</v>
      </c>
      <c r="DY21" s="48">
        <f t="shared" ca="1" si="198"/>
        <v>0</v>
      </c>
      <c r="DZ21" s="48">
        <f t="shared" ca="1" si="198"/>
        <v>0</v>
      </c>
      <c r="EA21" s="48">
        <f t="shared" ca="1" si="198"/>
        <v>0</v>
      </c>
      <c r="EB21" s="48">
        <f t="shared" ca="1" si="199"/>
        <v>0</v>
      </c>
      <c r="EC21" s="48">
        <f t="shared" ca="1" si="199"/>
        <v>0</v>
      </c>
      <c r="ED21" s="48">
        <f t="shared" ca="1" si="199"/>
        <v>0</v>
      </c>
      <c r="EE21" s="48">
        <f t="shared" ca="1" si="199"/>
        <v>0</v>
      </c>
      <c r="EF21" s="48">
        <f t="shared" ca="1" si="199"/>
        <v>0</v>
      </c>
      <c r="EG21" s="48">
        <f t="shared" ca="1" si="199"/>
        <v>0</v>
      </c>
      <c r="EH21" s="48">
        <f t="shared" ca="1" si="199"/>
        <v>0</v>
      </c>
      <c r="EI21" s="48">
        <f t="shared" ca="1" si="199"/>
        <v>0</v>
      </c>
      <c r="EJ21" s="48">
        <f t="shared" ca="1" si="199"/>
        <v>0</v>
      </c>
      <c r="EK21" s="48">
        <f t="shared" ca="1" si="199"/>
        <v>0</v>
      </c>
      <c r="EL21" s="48">
        <f t="shared" ca="1" si="200"/>
        <v>0</v>
      </c>
      <c r="EM21" s="48">
        <f t="shared" ca="1" si="200"/>
        <v>0</v>
      </c>
      <c r="EN21" s="48">
        <f t="shared" ca="1" si="200"/>
        <v>0</v>
      </c>
      <c r="EO21" s="48">
        <f t="shared" ca="1" si="200"/>
        <v>0</v>
      </c>
      <c r="EP21" s="48">
        <f t="shared" ca="1" si="200"/>
        <v>0</v>
      </c>
      <c r="EQ21" s="48">
        <f t="shared" ca="1" si="200"/>
        <v>0</v>
      </c>
      <c r="ER21" s="48">
        <f t="shared" ca="1" si="200"/>
        <v>0</v>
      </c>
      <c r="ES21" s="48">
        <f t="shared" ca="1" si="200"/>
        <v>0</v>
      </c>
      <c r="ET21" s="48">
        <f t="shared" ca="1" si="200"/>
        <v>0</v>
      </c>
      <c r="EU21" s="48">
        <f t="shared" ca="1" si="200"/>
        <v>0</v>
      </c>
      <c r="EV21" s="48">
        <f t="shared" ca="1" si="200"/>
        <v>0</v>
      </c>
      <c r="EW21" s="48">
        <f t="shared" ca="1" si="200"/>
        <v>0</v>
      </c>
      <c r="EX21" s="48">
        <f t="shared" ca="1" si="200"/>
        <v>0</v>
      </c>
      <c r="EY21" s="69"/>
      <c r="EZ21" s="48">
        <f t="shared" ca="1" si="201"/>
        <v>4.9499999999999993</v>
      </c>
      <c r="FA21" s="48">
        <f t="shared" ca="1" si="201"/>
        <v>4.9499999999999993</v>
      </c>
      <c r="FB21" s="48">
        <f t="shared" ca="1" si="201"/>
        <v>4.9499999999999993</v>
      </c>
      <c r="FC21" s="48">
        <f t="shared" ca="1" si="201"/>
        <v>4.9499999999999993</v>
      </c>
      <c r="FD21" s="48">
        <f t="shared" ca="1" si="201"/>
        <v>4.9499999999999993</v>
      </c>
      <c r="FE21" s="48">
        <f t="shared" ca="1" si="201"/>
        <v>4.9499999999999993</v>
      </c>
      <c r="FF21" s="48">
        <f t="shared" ca="1" si="201"/>
        <v>4.9499999999999993</v>
      </c>
      <c r="FG21" s="48">
        <f t="shared" ca="1" si="201"/>
        <v>4.9499999999999993</v>
      </c>
      <c r="FH21" s="48">
        <f t="shared" ca="1" si="201"/>
        <v>4.9499999999999993</v>
      </c>
      <c r="FI21" s="48">
        <f t="shared" ca="1" si="201"/>
        <v>4.9499999999999993</v>
      </c>
      <c r="FJ21" s="48">
        <f t="shared" ca="1" si="202"/>
        <v>0</v>
      </c>
      <c r="FK21" s="48">
        <f t="shared" ca="1" si="202"/>
        <v>0</v>
      </c>
      <c r="FL21" s="48">
        <f t="shared" ca="1" si="202"/>
        <v>0</v>
      </c>
      <c r="FM21" s="48">
        <f t="shared" ca="1" si="202"/>
        <v>0</v>
      </c>
      <c r="FN21" s="48">
        <f t="shared" ca="1" si="202"/>
        <v>0</v>
      </c>
      <c r="FO21" s="48">
        <f t="shared" ca="1" si="202"/>
        <v>0</v>
      </c>
      <c r="FP21" s="48">
        <f t="shared" ca="1" si="202"/>
        <v>0</v>
      </c>
      <c r="FQ21" s="48">
        <f t="shared" ca="1" si="202"/>
        <v>0</v>
      </c>
      <c r="FR21" s="48">
        <f t="shared" ca="1" si="202"/>
        <v>0</v>
      </c>
      <c r="FS21" s="48">
        <f t="shared" ca="1" si="202"/>
        <v>0</v>
      </c>
      <c r="FT21" s="48">
        <f t="shared" ca="1" si="203"/>
        <v>0</v>
      </c>
      <c r="FU21" s="48">
        <f t="shared" ca="1" si="203"/>
        <v>0</v>
      </c>
      <c r="FV21" s="48">
        <f t="shared" ca="1" si="203"/>
        <v>0</v>
      </c>
      <c r="FW21" s="48">
        <f t="shared" ca="1" si="203"/>
        <v>0</v>
      </c>
      <c r="FX21" s="48">
        <f t="shared" ca="1" si="203"/>
        <v>0</v>
      </c>
      <c r="FY21" s="48">
        <f t="shared" ca="1" si="203"/>
        <v>0</v>
      </c>
      <c r="FZ21" s="48">
        <f t="shared" ca="1" si="203"/>
        <v>0</v>
      </c>
      <c r="GA21" s="48">
        <f t="shared" ca="1" si="203"/>
        <v>0</v>
      </c>
      <c r="GB21" s="48">
        <f t="shared" ca="1" si="203"/>
        <v>0</v>
      </c>
      <c r="GC21" s="48">
        <f t="shared" ca="1" si="203"/>
        <v>0</v>
      </c>
      <c r="GD21" s="48">
        <f t="shared" ca="1" si="204"/>
        <v>0</v>
      </c>
      <c r="GE21" s="48">
        <f t="shared" ca="1" si="204"/>
        <v>0</v>
      </c>
      <c r="GF21" s="48">
        <f t="shared" ca="1" si="204"/>
        <v>0</v>
      </c>
      <c r="GG21" s="48">
        <f t="shared" ca="1" si="204"/>
        <v>0</v>
      </c>
      <c r="GH21" s="48">
        <f t="shared" ca="1" si="204"/>
        <v>0</v>
      </c>
      <c r="GI21" s="48">
        <f t="shared" ca="1" si="204"/>
        <v>0</v>
      </c>
      <c r="GJ21" s="48">
        <f t="shared" ca="1" si="204"/>
        <v>0</v>
      </c>
      <c r="GK21" s="48">
        <f t="shared" ca="1" si="204"/>
        <v>0</v>
      </c>
      <c r="GL21" s="48">
        <f t="shared" ca="1" si="204"/>
        <v>0</v>
      </c>
      <c r="GM21" s="48">
        <f t="shared" ca="1" si="204"/>
        <v>0</v>
      </c>
      <c r="GN21" s="48">
        <f t="shared" ca="1" si="205"/>
        <v>0</v>
      </c>
      <c r="GO21" s="48">
        <f t="shared" ca="1" si="205"/>
        <v>0</v>
      </c>
      <c r="GP21" s="48">
        <f t="shared" ca="1" si="205"/>
        <v>0</v>
      </c>
      <c r="GQ21" s="48">
        <f t="shared" ca="1" si="205"/>
        <v>0</v>
      </c>
      <c r="GR21" s="48">
        <f t="shared" ca="1" si="205"/>
        <v>0</v>
      </c>
      <c r="GS21" s="48">
        <f t="shared" ca="1" si="205"/>
        <v>0</v>
      </c>
      <c r="GT21" s="48">
        <f t="shared" ca="1" si="205"/>
        <v>0</v>
      </c>
      <c r="GU21" s="48">
        <f t="shared" ca="1" si="205"/>
        <v>0</v>
      </c>
      <c r="GV21" s="48">
        <f t="shared" ca="1" si="205"/>
        <v>0</v>
      </c>
      <c r="GW21" s="48">
        <f t="shared" ca="1" si="205"/>
        <v>0</v>
      </c>
      <c r="GX21" s="48">
        <f t="shared" ca="1" si="205"/>
        <v>0</v>
      </c>
      <c r="GY21" s="48">
        <f t="shared" ca="1" si="205"/>
        <v>0</v>
      </c>
      <c r="GZ21" s="48">
        <f t="shared" ca="1" si="205"/>
        <v>0</v>
      </c>
      <c r="HA21" s="69"/>
      <c r="HB21" s="150">
        <f t="shared" ca="1" si="206"/>
        <v>1.2424205702288291</v>
      </c>
      <c r="HC21" s="150">
        <f t="shared" ca="1" si="75"/>
        <v>1.2424205702288291</v>
      </c>
      <c r="HD21" s="150">
        <f t="shared" ca="1" si="207"/>
        <v>1.551364096683558</v>
      </c>
      <c r="HE21" s="150" t="str">
        <f t="shared" ca="1" si="77"/>
        <v>n/a</v>
      </c>
      <c r="HF21" s="150">
        <f t="shared" ca="1" si="78"/>
        <v>0.25928919129590683</v>
      </c>
      <c r="HG21" s="148"/>
      <c r="HH21" s="149"/>
      <c r="HI21" s="149"/>
      <c r="HJ21" s="149"/>
      <c r="HK21" s="150"/>
      <c r="HL21" s="149"/>
      <c r="HM21" s="149"/>
      <c r="HN21" s="149"/>
      <c r="HO21" s="150"/>
      <c r="HP21" s="148"/>
      <c r="HQ21" s="149"/>
      <c r="HR21" s="149"/>
      <c r="HS21" s="149"/>
      <c r="HT21" s="150"/>
      <c r="HU21" s="149"/>
      <c r="HV21" s="149"/>
      <c r="HW21" s="149"/>
      <c r="HX21" s="150"/>
      <c r="HY21" s="151"/>
      <c r="HZ21" s="150"/>
      <c r="IA21" s="150"/>
      <c r="IB21" s="152"/>
      <c r="IC21" s="150"/>
      <c r="ID21" s="152"/>
      <c r="IE21" s="150"/>
      <c r="IF21" s="153"/>
    </row>
    <row r="22" spans="1:240" s="36" customFormat="1" ht="14.4" customHeight="1">
      <c r="A22" s="39"/>
      <c r="B22" s="108" t="str">
        <f t="shared" si="143"/>
        <v>Residential_School-Based Education_All_All_2017_Actual</v>
      </c>
      <c r="C22" s="108"/>
      <c r="D22" s="109" t="s">
        <v>1</v>
      </c>
      <c r="E22" s="109" t="s">
        <v>224</v>
      </c>
      <c r="F22" s="109" t="s">
        <v>28</v>
      </c>
      <c r="G22" s="109" t="s">
        <v>28</v>
      </c>
      <c r="H22" s="109">
        <v>2017</v>
      </c>
      <c r="I22" s="109" t="s">
        <v>167</v>
      </c>
      <c r="J22" s="37"/>
      <c r="K22" s="99"/>
      <c r="L22" s="38">
        <f t="shared" ca="1" si="144"/>
        <v>1202</v>
      </c>
      <c r="M22" s="133"/>
      <c r="N22" s="132"/>
      <c r="O22" s="132"/>
      <c r="P22" s="37"/>
      <c r="Q22" s="129">
        <f t="shared" ca="1" si="145"/>
        <v>477194</v>
      </c>
      <c r="R22" s="129">
        <f t="shared" ca="1" si="145"/>
        <v>477194</v>
      </c>
      <c r="S22" s="129">
        <f t="shared" ca="1" si="145"/>
        <v>477194</v>
      </c>
      <c r="T22" s="37"/>
      <c r="U22" s="129">
        <f t="shared" ca="1" si="146"/>
        <v>0</v>
      </c>
      <c r="V22" s="129">
        <f t="shared" ca="1" si="146"/>
        <v>0</v>
      </c>
      <c r="W22" s="129">
        <f t="shared" ca="1" si="146"/>
        <v>0</v>
      </c>
      <c r="X22" s="37"/>
      <c r="Y22" s="129">
        <f t="shared" ca="1" si="147"/>
        <v>48.079999999999984</v>
      </c>
      <c r="Z22" s="129">
        <f t="shared" ca="1" si="147"/>
        <v>48.079999999999984</v>
      </c>
      <c r="AA22" s="129">
        <f t="shared" ca="1" si="147"/>
        <v>48.079999999999984</v>
      </c>
      <c r="AB22" s="37"/>
      <c r="AC22" s="129">
        <f t="shared" ca="1" si="148"/>
        <v>0</v>
      </c>
      <c r="AD22" s="129">
        <f t="shared" ca="1" si="148"/>
        <v>0</v>
      </c>
      <c r="AE22" s="129">
        <f t="shared" ca="1" si="148"/>
        <v>0</v>
      </c>
      <c r="AF22" s="37"/>
      <c r="AG22" s="97"/>
      <c r="AH22" s="97"/>
      <c r="AI22" s="97">
        <f t="shared" ca="1" si="149"/>
        <v>2385970</v>
      </c>
      <c r="AJ22" s="100">
        <f t="shared" ca="1" si="149"/>
        <v>0</v>
      </c>
      <c r="AK22" s="100">
        <f t="shared" ca="1" si="149"/>
        <v>0</v>
      </c>
      <c r="AL22" s="100">
        <f t="shared" ca="1" si="149"/>
        <v>0</v>
      </c>
      <c r="AM22" s="100">
        <f t="shared" ca="1" si="149"/>
        <v>0</v>
      </c>
      <c r="AN22" s="100">
        <f t="shared" ca="1" si="149"/>
        <v>0</v>
      </c>
      <c r="AO22" s="163">
        <f>INDEX('Program Inputs'!$Q:$Q,MATCH($B22,'Program Inputs'!$B:$B,0))</f>
        <v>62222.55</v>
      </c>
      <c r="AP22" s="100">
        <f t="shared" ca="1" si="150"/>
        <v>62222.55</v>
      </c>
      <c r="AQ22" s="37"/>
      <c r="AR22" s="100">
        <f t="shared" ca="1" si="151"/>
        <v>0</v>
      </c>
      <c r="AS22" s="100">
        <f t="shared" ca="1" si="151"/>
        <v>24213.12946891677</v>
      </c>
      <c r="AT22" s="100">
        <f t="shared" ca="1" si="151"/>
        <v>0</v>
      </c>
      <c r="AU22" s="100">
        <f>SUMPRODUCT(--($CX$9:$EX$9=$H22)*$AO22,'General Inputs'!$K$40:$BK$40)</f>
        <v>62222.55</v>
      </c>
      <c r="AV22" s="100">
        <f t="shared" ca="1" si="152"/>
        <v>288348.51964638784</v>
      </c>
      <c r="AW22" s="100">
        <f t="shared" ca="1" si="152"/>
        <v>90885.923797415118</v>
      </c>
      <c r="AX22" s="100">
        <f t="shared" ca="1" si="152"/>
        <v>3444.1989356875943</v>
      </c>
      <c r="AY22" s="98">
        <f t="shared" ca="1" si="152"/>
        <v>2028613.8732985449</v>
      </c>
      <c r="AZ22" s="37"/>
      <c r="BA22" s="100">
        <f t="shared" ca="1" si="153"/>
        <v>32107.572733102716</v>
      </c>
      <c r="BB22" s="102">
        <f t="shared" ca="1" si="154"/>
        <v>1.5160118435053322</v>
      </c>
      <c r="BC22" s="100">
        <f t="shared" ca="1" si="155"/>
        <v>62222.55</v>
      </c>
      <c r="BD22" s="100">
        <f t="shared" ca="1" si="156"/>
        <v>94330.122733102718</v>
      </c>
      <c r="BE22" s="100">
        <f t="shared" ca="1" si="157"/>
        <v>90885.923797415118</v>
      </c>
      <c r="BF22" s="100">
        <f t="shared" ca="1" si="158"/>
        <v>3444.1989356875943</v>
      </c>
      <c r="BG22" s="100">
        <f t="shared" si="159"/>
        <v>62222.55</v>
      </c>
      <c r="BH22" s="100">
        <f t="shared" ca="1" si="160"/>
        <v>0</v>
      </c>
      <c r="BI22" s="37"/>
      <c r="BJ22" s="100">
        <f t="shared" ca="1" si="161"/>
        <v>56320.702202019485</v>
      </c>
      <c r="BK22" s="102">
        <f t="shared" ca="1" si="162"/>
        <v>1.9051493743348591</v>
      </c>
      <c r="BL22" s="100">
        <f t="shared" ca="1" si="163"/>
        <v>62222.55</v>
      </c>
      <c r="BM22" s="100">
        <f t="shared" ca="1" si="164"/>
        <v>118543.25220201949</v>
      </c>
      <c r="BN22" s="100">
        <f t="shared" ca="1" si="165"/>
        <v>90885.923797415118</v>
      </c>
      <c r="BO22" s="100">
        <f t="shared" ca="1" si="166"/>
        <v>3444.1989356875943</v>
      </c>
      <c r="BP22" s="100">
        <f t="shared" ca="1" si="167"/>
        <v>24213.12946891677</v>
      </c>
      <c r="BQ22" s="100">
        <f t="shared" si="168"/>
        <v>62222.55</v>
      </c>
      <c r="BR22" s="100">
        <f t="shared" ca="1" si="169"/>
        <v>0</v>
      </c>
      <c r="BS22" s="37"/>
      <c r="BT22" s="100">
        <f t="shared" ca="1" si="170"/>
        <v>288348.51964638784</v>
      </c>
      <c r="BU22" s="102" t="e">
        <f t="shared" ca="1" si="171"/>
        <v>#DIV/0!</v>
      </c>
      <c r="BV22" s="102" t="e">
        <f t="shared" ca="1" si="172"/>
        <v>#DIV/0!</v>
      </c>
      <c r="BW22" s="100">
        <f t="shared" ca="1" si="173"/>
        <v>0</v>
      </c>
      <c r="BX22" s="100">
        <f t="shared" ca="1" si="174"/>
        <v>288348.51964638784</v>
      </c>
      <c r="BY22" s="100">
        <f t="shared" ca="1" si="175"/>
        <v>288348.51964638784</v>
      </c>
      <c r="BZ22" s="100">
        <f t="shared" ca="1" si="176"/>
        <v>0</v>
      </c>
      <c r="CA22" s="100">
        <f t="shared" ca="1" si="177"/>
        <v>0</v>
      </c>
      <c r="CB22" s="37"/>
      <c r="CC22" s="100">
        <f t="shared" ca="1" si="178"/>
        <v>32107.572733102716</v>
      </c>
      <c r="CD22" s="102">
        <f t="shared" ca="1" si="179"/>
        <v>1.5160118435053322</v>
      </c>
      <c r="CE22" s="103">
        <f t="shared" ca="1" si="180"/>
        <v>3.0672446254557829E-2</v>
      </c>
      <c r="CF22" s="100">
        <f t="shared" ca="1" si="181"/>
        <v>62222.55</v>
      </c>
      <c r="CG22" s="100">
        <f t="shared" ca="1" si="182"/>
        <v>94330.122733102718</v>
      </c>
      <c r="CH22" s="100">
        <f t="shared" ca="1" si="183"/>
        <v>90885.923797415118</v>
      </c>
      <c r="CI22" s="100">
        <f t="shared" ca="1" si="184"/>
        <v>3444.1989356875943</v>
      </c>
      <c r="CJ22" s="100">
        <f t="shared" ca="1" si="185"/>
        <v>0</v>
      </c>
      <c r="CK22" s="100">
        <f t="shared" si="186"/>
        <v>62222.55</v>
      </c>
      <c r="CL22" s="37"/>
      <c r="CM22" s="100">
        <f t="shared" ca="1" si="187"/>
        <v>-256240.94691328512</v>
      </c>
      <c r="CN22" s="102">
        <f t="shared" ca="1" si="188"/>
        <v>0.26907560520681623</v>
      </c>
      <c r="CO22" s="128"/>
      <c r="CP22" s="100">
        <f t="shared" ca="1" si="189"/>
        <v>350571.06964638783</v>
      </c>
      <c r="CQ22" s="100">
        <f t="shared" ca="1" si="190"/>
        <v>94330.122733102718</v>
      </c>
      <c r="CR22" s="100">
        <f t="shared" ca="1" si="191"/>
        <v>90885.923797415118</v>
      </c>
      <c r="CS22" s="100">
        <f t="shared" ca="1" si="192"/>
        <v>3444.1989356875943</v>
      </c>
      <c r="CT22" s="100">
        <f t="shared" ca="1" si="193"/>
        <v>288348.51964638784</v>
      </c>
      <c r="CU22" s="100">
        <f t="shared" ca="1" si="194"/>
        <v>0</v>
      </c>
      <c r="CV22" s="100">
        <f t="shared" si="195"/>
        <v>62222.55</v>
      </c>
      <c r="CW22" s="37"/>
      <c r="CX22" s="48">
        <f t="shared" ca="1" si="196"/>
        <v>477194</v>
      </c>
      <c r="CY22" s="48">
        <f t="shared" ca="1" si="196"/>
        <v>477194</v>
      </c>
      <c r="CZ22" s="48">
        <f t="shared" ca="1" si="196"/>
        <v>477194</v>
      </c>
      <c r="DA22" s="48">
        <f t="shared" ca="1" si="196"/>
        <v>477194</v>
      </c>
      <c r="DB22" s="48">
        <f t="shared" ca="1" si="196"/>
        <v>477194</v>
      </c>
      <c r="DC22" s="48">
        <f t="shared" ca="1" si="196"/>
        <v>0</v>
      </c>
      <c r="DD22" s="48">
        <f t="shared" ca="1" si="196"/>
        <v>0</v>
      </c>
      <c r="DE22" s="48">
        <f t="shared" ca="1" si="196"/>
        <v>0</v>
      </c>
      <c r="DF22" s="48">
        <f t="shared" ca="1" si="196"/>
        <v>0</v>
      </c>
      <c r="DG22" s="48">
        <f t="shared" ca="1" si="196"/>
        <v>0</v>
      </c>
      <c r="DH22" s="48">
        <f t="shared" ca="1" si="197"/>
        <v>0</v>
      </c>
      <c r="DI22" s="48">
        <f t="shared" ca="1" si="197"/>
        <v>0</v>
      </c>
      <c r="DJ22" s="48">
        <f t="shared" ca="1" si="197"/>
        <v>0</v>
      </c>
      <c r="DK22" s="48">
        <f t="shared" ca="1" si="197"/>
        <v>0</v>
      </c>
      <c r="DL22" s="48">
        <f t="shared" ca="1" si="197"/>
        <v>0</v>
      </c>
      <c r="DM22" s="48">
        <f t="shared" ca="1" si="197"/>
        <v>0</v>
      </c>
      <c r="DN22" s="48">
        <f t="shared" ca="1" si="197"/>
        <v>0</v>
      </c>
      <c r="DO22" s="48">
        <f t="shared" ca="1" si="197"/>
        <v>0</v>
      </c>
      <c r="DP22" s="48">
        <f t="shared" ca="1" si="197"/>
        <v>0</v>
      </c>
      <c r="DQ22" s="48">
        <f t="shared" ca="1" si="197"/>
        <v>0</v>
      </c>
      <c r="DR22" s="48">
        <f t="shared" ca="1" si="198"/>
        <v>0</v>
      </c>
      <c r="DS22" s="48">
        <f t="shared" ca="1" si="198"/>
        <v>0</v>
      </c>
      <c r="DT22" s="48">
        <f t="shared" ca="1" si="198"/>
        <v>0</v>
      </c>
      <c r="DU22" s="48">
        <f t="shared" ca="1" si="198"/>
        <v>0</v>
      </c>
      <c r="DV22" s="48">
        <f t="shared" ca="1" si="198"/>
        <v>0</v>
      </c>
      <c r="DW22" s="48">
        <f t="shared" ca="1" si="198"/>
        <v>0</v>
      </c>
      <c r="DX22" s="48">
        <f t="shared" ca="1" si="198"/>
        <v>0</v>
      </c>
      <c r="DY22" s="48">
        <f t="shared" ca="1" si="198"/>
        <v>0</v>
      </c>
      <c r="DZ22" s="48">
        <f t="shared" ca="1" si="198"/>
        <v>0</v>
      </c>
      <c r="EA22" s="48">
        <f t="shared" ca="1" si="198"/>
        <v>0</v>
      </c>
      <c r="EB22" s="48">
        <f t="shared" ca="1" si="199"/>
        <v>0</v>
      </c>
      <c r="EC22" s="48">
        <f t="shared" ca="1" si="199"/>
        <v>0</v>
      </c>
      <c r="ED22" s="48">
        <f t="shared" ca="1" si="199"/>
        <v>0</v>
      </c>
      <c r="EE22" s="48">
        <f t="shared" ca="1" si="199"/>
        <v>0</v>
      </c>
      <c r="EF22" s="48">
        <f t="shared" ca="1" si="199"/>
        <v>0</v>
      </c>
      <c r="EG22" s="48">
        <f t="shared" ca="1" si="199"/>
        <v>0</v>
      </c>
      <c r="EH22" s="48">
        <f t="shared" ca="1" si="199"/>
        <v>0</v>
      </c>
      <c r="EI22" s="48">
        <f t="shared" ca="1" si="199"/>
        <v>0</v>
      </c>
      <c r="EJ22" s="48">
        <f t="shared" ca="1" si="199"/>
        <v>0</v>
      </c>
      <c r="EK22" s="48">
        <f t="shared" ca="1" si="199"/>
        <v>0</v>
      </c>
      <c r="EL22" s="48">
        <f t="shared" ca="1" si="200"/>
        <v>0</v>
      </c>
      <c r="EM22" s="48">
        <f t="shared" ca="1" si="200"/>
        <v>0</v>
      </c>
      <c r="EN22" s="48">
        <f t="shared" ca="1" si="200"/>
        <v>0</v>
      </c>
      <c r="EO22" s="48">
        <f t="shared" ca="1" si="200"/>
        <v>0</v>
      </c>
      <c r="EP22" s="48">
        <f t="shared" ca="1" si="200"/>
        <v>0</v>
      </c>
      <c r="EQ22" s="48">
        <f t="shared" ca="1" si="200"/>
        <v>0</v>
      </c>
      <c r="ER22" s="48">
        <f t="shared" ca="1" si="200"/>
        <v>0</v>
      </c>
      <c r="ES22" s="48">
        <f t="shared" ca="1" si="200"/>
        <v>0</v>
      </c>
      <c r="ET22" s="48">
        <f t="shared" ca="1" si="200"/>
        <v>0</v>
      </c>
      <c r="EU22" s="48">
        <f t="shared" ca="1" si="200"/>
        <v>0</v>
      </c>
      <c r="EV22" s="48">
        <f t="shared" ca="1" si="200"/>
        <v>0</v>
      </c>
      <c r="EW22" s="48">
        <f t="shared" ca="1" si="200"/>
        <v>0</v>
      </c>
      <c r="EX22" s="48">
        <f t="shared" ca="1" si="200"/>
        <v>0</v>
      </c>
      <c r="EY22" s="69"/>
      <c r="EZ22" s="48">
        <f t="shared" ca="1" si="201"/>
        <v>48.079999999999984</v>
      </c>
      <c r="FA22" s="48">
        <f t="shared" ca="1" si="201"/>
        <v>48.079999999999984</v>
      </c>
      <c r="FB22" s="48">
        <f t="shared" ca="1" si="201"/>
        <v>48.079999999999984</v>
      </c>
      <c r="FC22" s="48">
        <f t="shared" ca="1" si="201"/>
        <v>48.079999999999984</v>
      </c>
      <c r="FD22" s="48">
        <f t="shared" ca="1" si="201"/>
        <v>48.079999999999984</v>
      </c>
      <c r="FE22" s="48">
        <f t="shared" ca="1" si="201"/>
        <v>0</v>
      </c>
      <c r="FF22" s="48">
        <f t="shared" ca="1" si="201"/>
        <v>0</v>
      </c>
      <c r="FG22" s="48">
        <f t="shared" ca="1" si="201"/>
        <v>0</v>
      </c>
      <c r="FH22" s="48">
        <f t="shared" ca="1" si="201"/>
        <v>0</v>
      </c>
      <c r="FI22" s="48">
        <f t="shared" ca="1" si="201"/>
        <v>0</v>
      </c>
      <c r="FJ22" s="48">
        <f t="shared" ca="1" si="202"/>
        <v>0</v>
      </c>
      <c r="FK22" s="48">
        <f t="shared" ca="1" si="202"/>
        <v>0</v>
      </c>
      <c r="FL22" s="48">
        <f t="shared" ca="1" si="202"/>
        <v>0</v>
      </c>
      <c r="FM22" s="48">
        <f t="shared" ca="1" si="202"/>
        <v>0</v>
      </c>
      <c r="FN22" s="48">
        <f t="shared" ca="1" si="202"/>
        <v>0</v>
      </c>
      <c r="FO22" s="48">
        <f t="shared" ca="1" si="202"/>
        <v>0</v>
      </c>
      <c r="FP22" s="48">
        <f t="shared" ca="1" si="202"/>
        <v>0</v>
      </c>
      <c r="FQ22" s="48">
        <f t="shared" ca="1" si="202"/>
        <v>0</v>
      </c>
      <c r="FR22" s="48">
        <f t="shared" ca="1" si="202"/>
        <v>0</v>
      </c>
      <c r="FS22" s="48">
        <f t="shared" ca="1" si="202"/>
        <v>0</v>
      </c>
      <c r="FT22" s="48">
        <f t="shared" ca="1" si="203"/>
        <v>0</v>
      </c>
      <c r="FU22" s="48">
        <f t="shared" ca="1" si="203"/>
        <v>0</v>
      </c>
      <c r="FV22" s="48">
        <f t="shared" ca="1" si="203"/>
        <v>0</v>
      </c>
      <c r="FW22" s="48">
        <f t="shared" ca="1" si="203"/>
        <v>0</v>
      </c>
      <c r="FX22" s="48">
        <f t="shared" ca="1" si="203"/>
        <v>0</v>
      </c>
      <c r="FY22" s="48">
        <f t="shared" ca="1" si="203"/>
        <v>0</v>
      </c>
      <c r="FZ22" s="48">
        <f t="shared" ca="1" si="203"/>
        <v>0</v>
      </c>
      <c r="GA22" s="48">
        <f t="shared" ca="1" si="203"/>
        <v>0</v>
      </c>
      <c r="GB22" s="48">
        <f t="shared" ca="1" si="203"/>
        <v>0</v>
      </c>
      <c r="GC22" s="48">
        <f t="shared" ca="1" si="203"/>
        <v>0</v>
      </c>
      <c r="GD22" s="48">
        <f t="shared" ca="1" si="204"/>
        <v>0</v>
      </c>
      <c r="GE22" s="48">
        <f t="shared" ca="1" si="204"/>
        <v>0</v>
      </c>
      <c r="GF22" s="48">
        <f t="shared" ca="1" si="204"/>
        <v>0</v>
      </c>
      <c r="GG22" s="48">
        <f t="shared" ca="1" si="204"/>
        <v>0</v>
      </c>
      <c r="GH22" s="48">
        <f t="shared" ca="1" si="204"/>
        <v>0</v>
      </c>
      <c r="GI22" s="48">
        <f t="shared" ca="1" si="204"/>
        <v>0</v>
      </c>
      <c r="GJ22" s="48">
        <f t="shared" ca="1" si="204"/>
        <v>0</v>
      </c>
      <c r="GK22" s="48">
        <f t="shared" ca="1" si="204"/>
        <v>0</v>
      </c>
      <c r="GL22" s="48">
        <f t="shared" ca="1" si="204"/>
        <v>0</v>
      </c>
      <c r="GM22" s="48">
        <f t="shared" ca="1" si="204"/>
        <v>0</v>
      </c>
      <c r="GN22" s="48">
        <f t="shared" ca="1" si="205"/>
        <v>0</v>
      </c>
      <c r="GO22" s="48">
        <f t="shared" ca="1" si="205"/>
        <v>0</v>
      </c>
      <c r="GP22" s="48">
        <f t="shared" ca="1" si="205"/>
        <v>0</v>
      </c>
      <c r="GQ22" s="48">
        <f t="shared" ca="1" si="205"/>
        <v>0</v>
      </c>
      <c r="GR22" s="48">
        <f t="shared" ca="1" si="205"/>
        <v>0</v>
      </c>
      <c r="GS22" s="48">
        <f t="shared" ca="1" si="205"/>
        <v>0</v>
      </c>
      <c r="GT22" s="48">
        <f t="shared" ca="1" si="205"/>
        <v>0</v>
      </c>
      <c r="GU22" s="48">
        <f t="shared" ca="1" si="205"/>
        <v>0</v>
      </c>
      <c r="GV22" s="48">
        <f t="shared" ca="1" si="205"/>
        <v>0</v>
      </c>
      <c r="GW22" s="48">
        <f t="shared" ca="1" si="205"/>
        <v>0</v>
      </c>
      <c r="GX22" s="48">
        <f t="shared" ca="1" si="205"/>
        <v>0</v>
      </c>
      <c r="GY22" s="48">
        <f t="shared" ca="1" si="205"/>
        <v>0</v>
      </c>
      <c r="GZ22" s="48">
        <f t="shared" ca="1" si="205"/>
        <v>0</v>
      </c>
      <c r="HA22" s="69"/>
      <c r="HB22" s="150">
        <f t="shared" ca="1" si="206"/>
        <v>1.5160118435053322</v>
      </c>
      <c r="HC22" s="150">
        <f t="shared" ca="1" si="75"/>
        <v>1.5160118435053322</v>
      </c>
      <c r="HD22" s="150">
        <f t="shared" ca="1" si="207"/>
        <v>1.9051493743348591</v>
      </c>
      <c r="HE22" s="150" t="str">
        <f t="shared" ca="1" si="77"/>
        <v>n/a</v>
      </c>
      <c r="HF22" s="150">
        <f t="shared" ca="1" si="78"/>
        <v>0.26907560520681623</v>
      </c>
      <c r="HG22" s="148"/>
      <c r="HH22" s="149"/>
      <c r="HI22" s="149"/>
      <c r="HJ22" s="149"/>
      <c r="HK22" s="150"/>
      <c r="HL22" s="149"/>
      <c r="HM22" s="149"/>
      <c r="HN22" s="149"/>
      <c r="HO22" s="150"/>
      <c r="HP22" s="148"/>
      <c r="HQ22" s="149"/>
      <c r="HR22" s="149"/>
      <c r="HS22" s="149"/>
      <c r="HT22" s="150"/>
      <c r="HU22" s="149"/>
      <c r="HV22" s="149"/>
      <c r="HW22" s="149"/>
      <c r="HX22" s="150"/>
      <c r="HY22" s="151"/>
      <c r="HZ22" s="150"/>
      <c r="IA22" s="150"/>
      <c r="IB22" s="152"/>
      <c r="IC22" s="150"/>
      <c r="ID22" s="152"/>
      <c r="IE22" s="150"/>
      <c r="IF22" s="153"/>
    </row>
    <row r="23" spans="1:240" s="36" customFormat="1" ht="14.4" customHeight="1">
      <c r="A23" s="39"/>
      <c r="B23" s="108" t="str">
        <f t="shared" si="143"/>
        <v>Residential_Weatherization_All_All_2017_Actual</v>
      </c>
      <c r="C23" s="108"/>
      <c r="D23" s="109" t="s">
        <v>1</v>
      </c>
      <c r="E23" s="109" t="s">
        <v>83</v>
      </c>
      <c r="F23" s="109" t="s">
        <v>28</v>
      </c>
      <c r="G23" s="109" t="s">
        <v>28</v>
      </c>
      <c r="H23" s="109">
        <v>2017</v>
      </c>
      <c r="I23" s="109" t="s">
        <v>167</v>
      </c>
      <c r="J23" s="37"/>
      <c r="K23" s="99"/>
      <c r="L23" s="38">
        <f t="shared" ca="1" si="144"/>
        <v>12</v>
      </c>
      <c r="M23" s="133"/>
      <c r="N23" s="132"/>
      <c r="O23" s="132"/>
      <c r="P23" s="37"/>
      <c r="Q23" s="129">
        <f t="shared" ca="1" si="145"/>
        <v>7692</v>
      </c>
      <c r="R23" s="129">
        <f t="shared" ca="1" si="145"/>
        <v>7692</v>
      </c>
      <c r="S23" s="129">
        <f t="shared" ca="1" si="145"/>
        <v>7692</v>
      </c>
      <c r="T23" s="37"/>
      <c r="U23" s="129">
        <f t="shared" ca="1" si="146"/>
        <v>0</v>
      </c>
      <c r="V23" s="129">
        <f t="shared" ca="1" si="146"/>
        <v>0</v>
      </c>
      <c r="W23" s="129">
        <f t="shared" ca="1" si="146"/>
        <v>0</v>
      </c>
      <c r="X23" s="37"/>
      <c r="Y23" s="129">
        <f t="shared" ca="1" si="147"/>
        <v>1.194</v>
      </c>
      <c r="Z23" s="129">
        <f t="shared" ca="1" si="147"/>
        <v>1.194</v>
      </c>
      <c r="AA23" s="129">
        <f t="shared" ca="1" si="147"/>
        <v>1.194</v>
      </c>
      <c r="AB23" s="37"/>
      <c r="AC23" s="129">
        <f t="shared" ca="1" si="148"/>
        <v>0</v>
      </c>
      <c r="AD23" s="129">
        <f t="shared" ca="1" si="148"/>
        <v>0</v>
      </c>
      <c r="AE23" s="129">
        <f t="shared" ca="1" si="148"/>
        <v>0</v>
      </c>
      <c r="AF23" s="37"/>
      <c r="AG23" s="97"/>
      <c r="AH23" s="97"/>
      <c r="AI23" s="97">
        <f t="shared" ca="1" si="149"/>
        <v>97680</v>
      </c>
      <c r="AJ23" s="100">
        <f t="shared" ca="1" si="149"/>
        <v>0</v>
      </c>
      <c r="AK23" s="100">
        <f t="shared" ca="1" si="149"/>
        <v>0</v>
      </c>
      <c r="AL23" s="100">
        <f t="shared" ca="1" si="149"/>
        <v>0</v>
      </c>
      <c r="AM23" s="100">
        <f t="shared" ca="1" si="149"/>
        <v>0</v>
      </c>
      <c r="AN23" s="100">
        <f t="shared" ca="1" si="149"/>
        <v>0</v>
      </c>
      <c r="AO23" s="163">
        <f>INDEX('Program Inputs'!$Q:$Q,MATCH($B23,'Program Inputs'!$B:$B,0))</f>
        <v>131.49</v>
      </c>
      <c r="AP23" s="100">
        <f t="shared" ca="1" si="150"/>
        <v>131.49</v>
      </c>
      <c r="AQ23" s="37"/>
      <c r="AR23" s="100">
        <f t="shared" ca="1" si="151"/>
        <v>0</v>
      </c>
      <c r="AS23" s="100">
        <f t="shared" ca="1" si="151"/>
        <v>739.79619836614711</v>
      </c>
      <c r="AT23" s="100">
        <f t="shared" ca="1" si="151"/>
        <v>0</v>
      </c>
      <c r="AU23" s="100">
        <f>SUMPRODUCT(--($CX$9:$EX$9=$H23)*$AO23,'General Inputs'!$K$40:$BK$40)</f>
        <v>131.49</v>
      </c>
      <c r="AV23" s="100">
        <f t="shared" ca="1" si="152"/>
        <v>9216.364200450178</v>
      </c>
      <c r="AW23" s="100">
        <f t="shared" ca="1" si="152"/>
        <v>2904.9491061669564</v>
      </c>
      <c r="AX23" s="100">
        <f t="shared" ca="1" si="152"/>
        <v>173.26510996189384</v>
      </c>
      <c r="AY23" s="98">
        <f t="shared" ca="1" si="152"/>
        <v>61981.283061558264</v>
      </c>
      <c r="AZ23" s="37"/>
      <c r="BA23" s="100">
        <f t="shared" ca="1" si="153"/>
        <v>2946.7242161288505</v>
      </c>
      <c r="BB23" s="102">
        <f t="shared" ca="1" si="154"/>
        <v>23.410253373859991</v>
      </c>
      <c r="BC23" s="100">
        <f t="shared" ca="1" si="155"/>
        <v>131.49</v>
      </c>
      <c r="BD23" s="100">
        <f t="shared" ca="1" si="156"/>
        <v>3078.2142161288502</v>
      </c>
      <c r="BE23" s="100">
        <f t="shared" ca="1" si="157"/>
        <v>2904.9491061669564</v>
      </c>
      <c r="BF23" s="100">
        <f t="shared" ca="1" si="158"/>
        <v>173.26510996189384</v>
      </c>
      <c r="BG23" s="100">
        <f t="shared" si="159"/>
        <v>131.49</v>
      </c>
      <c r="BH23" s="100">
        <f t="shared" ca="1" si="160"/>
        <v>0</v>
      </c>
      <c r="BI23" s="37"/>
      <c r="BJ23" s="100">
        <f t="shared" ca="1" si="161"/>
        <v>3686.5204144949976</v>
      </c>
      <c r="BK23" s="102">
        <f t="shared" ca="1" si="162"/>
        <v>29.036507829454688</v>
      </c>
      <c r="BL23" s="100">
        <f t="shared" ca="1" si="163"/>
        <v>131.49</v>
      </c>
      <c r="BM23" s="100">
        <f t="shared" ca="1" si="164"/>
        <v>3818.0104144949973</v>
      </c>
      <c r="BN23" s="100">
        <f t="shared" ca="1" si="165"/>
        <v>2904.9491061669564</v>
      </c>
      <c r="BO23" s="100">
        <f t="shared" ca="1" si="166"/>
        <v>173.26510996189384</v>
      </c>
      <c r="BP23" s="100">
        <f t="shared" ca="1" si="167"/>
        <v>739.79619836614711</v>
      </c>
      <c r="BQ23" s="100">
        <f t="shared" si="168"/>
        <v>131.49</v>
      </c>
      <c r="BR23" s="100">
        <f t="shared" ca="1" si="169"/>
        <v>0</v>
      </c>
      <c r="BS23" s="37"/>
      <c r="BT23" s="100">
        <f t="shared" ca="1" si="170"/>
        <v>9216.364200450178</v>
      </c>
      <c r="BU23" s="102" t="e">
        <f t="shared" ca="1" si="171"/>
        <v>#DIV/0!</v>
      </c>
      <c r="BV23" s="102" t="e">
        <f t="shared" ca="1" si="172"/>
        <v>#DIV/0!</v>
      </c>
      <c r="BW23" s="100">
        <f t="shared" ca="1" si="173"/>
        <v>0</v>
      </c>
      <c r="BX23" s="100">
        <f t="shared" ca="1" si="174"/>
        <v>9216.364200450178</v>
      </c>
      <c r="BY23" s="100">
        <f t="shared" ca="1" si="175"/>
        <v>9216.364200450178</v>
      </c>
      <c r="BZ23" s="100">
        <f t="shared" ca="1" si="176"/>
        <v>0</v>
      </c>
      <c r="CA23" s="100">
        <f t="shared" ca="1" si="177"/>
        <v>0</v>
      </c>
      <c r="CB23" s="37"/>
      <c r="CC23" s="100">
        <f t="shared" ca="1" si="178"/>
        <v>2946.7242161288505</v>
      </c>
      <c r="CD23" s="102">
        <f t="shared" ca="1" si="179"/>
        <v>23.410253373859991</v>
      </c>
      <c r="CE23" s="103">
        <f t="shared" ca="1" si="180"/>
        <v>2.1214468869482327E-3</v>
      </c>
      <c r="CF23" s="100">
        <f t="shared" ca="1" si="181"/>
        <v>131.49</v>
      </c>
      <c r="CG23" s="100">
        <f t="shared" ca="1" si="182"/>
        <v>3078.2142161288502</v>
      </c>
      <c r="CH23" s="100">
        <f t="shared" ca="1" si="183"/>
        <v>2904.9491061669564</v>
      </c>
      <c r="CI23" s="100">
        <f t="shared" ca="1" si="184"/>
        <v>173.26510996189384</v>
      </c>
      <c r="CJ23" s="100">
        <f t="shared" ca="1" si="185"/>
        <v>0</v>
      </c>
      <c r="CK23" s="100">
        <f t="shared" si="186"/>
        <v>131.49</v>
      </c>
      <c r="CL23" s="37"/>
      <c r="CM23" s="100">
        <f t="shared" ca="1" si="187"/>
        <v>-6269.6399843213276</v>
      </c>
      <c r="CN23" s="102">
        <f t="shared" ca="1" si="188"/>
        <v>0.32929634439319866</v>
      </c>
      <c r="CO23" s="128"/>
      <c r="CP23" s="100">
        <f t="shared" ca="1" si="189"/>
        <v>9347.8542004501778</v>
      </c>
      <c r="CQ23" s="100">
        <f t="shared" ca="1" si="190"/>
        <v>3078.2142161288502</v>
      </c>
      <c r="CR23" s="100">
        <f t="shared" ca="1" si="191"/>
        <v>2904.9491061669564</v>
      </c>
      <c r="CS23" s="100">
        <f t="shared" ca="1" si="192"/>
        <v>173.26510996189384</v>
      </c>
      <c r="CT23" s="100">
        <f t="shared" ca="1" si="193"/>
        <v>9216.364200450178</v>
      </c>
      <c r="CU23" s="100">
        <f t="shared" ca="1" si="194"/>
        <v>0</v>
      </c>
      <c r="CV23" s="100">
        <f t="shared" si="195"/>
        <v>131.49</v>
      </c>
      <c r="CW23" s="37"/>
      <c r="CX23" s="48">
        <f t="shared" ca="1" si="196"/>
        <v>7692</v>
      </c>
      <c r="CY23" s="48">
        <f t="shared" ca="1" si="196"/>
        <v>7692</v>
      </c>
      <c r="CZ23" s="48">
        <f t="shared" ca="1" si="196"/>
        <v>7692</v>
      </c>
      <c r="DA23" s="48">
        <f t="shared" ca="1" si="196"/>
        <v>7692</v>
      </c>
      <c r="DB23" s="48">
        <f t="shared" ca="1" si="196"/>
        <v>7692</v>
      </c>
      <c r="DC23" s="48">
        <f t="shared" ca="1" si="196"/>
        <v>7692</v>
      </c>
      <c r="DD23" s="48">
        <f t="shared" ca="1" si="196"/>
        <v>7692</v>
      </c>
      <c r="DE23" s="48">
        <f t="shared" ca="1" si="196"/>
        <v>7692</v>
      </c>
      <c r="DF23" s="48">
        <f t="shared" ca="1" si="196"/>
        <v>7692</v>
      </c>
      <c r="DG23" s="48">
        <f t="shared" ca="1" si="196"/>
        <v>7692</v>
      </c>
      <c r="DH23" s="48">
        <f t="shared" ca="1" si="197"/>
        <v>5190</v>
      </c>
      <c r="DI23" s="48">
        <f t="shared" ca="1" si="197"/>
        <v>5190</v>
      </c>
      <c r="DJ23" s="48">
        <f t="shared" ca="1" si="197"/>
        <v>5190</v>
      </c>
      <c r="DK23" s="48">
        <f t="shared" ca="1" si="197"/>
        <v>5190</v>
      </c>
      <c r="DL23" s="48">
        <f t="shared" ca="1" si="197"/>
        <v>0</v>
      </c>
      <c r="DM23" s="48">
        <f t="shared" ca="1" si="197"/>
        <v>0</v>
      </c>
      <c r="DN23" s="48">
        <f t="shared" ca="1" si="197"/>
        <v>0</v>
      </c>
      <c r="DO23" s="48">
        <f t="shared" ca="1" si="197"/>
        <v>0</v>
      </c>
      <c r="DP23" s="48">
        <f t="shared" ca="1" si="197"/>
        <v>0</v>
      </c>
      <c r="DQ23" s="48">
        <f t="shared" ca="1" si="197"/>
        <v>0</v>
      </c>
      <c r="DR23" s="48">
        <f t="shared" ca="1" si="198"/>
        <v>0</v>
      </c>
      <c r="DS23" s="48">
        <f t="shared" ca="1" si="198"/>
        <v>0</v>
      </c>
      <c r="DT23" s="48">
        <f t="shared" ca="1" si="198"/>
        <v>0</v>
      </c>
      <c r="DU23" s="48">
        <f t="shared" ca="1" si="198"/>
        <v>0</v>
      </c>
      <c r="DV23" s="48">
        <f t="shared" ca="1" si="198"/>
        <v>0</v>
      </c>
      <c r="DW23" s="48">
        <f t="shared" ca="1" si="198"/>
        <v>0</v>
      </c>
      <c r="DX23" s="48">
        <f t="shared" ca="1" si="198"/>
        <v>0</v>
      </c>
      <c r="DY23" s="48">
        <f t="shared" ca="1" si="198"/>
        <v>0</v>
      </c>
      <c r="DZ23" s="48">
        <f t="shared" ca="1" si="198"/>
        <v>0</v>
      </c>
      <c r="EA23" s="48">
        <f t="shared" ca="1" si="198"/>
        <v>0</v>
      </c>
      <c r="EB23" s="48">
        <f t="shared" ca="1" si="199"/>
        <v>0</v>
      </c>
      <c r="EC23" s="48">
        <f t="shared" ca="1" si="199"/>
        <v>0</v>
      </c>
      <c r="ED23" s="48">
        <f t="shared" ca="1" si="199"/>
        <v>0</v>
      </c>
      <c r="EE23" s="48">
        <f t="shared" ca="1" si="199"/>
        <v>0</v>
      </c>
      <c r="EF23" s="48">
        <f t="shared" ca="1" si="199"/>
        <v>0</v>
      </c>
      <c r="EG23" s="48">
        <f t="shared" ca="1" si="199"/>
        <v>0</v>
      </c>
      <c r="EH23" s="48">
        <f t="shared" ca="1" si="199"/>
        <v>0</v>
      </c>
      <c r="EI23" s="48">
        <f t="shared" ca="1" si="199"/>
        <v>0</v>
      </c>
      <c r="EJ23" s="48">
        <f t="shared" ca="1" si="199"/>
        <v>0</v>
      </c>
      <c r="EK23" s="48">
        <f t="shared" ca="1" si="199"/>
        <v>0</v>
      </c>
      <c r="EL23" s="48">
        <f t="shared" ca="1" si="200"/>
        <v>0</v>
      </c>
      <c r="EM23" s="48">
        <f t="shared" ca="1" si="200"/>
        <v>0</v>
      </c>
      <c r="EN23" s="48">
        <f t="shared" ca="1" si="200"/>
        <v>0</v>
      </c>
      <c r="EO23" s="48">
        <f t="shared" ca="1" si="200"/>
        <v>0</v>
      </c>
      <c r="EP23" s="48">
        <f t="shared" ca="1" si="200"/>
        <v>0</v>
      </c>
      <c r="EQ23" s="48">
        <f t="shared" ca="1" si="200"/>
        <v>0</v>
      </c>
      <c r="ER23" s="48">
        <f t="shared" ca="1" si="200"/>
        <v>0</v>
      </c>
      <c r="ES23" s="48">
        <f t="shared" ca="1" si="200"/>
        <v>0</v>
      </c>
      <c r="ET23" s="48">
        <f t="shared" ca="1" si="200"/>
        <v>0</v>
      </c>
      <c r="EU23" s="48">
        <f t="shared" ca="1" si="200"/>
        <v>0</v>
      </c>
      <c r="EV23" s="48">
        <f t="shared" ca="1" si="200"/>
        <v>0</v>
      </c>
      <c r="EW23" s="48">
        <f t="shared" ca="1" si="200"/>
        <v>0</v>
      </c>
      <c r="EX23" s="48">
        <f t="shared" ca="1" si="200"/>
        <v>0</v>
      </c>
      <c r="EY23" s="69"/>
      <c r="EZ23" s="48">
        <f t="shared" ca="1" si="201"/>
        <v>1.194</v>
      </c>
      <c r="FA23" s="48">
        <f t="shared" ca="1" si="201"/>
        <v>1.194</v>
      </c>
      <c r="FB23" s="48">
        <f t="shared" ca="1" si="201"/>
        <v>1.194</v>
      </c>
      <c r="FC23" s="48">
        <f t="shared" ca="1" si="201"/>
        <v>1.194</v>
      </c>
      <c r="FD23" s="48">
        <f t="shared" ca="1" si="201"/>
        <v>1.194</v>
      </c>
      <c r="FE23" s="48">
        <f t="shared" ca="1" si="201"/>
        <v>1.194</v>
      </c>
      <c r="FF23" s="48">
        <f t="shared" ca="1" si="201"/>
        <v>1.194</v>
      </c>
      <c r="FG23" s="48">
        <f t="shared" ca="1" si="201"/>
        <v>1.194</v>
      </c>
      <c r="FH23" s="48">
        <f t="shared" ca="1" si="201"/>
        <v>1.194</v>
      </c>
      <c r="FI23" s="48">
        <f t="shared" ca="1" si="201"/>
        <v>1.194</v>
      </c>
      <c r="FJ23" s="48">
        <f t="shared" ca="1" si="202"/>
        <v>0.92999999999999994</v>
      </c>
      <c r="FK23" s="48">
        <f t="shared" ca="1" si="202"/>
        <v>0.92999999999999994</v>
      </c>
      <c r="FL23" s="48">
        <f t="shared" ca="1" si="202"/>
        <v>0.92999999999999994</v>
      </c>
      <c r="FM23" s="48">
        <f t="shared" ca="1" si="202"/>
        <v>0.92999999999999994</v>
      </c>
      <c r="FN23" s="48">
        <f t="shared" ca="1" si="202"/>
        <v>0</v>
      </c>
      <c r="FO23" s="48">
        <f t="shared" ca="1" si="202"/>
        <v>0</v>
      </c>
      <c r="FP23" s="48">
        <f t="shared" ca="1" si="202"/>
        <v>0</v>
      </c>
      <c r="FQ23" s="48">
        <f t="shared" ca="1" si="202"/>
        <v>0</v>
      </c>
      <c r="FR23" s="48">
        <f t="shared" ca="1" si="202"/>
        <v>0</v>
      </c>
      <c r="FS23" s="48">
        <f t="shared" ca="1" si="202"/>
        <v>0</v>
      </c>
      <c r="FT23" s="48">
        <f t="shared" ca="1" si="203"/>
        <v>0</v>
      </c>
      <c r="FU23" s="48">
        <f t="shared" ca="1" si="203"/>
        <v>0</v>
      </c>
      <c r="FV23" s="48">
        <f t="shared" ca="1" si="203"/>
        <v>0</v>
      </c>
      <c r="FW23" s="48">
        <f t="shared" ca="1" si="203"/>
        <v>0</v>
      </c>
      <c r="FX23" s="48">
        <f t="shared" ca="1" si="203"/>
        <v>0</v>
      </c>
      <c r="FY23" s="48">
        <f t="shared" ca="1" si="203"/>
        <v>0</v>
      </c>
      <c r="FZ23" s="48">
        <f t="shared" ca="1" si="203"/>
        <v>0</v>
      </c>
      <c r="GA23" s="48">
        <f t="shared" ca="1" si="203"/>
        <v>0</v>
      </c>
      <c r="GB23" s="48">
        <f t="shared" ca="1" si="203"/>
        <v>0</v>
      </c>
      <c r="GC23" s="48">
        <f t="shared" ca="1" si="203"/>
        <v>0</v>
      </c>
      <c r="GD23" s="48">
        <f t="shared" ca="1" si="204"/>
        <v>0</v>
      </c>
      <c r="GE23" s="48">
        <f t="shared" ca="1" si="204"/>
        <v>0</v>
      </c>
      <c r="GF23" s="48">
        <f t="shared" ca="1" si="204"/>
        <v>0</v>
      </c>
      <c r="GG23" s="48">
        <f t="shared" ca="1" si="204"/>
        <v>0</v>
      </c>
      <c r="GH23" s="48">
        <f t="shared" ca="1" si="204"/>
        <v>0</v>
      </c>
      <c r="GI23" s="48">
        <f t="shared" ca="1" si="204"/>
        <v>0</v>
      </c>
      <c r="GJ23" s="48">
        <f t="shared" ca="1" si="204"/>
        <v>0</v>
      </c>
      <c r="GK23" s="48">
        <f t="shared" ca="1" si="204"/>
        <v>0</v>
      </c>
      <c r="GL23" s="48">
        <f t="shared" ca="1" si="204"/>
        <v>0</v>
      </c>
      <c r="GM23" s="48">
        <f t="shared" ca="1" si="204"/>
        <v>0</v>
      </c>
      <c r="GN23" s="48">
        <f t="shared" ca="1" si="205"/>
        <v>0</v>
      </c>
      <c r="GO23" s="48">
        <f t="shared" ca="1" si="205"/>
        <v>0</v>
      </c>
      <c r="GP23" s="48">
        <f t="shared" ca="1" si="205"/>
        <v>0</v>
      </c>
      <c r="GQ23" s="48">
        <f t="shared" ca="1" si="205"/>
        <v>0</v>
      </c>
      <c r="GR23" s="48">
        <f t="shared" ca="1" si="205"/>
        <v>0</v>
      </c>
      <c r="GS23" s="48">
        <f t="shared" ca="1" si="205"/>
        <v>0</v>
      </c>
      <c r="GT23" s="48">
        <f t="shared" ca="1" si="205"/>
        <v>0</v>
      </c>
      <c r="GU23" s="48">
        <f t="shared" ca="1" si="205"/>
        <v>0</v>
      </c>
      <c r="GV23" s="48">
        <f t="shared" ca="1" si="205"/>
        <v>0</v>
      </c>
      <c r="GW23" s="48">
        <f t="shared" ca="1" si="205"/>
        <v>0</v>
      </c>
      <c r="GX23" s="48">
        <f t="shared" ca="1" si="205"/>
        <v>0</v>
      </c>
      <c r="GY23" s="48">
        <f t="shared" ca="1" si="205"/>
        <v>0</v>
      </c>
      <c r="GZ23" s="48">
        <f t="shared" ca="1" si="205"/>
        <v>0</v>
      </c>
      <c r="HA23" s="69"/>
      <c r="HB23" s="150">
        <f t="shared" ca="1" si="206"/>
        <v>23.410253373859991</v>
      </c>
      <c r="HC23" s="150">
        <f t="shared" ca="1" si="75"/>
        <v>23.410253373859991</v>
      </c>
      <c r="HD23" s="150">
        <f t="shared" ca="1" si="207"/>
        <v>29.036507829454688</v>
      </c>
      <c r="HE23" s="150" t="str">
        <f t="shared" ca="1" si="77"/>
        <v>n/a</v>
      </c>
      <c r="HF23" s="150">
        <f t="shared" ca="1" si="78"/>
        <v>0.32929634439319866</v>
      </c>
      <c r="HG23" s="148"/>
      <c r="HH23" s="149"/>
      <c r="HI23" s="149"/>
      <c r="HJ23" s="149"/>
      <c r="HK23" s="150"/>
      <c r="HL23" s="149"/>
      <c r="HM23" s="149"/>
      <c r="HN23" s="149"/>
      <c r="HO23" s="150"/>
      <c r="HP23" s="148"/>
      <c r="HQ23" s="149"/>
      <c r="HR23" s="149"/>
      <c r="HS23" s="149"/>
      <c r="HT23" s="150"/>
      <c r="HU23" s="149"/>
      <c r="HV23" s="149"/>
      <c r="HW23" s="149"/>
      <c r="HX23" s="150"/>
      <c r="HY23" s="151"/>
      <c r="HZ23" s="150"/>
      <c r="IA23" s="150"/>
      <c r="IB23" s="152"/>
      <c r="IC23" s="150"/>
      <c r="ID23" s="152"/>
      <c r="IE23" s="150"/>
      <c r="IF23" s="153"/>
    </row>
    <row r="24" spans="1:240" s="36" customFormat="1" ht="14.4" customHeight="1">
      <c r="A24" s="39"/>
      <c r="B24" s="108" t="str">
        <f t="shared" si="143"/>
        <v>C&amp;I_C&amp;I Prescriptive_All_All_2017_Actual</v>
      </c>
      <c r="C24" s="108"/>
      <c r="D24" s="109" t="s">
        <v>142</v>
      </c>
      <c r="E24" s="109" t="s">
        <v>228</v>
      </c>
      <c r="F24" s="109" t="s">
        <v>28</v>
      </c>
      <c r="G24" s="109" t="s">
        <v>28</v>
      </c>
      <c r="H24" s="109">
        <v>2017</v>
      </c>
      <c r="I24" s="109" t="s">
        <v>167</v>
      </c>
      <c r="J24" s="37"/>
      <c r="K24" s="99"/>
      <c r="L24" s="38">
        <f t="shared" ca="1" si="144"/>
        <v>17530</v>
      </c>
      <c r="M24" s="133"/>
      <c r="N24" s="132"/>
      <c r="O24" s="132"/>
      <c r="P24" s="37"/>
      <c r="Q24" s="129">
        <f t="shared" ca="1" si="145"/>
        <v>1831274.4109999996</v>
      </c>
      <c r="R24" s="129">
        <f t="shared" ca="1" si="145"/>
        <v>1831274.4109999996</v>
      </c>
      <c r="S24" s="129">
        <f t="shared" ca="1" si="145"/>
        <v>1831274.4109999996</v>
      </c>
      <c r="T24" s="37"/>
      <c r="U24" s="129">
        <f t="shared" ca="1" si="146"/>
        <v>0</v>
      </c>
      <c r="V24" s="129">
        <f t="shared" ca="1" si="146"/>
        <v>0</v>
      </c>
      <c r="W24" s="129">
        <f t="shared" ca="1" si="146"/>
        <v>0</v>
      </c>
      <c r="X24" s="37"/>
      <c r="Y24" s="129">
        <f t="shared" ca="1" si="147"/>
        <v>397.78709299999991</v>
      </c>
      <c r="Z24" s="129">
        <f t="shared" ca="1" si="147"/>
        <v>397.78709299999991</v>
      </c>
      <c r="AA24" s="129">
        <f t="shared" ca="1" si="147"/>
        <v>397.78709299999991</v>
      </c>
      <c r="AB24" s="37"/>
      <c r="AC24" s="129">
        <f t="shared" ca="1" si="148"/>
        <v>0</v>
      </c>
      <c r="AD24" s="129">
        <f t="shared" ca="1" si="148"/>
        <v>0</v>
      </c>
      <c r="AE24" s="129">
        <f t="shared" ca="1" si="148"/>
        <v>0</v>
      </c>
      <c r="AF24" s="37"/>
      <c r="AG24" s="97"/>
      <c r="AH24" s="97"/>
      <c r="AI24" s="97">
        <f t="shared" ca="1" si="149"/>
        <v>26514685.080000002</v>
      </c>
      <c r="AJ24" s="100">
        <f t="shared" ca="1" si="149"/>
        <v>393851.27</v>
      </c>
      <c r="AK24" s="100">
        <f t="shared" ca="1" si="149"/>
        <v>0</v>
      </c>
      <c r="AL24" s="100">
        <f t="shared" ca="1" si="149"/>
        <v>0</v>
      </c>
      <c r="AM24" s="100">
        <f t="shared" ca="1" si="149"/>
        <v>0</v>
      </c>
      <c r="AN24" s="100">
        <f t="shared" ca="1" si="149"/>
        <v>212569.81034000003</v>
      </c>
      <c r="AO24" s="163">
        <f>INDEX('Program Inputs'!$Q:$Q,MATCH($B24,'Program Inputs'!$B:$B,0))</f>
        <v>27539.22</v>
      </c>
      <c r="AP24" s="100">
        <f t="shared" ca="1" si="150"/>
        <v>240109.03034000003</v>
      </c>
      <c r="AQ24" s="37"/>
      <c r="AR24" s="100">
        <f t="shared" ca="1" si="151"/>
        <v>393851.27</v>
      </c>
      <c r="AS24" s="100">
        <f t="shared" ca="1" si="151"/>
        <v>186932.70937340346</v>
      </c>
      <c r="AT24" s="100">
        <f t="shared" ca="1" si="151"/>
        <v>212569.81034000003</v>
      </c>
      <c r="AU24" s="100">
        <f>SUMPRODUCT(--($CX$9:$EX$9=$H24)*$AO24,'General Inputs'!$K$40:$BK$40)</f>
        <v>27539.22</v>
      </c>
      <c r="AV24" s="100">
        <f t="shared" ca="1" si="152"/>
        <v>1830163.5674187532</v>
      </c>
      <c r="AW24" s="100">
        <f t="shared" ca="1" si="152"/>
        <v>741209.65362931858</v>
      </c>
      <c r="AX24" s="100">
        <f t="shared" ca="1" si="152"/>
        <v>61314.601773742652</v>
      </c>
      <c r="AY24" s="98">
        <f t="shared" ca="1" si="152"/>
        <v>15661514.885755748</v>
      </c>
      <c r="AZ24" s="37"/>
      <c r="BA24" s="100">
        <f t="shared" ca="1" si="153"/>
        <v>381133.76540306129</v>
      </c>
      <c r="BB24" s="102">
        <f t="shared" ca="1" si="154"/>
        <v>1.9044669361263025</v>
      </c>
      <c r="BC24" s="100">
        <f t="shared" ca="1" si="155"/>
        <v>421390.49</v>
      </c>
      <c r="BD24" s="100">
        <f t="shared" ca="1" si="156"/>
        <v>802524.25540306128</v>
      </c>
      <c r="BE24" s="100">
        <f t="shared" ca="1" si="157"/>
        <v>741209.65362931858</v>
      </c>
      <c r="BF24" s="100">
        <f t="shared" ca="1" si="158"/>
        <v>61314.601773742652</v>
      </c>
      <c r="BG24" s="100">
        <f t="shared" si="159"/>
        <v>27539.22</v>
      </c>
      <c r="BH24" s="100">
        <f t="shared" ca="1" si="160"/>
        <v>393851.27</v>
      </c>
      <c r="BI24" s="37"/>
      <c r="BJ24" s="100">
        <f t="shared" ca="1" si="161"/>
        <v>568066.47477646475</v>
      </c>
      <c r="BK24" s="102">
        <f t="shared" ca="1" si="162"/>
        <v>2.3480761627450701</v>
      </c>
      <c r="BL24" s="100">
        <f t="shared" ca="1" si="163"/>
        <v>421390.49</v>
      </c>
      <c r="BM24" s="100">
        <f t="shared" ca="1" si="164"/>
        <v>989456.96477646474</v>
      </c>
      <c r="BN24" s="100">
        <f t="shared" ca="1" si="165"/>
        <v>741209.65362931858</v>
      </c>
      <c r="BO24" s="100">
        <f t="shared" ca="1" si="166"/>
        <v>61314.601773742652</v>
      </c>
      <c r="BP24" s="100">
        <f t="shared" ca="1" si="167"/>
        <v>186932.70937340346</v>
      </c>
      <c r="BQ24" s="100">
        <f t="shared" si="168"/>
        <v>27539.22</v>
      </c>
      <c r="BR24" s="100">
        <f t="shared" ca="1" si="169"/>
        <v>393851.27</v>
      </c>
      <c r="BS24" s="37"/>
      <c r="BT24" s="100">
        <f t="shared" ca="1" si="170"/>
        <v>1648882.1077587532</v>
      </c>
      <c r="BU24" s="102">
        <f t="shared" ca="1" si="171"/>
        <v>5.1865603423311368</v>
      </c>
      <c r="BV24" s="102" t="e">
        <f t="shared" ca="1" si="172"/>
        <v>#DIV/0!</v>
      </c>
      <c r="BW24" s="100">
        <f t="shared" ca="1" si="173"/>
        <v>393851.27</v>
      </c>
      <c r="BX24" s="100">
        <f t="shared" ca="1" si="174"/>
        <v>2042733.3777587533</v>
      </c>
      <c r="BY24" s="100">
        <f t="shared" ca="1" si="175"/>
        <v>1830163.5674187532</v>
      </c>
      <c r="BZ24" s="100">
        <f t="shared" ca="1" si="176"/>
        <v>212569.81034000003</v>
      </c>
      <c r="CA24" s="100">
        <f t="shared" ca="1" si="177"/>
        <v>393851.27</v>
      </c>
      <c r="CB24" s="37"/>
      <c r="CC24" s="100">
        <f t="shared" ca="1" si="178"/>
        <v>562415.22506306123</v>
      </c>
      <c r="CD24" s="102">
        <f t="shared" ca="1" si="179"/>
        <v>3.3423326655672554</v>
      </c>
      <c r="CE24" s="103">
        <f t="shared" ca="1" si="180"/>
        <v>1.5331149770089023E-2</v>
      </c>
      <c r="CF24" s="100">
        <f t="shared" ca="1" si="181"/>
        <v>240109.03034000003</v>
      </c>
      <c r="CG24" s="100">
        <f t="shared" ca="1" si="182"/>
        <v>802524.25540306128</v>
      </c>
      <c r="CH24" s="100">
        <f t="shared" ca="1" si="183"/>
        <v>741209.65362931858</v>
      </c>
      <c r="CI24" s="100">
        <f t="shared" ca="1" si="184"/>
        <v>61314.601773742652</v>
      </c>
      <c r="CJ24" s="100">
        <f t="shared" ca="1" si="185"/>
        <v>212569.81034000003</v>
      </c>
      <c r="CK24" s="100">
        <f t="shared" si="186"/>
        <v>27539.22</v>
      </c>
      <c r="CL24" s="37"/>
      <c r="CM24" s="100">
        <f t="shared" ca="1" si="187"/>
        <v>-1267748.3423556918</v>
      </c>
      <c r="CN24" s="102">
        <f t="shared" ca="1" si="188"/>
        <v>0.3876418285552648</v>
      </c>
      <c r="CO24" s="128"/>
      <c r="CP24" s="100">
        <f t="shared" ca="1" si="189"/>
        <v>2070272.5977587532</v>
      </c>
      <c r="CQ24" s="100">
        <f t="shared" ca="1" si="190"/>
        <v>802524.25540306128</v>
      </c>
      <c r="CR24" s="100">
        <f t="shared" ca="1" si="191"/>
        <v>741209.65362931858</v>
      </c>
      <c r="CS24" s="100">
        <f t="shared" ca="1" si="192"/>
        <v>61314.601773742652</v>
      </c>
      <c r="CT24" s="100">
        <f t="shared" ca="1" si="193"/>
        <v>1830163.5674187532</v>
      </c>
      <c r="CU24" s="100">
        <f t="shared" ca="1" si="194"/>
        <v>212569.81034000003</v>
      </c>
      <c r="CV24" s="100">
        <f t="shared" si="195"/>
        <v>27539.22</v>
      </c>
      <c r="CW24" s="37"/>
      <c r="CX24" s="48">
        <f t="shared" ca="1" si="196"/>
        <v>1831274.4109999996</v>
      </c>
      <c r="CY24" s="48">
        <f t="shared" ca="1" si="196"/>
        <v>1831274.4109999996</v>
      </c>
      <c r="CZ24" s="48">
        <f t="shared" ca="1" si="196"/>
        <v>1831274.4109999996</v>
      </c>
      <c r="DA24" s="48">
        <f t="shared" ca="1" si="196"/>
        <v>1831274.4109999996</v>
      </c>
      <c r="DB24" s="48">
        <f t="shared" ca="1" si="196"/>
        <v>1831274.4109999996</v>
      </c>
      <c r="DC24" s="48">
        <f t="shared" ca="1" si="196"/>
        <v>1831274.4109999996</v>
      </c>
      <c r="DD24" s="48">
        <f t="shared" ca="1" si="196"/>
        <v>1831274.4109999996</v>
      </c>
      <c r="DE24" s="48">
        <f t="shared" ca="1" si="196"/>
        <v>1831274.4109999996</v>
      </c>
      <c r="DF24" s="48">
        <f t="shared" ca="1" si="196"/>
        <v>1483061.2239999995</v>
      </c>
      <c r="DG24" s="48">
        <f t="shared" ca="1" si="196"/>
        <v>1483061.2239999995</v>
      </c>
      <c r="DH24" s="48">
        <f t="shared" ca="1" si="197"/>
        <v>1483061.2239999995</v>
      </c>
      <c r="DI24" s="48">
        <f t="shared" ca="1" si="197"/>
        <v>1483061.2239999995</v>
      </c>
      <c r="DJ24" s="48">
        <f t="shared" ca="1" si="197"/>
        <v>1483061.2239999995</v>
      </c>
      <c r="DK24" s="48">
        <f t="shared" ca="1" si="197"/>
        <v>1483061.2239999995</v>
      </c>
      <c r="DL24" s="48">
        <f t="shared" ca="1" si="197"/>
        <v>1483061.2239999995</v>
      </c>
      <c r="DM24" s="48">
        <f t="shared" ca="1" si="197"/>
        <v>1483061.2239999995</v>
      </c>
      <c r="DN24" s="48">
        <f t="shared" ca="1" si="197"/>
        <v>0</v>
      </c>
      <c r="DO24" s="48">
        <f t="shared" ca="1" si="197"/>
        <v>0</v>
      </c>
      <c r="DP24" s="48">
        <f t="shared" ca="1" si="197"/>
        <v>0</v>
      </c>
      <c r="DQ24" s="48">
        <f t="shared" ca="1" si="197"/>
        <v>0</v>
      </c>
      <c r="DR24" s="48">
        <f t="shared" ca="1" si="198"/>
        <v>0</v>
      </c>
      <c r="DS24" s="48">
        <f t="shared" ca="1" si="198"/>
        <v>0</v>
      </c>
      <c r="DT24" s="48">
        <f t="shared" ca="1" si="198"/>
        <v>0</v>
      </c>
      <c r="DU24" s="48">
        <f t="shared" ca="1" si="198"/>
        <v>0</v>
      </c>
      <c r="DV24" s="48">
        <f t="shared" ca="1" si="198"/>
        <v>0</v>
      </c>
      <c r="DW24" s="48">
        <f t="shared" ca="1" si="198"/>
        <v>0</v>
      </c>
      <c r="DX24" s="48">
        <f t="shared" ca="1" si="198"/>
        <v>0</v>
      </c>
      <c r="DY24" s="48">
        <f t="shared" ca="1" si="198"/>
        <v>0</v>
      </c>
      <c r="DZ24" s="48">
        <f t="shared" ca="1" si="198"/>
        <v>0</v>
      </c>
      <c r="EA24" s="48">
        <f t="shared" ca="1" si="198"/>
        <v>0</v>
      </c>
      <c r="EB24" s="48">
        <f t="shared" ca="1" si="199"/>
        <v>0</v>
      </c>
      <c r="EC24" s="48">
        <f t="shared" ca="1" si="199"/>
        <v>0</v>
      </c>
      <c r="ED24" s="48">
        <f t="shared" ca="1" si="199"/>
        <v>0</v>
      </c>
      <c r="EE24" s="48">
        <f t="shared" ca="1" si="199"/>
        <v>0</v>
      </c>
      <c r="EF24" s="48">
        <f t="shared" ca="1" si="199"/>
        <v>0</v>
      </c>
      <c r="EG24" s="48">
        <f t="shared" ca="1" si="199"/>
        <v>0</v>
      </c>
      <c r="EH24" s="48">
        <f t="shared" ca="1" si="199"/>
        <v>0</v>
      </c>
      <c r="EI24" s="48">
        <f t="shared" ca="1" si="199"/>
        <v>0</v>
      </c>
      <c r="EJ24" s="48">
        <f t="shared" ca="1" si="199"/>
        <v>0</v>
      </c>
      <c r="EK24" s="48">
        <f t="shared" ca="1" si="199"/>
        <v>0</v>
      </c>
      <c r="EL24" s="48">
        <f t="shared" ca="1" si="200"/>
        <v>0</v>
      </c>
      <c r="EM24" s="48">
        <f t="shared" ca="1" si="200"/>
        <v>0</v>
      </c>
      <c r="EN24" s="48">
        <f t="shared" ca="1" si="200"/>
        <v>0</v>
      </c>
      <c r="EO24" s="48">
        <f t="shared" ca="1" si="200"/>
        <v>0</v>
      </c>
      <c r="EP24" s="48">
        <f t="shared" ca="1" si="200"/>
        <v>0</v>
      </c>
      <c r="EQ24" s="48">
        <f t="shared" ca="1" si="200"/>
        <v>0</v>
      </c>
      <c r="ER24" s="48">
        <f t="shared" ca="1" si="200"/>
        <v>0</v>
      </c>
      <c r="ES24" s="48">
        <f t="shared" ca="1" si="200"/>
        <v>0</v>
      </c>
      <c r="ET24" s="48">
        <f t="shared" ca="1" si="200"/>
        <v>0</v>
      </c>
      <c r="EU24" s="48">
        <f t="shared" ca="1" si="200"/>
        <v>0</v>
      </c>
      <c r="EV24" s="48">
        <f t="shared" ca="1" si="200"/>
        <v>0</v>
      </c>
      <c r="EW24" s="48">
        <f t="shared" ca="1" si="200"/>
        <v>0</v>
      </c>
      <c r="EX24" s="48">
        <f t="shared" ca="1" si="200"/>
        <v>0</v>
      </c>
      <c r="EY24" s="69"/>
      <c r="EZ24" s="48">
        <f t="shared" ca="1" si="201"/>
        <v>397.78709299999991</v>
      </c>
      <c r="FA24" s="48">
        <f t="shared" ca="1" si="201"/>
        <v>397.78709299999991</v>
      </c>
      <c r="FB24" s="48">
        <f t="shared" ca="1" si="201"/>
        <v>397.78709299999991</v>
      </c>
      <c r="FC24" s="48">
        <f t="shared" ca="1" si="201"/>
        <v>397.78709299999991</v>
      </c>
      <c r="FD24" s="48">
        <f t="shared" ca="1" si="201"/>
        <v>397.78709299999991</v>
      </c>
      <c r="FE24" s="48">
        <f t="shared" ca="1" si="201"/>
        <v>397.78709299999991</v>
      </c>
      <c r="FF24" s="48">
        <f t="shared" ca="1" si="201"/>
        <v>397.78709299999991</v>
      </c>
      <c r="FG24" s="48">
        <f t="shared" ca="1" si="201"/>
        <v>397.78709299999991</v>
      </c>
      <c r="FH24" s="48">
        <f t="shared" ca="1" si="201"/>
        <v>334.88795499999992</v>
      </c>
      <c r="FI24" s="48">
        <f t="shared" ca="1" si="201"/>
        <v>334.88795499999992</v>
      </c>
      <c r="FJ24" s="48">
        <f t="shared" ca="1" si="202"/>
        <v>334.88795499999992</v>
      </c>
      <c r="FK24" s="48">
        <f t="shared" ca="1" si="202"/>
        <v>334.88795499999992</v>
      </c>
      <c r="FL24" s="48">
        <f t="shared" ca="1" si="202"/>
        <v>334.88795499999992</v>
      </c>
      <c r="FM24" s="48">
        <f t="shared" ca="1" si="202"/>
        <v>334.88795499999992</v>
      </c>
      <c r="FN24" s="48">
        <f t="shared" ca="1" si="202"/>
        <v>334.88795499999992</v>
      </c>
      <c r="FO24" s="48">
        <f t="shared" ca="1" si="202"/>
        <v>334.88795499999992</v>
      </c>
      <c r="FP24" s="48">
        <f t="shared" ca="1" si="202"/>
        <v>0</v>
      </c>
      <c r="FQ24" s="48">
        <f t="shared" ca="1" si="202"/>
        <v>0</v>
      </c>
      <c r="FR24" s="48">
        <f t="shared" ca="1" si="202"/>
        <v>0</v>
      </c>
      <c r="FS24" s="48">
        <f t="shared" ca="1" si="202"/>
        <v>0</v>
      </c>
      <c r="FT24" s="48">
        <f t="shared" ca="1" si="203"/>
        <v>0</v>
      </c>
      <c r="FU24" s="48">
        <f t="shared" ca="1" si="203"/>
        <v>0</v>
      </c>
      <c r="FV24" s="48">
        <f t="shared" ca="1" si="203"/>
        <v>0</v>
      </c>
      <c r="FW24" s="48">
        <f t="shared" ca="1" si="203"/>
        <v>0</v>
      </c>
      <c r="FX24" s="48">
        <f t="shared" ca="1" si="203"/>
        <v>0</v>
      </c>
      <c r="FY24" s="48">
        <f t="shared" ca="1" si="203"/>
        <v>0</v>
      </c>
      <c r="FZ24" s="48">
        <f t="shared" ca="1" si="203"/>
        <v>0</v>
      </c>
      <c r="GA24" s="48">
        <f t="shared" ca="1" si="203"/>
        <v>0</v>
      </c>
      <c r="GB24" s="48">
        <f t="shared" ca="1" si="203"/>
        <v>0</v>
      </c>
      <c r="GC24" s="48">
        <f t="shared" ca="1" si="203"/>
        <v>0</v>
      </c>
      <c r="GD24" s="48">
        <f t="shared" ca="1" si="204"/>
        <v>0</v>
      </c>
      <c r="GE24" s="48">
        <f t="shared" ca="1" si="204"/>
        <v>0</v>
      </c>
      <c r="GF24" s="48">
        <f t="shared" ca="1" si="204"/>
        <v>0</v>
      </c>
      <c r="GG24" s="48">
        <f t="shared" ca="1" si="204"/>
        <v>0</v>
      </c>
      <c r="GH24" s="48">
        <f t="shared" ca="1" si="204"/>
        <v>0</v>
      </c>
      <c r="GI24" s="48">
        <f t="shared" ca="1" si="204"/>
        <v>0</v>
      </c>
      <c r="GJ24" s="48">
        <f t="shared" ca="1" si="204"/>
        <v>0</v>
      </c>
      <c r="GK24" s="48">
        <f t="shared" ca="1" si="204"/>
        <v>0</v>
      </c>
      <c r="GL24" s="48">
        <f t="shared" ca="1" si="204"/>
        <v>0</v>
      </c>
      <c r="GM24" s="48">
        <f t="shared" ca="1" si="204"/>
        <v>0</v>
      </c>
      <c r="GN24" s="48">
        <f t="shared" ca="1" si="205"/>
        <v>0</v>
      </c>
      <c r="GO24" s="48">
        <f t="shared" ca="1" si="205"/>
        <v>0</v>
      </c>
      <c r="GP24" s="48">
        <f t="shared" ca="1" si="205"/>
        <v>0</v>
      </c>
      <c r="GQ24" s="48">
        <f t="shared" ca="1" si="205"/>
        <v>0</v>
      </c>
      <c r="GR24" s="48">
        <f t="shared" ca="1" si="205"/>
        <v>0</v>
      </c>
      <c r="GS24" s="48">
        <f t="shared" ca="1" si="205"/>
        <v>0</v>
      </c>
      <c r="GT24" s="48">
        <f t="shared" ca="1" si="205"/>
        <v>0</v>
      </c>
      <c r="GU24" s="48">
        <f t="shared" ca="1" si="205"/>
        <v>0</v>
      </c>
      <c r="GV24" s="48">
        <f t="shared" ca="1" si="205"/>
        <v>0</v>
      </c>
      <c r="GW24" s="48">
        <f t="shared" ca="1" si="205"/>
        <v>0</v>
      </c>
      <c r="GX24" s="48">
        <f t="shared" ca="1" si="205"/>
        <v>0</v>
      </c>
      <c r="GY24" s="48">
        <f t="shared" ca="1" si="205"/>
        <v>0</v>
      </c>
      <c r="GZ24" s="48">
        <f t="shared" ca="1" si="205"/>
        <v>0</v>
      </c>
      <c r="HA24" s="69"/>
      <c r="HB24" s="150">
        <f t="shared" ca="1" si="206"/>
        <v>1.9044669361263025</v>
      </c>
      <c r="HC24" s="150">
        <f t="shared" ca="1" si="75"/>
        <v>3.3423326655672554</v>
      </c>
      <c r="HD24" s="150">
        <f t="shared" ca="1" si="207"/>
        <v>2.3480761627450701</v>
      </c>
      <c r="HE24" s="150">
        <f t="shared" ca="1" si="77"/>
        <v>5.1865603423311368</v>
      </c>
      <c r="HF24" s="150">
        <f t="shared" ca="1" si="78"/>
        <v>0.3876418285552648</v>
      </c>
      <c r="HG24" s="148"/>
      <c r="HH24" s="149"/>
      <c r="HI24" s="149"/>
      <c r="HJ24" s="149"/>
      <c r="HK24" s="150"/>
      <c r="HL24" s="149"/>
      <c r="HM24" s="149"/>
      <c r="HN24" s="149"/>
      <c r="HO24" s="150"/>
      <c r="HP24" s="148"/>
      <c r="HQ24" s="149"/>
      <c r="HR24" s="149"/>
      <c r="HS24" s="149"/>
      <c r="HT24" s="150"/>
      <c r="HU24" s="149"/>
      <c r="HV24" s="149"/>
      <c r="HW24" s="149"/>
      <c r="HX24" s="150"/>
      <c r="HY24" s="151"/>
      <c r="HZ24" s="150"/>
      <c r="IA24" s="150"/>
      <c r="IB24" s="152"/>
      <c r="IC24" s="150"/>
      <c r="ID24" s="152"/>
      <c r="IE24" s="150"/>
      <c r="IF24" s="153"/>
    </row>
    <row r="25" spans="1:240" s="36" customFormat="1" ht="14.4" customHeight="1">
      <c r="A25" s="39"/>
      <c r="B25" s="108" t="str">
        <f t="shared" si="143"/>
        <v>C&amp;I_C&amp;I Custom_All_All_2017_Actual</v>
      </c>
      <c r="C25" s="108"/>
      <c r="D25" s="109" t="s">
        <v>142</v>
      </c>
      <c r="E25" s="109" t="s">
        <v>187</v>
      </c>
      <c r="F25" s="109" t="s">
        <v>28</v>
      </c>
      <c r="G25" s="109" t="s">
        <v>28</v>
      </c>
      <c r="H25" s="109">
        <v>2017</v>
      </c>
      <c r="I25" s="109" t="s">
        <v>167</v>
      </c>
      <c r="J25" s="37"/>
      <c r="K25" s="99"/>
      <c r="L25" s="38">
        <f t="shared" ca="1" si="144"/>
        <v>48</v>
      </c>
      <c r="M25" s="133"/>
      <c r="N25" s="132"/>
      <c r="O25" s="132"/>
      <c r="P25" s="37"/>
      <c r="Q25" s="129">
        <f t="shared" ca="1" si="145"/>
        <v>2011742.5373999998</v>
      </c>
      <c r="R25" s="129">
        <f t="shared" ca="1" si="145"/>
        <v>2011742.5373999998</v>
      </c>
      <c r="S25" s="129">
        <f t="shared" ca="1" si="145"/>
        <v>2011742.5373999998</v>
      </c>
      <c r="T25" s="37"/>
      <c r="U25" s="129">
        <f t="shared" ca="1" si="146"/>
        <v>0</v>
      </c>
      <c r="V25" s="129">
        <f t="shared" ca="1" si="146"/>
        <v>0</v>
      </c>
      <c r="W25" s="129">
        <f t="shared" ca="1" si="146"/>
        <v>0</v>
      </c>
      <c r="X25" s="37"/>
      <c r="Y25" s="129">
        <f t="shared" ca="1" si="147"/>
        <v>493.85037</v>
      </c>
      <c r="Z25" s="129">
        <f t="shared" ca="1" si="147"/>
        <v>493.85037</v>
      </c>
      <c r="AA25" s="129">
        <f t="shared" ca="1" si="147"/>
        <v>493.85037</v>
      </c>
      <c r="AB25" s="37"/>
      <c r="AC25" s="129">
        <f t="shared" ca="1" si="148"/>
        <v>0</v>
      </c>
      <c r="AD25" s="129">
        <f t="shared" ca="1" si="148"/>
        <v>0</v>
      </c>
      <c r="AE25" s="129">
        <f t="shared" ca="1" si="148"/>
        <v>0</v>
      </c>
      <c r="AF25" s="37"/>
      <c r="AG25" s="97"/>
      <c r="AH25" s="97"/>
      <c r="AI25" s="97">
        <f t="shared" ca="1" si="149"/>
        <v>30176138.060999997</v>
      </c>
      <c r="AJ25" s="100">
        <f t="shared" ca="1" si="149"/>
        <v>353378.05893224559</v>
      </c>
      <c r="AK25" s="100">
        <f t="shared" ca="1" si="149"/>
        <v>0</v>
      </c>
      <c r="AL25" s="100">
        <f t="shared" ca="1" si="149"/>
        <v>0</v>
      </c>
      <c r="AM25" s="100">
        <f t="shared" ca="1" si="149"/>
        <v>0</v>
      </c>
      <c r="AN25" s="100">
        <f t="shared" ca="1" si="149"/>
        <v>212345.44996</v>
      </c>
      <c r="AO25" s="163">
        <f>INDEX('Program Inputs'!$Q:$Q,MATCH($B25,'Program Inputs'!$B:$B,0))</f>
        <v>27628.48000000004</v>
      </c>
      <c r="AP25" s="100">
        <f t="shared" ca="1" si="150"/>
        <v>239973.92996000004</v>
      </c>
      <c r="AQ25" s="37"/>
      <c r="AR25" s="100">
        <f t="shared" ca="1" si="151"/>
        <v>353378.05893224559</v>
      </c>
      <c r="AS25" s="100">
        <f t="shared" ca="1" si="151"/>
        <v>212665.83902189287</v>
      </c>
      <c r="AT25" s="100">
        <f t="shared" ca="1" si="151"/>
        <v>212345.44996</v>
      </c>
      <c r="AU25" s="100">
        <f>SUMPRODUCT(--($CX$9:$EX$9=$H25)*$AO25,'General Inputs'!$K$40:$BK$40)</f>
        <v>27628.48000000004</v>
      </c>
      <c r="AV25" s="100">
        <f t="shared" ca="1" si="152"/>
        <v>2084002.653372817</v>
      </c>
      <c r="AW25" s="100">
        <f t="shared" ca="1" si="152"/>
        <v>844013.5692612729</v>
      </c>
      <c r="AX25" s="100">
        <f t="shared" ca="1" si="152"/>
        <v>77928.179573266316</v>
      </c>
      <c r="AY25" s="98">
        <f t="shared" ca="1" si="152"/>
        <v>17817476.752450015</v>
      </c>
      <c r="AZ25" s="37"/>
      <c r="BA25" s="100">
        <f t="shared" ca="1" si="153"/>
        <v>540935.20990229351</v>
      </c>
      <c r="BB25" s="102">
        <f t="shared" ca="1" si="154"/>
        <v>2.4197530872258546</v>
      </c>
      <c r="BC25" s="100">
        <f t="shared" ca="1" si="155"/>
        <v>381006.53893224563</v>
      </c>
      <c r="BD25" s="100">
        <f t="shared" ca="1" si="156"/>
        <v>921941.7488345392</v>
      </c>
      <c r="BE25" s="100">
        <f t="shared" ca="1" si="157"/>
        <v>844013.5692612729</v>
      </c>
      <c r="BF25" s="100">
        <f t="shared" ca="1" si="158"/>
        <v>77928.179573266316</v>
      </c>
      <c r="BG25" s="100">
        <f t="shared" si="159"/>
        <v>27628.48000000004</v>
      </c>
      <c r="BH25" s="100">
        <f t="shared" ca="1" si="160"/>
        <v>353378.05893224559</v>
      </c>
      <c r="BI25" s="37"/>
      <c r="BJ25" s="100">
        <f t="shared" ca="1" si="161"/>
        <v>753601.04892418627</v>
      </c>
      <c r="BK25" s="102">
        <f t="shared" ca="1" si="162"/>
        <v>2.9779215628060367</v>
      </c>
      <c r="BL25" s="100">
        <f t="shared" ca="1" si="163"/>
        <v>381006.53893224563</v>
      </c>
      <c r="BM25" s="100">
        <f t="shared" ca="1" si="164"/>
        <v>1134607.587856432</v>
      </c>
      <c r="BN25" s="100">
        <f t="shared" ca="1" si="165"/>
        <v>844013.5692612729</v>
      </c>
      <c r="BO25" s="100">
        <f t="shared" ca="1" si="166"/>
        <v>77928.179573266316</v>
      </c>
      <c r="BP25" s="100">
        <f t="shared" ca="1" si="167"/>
        <v>212665.83902189287</v>
      </c>
      <c r="BQ25" s="100">
        <f t="shared" si="168"/>
        <v>27628.48000000004</v>
      </c>
      <c r="BR25" s="100">
        <f t="shared" ca="1" si="169"/>
        <v>353378.05893224559</v>
      </c>
      <c r="BS25" s="37"/>
      <c r="BT25" s="100">
        <f t="shared" ca="1" si="170"/>
        <v>1942970.0444005714</v>
      </c>
      <c r="BU25" s="102">
        <f t="shared" ca="1" si="171"/>
        <v>6.4982758416619859</v>
      </c>
      <c r="BV25" s="102" t="e">
        <f t="shared" ca="1" si="172"/>
        <v>#DIV/0!</v>
      </c>
      <c r="BW25" s="100">
        <f t="shared" ca="1" si="173"/>
        <v>353378.05893224559</v>
      </c>
      <c r="BX25" s="100">
        <f t="shared" ca="1" si="174"/>
        <v>2296348.1033328171</v>
      </c>
      <c r="BY25" s="100">
        <f t="shared" ca="1" si="175"/>
        <v>2084002.653372817</v>
      </c>
      <c r="BZ25" s="100">
        <f t="shared" ca="1" si="176"/>
        <v>212345.44996</v>
      </c>
      <c r="CA25" s="100">
        <f t="shared" ca="1" si="177"/>
        <v>353378.05893224559</v>
      </c>
      <c r="CB25" s="37"/>
      <c r="CC25" s="100">
        <f t="shared" ca="1" si="178"/>
        <v>681967.81887453911</v>
      </c>
      <c r="CD25" s="102">
        <f t="shared" ca="1" si="179"/>
        <v>3.8418412741259549</v>
      </c>
      <c r="CE25" s="103">
        <f t="shared" ca="1" si="180"/>
        <v>1.3468457587688566E-2</v>
      </c>
      <c r="CF25" s="100">
        <f t="shared" ca="1" si="181"/>
        <v>239973.92996000004</v>
      </c>
      <c r="CG25" s="100">
        <f t="shared" ca="1" si="182"/>
        <v>921941.7488345392</v>
      </c>
      <c r="CH25" s="100">
        <f t="shared" ca="1" si="183"/>
        <v>844013.5692612729</v>
      </c>
      <c r="CI25" s="100">
        <f t="shared" ca="1" si="184"/>
        <v>77928.179573266316</v>
      </c>
      <c r="CJ25" s="100">
        <f t="shared" ca="1" si="185"/>
        <v>212345.44996</v>
      </c>
      <c r="CK25" s="100">
        <f t="shared" si="186"/>
        <v>27628.48000000004</v>
      </c>
      <c r="CL25" s="37"/>
      <c r="CM25" s="100">
        <f t="shared" ca="1" si="187"/>
        <v>-1402034.8344982779</v>
      </c>
      <c r="CN25" s="102">
        <f t="shared" ca="1" si="188"/>
        <v>0.39670870844678718</v>
      </c>
      <c r="CO25" s="128"/>
      <c r="CP25" s="100">
        <f t="shared" ca="1" si="189"/>
        <v>2323976.5833328171</v>
      </c>
      <c r="CQ25" s="100">
        <f t="shared" ca="1" si="190"/>
        <v>921941.7488345392</v>
      </c>
      <c r="CR25" s="100">
        <f t="shared" ca="1" si="191"/>
        <v>844013.5692612729</v>
      </c>
      <c r="CS25" s="100">
        <f t="shared" ca="1" si="192"/>
        <v>77928.179573266316</v>
      </c>
      <c r="CT25" s="100">
        <f t="shared" ca="1" si="193"/>
        <v>2084002.653372817</v>
      </c>
      <c r="CU25" s="100">
        <f t="shared" ca="1" si="194"/>
        <v>212345.44996</v>
      </c>
      <c r="CV25" s="100">
        <f t="shared" si="195"/>
        <v>27628.48000000004</v>
      </c>
      <c r="CW25" s="37"/>
      <c r="CX25" s="48">
        <f t="shared" ca="1" si="196"/>
        <v>2011742.5373999998</v>
      </c>
      <c r="CY25" s="48">
        <f t="shared" ca="1" si="196"/>
        <v>2011742.5373999998</v>
      </c>
      <c r="CZ25" s="48">
        <f t="shared" ca="1" si="196"/>
        <v>2011742.5373999998</v>
      </c>
      <c r="DA25" s="48">
        <f t="shared" ca="1" si="196"/>
        <v>2011742.5373999998</v>
      </c>
      <c r="DB25" s="48">
        <f t="shared" ca="1" si="196"/>
        <v>2011742.5373999998</v>
      </c>
      <c r="DC25" s="48">
        <f t="shared" ca="1" si="196"/>
        <v>2011742.5373999998</v>
      </c>
      <c r="DD25" s="48">
        <f t="shared" ca="1" si="196"/>
        <v>2011742.5373999998</v>
      </c>
      <c r="DE25" s="48">
        <f t="shared" ca="1" si="196"/>
        <v>2011742.5373999998</v>
      </c>
      <c r="DF25" s="48">
        <f t="shared" ca="1" si="196"/>
        <v>2011742.5373999998</v>
      </c>
      <c r="DG25" s="48">
        <f t="shared" ca="1" si="196"/>
        <v>2011742.5373999998</v>
      </c>
      <c r="DH25" s="48">
        <f t="shared" ca="1" si="197"/>
        <v>2011742.5373999998</v>
      </c>
      <c r="DI25" s="48">
        <f t="shared" ca="1" si="197"/>
        <v>2011742.5373999998</v>
      </c>
      <c r="DJ25" s="48">
        <f t="shared" ca="1" si="197"/>
        <v>2011742.5373999998</v>
      </c>
      <c r="DK25" s="48">
        <f t="shared" ca="1" si="197"/>
        <v>2011742.5373999998</v>
      </c>
      <c r="DL25" s="48">
        <f t="shared" ca="1" si="197"/>
        <v>2011742.5373999998</v>
      </c>
      <c r="DM25" s="48">
        <f t="shared" ca="1" si="197"/>
        <v>0</v>
      </c>
      <c r="DN25" s="48">
        <f t="shared" ca="1" si="197"/>
        <v>0</v>
      </c>
      <c r="DO25" s="48">
        <f t="shared" ca="1" si="197"/>
        <v>0</v>
      </c>
      <c r="DP25" s="48">
        <f t="shared" ca="1" si="197"/>
        <v>0</v>
      </c>
      <c r="DQ25" s="48">
        <f t="shared" ca="1" si="197"/>
        <v>0</v>
      </c>
      <c r="DR25" s="48">
        <f t="shared" ca="1" si="198"/>
        <v>0</v>
      </c>
      <c r="DS25" s="48">
        <f t="shared" ca="1" si="198"/>
        <v>0</v>
      </c>
      <c r="DT25" s="48">
        <f t="shared" ca="1" si="198"/>
        <v>0</v>
      </c>
      <c r="DU25" s="48">
        <f t="shared" ca="1" si="198"/>
        <v>0</v>
      </c>
      <c r="DV25" s="48">
        <f t="shared" ca="1" si="198"/>
        <v>0</v>
      </c>
      <c r="DW25" s="48">
        <f t="shared" ca="1" si="198"/>
        <v>0</v>
      </c>
      <c r="DX25" s="48">
        <f t="shared" ca="1" si="198"/>
        <v>0</v>
      </c>
      <c r="DY25" s="48">
        <f t="shared" ca="1" si="198"/>
        <v>0</v>
      </c>
      <c r="DZ25" s="48">
        <f t="shared" ca="1" si="198"/>
        <v>0</v>
      </c>
      <c r="EA25" s="48">
        <f t="shared" ca="1" si="198"/>
        <v>0</v>
      </c>
      <c r="EB25" s="48">
        <f t="shared" ca="1" si="199"/>
        <v>0</v>
      </c>
      <c r="EC25" s="48">
        <f t="shared" ca="1" si="199"/>
        <v>0</v>
      </c>
      <c r="ED25" s="48">
        <f t="shared" ca="1" si="199"/>
        <v>0</v>
      </c>
      <c r="EE25" s="48">
        <f t="shared" ca="1" si="199"/>
        <v>0</v>
      </c>
      <c r="EF25" s="48">
        <f t="shared" ca="1" si="199"/>
        <v>0</v>
      </c>
      <c r="EG25" s="48">
        <f t="shared" ca="1" si="199"/>
        <v>0</v>
      </c>
      <c r="EH25" s="48">
        <f t="shared" ca="1" si="199"/>
        <v>0</v>
      </c>
      <c r="EI25" s="48">
        <f t="shared" ca="1" si="199"/>
        <v>0</v>
      </c>
      <c r="EJ25" s="48">
        <f t="shared" ca="1" si="199"/>
        <v>0</v>
      </c>
      <c r="EK25" s="48">
        <f t="shared" ca="1" si="199"/>
        <v>0</v>
      </c>
      <c r="EL25" s="48">
        <f t="shared" ca="1" si="200"/>
        <v>0</v>
      </c>
      <c r="EM25" s="48">
        <f t="shared" ca="1" si="200"/>
        <v>0</v>
      </c>
      <c r="EN25" s="48">
        <f t="shared" ca="1" si="200"/>
        <v>0</v>
      </c>
      <c r="EO25" s="48">
        <f t="shared" ca="1" si="200"/>
        <v>0</v>
      </c>
      <c r="EP25" s="48">
        <f t="shared" ca="1" si="200"/>
        <v>0</v>
      </c>
      <c r="EQ25" s="48">
        <f t="shared" ca="1" si="200"/>
        <v>0</v>
      </c>
      <c r="ER25" s="48">
        <f t="shared" ca="1" si="200"/>
        <v>0</v>
      </c>
      <c r="ES25" s="48">
        <f t="shared" ca="1" si="200"/>
        <v>0</v>
      </c>
      <c r="ET25" s="48">
        <f t="shared" ca="1" si="200"/>
        <v>0</v>
      </c>
      <c r="EU25" s="48">
        <f t="shared" ca="1" si="200"/>
        <v>0</v>
      </c>
      <c r="EV25" s="48">
        <f t="shared" ca="1" si="200"/>
        <v>0</v>
      </c>
      <c r="EW25" s="48">
        <f t="shared" ca="1" si="200"/>
        <v>0</v>
      </c>
      <c r="EX25" s="48">
        <f t="shared" ca="1" si="200"/>
        <v>0</v>
      </c>
      <c r="EY25" s="69"/>
      <c r="EZ25" s="48">
        <f t="shared" ca="1" si="201"/>
        <v>493.85037</v>
      </c>
      <c r="FA25" s="48">
        <f t="shared" ca="1" si="201"/>
        <v>493.85037</v>
      </c>
      <c r="FB25" s="48">
        <f t="shared" ca="1" si="201"/>
        <v>493.85037</v>
      </c>
      <c r="FC25" s="48">
        <f t="shared" ca="1" si="201"/>
        <v>493.85037</v>
      </c>
      <c r="FD25" s="48">
        <f t="shared" ca="1" si="201"/>
        <v>493.85037</v>
      </c>
      <c r="FE25" s="48">
        <f t="shared" ca="1" si="201"/>
        <v>493.85037</v>
      </c>
      <c r="FF25" s="48">
        <f t="shared" ca="1" si="201"/>
        <v>493.85037</v>
      </c>
      <c r="FG25" s="48">
        <f t="shared" ca="1" si="201"/>
        <v>493.85037</v>
      </c>
      <c r="FH25" s="48">
        <f t="shared" ca="1" si="201"/>
        <v>493.85037</v>
      </c>
      <c r="FI25" s="48">
        <f t="shared" ca="1" si="201"/>
        <v>493.85037</v>
      </c>
      <c r="FJ25" s="48">
        <f t="shared" ca="1" si="202"/>
        <v>493.85037</v>
      </c>
      <c r="FK25" s="48">
        <f t="shared" ca="1" si="202"/>
        <v>493.85037</v>
      </c>
      <c r="FL25" s="48">
        <f t="shared" ca="1" si="202"/>
        <v>493.85037</v>
      </c>
      <c r="FM25" s="48">
        <f t="shared" ca="1" si="202"/>
        <v>493.85037</v>
      </c>
      <c r="FN25" s="48">
        <f t="shared" ca="1" si="202"/>
        <v>493.85037</v>
      </c>
      <c r="FO25" s="48">
        <f t="shared" ca="1" si="202"/>
        <v>0</v>
      </c>
      <c r="FP25" s="48">
        <f t="shared" ca="1" si="202"/>
        <v>0</v>
      </c>
      <c r="FQ25" s="48">
        <f t="shared" ca="1" si="202"/>
        <v>0</v>
      </c>
      <c r="FR25" s="48">
        <f t="shared" ca="1" si="202"/>
        <v>0</v>
      </c>
      <c r="FS25" s="48">
        <f t="shared" ca="1" si="202"/>
        <v>0</v>
      </c>
      <c r="FT25" s="48">
        <f t="shared" ca="1" si="203"/>
        <v>0</v>
      </c>
      <c r="FU25" s="48">
        <f t="shared" ca="1" si="203"/>
        <v>0</v>
      </c>
      <c r="FV25" s="48">
        <f t="shared" ca="1" si="203"/>
        <v>0</v>
      </c>
      <c r="FW25" s="48">
        <f t="shared" ca="1" si="203"/>
        <v>0</v>
      </c>
      <c r="FX25" s="48">
        <f t="shared" ca="1" si="203"/>
        <v>0</v>
      </c>
      <c r="FY25" s="48">
        <f t="shared" ca="1" si="203"/>
        <v>0</v>
      </c>
      <c r="FZ25" s="48">
        <f t="shared" ca="1" si="203"/>
        <v>0</v>
      </c>
      <c r="GA25" s="48">
        <f t="shared" ca="1" si="203"/>
        <v>0</v>
      </c>
      <c r="GB25" s="48">
        <f t="shared" ca="1" si="203"/>
        <v>0</v>
      </c>
      <c r="GC25" s="48">
        <f t="shared" ca="1" si="203"/>
        <v>0</v>
      </c>
      <c r="GD25" s="48">
        <f t="shared" ca="1" si="204"/>
        <v>0</v>
      </c>
      <c r="GE25" s="48">
        <f t="shared" ca="1" si="204"/>
        <v>0</v>
      </c>
      <c r="GF25" s="48">
        <f t="shared" ca="1" si="204"/>
        <v>0</v>
      </c>
      <c r="GG25" s="48">
        <f t="shared" ca="1" si="204"/>
        <v>0</v>
      </c>
      <c r="GH25" s="48">
        <f t="shared" ca="1" si="204"/>
        <v>0</v>
      </c>
      <c r="GI25" s="48">
        <f t="shared" ca="1" si="204"/>
        <v>0</v>
      </c>
      <c r="GJ25" s="48">
        <f t="shared" ca="1" si="204"/>
        <v>0</v>
      </c>
      <c r="GK25" s="48">
        <f t="shared" ca="1" si="204"/>
        <v>0</v>
      </c>
      <c r="GL25" s="48">
        <f t="shared" ca="1" si="204"/>
        <v>0</v>
      </c>
      <c r="GM25" s="48">
        <f t="shared" ca="1" si="204"/>
        <v>0</v>
      </c>
      <c r="GN25" s="48">
        <f t="shared" ca="1" si="205"/>
        <v>0</v>
      </c>
      <c r="GO25" s="48">
        <f t="shared" ca="1" si="205"/>
        <v>0</v>
      </c>
      <c r="GP25" s="48">
        <f t="shared" ca="1" si="205"/>
        <v>0</v>
      </c>
      <c r="GQ25" s="48">
        <f t="shared" ca="1" si="205"/>
        <v>0</v>
      </c>
      <c r="GR25" s="48">
        <f t="shared" ca="1" si="205"/>
        <v>0</v>
      </c>
      <c r="GS25" s="48">
        <f t="shared" ca="1" si="205"/>
        <v>0</v>
      </c>
      <c r="GT25" s="48">
        <f t="shared" ca="1" si="205"/>
        <v>0</v>
      </c>
      <c r="GU25" s="48">
        <f t="shared" ca="1" si="205"/>
        <v>0</v>
      </c>
      <c r="GV25" s="48">
        <f t="shared" ca="1" si="205"/>
        <v>0</v>
      </c>
      <c r="GW25" s="48">
        <f t="shared" ca="1" si="205"/>
        <v>0</v>
      </c>
      <c r="GX25" s="48">
        <f t="shared" ca="1" si="205"/>
        <v>0</v>
      </c>
      <c r="GY25" s="48">
        <f t="shared" ca="1" si="205"/>
        <v>0</v>
      </c>
      <c r="GZ25" s="48">
        <f t="shared" ca="1" si="205"/>
        <v>0</v>
      </c>
      <c r="HA25" s="69"/>
      <c r="HB25" s="150">
        <f t="shared" ca="1" si="206"/>
        <v>2.4197530872258546</v>
      </c>
      <c r="HC25" s="150">
        <f t="shared" ca="1" si="75"/>
        <v>3.8418412741259549</v>
      </c>
      <c r="HD25" s="150">
        <f t="shared" ca="1" si="207"/>
        <v>2.9779215628060367</v>
      </c>
      <c r="HE25" s="150">
        <f t="shared" ca="1" si="77"/>
        <v>6.4982758416619859</v>
      </c>
      <c r="HF25" s="150">
        <f t="shared" ca="1" si="78"/>
        <v>0.39670870844678718</v>
      </c>
      <c r="HG25" s="148"/>
      <c r="HH25" s="149"/>
      <c r="HI25" s="149"/>
      <c r="HJ25" s="149"/>
      <c r="HK25" s="150"/>
      <c r="HL25" s="149"/>
      <c r="HM25" s="149"/>
      <c r="HN25" s="149"/>
      <c r="HO25" s="150"/>
      <c r="HP25" s="148"/>
      <c r="HQ25" s="149"/>
      <c r="HR25" s="149"/>
      <c r="HS25" s="149"/>
      <c r="HT25" s="150"/>
      <c r="HU25" s="149"/>
      <c r="HV25" s="149"/>
      <c r="HW25" s="149"/>
      <c r="HX25" s="150"/>
      <c r="HY25" s="151"/>
      <c r="HZ25" s="150"/>
      <c r="IA25" s="150"/>
      <c r="IB25" s="152"/>
      <c r="IC25" s="150"/>
      <c r="ID25" s="152"/>
      <c r="IE25" s="150"/>
      <c r="IF25" s="153"/>
    </row>
    <row r="26" spans="1:240" s="36" customFormat="1" ht="14.4" customHeight="1">
      <c r="A26" s="39"/>
      <c r="B26" s="108" t="str">
        <f t="shared" si="143"/>
        <v>Residential_Cross Marketing and Training_All_All_2017_Actual</v>
      </c>
      <c r="C26" s="108"/>
      <c r="D26" s="109" t="s">
        <v>1</v>
      </c>
      <c r="E26" s="109" t="s">
        <v>162</v>
      </c>
      <c r="F26" s="109" t="s">
        <v>28</v>
      </c>
      <c r="G26" s="109" t="s">
        <v>28</v>
      </c>
      <c r="H26" s="109">
        <v>2017</v>
      </c>
      <c r="I26" s="109" t="s">
        <v>167</v>
      </c>
      <c r="J26" s="37"/>
      <c r="K26" s="99"/>
      <c r="L26" s="38">
        <f t="shared" ca="1" si="144"/>
        <v>0</v>
      </c>
      <c r="M26" s="133"/>
      <c r="N26" s="132"/>
      <c r="O26" s="132"/>
      <c r="P26" s="37"/>
      <c r="Q26" s="129">
        <f t="shared" ca="1" si="145"/>
        <v>0</v>
      </c>
      <c r="R26" s="129">
        <f t="shared" ca="1" si="145"/>
        <v>0</v>
      </c>
      <c r="S26" s="129">
        <f t="shared" ca="1" si="145"/>
        <v>0</v>
      </c>
      <c r="T26" s="37"/>
      <c r="U26" s="129">
        <f t="shared" ca="1" si="146"/>
        <v>0</v>
      </c>
      <c r="V26" s="129">
        <f t="shared" ca="1" si="146"/>
        <v>0</v>
      </c>
      <c r="W26" s="129">
        <f t="shared" ca="1" si="146"/>
        <v>0</v>
      </c>
      <c r="X26" s="37"/>
      <c r="Y26" s="129">
        <f t="shared" ca="1" si="147"/>
        <v>0</v>
      </c>
      <c r="Z26" s="129">
        <f t="shared" ca="1" si="147"/>
        <v>0</v>
      </c>
      <c r="AA26" s="129">
        <f t="shared" ca="1" si="147"/>
        <v>0</v>
      </c>
      <c r="AB26" s="37"/>
      <c r="AC26" s="129">
        <f t="shared" ca="1" si="148"/>
        <v>0</v>
      </c>
      <c r="AD26" s="129">
        <f t="shared" ca="1" si="148"/>
        <v>0</v>
      </c>
      <c r="AE26" s="129">
        <f t="shared" ca="1" si="148"/>
        <v>0</v>
      </c>
      <c r="AF26" s="37"/>
      <c r="AG26" s="97"/>
      <c r="AH26" s="97"/>
      <c r="AI26" s="97">
        <f t="shared" ca="1" si="149"/>
        <v>0</v>
      </c>
      <c r="AJ26" s="100">
        <f t="shared" ca="1" si="149"/>
        <v>0</v>
      </c>
      <c r="AK26" s="100">
        <f t="shared" ca="1" si="149"/>
        <v>0</v>
      </c>
      <c r="AL26" s="100">
        <f t="shared" ca="1" si="149"/>
        <v>0</v>
      </c>
      <c r="AM26" s="100">
        <f t="shared" ca="1" si="149"/>
        <v>0</v>
      </c>
      <c r="AN26" s="100">
        <f t="shared" ca="1" si="149"/>
        <v>0</v>
      </c>
      <c r="AO26" s="163">
        <f>INDEX('Program Inputs'!$Q:$Q,MATCH($B26,'Program Inputs'!$B:$B,0))</f>
        <v>54955.978000000003</v>
      </c>
      <c r="AP26" s="100">
        <f t="shared" ca="1" si="150"/>
        <v>54955.978000000003</v>
      </c>
      <c r="AQ26" s="37"/>
      <c r="AR26" s="100">
        <f t="shared" ca="1" si="151"/>
        <v>0</v>
      </c>
      <c r="AS26" s="100">
        <f t="shared" ca="1" si="151"/>
        <v>0</v>
      </c>
      <c r="AT26" s="100">
        <f t="shared" ca="1" si="151"/>
        <v>0</v>
      </c>
      <c r="AU26" s="100">
        <f>SUMPRODUCT(--($CX$9:$EX$9=$H26)*$AO26,'General Inputs'!$K$40:$BK$40)</f>
        <v>54955.978000000003</v>
      </c>
      <c r="AV26" s="100">
        <f t="shared" ca="1" si="152"/>
        <v>0</v>
      </c>
      <c r="AW26" s="100">
        <f t="shared" ca="1" si="152"/>
        <v>0</v>
      </c>
      <c r="AX26" s="100">
        <f t="shared" ca="1" si="152"/>
        <v>0</v>
      </c>
      <c r="AY26" s="98">
        <f t="shared" ca="1" si="152"/>
        <v>0</v>
      </c>
      <c r="AZ26" s="37"/>
      <c r="BA26" s="100">
        <f t="shared" ca="1" si="153"/>
        <v>-54955.978000000003</v>
      </c>
      <c r="BB26" s="102">
        <f t="shared" ca="1" si="154"/>
        <v>0</v>
      </c>
      <c r="BC26" s="100">
        <f t="shared" ca="1" si="155"/>
        <v>54955.978000000003</v>
      </c>
      <c r="BD26" s="100">
        <f t="shared" ca="1" si="156"/>
        <v>0</v>
      </c>
      <c r="BE26" s="100">
        <f t="shared" ca="1" si="157"/>
        <v>0</v>
      </c>
      <c r="BF26" s="100">
        <f t="shared" ca="1" si="158"/>
        <v>0</v>
      </c>
      <c r="BG26" s="100">
        <f t="shared" si="159"/>
        <v>54955.978000000003</v>
      </c>
      <c r="BH26" s="100">
        <f t="shared" ca="1" si="160"/>
        <v>0</v>
      </c>
      <c r="BI26" s="37"/>
      <c r="BJ26" s="100">
        <f t="shared" ca="1" si="161"/>
        <v>-54955.978000000003</v>
      </c>
      <c r="BK26" s="102">
        <f t="shared" ca="1" si="162"/>
        <v>0</v>
      </c>
      <c r="BL26" s="100">
        <f t="shared" ca="1" si="163"/>
        <v>54955.978000000003</v>
      </c>
      <c r="BM26" s="100">
        <f t="shared" ca="1" si="164"/>
        <v>0</v>
      </c>
      <c r="BN26" s="100">
        <f t="shared" ca="1" si="165"/>
        <v>0</v>
      </c>
      <c r="BO26" s="100">
        <f t="shared" ca="1" si="166"/>
        <v>0</v>
      </c>
      <c r="BP26" s="100">
        <f t="shared" ca="1" si="167"/>
        <v>0</v>
      </c>
      <c r="BQ26" s="100">
        <f t="shared" si="168"/>
        <v>54955.978000000003</v>
      </c>
      <c r="BR26" s="100">
        <f t="shared" ca="1" si="169"/>
        <v>0</v>
      </c>
      <c r="BS26" s="37"/>
      <c r="BT26" s="100">
        <f t="shared" ca="1" si="170"/>
        <v>0</v>
      </c>
      <c r="BU26" s="102" t="e">
        <f t="shared" ca="1" si="171"/>
        <v>#DIV/0!</v>
      </c>
      <c r="BV26" s="102" t="e">
        <f t="shared" ca="1" si="172"/>
        <v>#DIV/0!</v>
      </c>
      <c r="BW26" s="100">
        <f t="shared" ca="1" si="173"/>
        <v>0</v>
      </c>
      <c r="BX26" s="100">
        <f t="shared" ca="1" si="174"/>
        <v>0</v>
      </c>
      <c r="BY26" s="100">
        <f t="shared" ca="1" si="175"/>
        <v>0</v>
      </c>
      <c r="BZ26" s="100">
        <f t="shared" ca="1" si="176"/>
        <v>0</v>
      </c>
      <c r="CA26" s="100">
        <f t="shared" ca="1" si="177"/>
        <v>0</v>
      </c>
      <c r="CB26" s="37"/>
      <c r="CC26" s="100">
        <f t="shared" ca="1" si="178"/>
        <v>-54955.978000000003</v>
      </c>
      <c r="CD26" s="102">
        <f t="shared" ca="1" si="179"/>
        <v>0</v>
      </c>
      <c r="CE26" s="103" t="e">
        <f t="shared" ca="1" si="180"/>
        <v>#DIV/0!</v>
      </c>
      <c r="CF26" s="100">
        <f t="shared" ca="1" si="181"/>
        <v>54955.978000000003</v>
      </c>
      <c r="CG26" s="100">
        <f t="shared" ca="1" si="182"/>
        <v>0</v>
      </c>
      <c r="CH26" s="100">
        <f t="shared" ca="1" si="183"/>
        <v>0</v>
      </c>
      <c r="CI26" s="100">
        <f t="shared" ca="1" si="184"/>
        <v>0</v>
      </c>
      <c r="CJ26" s="100">
        <f t="shared" ca="1" si="185"/>
        <v>0</v>
      </c>
      <c r="CK26" s="100">
        <f t="shared" si="186"/>
        <v>54955.978000000003</v>
      </c>
      <c r="CL26" s="37"/>
      <c r="CM26" s="100">
        <f t="shared" ca="1" si="187"/>
        <v>-54955.978000000003</v>
      </c>
      <c r="CN26" s="102">
        <f t="shared" ca="1" si="188"/>
        <v>0</v>
      </c>
      <c r="CO26" s="128"/>
      <c r="CP26" s="100">
        <f t="shared" ca="1" si="189"/>
        <v>54955.978000000003</v>
      </c>
      <c r="CQ26" s="100">
        <f t="shared" ca="1" si="190"/>
        <v>0</v>
      </c>
      <c r="CR26" s="100">
        <f t="shared" ca="1" si="191"/>
        <v>0</v>
      </c>
      <c r="CS26" s="100">
        <f t="shared" ca="1" si="192"/>
        <v>0</v>
      </c>
      <c r="CT26" s="100">
        <f t="shared" ca="1" si="193"/>
        <v>0</v>
      </c>
      <c r="CU26" s="100">
        <f t="shared" ca="1" si="194"/>
        <v>0</v>
      </c>
      <c r="CV26" s="100">
        <f t="shared" si="195"/>
        <v>54955.978000000003</v>
      </c>
      <c r="CW26" s="37"/>
      <c r="CX26" s="48">
        <f t="shared" ca="1" si="196"/>
        <v>0</v>
      </c>
      <c r="CY26" s="48">
        <f t="shared" ca="1" si="196"/>
        <v>0</v>
      </c>
      <c r="CZ26" s="48">
        <f t="shared" ca="1" si="196"/>
        <v>0</v>
      </c>
      <c r="DA26" s="48">
        <f t="shared" ca="1" si="196"/>
        <v>0</v>
      </c>
      <c r="DB26" s="48">
        <f t="shared" ca="1" si="196"/>
        <v>0</v>
      </c>
      <c r="DC26" s="48">
        <f t="shared" ca="1" si="196"/>
        <v>0</v>
      </c>
      <c r="DD26" s="48">
        <f t="shared" ca="1" si="196"/>
        <v>0</v>
      </c>
      <c r="DE26" s="48">
        <f t="shared" ca="1" si="196"/>
        <v>0</v>
      </c>
      <c r="DF26" s="48">
        <f t="shared" ca="1" si="196"/>
        <v>0</v>
      </c>
      <c r="DG26" s="48">
        <f t="shared" ca="1" si="196"/>
        <v>0</v>
      </c>
      <c r="DH26" s="48">
        <f t="shared" ca="1" si="197"/>
        <v>0</v>
      </c>
      <c r="DI26" s="48">
        <f t="shared" ca="1" si="197"/>
        <v>0</v>
      </c>
      <c r="DJ26" s="48">
        <f t="shared" ca="1" si="197"/>
        <v>0</v>
      </c>
      <c r="DK26" s="48">
        <f t="shared" ca="1" si="197"/>
        <v>0</v>
      </c>
      <c r="DL26" s="48">
        <f t="shared" ca="1" si="197"/>
        <v>0</v>
      </c>
      <c r="DM26" s="48">
        <f t="shared" ca="1" si="197"/>
        <v>0</v>
      </c>
      <c r="DN26" s="48">
        <f t="shared" ca="1" si="197"/>
        <v>0</v>
      </c>
      <c r="DO26" s="48">
        <f t="shared" ca="1" si="197"/>
        <v>0</v>
      </c>
      <c r="DP26" s="48">
        <f t="shared" ca="1" si="197"/>
        <v>0</v>
      </c>
      <c r="DQ26" s="48">
        <f t="shared" ca="1" si="197"/>
        <v>0</v>
      </c>
      <c r="DR26" s="48">
        <f t="shared" ca="1" si="198"/>
        <v>0</v>
      </c>
      <c r="DS26" s="48">
        <f t="shared" ca="1" si="198"/>
        <v>0</v>
      </c>
      <c r="DT26" s="48">
        <f t="shared" ca="1" si="198"/>
        <v>0</v>
      </c>
      <c r="DU26" s="48">
        <f t="shared" ca="1" si="198"/>
        <v>0</v>
      </c>
      <c r="DV26" s="48">
        <f t="shared" ca="1" si="198"/>
        <v>0</v>
      </c>
      <c r="DW26" s="48">
        <f t="shared" ca="1" si="198"/>
        <v>0</v>
      </c>
      <c r="DX26" s="48">
        <f t="shared" ca="1" si="198"/>
        <v>0</v>
      </c>
      <c r="DY26" s="48">
        <f t="shared" ca="1" si="198"/>
        <v>0</v>
      </c>
      <c r="DZ26" s="48">
        <f t="shared" ca="1" si="198"/>
        <v>0</v>
      </c>
      <c r="EA26" s="48">
        <f t="shared" ca="1" si="198"/>
        <v>0</v>
      </c>
      <c r="EB26" s="48">
        <f t="shared" ca="1" si="199"/>
        <v>0</v>
      </c>
      <c r="EC26" s="48">
        <f t="shared" ca="1" si="199"/>
        <v>0</v>
      </c>
      <c r="ED26" s="48">
        <f t="shared" ca="1" si="199"/>
        <v>0</v>
      </c>
      <c r="EE26" s="48">
        <f t="shared" ca="1" si="199"/>
        <v>0</v>
      </c>
      <c r="EF26" s="48">
        <f t="shared" ca="1" si="199"/>
        <v>0</v>
      </c>
      <c r="EG26" s="48">
        <f t="shared" ca="1" si="199"/>
        <v>0</v>
      </c>
      <c r="EH26" s="48">
        <f t="shared" ca="1" si="199"/>
        <v>0</v>
      </c>
      <c r="EI26" s="48">
        <f t="shared" ca="1" si="199"/>
        <v>0</v>
      </c>
      <c r="EJ26" s="48">
        <f t="shared" ca="1" si="199"/>
        <v>0</v>
      </c>
      <c r="EK26" s="48">
        <f t="shared" ca="1" si="199"/>
        <v>0</v>
      </c>
      <c r="EL26" s="48">
        <f t="shared" ca="1" si="200"/>
        <v>0</v>
      </c>
      <c r="EM26" s="48">
        <f t="shared" ca="1" si="200"/>
        <v>0</v>
      </c>
      <c r="EN26" s="48">
        <f t="shared" ca="1" si="200"/>
        <v>0</v>
      </c>
      <c r="EO26" s="48">
        <f t="shared" ca="1" si="200"/>
        <v>0</v>
      </c>
      <c r="EP26" s="48">
        <f t="shared" ca="1" si="200"/>
        <v>0</v>
      </c>
      <c r="EQ26" s="48">
        <f t="shared" ca="1" si="200"/>
        <v>0</v>
      </c>
      <c r="ER26" s="48">
        <f t="shared" ca="1" si="200"/>
        <v>0</v>
      </c>
      <c r="ES26" s="48">
        <f t="shared" ca="1" si="200"/>
        <v>0</v>
      </c>
      <c r="ET26" s="48">
        <f t="shared" ca="1" si="200"/>
        <v>0</v>
      </c>
      <c r="EU26" s="48">
        <f t="shared" ca="1" si="200"/>
        <v>0</v>
      </c>
      <c r="EV26" s="48">
        <f t="shared" ca="1" si="200"/>
        <v>0</v>
      </c>
      <c r="EW26" s="48">
        <f t="shared" ca="1" si="200"/>
        <v>0</v>
      </c>
      <c r="EX26" s="48">
        <f t="shared" ca="1" si="200"/>
        <v>0</v>
      </c>
      <c r="EY26" s="69"/>
      <c r="EZ26" s="48">
        <f t="shared" ca="1" si="201"/>
        <v>0</v>
      </c>
      <c r="FA26" s="48">
        <f t="shared" ca="1" si="201"/>
        <v>0</v>
      </c>
      <c r="FB26" s="48">
        <f t="shared" ca="1" si="201"/>
        <v>0</v>
      </c>
      <c r="FC26" s="48">
        <f t="shared" ca="1" si="201"/>
        <v>0</v>
      </c>
      <c r="FD26" s="48">
        <f t="shared" ca="1" si="201"/>
        <v>0</v>
      </c>
      <c r="FE26" s="48">
        <f t="shared" ca="1" si="201"/>
        <v>0</v>
      </c>
      <c r="FF26" s="48">
        <f t="shared" ca="1" si="201"/>
        <v>0</v>
      </c>
      <c r="FG26" s="48">
        <f t="shared" ca="1" si="201"/>
        <v>0</v>
      </c>
      <c r="FH26" s="48">
        <f t="shared" ca="1" si="201"/>
        <v>0</v>
      </c>
      <c r="FI26" s="48">
        <f t="shared" ca="1" si="201"/>
        <v>0</v>
      </c>
      <c r="FJ26" s="48">
        <f t="shared" ca="1" si="202"/>
        <v>0</v>
      </c>
      <c r="FK26" s="48">
        <f t="shared" ca="1" si="202"/>
        <v>0</v>
      </c>
      <c r="FL26" s="48">
        <f t="shared" ca="1" si="202"/>
        <v>0</v>
      </c>
      <c r="FM26" s="48">
        <f t="shared" ca="1" si="202"/>
        <v>0</v>
      </c>
      <c r="FN26" s="48">
        <f t="shared" ca="1" si="202"/>
        <v>0</v>
      </c>
      <c r="FO26" s="48">
        <f t="shared" ca="1" si="202"/>
        <v>0</v>
      </c>
      <c r="FP26" s="48">
        <f t="shared" ca="1" si="202"/>
        <v>0</v>
      </c>
      <c r="FQ26" s="48">
        <f t="shared" ca="1" si="202"/>
        <v>0</v>
      </c>
      <c r="FR26" s="48">
        <f t="shared" ca="1" si="202"/>
        <v>0</v>
      </c>
      <c r="FS26" s="48">
        <f t="shared" ca="1" si="202"/>
        <v>0</v>
      </c>
      <c r="FT26" s="48">
        <f t="shared" ca="1" si="203"/>
        <v>0</v>
      </c>
      <c r="FU26" s="48">
        <f t="shared" ca="1" si="203"/>
        <v>0</v>
      </c>
      <c r="FV26" s="48">
        <f t="shared" ca="1" si="203"/>
        <v>0</v>
      </c>
      <c r="FW26" s="48">
        <f t="shared" ca="1" si="203"/>
        <v>0</v>
      </c>
      <c r="FX26" s="48">
        <f t="shared" ca="1" si="203"/>
        <v>0</v>
      </c>
      <c r="FY26" s="48">
        <f t="shared" ca="1" si="203"/>
        <v>0</v>
      </c>
      <c r="FZ26" s="48">
        <f t="shared" ca="1" si="203"/>
        <v>0</v>
      </c>
      <c r="GA26" s="48">
        <f t="shared" ca="1" si="203"/>
        <v>0</v>
      </c>
      <c r="GB26" s="48">
        <f t="shared" ca="1" si="203"/>
        <v>0</v>
      </c>
      <c r="GC26" s="48">
        <f t="shared" ca="1" si="203"/>
        <v>0</v>
      </c>
      <c r="GD26" s="48">
        <f t="shared" ca="1" si="204"/>
        <v>0</v>
      </c>
      <c r="GE26" s="48">
        <f t="shared" ca="1" si="204"/>
        <v>0</v>
      </c>
      <c r="GF26" s="48">
        <f t="shared" ca="1" si="204"/>
        <v>0</v>
      </c>
      <c r="GG26" s="48">
        <f t="shared" ca="1" si="204"/>
        <v>0</v>
      </c>
      <c r="GH26" s="48">
        <f t="shared" ca="1" si="204"/>
        <v>0</v>
      </c>
      <c r="GI26" s="48">
        <f t="shared" ca="1" si="204"/>
        <v>0</v>
      </c>
      <c r="GJ26" s="48">
        <f t="shared" ca="1" si="204"/>
        <v>0</v>
      </c>
      <c r="GK26" s="48">
        <f t="shared" ca="1" si="204"/>
        <v>0</v>
      </c>
      <c r="GL26" s="48">
        <f t="shared" ca="1" si="204"/>
        <v>0</v>
      </c>
      <c r="GM26" s="48">
        <f t="shared" ca="1" si="204"/>
        <v>0</v>
      </c>
      <c r="GN26" s="48">
        <f t="shared" ca="1" si="205"/>
        <v>0</v>
      </c>
      <c r="GO26" s="48">
        <f t="shared" ca="1" si="205"/>
        <v>0</v>
      </c>
      <c r="GP26" s="48">
        <f t="shared" ca="1" si="205"/>
        <v>0</v>
      </c>
      <c r="GQ26" s="48">
        <f t="shared" ca="1" si="205"/>
        <v>0</v>
      </c>
      <c r="GR26" s="48">
        <f t="shared" ca="1" si="205"/>
        <v>0</v>
      </c>
      <c r="GS26" s="48">
        <f t="shared" ca="1" si="205"/>
        <v>0</v>
      </c>
      <c r="GT26" s="48">
        <f t="shared" ca="1" si="205"/>
        <v>0</v>
      </c>
      <c r="GU26" s="48">
        <f t="shared" ca="1" si="205"/>
        <v>0</v>
      </c>
      <c r="GV26" s="48">
        <f t="shared" ca="1" si="205"/>
        <v>0</v>
      </c>
      <c r="GW26" s="48">
        <f t="shared" ca="1" si="205"/>
        <v>0</v>
      </c>
      <c r="GX26" s="48">
        <f t="shared" ca="1" si="205"/>
        <v>0</v>
      </c>
      <c r="GY26" s="48">
        <f t="shared" ca="1" si="205"/>
        <v>0</v>
      </c>
      <c r="GZ26" s="48">
        <f t="shared" ca="1" si="205"/>
        <v>0</v>
      </c>
      <c r="HA26" s="69"/>
      <c r="HB26" s="150">
        <f t="shared" ca="1" si="206"/>
        <v>0</v>
      </c>
      <c r="HC26" s="150">
        <f t="shared" ca="1" si="75"/>
        <v>0</v>
      </c>
      <c r="HD26" s="150">
        <f t="shared" ca="1" si="207"/>
        <v>0</v>
      </c>
      <c r="HE26" s="150" t="str">
        <f t="shared" ca="1" si="77"/>
        <v>n/a</v>
      </c>
      <c r="HF26" s="150">
        <f t="shared" ca="1" si="78"/>
        <v>0</v>
      </c>
      <c r="HG26" s="148"/>
      <c r="HH26" s="149"/>
      <c r="HI26" s="149"/>
      <c r="HJ26" s="149"/>
      <c r="HK26" s="150"/>
      <c r="HL26" s="149"/>
      <c r="HM26" s="149"/>
      <c r="HN26" s="149"/>
      <c r="HO26" s="150"/>
      <c r="HP26" s="148"/>
      <c r="HQ26" s="149"/>
      <c r="HR26" s="149"/>
      <c r="HS26" s="149"/>
      <c r="HT26" s="150"/>
      <c r="HU26" s="149"/>
      <c r="HV26" s="149"/>
      <c r="HW26" s="149"/>
      <c r="HX26" s="150"/>
      <c r="HY26" s="151"/>
      <c r="HZ26" s="150"/>
      <c r="IA26" s="150"/>
      <c r="IB26" s="152"/>
      <c r="IC26" s="150"/>
      <c r="ID26" s="152"/>
      <c r="IE26" s="150"/>
      <c r="IF26" s="153"/>
    </row>
    <row r="27" spans="1:240" s="36" customFormat="1" ht="14.4" customHeight="1">
      <c r="A27" s="39"/>
      <c r="B27" s="108" t="str">
        <f t="shared" si="143"/>
        <v>Residential_General Administration_All_All_2017_Actual</v>
      </c>
      <c r="C27" s="108"/>
      <c r="D27" s="109" t="s">
        <v>1</v>
      </c>
      <c r="E27" s="109" t="s">
        <v>163</v>
      </c>
      <c r="F27" s="109" t="s">
        <v>28</v>
      </c>
      <c r="G27" s="109" t="s">
        <v>28</v>
      </c>
      <c r="H27" s="109">
        <v>2017</v>
      </c>
      <c r="I27" s="109" t="s">
        <v>167</v>
      </c>
      <c r="J27" s="37"/>
      <c r="K27" s="99"/>
      <c r="L27" s="38">
        <f t="shared" ca="1" si="144"/>
        <v>0</v>
      </c>
      <c r="M27" s="133"/>
      <c r="N27" s="132"/>
      <c r="O27" s="132"/>
      <c r="P27" s="37"/>
      <c r="Q27" s="129">
        <f t="shared" ca="1" si="145"/>
        <v>0</v>
      </c>
      <c r="R27" s="129">
        <f t="shared" ca="1" si="145"/>
        <v>0</v>
      </c>
      <c r="S27" s="129">
        <f t="shared" ca="1" si="145"/>
        <v>0</v>
      </c>
      <c r="T27" s="37"/>
      <c r="U27" s="129">
        <f t="shared" ca="1" si="146"/>
        <v>0</v>
      </c>
      <c r="V27" s="129">
        <f t="shared" ca="1" si="146"/>
        <v>0</v>
      </c>
      <c r="W27" s="129">
        <f t="shared" ca="1" si="146"/>
        <v>0</v>
      </c>
      <c r="X27" s="37"/>
      <c r="Y27" s="129">
        <f t="shared" ca="1" si="147"/>
        <v>0</v>
      </c>
      <c r="Z27" s="129">
        <f t="shared" ca="1" si="147"/>
        <v>0</v>
      </c>
      <c r="AA27" s="129">
        <f t="shared" ca="1" si="147"/>
        <v>0</v>
      </c>
      <c r="AB27" s="37"/>
      <c r="AC27" s="129">
        <f t="shared" ca="1" si="148"/>
        <v>0</v>
      </c>
      <c r="AD27" s="129">
        <f t="shared" ca="1" si="148"/>
        <v>0</v>
      </c>
      <c r="AE27" s="129">
        <f t="shared" ca="1" si="148"/>
        <v>0</v>
      </c>
      <c r="AF27" s="37"/>
      <c r="AG27" s="97"/>
      <c r="AH27" s="97"/>
      <c r="AI27" s="97">
        <f t="shared" ca="1" si="149"/>
        <v>0</v>
      </c>
      <c r="AJ27" s="100">
        <f t="shared" ca="1" si="149"/>
        <v>0</v>
      </c>
      <c r="AK27" s="100">
        <f t="shared" ca="1" si="149"/>
        <v>0</v>
      </c>
      <c r="AL27" s="100">
        <f t="shared" ca="1" si="149"/>
        <v>0</v>
      </c>
      <c r="AM27" s="100">
        <f t="shared" ca="1" si="149"/>
        <v>0</v>
      </c>
      <c r="AN27" s="100">
        <f t="shared" ca="1" si="149"/>
        <v>0</v>
      </c>
      <c r="AO27" s="163">
        <f>INDEX('Program Inputs'!$Q:$Q,MATCH($B27,'Program Inputs'!$B:$B,0))</f>
        <v>41089.020000000004</v>
      </c>
      <c r="AP27" s="100">
        <f t="shared" ca="1" si="150"/>
        <v>41089.020000000004</v>
      </c>
      <c r="AQ27" s="37"/>
      <c r="AR27" s="100">
        <f t="shared" ca="1" si="151"/>
        <v>0</v>
      </c>
      <c r="AS27" s="100">
        <f t="shared" ca="1" si="151"/>
        <v>0</v>
      </c>
      <c r="AT27" s="100">
        <f t="shared" ca="1" si="151"/>
        <v>0</v>
      </c>
      <c r="AU27" s="100">
        <f>SUMPRODUCT(--($CX$9:$EX$9=$H27)*$AO27,'General Inputs'!$K$40:$BK$40)</f>
        <v>41089.020000000004</v>
      </c>
      <c r="AV27" s="100">
        <f t="shared" ca="1" si="152"/>
        <v>0</v>
      </c>
      <c r="AW27" s="100">
        <f t="shared" ca="1" si="152"/>
        <v>0</v>
      </c>
      <c r="AX27" s="100">
        <f t="shared" ca="1" si="152"/>
        <v>0</v>
      </c>
      <c r="AY27" s="98">
        <f t="shared" ca="1" si="152"/>
        <v>0</v>
      </c>
      <c r="AZ27" s="37"/>
      <c r="BA27" s="100">
        <f t="shared" ca="1" si="153"/>
        <v>-41089.020000000004</v>
      </c>
      <c r="BB27" s="102">
        <f t="shared" ca="1" si="154"/>
        <v>0</v>
      </c>
      <c r="BC27" s="100">
        <f t="shared" ca="1" si="155"/>
        <v>41089.020000000004</v>
      </c>
      <c r="BD27" s="100">
        <f t="shared" ca="1" si="156"/>
        <v>0</v>
      </c>
      <c r="BE27" s="100">
        <f t="shared" ca="1" si="157"/>
        <v>0</v>
      </c>
      <c r="BF27" s="100">
        <f t="shared" ca="1" si="158"/>
        <v>0</v>
      </c>
      <c r="BG27" s="100">
        <f t="shared" si="159"/>
        <v>41089.020000000004</v>
      </c>
      <c r="BH27" s="100">
        <f t="shared" ca="1" si="160"/>
        <v>0</v>
      </c>
      <c r="BI27" s="37"/>
      <c r="BJ27" s="100">
        <f t="shared" ca="1" si="161"/>
        <v>-41089.020000000004</v>
      </c>
      <c r="BK27" s="102">
        <f t="shared" ca="1" si="162"/>
        <v>0</v>
      </c>
      <c r="BL27" s="100">
        <f t="shared" ca="1" si="163"/>
        <v>41089.020000000004</v>
      </c>
      <c r="BM27" s="100">
        <f t="shared" ca="1" si="164"/>
        <v>0</v>
      </c>
      <c r="BN27" s="100">
        <f t="shared" ca="1" si="165"/>
        <v>0</v>
      </c>
      <c r="BO27" s="100">
        <f t="shared" ca="1" si="166"/>
        <v>0</v>
      </c>
      <c r="BP27" s="100">
        <f t="shared" ca="1" si="167"/>
        <v>0</v>
      </c>
      <c r="BQ27" s="100">
        <f t="shared" si="168"/>
        <v>41089.020000000004</v>
      </c>
      <c r="BR27" s="100">
        <f t="shared" ca="1" si="169"/>
        <v>0</v>
      </c>
      <c r="BS27" s="37"/>
      <c r="BT27" s="100">
        <f t="shared" ca="1" si="170"/>
        <v>0</v>
      </c>
      <c r="BU27" s="102" t="e">
        <f t="shared" ca="1" si="171"/>
        <v>#DIV/0!</v>
      </c>
      <c r="BV27" s="102" t="e">
        <f t="shared" ca="1" si="172"/>
        <v>#DIV/0!</v>
      </c>
      <c r="BW27" s="100">
        <f t="shared" ca="1" si="173"/>
        <v>0</v>
      </c>
      <c r="BX27" s="100">
        <f t="shared" ca="1" si="174"/>
        <v>0</v>
      </c>
      <c r="BY27" s="100">
        <f t="shared" ca="1" si="175"/>
        <v>0</v>
      </c>
      <c r="BZ27" s="100">
        <f t="shared" ca="1" si="176"/>
        <v>0</v>
      </c>
      <c r="CA27" s="100">
        <f t="shared" ca="1" si="177"/>
        <v>0</v>
      </c>
      <c r="CB27" s="37"/>
      <c r="CC27" s="100">
        <f t="shared" ca="1" si="178"/>
        <v>-41089.020000000004</v>
      </c>
      <c r="CD27" s="102">
        <f t="shared" ca="1" si="179"/>
        <v>0</v>
      </c>
      <c r="CE27" s="103" t="e">
        <f t="shared" ca="1" si="180"/>
        <v>#DIV/0!</v>
      </c>
      <c r="CF27" s="100">
        <f t="shared" ca="1" si="181"/>
        <v>41089.020000000004</v>
      </c>
      <c r="CG27" s="100">
        <f t="shared" ca="1" si="182"/>
        <v>0</v>
      </c>
      <c r="CH27" s="100">
        <f t="shared" ca="1" si="183"/>
        <v>0</v>
      </c>
      <c r="CI27" s="100">
        <f t="shared" ca="1" si="184"/>
        <v>0</v>
      </c>
      <c r="CJ27" s="100">
        <f t="shared" ca="1" si="185"/>
        <v>0</v>
      </c>
      <c r="CK27" s="100">
        <f t="shared" si="186"/>
        <v>41089.020000000004</v>
      </c>
      <c r="CL27" s="37"/>
      <c r="CM27" s="100">
        <f t="shared" ca="1" si="187"/>
        <v>-41089.020000000004</v>
      </c>
      <c r="CN27" s="102">
        <f t="shared" ca="1" si="188"/>
        <v>0</v>
      </c>
      <c r="CO27" s="128"/>
      <c r="CP27" s="100">
        <f t="shared" ca="1" si="189"/>
        <v>41089.020000000004</v>
      </c>
      <c r="CQ27" s="100">
        <f t="shared" ca="1" si="190"/>
        <v>0</v>
      </c>
      <c r="CR27" s="100">
        <f t="shared" ca="1" si="191"/>
        <v>0</v>
      </c>
      <c r="CS27" s="100">
        <f t="shared" ca="1" si="192"/>
        <v>0</v>
      </c>
      <c r="CT27" s="100">
        <f t="shared" ca="1" si="193"/>
        <v>0</v>
      </c>
      <c r="CU27" s="100">
        <f t="shared" ca="1" si="194"/>
        <v>0</v>
      </c>
      <c r="CV27" s="100">
        <f t="shared" si="195"/>
        <v>41089.020000000004</v>
      </c>
      <c r="CW27" s="37"/>
      <c r="CX27" s="48">
        <f t="shared" ca="1" si="196"/>
        <v>0</v>
      </c>
      <c r="CY27" s="48">
        <f t="shared" ca="1" si="196"/>
        <v>0</v>
      </c>
      <c r="CZ27" s="48">
        <f t="shared" ca="1" si="196"/>
        <v>0</v>
      </c>
      <c r="DA27" s="48">
        <f t="shared" ca="1" si="196"/>
        <v>0</v>
      </c>
      <c r="DB27" s="48">
        <f t="shared" ca="1" si="196"/>
        <v>0</v>
      </c>
      <c r="DC27" s="48">
        <f t="shared" ca="1" si="196"/>
        <v>0</v>
      </c>
      <c r="DD27" s="48">
        <f t="shared" ca="1" si="196"/>
        <v>0</v>
      </c>
      <c r="DE27" s="48">
        <f t="shared" ca="1" si="196"/>
        <v>0</v>
      </c>
      <c r="DF27" s="48">
        <f t="shared" ca="1" si="196"/>
        <v>0</v>
      </c>
      <c r="DG27" s="48">
        <f t="shared" ca="1" si="196"/>
        <v>0</v>
      </c>
      <c r="DH27" s="48">
        <f t="shared" ca="1" si="197"/>
        <v>0</v>
      </c>
      <c r="DI27" s="48">
        <f t="shared" ca="1" si="197"/>
        <v>0</v>
      </c>
      <c r="DJ27" s="48">
        <f t="shared" ca="1" si="197"/>
        <v>0</v>
      </c>
      <c r="DK27" s="48">
        <f t="shared" ca="1" si="197"/>
        <v>0</v>
      </c>
      <c r="DL27" s="48">
        <f t="shared" ca="1" si="197"/>
        <v>0</v>
      </c>
      <c r="DM27" s="48">
        <f t="shared" ca="1" si="197"/>
        <v>0</v>
      </c>
      <c r="DN27" s="48">
        <f t="shared" ca="1" si="197"/>
        <v>0</v>
      </c>
      <c r="DO27" s="48">
        <f t="shared" ca="1" si="197"/>
        <v>0</v>
      </c>
      <c r="DP27" s="48">
        <f t="shared" ca="1" si="197"/>
        <v>0</v>
      </c>
      <c r="DQ27" s="48">
        <f t="shared" ca="1" si="197"/>
        <v>0</v>
      </c>
      <c r="DR27" s="48">
        <f t="shared" ca="1" si="198"/>
        <v>0</v>
      </c>
      <c r="DS27" s="48">
        <f t="shared" ca="1" si="198"/>
        <v>0</v>
      </c>
      <c r="DT27" s="48">
        <f t="shared" ca="1" si="198"/>
        <v>0</v>
      </c>
      <c r="DU27" s="48">
        <f t="shared" ca="1" si="198"/>
        <v>0</v>
      </c>
      <c r="DV27" s="48">
        <f t="shared" ca="1" si="198"/>
        <v>0</v>
      </c>
      <c r="DW27" s="48">
        <f t="shared" ca="1" si="198"/>
        <v>0</v>
      </c>
      <c r="DX27" s="48">
        <f t="shared" ca="1" si="198"/>
        <v>0</v>
      </c>
      <c r="DY27" s="48">
        <f t="shared" ca="1" si="198"/>
        <v>0</v>
      </c>
      <c r="DZ27" s="48">
        <f t="shared" ca="1" si="198"/>
        <v>0</v>
      </c>
      <c r="EA27" s="48">
        <f t="shared" ca="1" si="198"/>
        <v>0</v>
      </c>
      <c r="EB27" s="48">
        <f t="shared" ca="1" si="199"/>
        <v>0</v>
      </c>
      <c r="EC27" s="48">
        <f t="shared" ca="1" si="199"/>
        <v>0</v>
      </c>
      <c r="ED27" s="48">
        <f t="shared" ca="1" si="199"/>
        <v>0</v>
      </c>
      <c r="EE27" s="48">
        <f t="shared" ca="1" si="199"/>
        <v>0</v>
      </c>
      <c r="EF27" s="48">
        <f t="shared" ca="1" si="199"/>
        <v>0</v>
      </c>
      <c r="EG27" s="48">
        <f t="shared" ca="1" si="199"/>
        <v>0</v>
      </c>
      <c r="EH27" s="48">
        <f t="shared" ca="1" si="199"/>
        <v>0</v>
      </c>
      <c r="EI27" s="48">
        <f t="shared" ca="1" si="199"/>
        <v>0</v>
      </c>
      <c r="EJ27" s="48">
        <f t="shared" ca="1" si="199"/>
        <v>0</v>
      </c>
      <c r="EK27" s="48">
        <f t="shared" ca="1" si="199"/>
        <v>0</v>
      </c>
      <c r="EL27" s="48">
        <f t="shared" ca="1" si="200"/>
        <v>0</v>
      </c>
      <c r="EM27" s="48">
        <f t="shared" ca="1" si="200"/>
        <v>0</v>
      </c>
      <c r="EN27" s="48">
        <f t="shared" ca="1" si="200"/>
        <v>0</v>
      </c>
      <c r="EO27" s="48">
        <f t="shared" ca="1" si="200"/>
        <v>0</v>
      </c>
      <c r="EP27" s="48">
        <f t="shared" ca="1" si="200"/>
        <v>0</v>
      </c>
      <c r="EQ27" s="48">
        <f t="shared" ca="1" si="200"/>
        <v>0</v>
      </c>
      <c r="ER27" s="48">
        <f t="shared" ca="1" si="200"/>
        <v>0</v>
      </c>
      <c r="ES27" s="48">
        <f t="shared" ca="1" si="200"/>
        <v>0</v>
      </c>
      <c r="ET27" s="48">
        <f t="shared" ca="1" si="200"/>
        <v>0</v>
      </c>
      <c r="EU27" s="48">
        <f t="shared" ca="1" si="200"/>
        <v>0</v>
      </c>
      <c r="EV27" s="48">
        <f t="shared" ca="1" si="200"/>
        <v>0</v>
      </c>
      <c r="EW27" s="48">
        <f t="shared" ca="1" si="200"/>
        <v>0</v>
      </c>
      <c r="EX27" s="48">
        <f t="shared" ca="1" si="200"/>
        <v>0</v>
      </c>
      <c r="EY27" s="69"/>
      <c r="EZ27" s="48">
        <f t="shared" ca="1" si="201"/>
        <v>0</v>
      </c>
      <c r="FA27" s="48">
        <f t="shared" ca="1" si="201"/>
        <v>0</v>
      </c>
      <c r="FB27" s="48">
        <f t="shared" ca="1" si="201"/>
        <v>0</v>
      </c>
      <c r="FC27" s="48">
        <f t="shared" ca="1" si="201"/>
        <v>0</v>
      </c>
      <c r="FD27" s="48">
        <f t="shared" ca="1" si="201"/>
        <v>0</v>
      </c>
      <c r="FE27" s="48">
        <f t="shared" ca="1" si="201"/>
        <v>0</v>
      </c>
      <c r="FF27" s="48">
        <f t="shared" ca="1" si="201"/>
        <v>0</v>
      </c>
      <c r="FG27" s="48">
        <f t="shared" ca="1" si="201"/>
        <v>0</v>
      </c>
      <c r="FH27" s="48">
        <f t="shared" ca="1" si="201"/>
        <v>0</v>
      </c>
      <c r="FI27" s="48">
        <f t="shared" ca="1" si="201"/>
        <v>0</v>
      </c>
      <c r="FJ27" s="48">
        <f t="shared" ca="1" si="202"/>
        <v>0</v>
      </c>
      <c r="FK27" s="48">
        <f t="shared" ca="1" si="202"/>
        <v>0</v>
      </c>
      <c r="FL27" s="48">
        <f t="shared" ca="1" si="202"/>
        <v>0</v>
      </c>
      <c r="FM27" s="48">
        <f t="shared" ca="1" si="202"/>
        <v>0</v>
      </c>
      <c r="FN27" s="48">
        <f t="shared" ca="1" si="202"/>
        <v>0</v>
      </c>
      <c r="FO27" s="48">
        <f t="shared" ca="1" si="202"/>
        <v>0</v>
      </c>
      <c r="FP27" s="48">
        <f t="shared" ca="1" si="202"/>
        <v>0</v>
      </c>
      <c r="FQ27" s="48">
        <f t="shared" ca="1" si="202"/>
        <v>0</v>
      </c>
      <c r="FR27" s="48">
        <f t="shared" ca="1" si="202"/>
        <v>0</v>
      </c>
      <c r="FS27" s="48">
        <f t="shared" ca="1" si="202"/>
        <v>0</v>
      </c>
      <c r="FT27" s="48">
        <f t="shared" ca="1" si="203"/>
        <v>0</v>
      </c>
      <c r="FU27" s="48">
        <f t="shared" ca="1" si="203"/>
        <v>0</v>
      </c>
      <c r="FV27" s="48">
        <f t="shared" ca="1" si="203"/>
        <v>0</v>
      </c>
      <c r="FW27" s="48">
        <f t="shared" ca="1" si="203"/>
        <v>0</v>
      </c>
      <c r="FX27" s="48">
        <f t="shared" ca="1" si="203"/>
        <v>0</v>
      </c>
      <c r="FY27" s="48">
        <f t="shared" ca="1" si="203"/>
        <v>0</v>
      </c>
      <c r="FZ27" s="48">
        <f t="shared" ca="1" si="203"/>
        <v>0</v>
      </c>
      <c r="GA27" s="48">
        <f t="shared" ca="1" si="203"/>
        <v>0</v>
      </c>
      <c r="GB27" s="48">
        <f t="shared" ca="1" si="203"/>
        <v>0</v>
      </c>
      <c r="GC27" s="48">
        <f t="shared" ca="1" si="203"/>
        <v>0</v>
      </c>
      <c r="GD27" s="48">
        <f t="shared" ca="1" si="204"/>
        <v>0</v>
      </c>
      <c r="GE27" s="48">
        <f t="shared" ca="1" si="204"/>
        <v>0</v>
      </c>
      <c r="GF27" s="48">
        <f t="shared" ca="1" si="204"/>
        <v>0</v>
      </c>
      <c r="GG27" s="48">
        <f t="shared" ca="1" si="204"/>
        <v>0</v>
      </c>
      <c r="GH27" s="48">
        <f t="shared" ca="1" si="204"/>
        <v>0</v>
      </c>
      <c r="GI27" s="48">
        <f t="shared" ca="1" si="204"/>
        <v>0</v>
      </c>
      <c r="GJ27" s="48">
        <f t="shared" ca="1" si="204"/>
        <v>0</v>
      </c>
      <c r="GK27" s="48">
        <f t="shared" ca="1" si="204"/>
        <v>0</v>
      </c>
      <c r="GL27" s="48">
        <f t="shared" ca="1" si="204"/>
        <v>0</v>
      </c>
      <c r="GM27" s="48">
        <f t="shared" ca="1" si="204"/>
        <v>0</v>
      </c>
      <c r="GN27" s="48">
        <f t="shared" ca="1" si="205"/>
        <v>0</v>
      </c>
      <c r="GO27" s="48">
        <f t="shared" ca="1" si="205"/>
        <v>0</v>
      </c>
      <c r="GP27" s="48">
        <f t="shared" ca="1" si="205"/>
        <v>0</v>
      </c>
      <c r="GQ27" s="48">
        <f t="shared" ca="1" si="205"/>
        <v>0</v>
      </c>
      <c r="GR27" s="48">
        <f t="shared" ca="1" si="205"/>
        <v>0</v>
      </c>
      <c r="GS27" s="48">
        <f t="shared" ca="1" si="205"/>
        <v>0</v>
      </c>
      <c r="GT27" s="48">
        <f t="shared" ca="1" si="205"/>
        <v>0</v>
      </c>
      <c r="GU27" s="48">
        <f t="shared" ca="1" si="205"/>
        <v>0</v>
      </c>
      <c r="GV27" s="48">
        <f t="shared" ca="1" si="205"/>
        <v>0</v>
      </c>
      <c r="GW27" s="48">
        <f t="shared" ca="1" si="205"/>
        <v>0</v>
      </c>
      <c r="GX27" s="48">
        <f t="shared" ca="1" si="205"/>
        <v>0</v>
      </c>
      <c r="GY27" s="48">
        <f t="shared" ca="1" si="205"/>
        <v>0</v>
      </c>
      <c r="GZ27" s="48">
        <f t="shared" ca="1" si="205"/>
        <v>0</v>
      </c>
      <c r="HA27" s="69"/>
      <c r="HB27" s="150">
        <f t="shared" ca="1" si="206"/>
        <v>0</v>
      </c>
      <c r="HC27" s="150">
        <f t="shared" ca="1" si="75"/>
        <v>0</v>
      </c>
      <c r="HD27" s="150">
        <f t="shared" ca="1" si="207"/>
        <v>0</v>
      </c>
      <c r="HE27" s="150" t="str">
        <f t="shared" ca="1" si="77"/>
        <v>n/a</v>
      </c>
      <c r="HF27" s="150">
        <f t="shared" ca="1" si="78"/>
        <v>0</v>
      </c>
      <c r="HG27" s="148"/>
      <c r="HH27" s="149"/>
      <c r="HI27" s="149"/>
      <c r="HJ27" s="149"/>
      <c r="HK27" s="150"/>
      <c r="HL27" s="149"/>
      <c r="HM27" s="149"/>
      <c r="HN27" s="149"/>
      <c r="HO27" s="150"/>
      <c r="HP27" s="148"/>
      <c r="HQ27" s="149"/>
      <c r="HR27" s="149"/>
      <c r="HS27" s="149"/>
      <c r="HT27" s="150"/>
      <c r="HU27" s="149"/>
      <c r="HV27" s="149"/>
      <c r="HW27" s="149"/>
      <c r="HX27" s="150"/>
      <c r="HY27" s="151"/>
      <c r="HZ27" s="150"/>
      <c r="IA27" s="150"/>
      <c r="IB27" s="152"/>
      <c r="IC27" s="150"/>
      <c r="ID27" s="152"/>
      <c r="IE27" s="150"/>
      <c r="IF27" s="153"/>
    </row>
    <row r="28" spans="1:240" s="36" customFormat="1" ht="14.4" customHeight="1">
      <c r="A28" s="39"/>
      <c r="B28" s="108" t="str">
        <f t="shared" si="143"/>
        <v>C&amp;I_Cross Marketing and Training_All_All_2017_Actual</v>
      </c>
      <c r="C28" s="108"/>
      <c r="D28" s="109" t="s">
        <v>142</v>
      </c>
      <c r="E28" s="109" t="s">
        <v>162</v>
      </c>
      <c r="F28" s="109" t="s">
        <v>28</v>
      </c>
      <c r="G28" s="109" t="s">
        <v>28</v>
      </c>
      <c r="H28" s="109">
        <v>2017</v>
      </c>
      <c r="I28" s="109" t="s">
        <v>167</v>
      </c>
      <c r="J28" s="37"/>
      <c r="K28" s="99"/>
      <c r="L28" s="38">
        <f t="shared" ca="1" si="144"/>
        <v>0</v>
      </c>
      <c r="M28" s="133"/>
      <c r="N28" s="132"/>
      <c r="O28" s="132"/>
      <c r="P28" s="37"/>
      <c r="Q28" s="129">
        <f t="shared" ca="1" si="145"/>
        <v>0</v>
      </c>
      <c r="R28" s="129">
        <f t="shared" ca="1" si="145"/>
        <v>0</v>
      </c>
      <c r="S28" s="129">
        <f t="shared" ca="1" si="145"/>
        <v>0</v>
      </c>
      <c r="T28" s="37"/>
      <c r="U28" s="129">
        <f t="shared" ca="1" si="146"/>
        <v>0</v>
      </c>
      <c r="V28" s="129">
        <f t="shared" ca="1" si="146"/>
        <v>0</v>
      </c>
      <c r="W28" s="129">
        <f t="shared" ca="1" si="146"/>
        <v>0</v>
      </c>
      <c r="X28" s="37"/>
      <c r="Y28" s="129">
        <f t="shared" ca="1" si="147"/>
        <v>0</v>
      </c>
      <c r="Z28" s="129">
        <f t="shared" ca="1" si="147"/>
        <v>0</v>
      </c>
      <c r="AA28" s="129">
        <f t="shared" ca="1" si="147"/>
        <v>0</v>
      </c>
      <c r="AB28" s="37"/>
      <c r="AC28" s="129">
        <f t="shared" ca="1" si="148"/>
        <v>0</v>
      </c>
      <c r="AD28" s="129">
        <f t="shared" ca="1" si="148"/>
        <v>0</v>
      </c>
      <c r="AE28" s="129">
        <f t="shared" ca="1" si="148"/>
        <v>0</v>
      </c>
      <c r="AF28" s="37"/>
      <c r="AG28" s="97"/>
      <c r="AH28" s="97"/>
      <c r="AI28" s="97">
        <f t="shared" ca="1" si="149"/>
        <v>0</v>
      </c>
      <c r="AJ28" s="100">
        <f t="shared" ca="1" si="149"/>
        <v>0</v>
      </c>
      <c r="AK28" s="100">
        <f t="shared" ca="1" si="149"/>
        <v>0</v>
      </c>
      <c r="AL28" s="100">
        <f t="shared" ca="1" si="149"/>
        <v>0</v>
      </c>
      <c r="AM28" s="100">
        <f t="shared" ca="1" si="149"/>
        <v>0</v>
      </c>
      <c r="AN28" s="100">
        <f t="shared" ca="1" si="149"/>
        <v>0</v>
      </c>
      <c r="AO28" s="163">
        <f>INDEX('Program Inputs'!$Q:$Q,MATCH($B28,'Program Inputs'!$B:$B,0))</f>
        <v>23552.562000000005</v>
      </c>
      <c r="AP28" s="100">
        <f t="shared" ca="1" si="150"/>
        <v>23552.562000000005</v>
      </c>
      <c r="AQ28" s="37"/>
      <c r="AR28" s="100">
        <f t="shared" ca="1" si="151"/>
        <v>0</v>
      </c>
      <c r="AS28" s="100">
        <f t="shared" ca="1" si="151"/>
        <v>0</v>
      </c>
      <c r="AT28" s="100">
        <f t="shared" ca="1" si="151"/>
        <v>0</v>
      </c>
      <c r="AU28" s="100">
        <f>SUMPRODUCT(--($CX$9:$EX$9=$H28)*$AO28,'General Inputs'!$K$40:$BK$40)</f>
        <v>23552.562000000005</v>
      </c>
      <c r="AV28" s="100">
        <f t="shared" ca="1" si="152"/>
        <v>0</v>
      </c>
      <c r="AW28" s="100">
        <f t="shared" ca="1" si="152"/>
        <v>0</v>
      </c>
      <c r="AX28" s="100">
        <f t="shared" ca="1" si="152"/>
        <v>0</v>
      </c>
      <c r="AY28" s="98">
        <f t="shared" ca="1" si="152"/>
        <v>0</v>
      </c>
      <c r="AZ28" s="37"/>
      <c r="BA28" s="100">
        <f t="shared" ca="1" si="153"/>
        <v>-23552.562000000005</v>
      </c>
      <c r="BB28" s="102">
        <f t="shared" ca="1" si="154"/>
        <v>0</v>
      </c>
      <c r="BC28" s="100">
        <f t="shared" ca="1" si="155"/>
        <v>23552.562000000005</v>
      </c>
      <c r="BD28" s="100">
        <f t="shared" ca="1" si="156"/>
        <v>0</v>
      </c>
      <c r="BE28" s="100">
        <f t="shared" ca="1" si="157"/>
        <v>0</v>
      </c>
      <c r="BF28" s="100">
        <f t="shared" ca="1" si="158"/>
        <v>0</v>
      </c>
      <c r="BG28" s="100">
        <f t="shared" si="159"/>
        <v>23552.562000000005</v>
      </c>
      <c r="BH28" s="100">
        <f t="shared" ca="1" si="160"/>
        <v>0</v>
      </c>
      <c r="BI28" s="37"/>
      <c r="BJ28" s="100">
        <f t="shared" ca="1" si="161"/>
        <v>-23552.562000000005</v>
      </c>
      <c r="BK28" s="102">
        <f t="shared" ca="1" si="162"/>
        <v>0</v>
      </c>
      <c r="BL28" s="100">
        <f t="shared" ca="1" si="163"/>
        <v>23552.562000000005</v>
      </c>
      <c r="BM28" s="100">
        <f t="shared" ca="1" si="164"/>
        <v>0</v>
      </c>
      <c r="BN28" s="100">
        <f t="shared" ca="1" si="165"/>
        <v>0</v>
      </c>
      <c r="BO28" s="100">
        <f t="shared" ca="1" si="166"/>
        <v>0</v>
      </c>
      <c r="BP28" s="100">
        <f t="shared" ca="1" si="167"/>
        <v>0</v>
      </c>
      <c r="BQ28" s="100">
        <f t="shared" si="168"/>
        <v>23552.562000000005</v>
      </c>
      <c r="BR28" s="100">
        <f t="shared" ca="1" si="169"/>
        <v>0</v>
      </c>
      <c r="BS28" s="37"/>
      <c r="BT28" s="100">
        <f t="shared" ca="1" si="170"/>
        <v>0</v>
      </c>
      <c r="BU28" s="102" t="e">
        <f t="shared" ca="1" si="171"/>
        <v>#DIV/0!</v>
      </c>
      <c r="BV28" s="102" t="e">
        <f t="shared" ca="1" si="172"/>
        <v>#DIV/0!</v>
      </c>
      <c r="BW28" s="100">
        <f t="shared" ca="1" si="173"/>
        <v>0</v>
      </c>
      <c r="BX28" s="100">
        <f t="shared" ca="1" si="174"/>
        <v>0</v>
      </c>
      <c r="BY28" s="100">
        <f t="shared" ca="1" si="175"/>
        <v>0</v>
      </c>
      <c r="BZ28" s="100">
        <f t="shared" ca="1" si="176"/>
        <v>0</v>
      </c>
      <c r="CA28" s="100">
        <f t="shared" ca="1" si="177"/>
        <v>0</v>
      </c>
      <c r="CB28" s="37"/>
      <c r="CC28" s="100">
        <f t="shared" ca="1" si="178"/>
        <v>-23552.562000000005</v>
      </c>
      <c r="CD28" s="102">
        <f t="shared" ca="1" si="179"/>
        <v>0</v>
      </c>
      <c r="CE28" s="103" t="e">
        <f t="shared" ca="1" si="180"/>
        <v>#DIV/0!</v>
      </c>
      <c r="CF28" s="100">
        <f t="shared" ca="1" si="181"/>
        <v>23552.562000000005</v>
      </c>
      <c r="CG28" s="100">
        <f t="shared" ca="1" si="182"/>
        <v>0</v>
      </c>
      <c r="CH28" s="100">
        <f t="shared" ca="1" si="183"/>
        <v>0</v>
      </c>
      <c r="CI28" s="100">
        <f t="shared" ca="1" si="184"/>
        <v>0</v>
      </c>
      <c r="CJ28" s="100">
        <f t="shared" ca="1" si="185"/>
        <v>0</v>
      </c>
      <c r="CK28" s="100">
        <f t="shared" si="186"/>
        <v>23552.562000000005</v>
      </c>
      <c r="CL28" s="37"/>
      <c r="CM28" s="100">
        <f t="shared" ca="1" si="187"/>
        <v>-23552.562000000005</v>
      </c>
      <c r="CN28" s="102">
        <f t="shared" ca="1" si="188"/>
        <v>0</v>
      </c>
      <c r="CO28" s="128"/>
      <c r="CP28" s="100">
        <f t="shared" ca="1" si="189"/>
        <v>23552.562000000005</v>
      </c>
      <c r="CQ28" s="100">
        <f t="shared" ca="1" si="190"/>
        <v>0</v>
      </c>
      <c r="CR28" s="100">
        <f t="shared" ca="1" si="191"/>
        <v>0</v>
      </c>
      <c r="CS28" s="100">
        <f t="shared" ca="1" si="192"/>
        <v>0</v>
      </c>
      <c r="CT28" s="100">
        <f t="shared" ca="1" si="193"/>
        <v>0</v>
      </c>
      <c r="CU28" s="100">
        <f t="shared" ca="1" si="194"/>
        <v>0</v>
      </c>
      <c r="CV28" s="100">
        <f t="shared" si="195"/>
        <v>23552.562000000005</v>
      </c>
      <c r="CW28" s="37"/>
      <c r="CX28" s="48">
        <f t="shared" ca="1" si="196"/>
        <v>0</v>
      </c>
      <c r="CY28" s="48">
        <f t="shared" ca="1" si="196"/>
        <v>0</v>
      </c>
      <c r="CZ28" s="48">
        <f t="shared" ca="1" si="196"/>
        <v>0</v>
      </c>
      <c r="DA28" s="48">
        <f t="shared" ca="1" si="196"/>
        <v>0</v>
      </c>
      <c r="DB28" s="48">
        <f t="shared" ca="1" si="196"/>
        <v>0</v>
      </c>
      <c r="DC28" s="48">
        <f t="shared" ca="1" si="196"/>
        <v>0</v>
      </c>
      <c r="DD28" s="48">
        <f t="shared" ca="1" si="196"/>
        <v>0</v>
      </c>
      <c r="DE28" s="48">
        <f t="shared" ca="1" si="196"/>
        <v>0</v>
      </c>
      <c r="DF28" s="48">
        <f t="shared" ca="1" si="196"/>
        <v>0</v>
      </c>
      <c r="DG28" s="48">
        <f t="shared" ca="1" si="196"/>
        <v>0</v>
      </c>
      <c r="DH28" s="48">
        <f t="shared" ca="1" si="197"/>
        <v>0</v>
      </c>
      <c r="DI28" s="48">
        <f t="shared" ca="1" si="197"/>
        <v>0</v>
      </c>
      <c r="DJ28" s="48">
        <f t="shared" ca="1" si="197"/>
        <v>0</v>
      </c>
      <c r="DK28" s="48">
        <f t="shared" ca="1" si="197"/>
        <v>0</v>
      </c>
      <c r="DL28" s="48">
        <f t="shared" ca="1" si="197"/>
        <v>0</v>
      </c>
      <c r="DM28" s="48">
        <f t="shared" ca="1" si="197"/>
        <v>0</v>
      </c>
      <c r="DN28" s="48">
        <f t="shared" ca="1" si="197"/>
        <v>0</v>
      </c>
      <c r="DO28" s="48">
        <f t="shared" ca="1" si="197"/>
        <v>0</v>
      </c>
      <c r="DP28" s="48">
        <f t="shared" ca="1" si="197"/>
        <v>0</v>
      </c>
      <c r="DQ28" s="48">
        <f t="shared" ca="1" si="197"/>
        <v>0</v>
      </c>
      <c r="DR28" s="48">
        <f t="shared" ca="1" si="198"/>
        <v>0</v>
      </c>
      <c r="DS28" s="48">
        <f t="shared" ca="1" si="198"/>
        <v>0</v>
      </c>
      <c r="DT28" s="48">
        <f t="shared" ca="1" si="198"/>
        <v>0</v>
      </c>
      <c r="DU28" s="48">
        <f t="shared" ca="1" si="198"/>
        <v>0</v>
      </c>
      <c r="DV28" s="48">
        <f t="shared" ca="1" si="198"/>
        <v>0</v>
      </c>
      <c r="DW28" s="48">
        <f t="shared" ca="1" si="198"/>
        <v>0</v>
      </c>
      <c r="DX28" s="48">
        <f t="shared" ca="1" si="198"/>
        <v>0</v>
      </c>
      <c r="DY28" s="48">
        <f t="shared" ca="1" si="198"/>
        <v>0</v>
      </c>
      <c r="DZ28" s="48">
        <f t="shared" ca="1" si="198"/>
        <v>0</v>
      </c>
      <c r="EA28" s="48">
        <f t="shared" ca="1" si="198"/>
        <v>0</v>
      </c>
      <c r="EB28" s="48">
        <f t="shared" ca="1" si="199"/>
        <v>0</v>
      </c>
      <c r="EC28" s="48">
        <f t="shared" ca="1" si="199"/>
        <v>0</v>
      </c>
      <c r="ED28" s="48">
        <f t="shared" ca="1" si="199"/>
        <v>0</v>
      </c>
      <c r="EE28" s="48">
        <f t="shared" ca="1" si="199"/>
        <v>0</v>
      </c>
      <c r="EF28" s="48">
        <f t="shared" ca="1" si="199"/>
        <v>0</v>
      </c>
      <c r="EG28" s="48">
        <f t="shared" ca="1" si="199"/>
        <v>0</v>
      </c>
      <c r="EH28" s="48">
        <f t="shared" ca="1" si="199"/>
        <v>0</v>
      </c>
      <c r="EI28" s="48">
        <f t="shared" ca="1" si="199"/>
        <v>0</v>
      </c>
      <c r="EJ28" s="48">
        <f t="shared" ca="1" si="199"/>
        <v>0</v>
      </c>
      <c r="EK28" s="48">
        <f t="shared" ca="1" si="199"/>
        <v>0</v>
      </c>
      <c r="EL28" s="48">
        <f t="shared" ca="1" si="200"/>
        <v>0</v>
      </c>
      <c r="EM28" s="48">
        <f t="shared" ca="1" si="200"/>
        <v>0</v>
      </c>
      <c r="EN28" s="48">
        <f t="shared" ca="1" si="200"/>
        <v>0</v>
      </c>
      <c r="EO28" s="48">
        <f t="shared" ca="1" si="200"/>
        <v>0</v>
      </c>
      <c r="EP28" s="48">
        <f t="shared" ca="1" si="200"/>
        <v>0</v>
      </c>
      <c r="EQ28" s="48">
        <f t="shared" ca="1" si="200"/>
        <v>0</v>
      </c>
      <c r="ER28" s="48">
        <f t="shared" ca="1" si="200"/>
        <v>0</v>
      </c>
      <c r="ES28" s="48">
        <f t="shared" ca="1" si="200"/>
        <v>0</v>
      </c>
      <c r="ET28" s="48">
        <f t="shared" ca="1" si="200"/>
        <v>0</v>
      </c>
      <c r="EU28" s="48">
        <f t="shared" ca="1" si="200"/>
        <v>0</v>
      </c>
      <c r="EV28" s="48">
        <f t="shared" ca="1" si="200"/>
        <v>0</v>
      </c>
      <c r="EW28" s="48">
        <f t="shared" ca="1" si="200"/>
        <v>0</v>
      </c>
      <c r="EX28" s="48">
        <f t="shared" ca="1" si="200"/>
        <v>0</v>
      </c>
      <c r="EY28" s="69"/>
      <c r="EZ28" s="48">
        <f t="shared" ca="1" si="201"/>
        <v>0</v>
      </c>
      <c r="FA28" s="48">
        <f t="shared" ca="1" si="201"/>
        <v>0</v>
      </c>
      <c r="FB28" s="48">
        <f t="shared" ca="1" si="201"/>
        <v>0</v>
      </c>
      <c r="FC28" s="48">
        <f t="shared" ca="1" si="201"/>
        <v>0</v>
      </c>
      <c r="FD28" s="48">
        <f t="shared" ca="1" si="201"/>
        <v>0</v>
      </c>
      <c r="FE28" s="48">
        <f t="shared" ca="1" si="201"/>
        <v>0</v>
      </c>
      <c r="FF28" s="48">
        <f t="shared" ca="1" si="201"/>
        <v>0</v>
      </c>
      <c r="FG28" s="48">
        <f t="shared" ca="1" si="201"/>
        <v>0</v>
      </c>
      <c r="FH28" s="48">
        <f t="shared" ca="1" si="201"/>
        <v>0</v>
      </c>
      <c r="FI28" s="48">
        <f t="shared" ca="1" si="201"/>
        <v>0</v>
      </c>
      <c r="FJ28" s="48">
        <f t="shared" ca="1" si="202"/>
        <v>0</v>
      </c>
      <c r="FK28" s="48">
        <f t="shared" ca="1" si="202"/>
        <v>0</v>
      </c>
      <c r="FL28" s="48">
        <f t="shared" ca="1" si="202"/>
        <v>0</v>
      </c>
      <c r="FM28" s="48">
        <f t="shared" ca="1" si="202"/>
        <v>0</v>
      </c>
      <c r="FN28" s="48">
        <f t="shared" ca="1" si="202"/>
        <v>0</v>
      </c>
      <c r="FO28" s="48">
        <f t="shared" ca="1" si="202"/>
        <v>0</v>
      </c>
      <c r="FP28" s="48">
        <f t="shared" ca="1" si="202"/>
        <v>0</v>
      </c>
      <c r="FQ28" s="48">
        <f t="shared" ca="1" si="202"/>
        <v>0</v>
      </c>
      <c r="FR28" s="48">
        <f t="shared" ca="1" si="202"/>
        <v>0</v>
      </c>
      <c r="FS28" s="48">
        <f t="shared" ca="1" si="202"/>
        <v>0</v>
      </c>
      <c r="FT28" s="48">
        <f t="shared" ca="1" si="203"/>
        <v>0</v>
      </c>
      <c r="FU28" s="48">
        <f t="shared" ca="1" si="203"/>
        <v>0</v>
      </c>
      <c r="FV28" s="48">
        <f t="shared" ca="1" si="203"/>
        <v>0</v>
      </c>
      <c r="FW28" s="48">
        <f t="shared" ca="1" si="203"/>
        <v>0</v>
      </c>
      <c r="FX28" s="48">
        <f t="shared" ca="1" si="203"/>
        <v>0</v>
      </c>
      <c r="FY28" s="48">
        <f t="shared" ca="1" si="203"/>
        <v>0</v>
      </c>
      <c r="FZ28" s="48">
        <f t="shared" ca="1" si="203"/>
        <v>0</v>
      </c>
      <c r="GA28" s="48">
        <f t="shared" ca="1" si="203"/>
        <v>0</v>
      </c>
      <c r="GB28" s="48">
        <f t="shared" ca="1" si="203"/>
        <v>0</v>
      </c>
      <c r="GC28" s="48">
        <f t="shared" ca="1" si="203"/>
        <v>0</v>
      </c>
      <c r="GD28" s="48">
        <f t="shared" ca="1" si="204"/>
        <v>0</v>
      </c>
      <c r="GE28" s="48">
        <f t="shared" ca="1" si="204"/>
        <v>0</v>
      </c>
      <c r="GF28" s="48">
        <f t="shared" ca="1" si="204"/>
        <v>0</v>
      </c>
      <c r="GG28" s="48">
        <f t="shared" ca="1" si="204"/>
        <v>0</v>
      </c>
      <c r="GH28" s="48">
        <f t="shared" ca="1" si="204"/>
        <v>0</v>
      </c>
      <c r="GI28" s="48">
        <f t="shared" ca="1" si="204"/>
        <v>0</v>
      </c>
      <c r="GJ28" s="48">
        <f t="shared" ca="1" si="204"/>
        <v>0</v>
      </c>
      <c r="GK28" s="48">
        <f t="shared" ca="1" si="204"/>
        <v>0</v>
      </c>
      <c r="GL28" s="48">
        <f t="shared" ca="1" si="204"/>
        <v>0</v>
      </c>
      <c r="GM28" s="48">
        <f t="shared" ca="1" si="204"/>
        <v>0</v>
      </c>
      <c r="GN28" s="48">
        <f t="shared" ca="1" si="205"/>
        <v>0</v>
      </c>
      <c r="GO28" s="48">
        <f t="shared" ca="1" si="205"/>
        <v>0</v>
      </c>
      <c r="GP28" s="48">
        <f t="shared" ca="1" si="205"/>
        <v>0</v>
      </c>
      <c r="GQ28" s="48">
        <f t="shared" ca="1" si="205"/>
        <v>0</v>
      </c>
      <c r="GR28" s="48">
        <f t="shared" ca="1" si="205"/>
        <v>0</v>
      </c>
      <c r="GS28" s="48">
        <f t="shared" ca="1" si="205"/>
        <v>0</v>
      </c>
      <c r="GT28" s="48">
        <f t="shared" ca="1" si="205"/>
        <v>0</v>
      </c>
      <c r="GU28" s="48">
        <f t="shared" ca="1" si="205"/>
        <v>0</v>
      </c>
      <c r="GV28" s="48">
        <f t="shared" ca="1" si="205"/>
        <v>0</v>
      </c>
      <c r="GW28" s="48">
        <f t="shared" ca="1" si="205"/>
        <v>0</v>
      </c>
      <c r="GX28" s="48">
        <f t="shared" ca="1" si="205"/>
        <v>0</v>
      </c>
      <c r="GY28" s="48">
        <f t="shared" ca="1" si="205"/>
        <v>0</v>
      </c>
      <c r="GZ28" s="48">
        <f t="shared" ca="1" si="205"/>
        <v>0</v>
      </c>
      <c r="HA28" s="69"/>
      <c r="HB28" s="150">
        <f t="shared" ca="1" si="206"/>
        <v>0</v>
      </c>
      <c r="HC28" s="150">
        <f t="shared" ca="1" si="75"/>
        <v>0</v>
      </c>
      <c r="HD28" s="150">
        <f t="shared" ca="1" si="207"/>
        <v>0</v>
      </c>
      <c r="HE28" s="150" t="str">
        <f t="shared" ca="1" si="77"/>
        <v>n/a</v>
      </c>
      <c r="HF28" s="150">
        <f t="shared" ca="1" si="78"/>
        <v>0</v>
      </c>
      <c r="HG28" s="148"/>
      <c r="HH28" s="149"/>
      <c r="HI28" s="149"/>
      <c r="HJ28" s="149"/>
      <c r="HK28" s="150"/>
      <c r="HL28" s="149"/>
      <c r="HM28" s="149"/>
      <c r="HN28" s="149"/>
      <c r="HO28" s="150"/>
      <c r="HP28" s="148"/>
      <c r="HQ28" s="149"/>
      <c r="HR28" s="149"/>
      <c r="HS28" s="149"/>
      <c r="HT28" s="150"/>
      <c r="HU28" s="149"/>
      <c r="HV28" s="149"/>
      <c r="HW28" s="149"/>
      <c r="HX28" s="150"/>
      <c r="HY28" s="151"/>
      <c r="HZ28" s="150"/>
      <c r="IA28" s="150"/>
      <c r="IB28" s="152"/>
      <c r="IC28" s="150"/>
      <c r="ID28" s="152"/>
      <c r="IE28" s="150"/>
      <c r="IF28" s="153"/>
    </row>
    <row r="29" spans="1:240" s="36" customFormat="1" ht="14.4" customHeight="1">
      <c r="A29" s="39"/>
      <c r="B29" s="108" t="str">
        <f t="shared" si="143"/>
        <v>C&amp;I_General Administration_All_All_2017_Actual</v>
      </c>
      <c r="C29" s="108"/>
      <c r="D29" s="109" t="s">
        <v>142</v>
      </c>
      <c r="E29" s="109" t="s">
        <v>163</v>
      </c>
      <c r="F29" s="109" t="s">
        <v>28</v>
      </c>
      <c r="G29" s="109" t="s">
        <v>28</v>
      </c>
      <c r="H29" s="109">
        <v>2017</v>
      </c>
      <c r="I29" s="109" t="s">
        <v>167</v>
      </c>
      <c r="J29" s="37"/>
      <c r="K29" s="99"/>
      <c r="L29" s="38">
        <f t="shared" ca="1" si="144"/>
        <v>0</v>
      </c>
      <c r="M29" s="133"/>
      <c r="N29" s="132"/>
      <c r="O29" s="132"/>
      <c r="P29" s="37"/>
      <c r="Q29" s="129">
        <f t="shared" ca="1" si="145"/>
        <v>0</v>
      </c>
      <c r="R29" s="129">
        <f t="shared" ca="1" si="145"/>
        <v>0</v>
      </c>
      <c r="S29" s="129">
        <f t="shared" ca="1" si="145"/>
        <v>0</v>
      </c>
      <c r="T29" s="37"/>
      <c r="U29" s="129">
        <f t="shared" ca="1" si="146"/>
        <v>0</v>
      </c>
      <c r="V29" s="129">
        <f t="shared" ca="1" si="146"/>
        <v>0</v>
      </c>
      <c r="W29" s="129">
        <f t="shared" ca="1" si="146"/>
        <v>0</v>
      </c>
      <c r="X29" s="37"/>
      <c r="Y29" s="129">
        <f t="shared" ca="1" si="147"/>
        <v>0</v>
      </c>
      <c r="Z29" s="129">
        <f t="shared" ca="1" si="147"/>
        <v>0</v>
      </c>
      <c r="AA29" s="129">
        <f t="shared" ca="1" si="147"/>
        <v>0</v>
      </c>
      <c r="AB29" s="37"/>
      <c r="AC29" s="129">
        <f t="shared" ca="1" si="148"/>
        <v>0</v>
      </c>
      <c r="AD29" s="129">
        <f t="shared" ca="1" si="148"/>
        <v>0</v>
      </c>
      <c r="AE29" s="129">
        <f t="shared" ca="1" si="148"/>
        <v>0</v>
      </c>
      <c r="AF29" s="37"/>
      <c r="AG29" s="97"/>
      <c r="AH29" s="97"/>
      <c r="AI29" s="97">
        <f t="shared" ca="1" si="149"/>
        <v>0</v>
      </c>
      <c r="AJ29" s="100">
        <f t="shared" ca="1" si="149"/>
        <v>0</v>
      </c>
      <c r="AK29" s="100">
        <f t="shared" ca="1" si="149"/>
        <v>0</v>
      </c>
      <c r="AL29" s="100">
        <f t="shared" ca="1" si="149"/>
        <v>0</v>
      </c>
      <c r="AM29" s="100">
        <f t="shared" ca="1" si="149"/>
        <v>0</v>
      </c>
      <c r="AN29" s="100">
        <f t="shared" ca="1" si="149"/>
        <v>0</v>
      </c>
      <c r="AO29" s="163">
        <f>INDEX('Program Inputs'!$Q:$Q,MATCH($B29,'Program Inputs'!$B:$B,0))</f>
        <v>41089.020000000004</v>
      </c>
      <c r="AP29" s="100">
        <f t="shared" ca="1" si="150"/>
        <v>41089.020000000004</v>
      </c>
      <c r="AQ29" s="37"/>
      <c r="AR29" s="100">
        <f t="shared" ca="1" si="151"/>
        <v>0</v>
      </c>
      <c r="AS29" s="100">
        <f t="shared" ca="1" si="151"/>
        <v>0</v>
      </c>
      <c r="AT29" s="100">
        <f t="shared" ca="1" si="151"/>
        <v>0</v>
      </c>
      <c r="AU29" s="100">
        <f>SUMPRODUCT(--($CX$9:$EX$9=$H29)*$AO29,'General Inputs'!$K$40:$BK$40)</f>
        <v>41089.020000000004</v>
      </c>
      <c r="AV29" s="100">
        <f t="shared" ca="1" si="152"/>
        <v>0</v>
      </c>
      <c r="AW29" s="100">
        <f t="shared" ca="1" si="152"/>
        <v>0</v>
      </c>
      <c r="AX29" s="100">
        <f t="shared" ca="1" si="152"/>
        <v>0</v>
      </c>
      <c r="AY29" s="98">
        <f t="shared" ca="1" si="152"/>
        <v>0</v>
      </c>
      <c r="AZ29" s="37"/>
      <c r="BA29" s="100">
        <f t="shared" ca="1" si="153"/>
        <v>-41089.020000000004</v>
      </c>
      <c r="BB29" s="102">
        <f t="shared" ca="1" si="154"/>
        <v>0</v>
      </c>
      <c r="BC29" s="100">
        <f t="shared" ca="1" si="155"/>
        <v>41089.020000000004</v>
      </c>
      <c r="BD29" s="100">
        <f t="shared" ca="1" si="156"/>
        <v>0</v>
      </c>
      <c r="BE29" s="100">
        <f t="shared" ca="1" si="157"/>
        <v>0</v>
      </c>
      <c r="BF29" s="100">
        <f t="shared" ca="1" si="158"/>
        <v>0</v>
      </c>
      <c r="BG29" s="100">
        <f t="shared" si="159"/>
        <v>41089.020000000004</v>
      </c>
      <c r="BH29" s="100">
        <f t="shared" ca="1" si="160"/>
        <v>0</v>
      </c>
      <c r="BI29" s="37"/>
      <c r="BJ29" s="100">
        <f t="shared" ca="1" si="161"/>
        <v>-41089.020000000004</v>
      </c>
      <c r="BK29" s="102">
        <f t="shared" ca="1" si="162"/>
        <v>0</v>
      </c>
      <c r="BL29" s="100">
        <f t="shared" ca="1" si="163"/>
        <v>41089.020000000004</v>
      </c>
      <c r="BM29" s="100">
        <f t="shared" ca="1" si="164"/>
        <v>0</v>
      </c>
      <c r="BN29" s="100">
        <f t="shared" ca="1" si="165"/>
        <v>0</v>
      </c>
      <c r="BO29" s="100">
        <f t="shared" ca="1" si="166"/>
        <v>0</v>
      </c>
      <c r="BP29" s="100">
        <f t="shared" ca="1" si="167"/>
        <v>0</v>
      </c>
      <c r="BQ29" s="100">
        <f t="shared" si="168"/>
        <v>41089.020000000004</v>
      </c>
      <c r="BR29" s="100">
        <f t="shared" ca="1" si="169"/>
        <v>0</v>
      </c>
      <c r="BS29" s="37"/>
      <c r="BT29" s="100">
        <f t="shared" ca="1" si="170"/>
        <v>0</v>
      </c>
      <c r="BU29" s="102" t="e">
        <f t="shared" ca="1" si="171"/>
        <v>#DIV/0!</v>
      </c>
      <c r="BV29" s="102" t="e">
        <f t="shared" ca="1" si="172"/>
        <v>#DIV/0!</v>
      </c>
      <c r="BW29" s="100">
        <f t="shared" ca="1" si="173"/>
        <v>0</v>
      </c>
      <c r="BX29" s="100">
        <f t="shared" ca="1" si="174"/>
        <v>0</v>
      </c>
      <c r="BY29" s="100">
        <f t="shared" ca="1" si="175"/>
        <v>0</v>
      </c>
      <c r="BZ29" s="100">
        <f t="shared" ca="1" si="176"/>
        <v>0</v>
      </c>
      <c r="CA29" s="100">
        <f t="shared" ca="1" si="177"/>
        <v>0</v>
      </c>
      <c r="CB29" s="37"/>
      <c r="CC29" s="100">
        <f t="shared" ca="1" si="178"/>
        <v>-41089.020000000004</v>
      </c>
      <c r="CD29" s="102">
        <f t="shared" ca="1" si="179"/>
        <v>0</v>
      </c>
      <c r="CE29" s="103" t="e">
        <f t="shared" ca="1" si="180"/>
        <v>#DIV/0!</v>
      </c>
      <c r="CF29" s="100">
        <f t="shared" ca="1" si="181"/>
        <v>41089.020000000004</v>
      </c>
      <c r="CG29" s="100">
        <f t="shared" ca="1" si="182"/>
        <v>0</v>
      </c>
      <c r="CH29" s="100">
        <f t="shared" ca="1" si="183"/>
        <v>0</v>
      </c>
      <c r="CI29" s="100">
        <f t="shared" ca="1" si="184"/>
        <v>0</v>
      </c>
      <c r="CJ29" s="100">
        <f t="shared" ca="1" si="185"/>
        <v>0</v>
      </c>
      <c r="CK29" s="100">
        <f t="shared" si="186"/>
        <v>41089.020000000004</v>
      </c>
      <c r="CL29" s="37"/>
      <c r="CM29" s="100">
        <f t="shared" ca="1" si="187"/>
        <v>-41089.020000000004</v>
      </c>
      <c r="CN29" s="102">
        <f t="shared" ca="1" si="188"/>
        <v>0</v>
      </c>
      <c r="CO29" s="128"/>
      <c r="CP29" s="100">
        <f t="shared" ca="1" si="189"/>
        <v>41089.020000000004</v>
      </c>
      <c r="CQ29" s="100">
        <f t="shared" ca="1" si="190"/>
        <v>0</v>
      </c>
      <c r="CR29" s="100">
        <f t="shared" ca="1" si="191"/>
        <v>0</v>
      </c>
      <c r="CS29" s="100">
        <f t="shared" ca="1" si="192"/>
        <v>0</v>
      </c>
      <c r="CT29" s="100">
        <f t="shared" ca="1" si="193"/>
        <v>0</v>
      </c>
      <c r="CU29" s="100">
        <f t="shared" ca="1" si="194"/>
        <v>0</v>
      </c>
      <c r="CV29" s="100">
        <f t="shared" si="195"/>
        <v>41089.020000000004</v>
      </c>
      <c r="CW29" s="37"/>
      <c r="CX29" s="48">
        <f t="shared" ca="1" si="196"/>
        <v>0</v>
      </c>
      <c r="CY29" s="48">
        <f t="shared" ca="1" si="196"/>
        <v>0</v>
      </c>
      <c r="CZ29" s="48">
        <f t="shared" ca="1" si="196"/>
        <v>0</v>
      </c>
      <c r="DA29" s="48">
        <f t="shared" ca="1" si="196"/>
        <v>0</v>
      </c>
      <c r="DB29" s="48">
        <f t="shared" ca="1" si="196"/>
        <v>0</v>
      </c>
      <c r="DC29" s="48">
        <f t="shared" ca="1" si="196"/>
        <v>0</v>
      </c>
      <c r="DD29" s="48">
        <f t="shared" ca="1" si="196"/>
        <v>0</v>
      </c>
      <c r="DE29" s="48">
        <f t="shared" ca="1" si="196"/>
        <v>0</v>
      </c>
      <c r="DF29" s="48">
        <f t="shared" ca="1" si="196"/>
        <v>0</v>
      </c>
      <c r="DG29" s="48">
        <f t="shared" ca="1" si="196"/>
        <v>0</v>
      </c>
      <c r="DH29" s="48">
        <f t="shared" ca="1" si="197"/>
        <v>0</v>
      </c>
      <c r="DI29" s="48">
        <f t="shared" ca="1" si="197"/>
        <v>0</v>
      </c>
      <c r="DJ29" s="48">
        <f t="shared" ca="1" si="197"/>
        <v>0</v>
      </c>
      <c r="DK29" s="48">
        <f t="shared" ca="1" si="197"/>
        <v>0</v>
      </c>
      <c r="DL29" s="48">
        <f t="shared" ca="1" si="197"/>
        <v>0</v>
      </c>
      <c r="DM29" s="48">
        <f t="shared" ca="1" si="197"/>
        <v>0</v>
      </c>
      <c r="DN29" s="48">
        <f t="shared" ca="1" si="197"/>
        <v>0</v>
      </c>
      <c r="DO29" s="48">
        <f t="shared" ca="1" si="197"/>
        <v>0</v>
      </c>
      <c r="DP29" s="48">
        <f t="shared" ca="1" si="197"/>
        <v>0</v>
      </c>
      <c r="DQ29" s="48">
        <f t="shared" ca="1" si="197"/>
        <v>0</v>
      </c>
      <c r="DR29" s="48">
        <f t="shared" ca="1" si="198"/>
        <v>0</v>
      </c>
      <c r="DS29" s="48">
        <f t="shared" ca="1" si="198"/>
        <v>0</v>
      </c>
      <c r="DT29" s="48">
        <f t="shared" ca="1" si="198"/>
        <v>0</v>
      </c>
      <c r="DU29" s="48">
        <f t="shared" ca="1" si="198"/>
        <v>0</v>
      </c>
      <c r="DV29" s="48">
        <f t="shared" ca="1" si="198"/>
        <v>0</v>
      </c>
      <c r="DW29" s="48">
        <f t="shared" ca="1" si="198"/>
        <v>0</v>
      </c>
      <c r="DX29" s="48">
        <f t="shared" ca="1" si="198"/>
        <v>0</v>
      </c>
      <c r="DY29" s="48">
        <f t="shared" ca="1" si="198"/>
        <v>0</v>
      </c>
      <c r="DZ29" s="48">
        <f t="shared" ca="1" si="198"/>
        <v>0</v>
      </c>
      <c r="EA29" s="48">
        <f t="shared" ca="1" si="198"/>
        <v>0</v>
      </c>
      <c r="EB29" s="48">
        <f t="shared" ca="1" si="199"/>
        <v>0</v>
      </c>
      <c r="EC29" s="48">
        <f t="shared" ca="1" si="199"/>
        <v>0</v>
      </c>
      <c r="ED29" s="48">
        <f t="shared" ca="1" si="199"/>
        <v>0</v>
      </c>
      <c r="EE29" s="48">
        <f t="shared" ca="1" si="199"/>
        <v>0</v>
      </c>
      <c r="EF29" s="48">
        <f t="shared" ca="1" si="199"/>
        <v>0</v>
      </c>
      <c r="EG29" s="48">
        <f t="shared" ca="1" si="199"/>
        <v>0</v>
      </c>
      <c r="EH29" s="48">
        <f t="shared" ca="1" si="199"/>
        <v>0</v>
      </c>
      <c r="EI29" s="48">
        <f t="shared" ca="1" si="199"/>
        <v>0</v>
      </c>
      <c r="EJ29" s="48">
        <f t="shared" ca="1" si="199"/>
        <v>0</v>
      </c>
      <c r="EK29" s="48">
        <f t="shared" ca="1" si="199"/>
        <v>0</v>
      </c>
      <c r="EL29" s="48">
        <f t="shared" ca="1" si="200"/>
        <v>0</v>
      </c>
      <c r="EM29" s="48">
        <f t="shared" ca="1" si="200"/>
        <v>0</v>
      </c>
      <c r="EN29" s="48">
        <f t="shared" ca="1" si="200"/>
        <v>0</v>
      </c>
      <c r="EO29" s="48">
        <f t="shared" ca="1" si="200"/>
        <v>0</v>
      </c>
      <c r="EP29" s="48">
        <f t="shared" ca="1" si="200"/>
        <v>0</v>
      </c>
      <c r="EQ29" s="48">
        <f t="shared" ca="1" si="200"/>
        <v>0</v>
      </c>
      <c r="ER29" s="48">
        <f t="shared" ca="1" si="200"/>
        <v>0</v>
      </c>
      <c r="ES29" s="48">
        <f t="shared" ca="1" si="200"/>
        <v>0</v>
      </c>
      <c r="ET29" s="48">
        <f t="shared" ca="1" si="200"/>
        <v>0</v>
      </c>
      <c r="EU29" s="48">
        <f t="shared" ca="1" si="200"/>
        <v>0</v>
      </c>
      <c r="EV29" s="48">
        <f t="shared" ca="1" si="200"/>
        <v>0</v>
      </c>
      <c r="EW29" s="48">
        <f t="shared" ca="1" si="200"/>
        <v>0</v>
      </c>
      <c r="EX29" s="48">
        <f t="shared" ca="1" si="200"/>
        <v>0</v>
      </c>
      <c r="EY29" s="69"/>
      <c r="EZ29" s="48">
        <f t="shared" ca="1" si="201"/>
        <v>0</v>
      </c>
      <c r="FA29" s="48">
        <f t="shared" ca="1" si="201"/>
        <v>0</v>
      </c>
      <c r="FB29" s="48">
        <f t="shared" ca="1" si="201"/>
        <v>0</v>
      </c>
      <c r="FC29" s="48">
        <f t="shared" ca="1" si="201"/>
        <v>0</v>
      </c>
      <c r="FD29" s="48">
        <f t="shared" ca="1" si="201"/>
        <v>0</v>
      </c>
      <c r="FE29" s="48">
        <f t="shared" ca="1" si="201"/>
        <v>0</v>
      </c>
      <c r="FF29" s="48">
        <f t="shared" ca="1" si="201"/>
        <v>0</v>
      </c>
      <c r="FG29" s="48">
        <f t="shared" ca="1" si="201"/>
        <v>0</v>
      </c>
      <c r="FH29" s="48">
        <f t="shared" ca="1" si="201"/>
        <v>0</v>
      </c>
      <c r="FI29" s="48">
        <f t="shared" ca="1" si="201"/>
        <v>0</v>
      </c>
      <c r="FJ29" s="48">
        <f t="shared" ca="1" si="202"/>
        <v>0</v>
      </c>
      <c r="FK29" s="48">
        <f t="shared" ca="1" si="202"/>
        <v>0</v>
      </c>
      <c r="FL29" s="48">
        <f t="shared" ca="1" si="202"/>
        <v>0</v>
      </c>
      <c r="FM29" s="48">
        <f t="shared" ca="1" si="202"/>
        <v>0</v>
      </c>
      <c r="FN29" s="48">
        <f t="shared" ca="1" si="202"/>
        <v>0</v>
      </c>
      <c r="FO29" s="48">
        <f t="shared" ca="1" si="202"/>
        <v>0</v>
      </c>
      <c r="FP29" s="48">
        <f t="shared" ca="1" si="202"/>
        <v>0</v>
      </c>
      <c r="FQ29" s="48">
        <f t="shared" ca="1" si="202"/>
        <v>0</v>
      </c>
      <c r="FR29" s="48">
        <f t="shared" ca="1" si="202"/>
        <v>0</v>
      </c>
      <c r="FS29" s="48">
        <f t="shared" ca="1" si="202"/>
        <v>0</v>
      </c>
      <c r="FT29" s="48">
        <f t="shared" ca="1" si="203"/>
        <v>0</v>
      </c>
      <c r="FU29" s="48">
        <f t="shared" ca="1" si="203"/>
        <v>0</v>
      </c>
      <c r="FV29" s="48">
        <f t="shared" ca="1" si="203"/>
        <v>0</v>
      </c>
      <c r="FW29" s="48">
        <f t="shared" ca="1" si="203"/>
        <v>0</v>
      </c>
      <c r="FX29" s="48">
        <f t="shared" ca="1" si="203"/>
        <v>0</v>
      </c>
      <c r="FY29" s="48">
        <f t="shared" ca="1" si="203"/>
        <v>0</v>
      </c>
      <c r="FZ29" s="48">
        <f t="shared" ca="1" si="203"/>
        <v>0</v>
      </c>
      <c r="GA29" s="48">
        <f t="shared" ca="1" si="203"/>
        <v>0</v>
      </c>
      <c r="GB29" s="48">
        <f t="shared" ca="1" si="203"/>
        <v>0</v>
      </c>
      <c r="GC29" s="48">
        <f t="shared" ca="1" si="203"/>
        <v>0</v>
      </c>
      <c r="GD29" s="48">
        <f t="shared" ca="1" si="204"/>
        <v>0</v>
      </c>
      <c r="GE29" s="48">
        <f t="shared" ca="1" si="204"/>
        <v>0</v>
      </c>
      <c r="GF29" s="48">
        <f t="shared" ca="1" si="204"/>
        <v>0</v>
      </c>
      <c r="GG29" s="48">
        <f t="shared" ca="1" si="204"/>
        <v>0</v>
      </c>
      <c r="GH29" s="48">
        <f t="shared" ca="1" si="204"/>
        <v>0</v>
      </c>
      <c r="GI29" s="48">
        <f t="shared" ca="1" si="204"/>
        <v>0</v>
      </c>
      <c r="GJ29" s="48">
        <f t="shared" ca="1" si="204"/>
        <v>0</v>
      </c>
      <c r="GK29" s="48">
        <f t="shared" ca="1" si="204"/>
        <v>0</v>
      </c>
      <c r="GL29" s="48">
        <f t="shared" ca="1" si="204"/>
        <v>0</v>
      </c>
      <c r="GM29" s="48">
        <f t="shared" ca="1" si="204"/>
        <v>0</v>
      </c>
      <c r="GN29" s="48">
        <f t="shared" ca="1" si="205"/>
        <v>0</v>
      </c>
      <c r="GO29" s="48">
        <f t="shared" ca="1" si="205"/>
        <v>0</v>
      </c>
      <c r="GP29" s="48">
        <f t="shared" ca="1" si="205"/>
        <v>0</v>
      </c>
      <c r="GQ29" s="48">
        <f t="shared" ca="1" si="205"/>
        <v>0</v>
      </c>
      <c r="GR29" s="48">
        <f t="shared" ca="1" si="205"/>
        <v>0</v>
      </c>
      <c r="GS29" s="48">
        <f t="shared" ca="1" si="205"/>
        <v>0</v>
      </c>
      <c r="GT29" s="48">
        <f t="shared" ca="1" si="205"/>
        <v>0</v>
      </c>
      <c r="GU29" s="48">
        <f t="shared" ca="1" si="205"/>
        <v>0</v>
      </c>
      <c r="GV29" s="48">
        <f t="shared" ca="1" si="205"/>
        <v>0</v>
      </c>
      <c r="GW29" s="48">
        <f t="shared" ca="1" si="205"/>
        <v>0</v>
      </c>
      <c r="GX29" s="48">
        <f t="shared" ca="1" si="205"/>
        <v>0</v>
      </c>
      <c r="GY29" s="48">
        <f t="shared" ca="1" si="205"/>
        <v>0</v>
      </c>
      <c r="GZ29" s="48">
        <f t="shared" ca="1" si="205"/>
        <v>0</v>
      </c>
      <c r="HA29" s="69"/>
      <c r="HB29" s="150">
        <f t="shared" ca="1" si="206"/>
        <v>0</v>
      </c>
      <c r="HC29" s="150">
        <f t="shared" ca="1" si="75"/>
        <v>0</v>
      </c>
      <c r="HD29" s="150">
        <f t="shared" ca="1" si="207"/>
        <v>0</v>
      </c>
      <c r="HE29" s="150" t="str">
        <f t="shared" ca="1" si="77"/>
        <v>n/a</v>
      </c>
      <c r="HF29" s="150">
        <f t="shared" ca="1" si="78"/>
        <v>0</v>
      </c>
      <c r="HG29" s="148"/>
      <c r="HH29" s="149"/>
      <c r="HI29" s="149"/>
      <c r="HJ29" s="149"/>
      <c r="HK29" s="150"/>
      <c r="HL29" s="149"/>
      <c r="HM29" s="149"/>
      <c r="HN29" s="149"/>
      <c r="HO29" s="150"/>
      <c r="HP29" s="148"/>
      <c r="HQ29" s="149"/>
      <c r="HR29" s="149"/>
      <c r="HS29" s="149"/>
      <c r="HT29" s="150"/>
      <c r="HU29" s="149"/>
      <c r="HV29" s="149"/>
      <c r="HW29" s="149"/>
      <c r="HX29" s="150"/>
      <c r="HY29" s="151"/>
      <c r="HZ29" s="150"/>
      <c r="IA29" s="150"/>
      <c r="IB29" s="152"/>
      <c r="IC29" s="150"/>
      <c r="ID29" s="152"/>
      <c r="IE29" s="150"/>
      <c r="IF29" s="153"/>
    </row>
    <row r="30" spans="1:240" s="36" customFormat="1" ht="14.4" customHeight="1">
      <c r="A30" s="39"/>
      <c r="B30" s="110"/>
      <c r="C30" s="110"/>
      <c r="D30" s="111"/>
      <c r="E30" s="111"/>
      <c r="F30" s="111"/>
      <c r="G30" s="111"/>
      <c r="H30" s="111"/>
      <c r="I30" s="111"/>
      <c r="J30" s="112"/>
      <c r="K30" s="113"/>
      <c r="L30" s="114"/>
      <c r="M30" s="115"/>
      <c r="N30" s="116"/>
      <c r="O30" s="116"/>
      <c r="P30" s="112"/>
      <c r="Q30" s="130"/>
      <c r="R30" s="130"/>
      <c r="S30" s="130"/>
      <c r="T30" s="112"/>
      <c r="U30" s="130"/>
      <c r="V30" s="130"/>
      <c r="W30" s="130"/>
      <c r="X30" s="112"/>
      <c r="Y30" s="130"/>
      <c r="Z30" s="130"/>
      <c r="AA30" s="130"/>
      <c r="AB30" s="112"/>
      <c r="AC30" s="130"/>
      <c r="AD30" s="130"/>
      <c r="AE30" s="130"/>
      <c r="AF30" s="112"/>
      <c r="AG30" s="117"/>
      <c r="AH30" s="117"/>
      <c r="AI30" s="117"/>
      <c r="AJ30" s="118"/>
      <c r="AK30" s="118"/>
      <c r="AL30" s="118"/>
      <c r="AM30" s="118"/>
      <c r="AN30" s="118"/>
      <c r="AO30" s="118"/>
      <c r="AP30" s="118"/>
      <c r="AQ30" s="112"/>
      <c r="AR30" s="118"/>
      <c r="AS30" s="118"/>
      <c r="AT30" s="118"/>
      <c r="AU30" s="118"/>
      <c r="AV30" s="118"/>
      <c r="AW30" s="118"/>
      <c r="AX30" s="118"/>
      <c r="AY30" s="164"/>
      <c r="AZ30" s="112"/>
      <c r="BA30" s="118"/>
      <c r="BB30" s="119"/>
      <c r="BC30" s="118"/>
      <c r="BD30" s="118"/>
      <c r="BE30" s="118"/>
      <c r="BF30" s="118"/>
      <c r="BG30" s="118"/>
      <c r="BH30" s="118"/>
      <c r="BI30" s="112"/>
      <c r="BJ30" s="118"/>
      <c r="BK30" s="119"/>
      <c r="BL30" s="118"/>
      <c r="BM30" s="118"/>
      <c r="BN30" s="118"/>
      <c r="BO30" s="118"/>
      <c r="BP30" s="118"/>
      <c r="BQ30" s="118"/>
      <c r="BR30" s="118"/>
      <c r="BS30" s="112"/>
      <c r="BT30" s="118"/>
      <c r="BU30" s="119"/>
      <c r="BV30" s="119"/>
      <c r="BW30" s="118"/>
      <c r="BX30" s="118"/>
      <c r="BY30" s="118"/>
      <c r="BZ30" s="118"/>
      <c r="CA30" s="118"/>
      <c r="CB30" s="112"/>
      <c r="CC30" s="118"/>
      <c r="CD30" s="119"/>
      <c r="CE30" s="120"/>
      <c r="CF30" s="118"/>
      <c r="CG30" s="118"/>
      <c r="CH30" s="118"/>
      <c r="CI30" s="118">
        <f t="shared" ref="CI30" si="208">AX30</f>
        <v>0</v>
      </c>
      <c r="CJ30" s="118">
        <f t="shared" ref="CJ30" si="209">AT30</f>
        <v>0</v>
      </c>
      <c r="CK30" s="118"/>
      <c r="CL30" s="112"/>
      <c r="CM30" s="118"/>
      <c r="CN30" s="119"/>
      <c r="CO30" s="131"/>
      <c r="CP30" s="118"/>
      <c r="CQ30" s="118"/>
      <c r="CR30" s="118"/>
      <c r="CS30" s="118">
        <f t="shared" ref="CS30" si="210">AX30</f>
        <v>0</v>
      </c>
      <c r="CT30" s="118"/>
      <c r="CU30" s="118"/>
      <c r="CV30" s="118"/>
      <c r="CW30" s="112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69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69"/>
      <c r="HB30" s="150">
        <f t="shared" ref="HB30" si="211">IFERROR(BB30,"n/a")</f>
        <v>0</v>
      </c>
      <c r="HC30" s="150">
        <f t="shared" ref="HC30" si="212">IFERROR(CD30,"n/a")</f>
        <v>0</v>
      </c>
      <c r="HD30" s="150">
        <f t="shared" ref="HD30" si="213">IFERROR(BK30,"n/a")</f>
        <v>0</v>
      </c>
      <c r="HE30" s="150">
        <f t="shared" ref="HE30" si="214">IFERROR(BU30,"n/a")</f>
        <v>0</v>
      </c>
      <c r="HF30" s="150">
        <f t="shared" ref="HF30" si="215">IFERROR(CN30,"n/a")</f>
        <v>0</v>
      </c>
      <c r="HG30" s="148"/>
      <c r="HH30" s="149"/>
      <c r="HI30" s="149"/>
      <c r="HJ30" s="149"/>
      <c r="HK30" s="150"/>
      <c r="HL30" s="149"/>
      <c r="HM30" s="149"/>
      <c r="HN30" s="149"/>
      <c r="HO30" s="150"/>
      <c r="HP30" s="148"/>
      <c r="HQ30" s="149"/>
      <c r="HR30" s="149"/>
      <c r="HS30" s="149"/>
      <c r="HT30" s="150"/>
      <c r="HU30" s="149"/>
      <c r="HV30" s="149"/>
      <c r="HW30" s="149"/>
      <c r="HX30" s="150"/>
      <c r="HY30" s="151"/>
      <c r="HZ30" s="150"/>
      <c r="IA30" s="150"/>
      <c r="IB30" s="152"/>
      <c r="IC30" s="150"/>
      <c r="ID30" s="152"/>
      <c r="IE30" s="150"/>
      <c r="IF30" s="153"/>
    </row>
    <row r="31" spans="1:240" s="36" customFormat="1" ht="14.4" customHeight="1">
      <c r="A31" s="39"/>
      <c r="B31" s="108" t="str">
        <f t="shared" ref="B31:B33" si="216">D31&amp;"_"&amp;E31&amp;"_"&amp;F31&amp;"_"&amp;G31&amp;"_"&amp;H31&amp;"_"&amp;I31</f>
        <v>C&amp;I_C&amp;I Prescriptive_Lighting_All_2017_Actual</v>
      </c>
      <c r="C31" s="108"/>
      <c r="D31" s="109" t="s">
        <v>142</v>
      </c>
      <c r="E31" s="109" t="s">
        <v>228</v>
      </c>
      <c r="F31" s="109" t="s">
        <v>86</v>
      </c>
      <c r="G31" s="109" t="s">
        <v>28</v>
      </c>
      <c r="H31" s="109">
        <v>2017</v>
      </c>
      <c r="I31" s="109" t="s">
        <v>167</v>
      </c>
      <c r="J31" s="37"/>
      <c r="K31" s="99"/>
      <c r="L31" s="38">
        <f ca="1">SUMIFS(OFFSET(L$35,,,TotalMeasures),OFFSET($B$35,,,TotalMeasures),SUBSTITUTE($B31,"All","*"))</f>
        <v>17530</v>
      </c>
      <c r="M31" s="133"/>
      <c r="N31" s="132"/>
      <c r="O31" s="132"/>
      <c r="P31" s="37"/>
      <c r="Q31" s="129">
        <f t="shared" ref="Q31:S33" ca="1" si="217">SUMIFS(OFFSET(Q$35,,,TotalMeasures),OFFSET($B$35,,,TotalMeasures),SUBSTITUTE($B31,"All","*"))</f>
        <v>1831274.4109999996</v>
      </c>
      <c r="R31" s="129">
        <f t="shared" ca="1" si="217"/>
        <v>1831274.4109999996</v>
      </c>
      <c r="S31" s="129">
        <f t="shared" ca="1" si="217"/>
        <v>1831274.4109999996</v>
      </c>
      <c r="T31" s="37"/>
      <c r="U31" s="129">
        <f t="shared" ref="U31:W33" ca="1" si="218">SUMIFS(OFFSET(U$35,,,TotalMeasures),OFFSET($B$35,,,TotalMeasures),SUBSTITUTE($B31,"All","*"))</f>
        <v>0</v>
      </c>
      <c r="V31" s="129">
        <f t="shared" ca="1" si="218"/>
        <v>0</v>
      </c>
      <c r="W31" s="129">
        <f t="shared" ca="1" si="218"/>
        <v>0</v>
      </c>
      <c r="X31" s="37"/>
      <c r="Y31" s="129">
        <f t="shared" ref="Y31:AA33" ca="1" si="219">SUMIFS(OFFSET(Y$35,,,TotalMeasures),OFFSET($B$35,,,TotalMeasures),SUBSTITUTE($B31,"All","*"))</f>
        <v>397.78709299999991</v>
      </c>
      <c r="Z31" s="129">
        <f t="shared" ca="1" si="219"/>
        <v>397.78709299999991</v>
      </c>
      <c r="AA31" s="129">
        <f t="shared" ca="1" si="219"/>
        <v>397.78709299999991</v>
      </c>
      <c r="AB31" s="37"/>
      <c r="AC31" s="129">
        <f t="shared" ref="AC31:AE33" ca="1" si="220">SUMIFS(OFFSET(AC$35,,,TotalMeasures),OFFSET($B$35,,,TotalMeasures),SUBSTITUTE($B31,"All","*"))</f>
        <v>0</v>
      </c>
      <c r="AD31" s="129">
        <f t="shared" ca="1" si="220"/>
        <v>0</v>
      </c>
      <c r="AE31" s="129">
        <f t="shared" ca="1" si="220"/>
        <v>0</v>
      </c>
      <c r="AF31" s="37"/>
      <c r="AG31" s="97"/>
      <c r="AH31" s="97"/>
      <c r="AI31" s="97">
        <f t="shared" ref="AI31:AN33" ca="1" si="221">SUMIFS(OFFSET(AI$35,,,TotalMeasures),OFFSET($B$35,,,TotalMeasures),SUBSTITUTE($B31,"All","*"))</f>
        <v>26514685.080000002</v>
      </c>
      <c r="AJ31" s="100">
        <f t="shared" ca="1" si="221"/>
        <v>393851.27</v>
      </c>
      <c r="AK31" s="100">
        <f t="shared" ca="1" si="221"/>
        <v>0</v>
      </c>
      <c r="AL31" s="100">
        <f t="shared" ca="1" si="221"/>
        <v>0</v>
      </c>
      <c r="AM31" s="100">
        <f t="shared" ca="1" si="221"/>
        <v>0</v>
      </c>
      <c r="AN31" s="100">
        <f t="shared" ca="1" si="221"/>
        <v>212569.81034000003</v>
      </c>
      <c r="AO31" s="163"/>
      <c r="AP31" s="100">
        <f t="shared" ref="AP31:AP33" ca="1" si="222">AO31+AN31</f>
        <v>212569.81034000003</v>
      </c>
      <c r="AQ31" s="37"/>
      <c r="AR31" s="100">
        <f t="shared" ref="AR31:AT33" ca="1" si="223">SUMIFS(OFFSET(AR$35,,,TotalMeasures),OFFSET($B$35,,,TotalMeasures),SUBSTITUTE($B31,"All","*"))</f>
        <v>393851.27</v>
      </c>
      <c r="AS31" s="100">
        <f t="shared" ca="1" si="223"/>
        <v>186932.70937340346</v>
      </c>
      <c r="AT31" s="100">
        <f t="shared" ca="1" si="223"/>
        <v>212569.81034000003</v>
      </c>
      <c r="AU31" s="100">
        <f>SUMPRODUCT(--($CX$9:$EX$9=$H31)*$AO31,'General Inputs'!$K$40:$BK$40)</f>
        <v>0</v>
      </c>
      <c r="AV31" s="100">
        <f t="shared" ref="AV31:AY33" ca="1" si="224">SUMIFS(OFFSET(AV$35,,,TotalMeasures),OFFSET($B$35,,,TotalMeasures),SUBSTITUTE($B31,"All","*"))</f>
        <v>1830163.5674187532</v>
      </c>
      <c r="AW31" s="100">
        <f t="shared" ca="1" si="224"/>
        <v>741209.65362931858</v>
      </c>
      <c r="AX31" s="100">
        <f t="shared" ca="1" si="224"/>
        <v>61314.601773742652</v>
      </c>
      <c r="AY31" s="98">
        <f t="shared" ca="1" si="224"/>
        <v>15661514.885755748</v>
      </c>
      <c r="AZ31" s="37"/>
      <c r="BA31" s="100">
        <f t="shared" ref="BA31:BA33" ca="1" si="225">BD31-BC31</f>
        <v>408672.98540306126</v>
      </c>
      <c r="BB31" s="102">
        <f t="shared" ref="BB31:BB33" ca="1" si="226">BD31/BC31</f>
        <v>2.0376327729070449</v>
      </c>
      <c r="BC31" s="100">
        <f t="shared" ca="1" si="155"/>
        <v>393851.27</v>
      </c>
      <c r="BD31" s="100">
        <f t="shared" ca="1" si="156"/>
        <v>802524.25540306128</v>
      </c>
      <c r="BE31" s="100">
        <f t="shared" ref="BE31:BE33" ca="1" si="227">AW31</f>
        <v>741209.65362931858</v>
      </c>
      <c r="BF31" s="100">
        <f t="shared" ca="1" si="158"/>
        <v>61314.601773742652</v>
      </c>
      <c r="BG31" s="100">
        <f t="shared" ref="BG31:BG33" si="228">AU31</f>
        <v>0</v>
      </c>
      <c r="BH31" s="100">
        <f t="shared" ref="BH31:BH33" ca="1" si="229">AR31</f>
        <v>393851.27</v>
      </c>
      <c r="BI31" s="37"/>
      <c r="BJ31" s="100">
        <f t="shared" ref="BJ31:BJ33" ca="1" si="230">BM31-BL31</f>
        <v>595605.69477646472</v>
      </c>
      <c r="BK31" s="102">
        <f t="shared" ref="BK31:BK33" ca="1" si="231">BM31/BL31</f>
        <v>2.5122604397758188</v>
      </c>
      <c r="BL31" s="100">
        <f t="shared" ca="1" si="163"/>
        <v>393851.27</v>
      </c>
      <c r="BM31" s="100">
        <f t="shared" ca="1" si="164"/>
        <v>989456.96477646474</v>
      </c>
      <c r="BN31" s="100">
        <f t="shared" ref="BN31:BN33" ca="1" si="232">AW31</f>
        <v>741209.65362931858</v>
      </c>
      <c r="BO31" s="100">
        <f t="shared" ref="BO31:BO33" ca="1" si="233">AX31</f>
        <v>61314.601773742652</v>
      </c>
      <c r="BP31" s="100">
        <f t="shared" ref="BP31:BP33" ca="1" si="234">AS31</f>
        <v>186932.70937340346</v>
      </c>
      <c r="BQ31" s="100">
        <f t="shared" ref="BQ31:BQ33" si="235">AU31</f>
        <v>0</v>
      </c>
      <c r="BR31" s="100">
        <f t="shared" ref="BR31:BR33" ca="1" si="236">AR31</f>
        <v>393851.27</v>
      </c>
      <c r="BS31" s="37"/>
      <c r="BT31" s="100">
        <f t="shared" ref="BT31:BT33" ca="1" si="237">BX31-BW31</f>
        <v>1648882.1077587532</v>
      </c>
      <c r="BU31" s="102">
        <f t="shared" ref="BU31:BU33" ca="1" si="238">BX31/BW31</f>
        <v>5.1865603423311368</v>
      </c>
      <c r="BV31" s="102" t="e">
        <f t="shared" ref="BV31:BV33" ca="1" si="239">BW31/(BX31/AG31)</f>
        <v>#DIV/0!</v>
      </c>
      <c r="BW31" s="100">
        <f t="shared" ca="1" si="173"/>
        <v>393851.27</v>
      </c>
      <c r="BX31" s="100">
        <f t="shared" ca="1" si="174"/>
        <v>2042733.3777587533</v>
      </c>
      <c r="BY31" s="100">
        <f t="shared" ref="BY31:BY33" ca="1" si="240">AV31</f>
        <v>1830163.5674187532</v>
      </c>
      <c r="BZ31" s="100">
        <f t="shared" ref="BZ31:BZ33" ca="1" si="241">AT31</f>
        <v>212569.81034000003</v>
      </c>
      <c r="CA31" s="100">
        <f t="shared" ref="CA31:CA33" ca="1" si="242">AR31</f>
        <v>393851.27</v>
      </c>
      <c r="CB31" s="37"/>
      <c r="CC31" s="100">
        <f t="shared" ref="CC31:CC33" ca="1" si="243">CG31-CF31</f>
        <v>589954.44506306131</v>
      </c>
      <c r="CD31" s="102">
        <f t="shared" ref="CD31:CD33" ca="1" si="244">CG31/CF31</f>
        <v>3.7753444579897968</v>
      </c>
      <c r="CE31" s="103">
        <f t="shared" ref="CE31:CE33" ca="1" si="245">CF31/CONVERT($AY31,$Q$8,"kWh")/(1-$M31)</f>
        <v>1.35727489895204E-2</v>
      </c>
      <c r="CF31" s="100">
        <f t="shared" ca="1" si="181"/>
        <v>212569.81034000003</v>
      </c>
      <c r="CG31" s="100">
        <f t="shared" ca="1" si="182"/>
        <v>802524.25540306128</v>
      </c>
      <c r="CH31" s="100">
        <f t="shared" ref="CH31:CH33" ca="1" si="246">AW31</f>
        <v>741209.65362931858</v>
      </c>
      <c r="CI31" s="100">
        <f t="shared" ref="CI31:CI33" ca="1" si="247">AX31</f>
        <v>61314.601773742652</v>
      </c>
      <c r="CJ31" s="100">
        <f t="shared" ref="CJ31:CJ33" ca="1" si="248">AT31</f>
        <v>212569.81034000003</v>
      </c>
      <c r="CK31" s="100">
        <f t="shared" ref="CK31:CK33" si="249">AU31</f>
        <v>0</v>
      </c>
      <c r="CL31" s="37"/>
      <c r="CM31" s="100">
        <f t="shared" ref="CM31:CM33" ca="1" si="250">CQ31-CP31</f>
        <v>-1240209.1223556921</v>
      </c>
      <c r="CN31" s="102">
        <f t="shared" ref="CN31:CN33" ca="1" si="251">CQ31/CP31</f>
        <v>0.39286784273509795</v>
      </c>
      <c r="CO31" s="128"/>
      <c r="CP31" s="100">
        <f t="shared" ca="1" si="189"/>
        <v>2042733.3777587533</v>
      </c>
      <c r="CQ31" s="100">
        <f t="shared" ca="1" si="190"/>
        <v>802524.25540306128</v>
      </c>
      <c r="CR31" s="100">
        <f t="shared" ref="CR31:CR33" ca="1" si="252">AW31</f>
        <v>741209.65362931858</v>
      </c>
      <c r="CS31" s="100">
        <f t="shared" ref="CS31:CS33" ca="1" si="253">AX31</f>
        <v>61314.601773742652</v>
      </c>
      <c r="CT31" s="100">
        <f t="shared" ref="CT31:CT33" ca="1" si="254">AV31</f>
        <v>1830163.5674187532</v>
      </c>
      <c r="CU31" s="100">
        <f t="shared" ref="CU31:CU33" ca="1" si="255">AT31</f>
        <v>212569.81034000003</v>
      </c>
      <c r="CV31" s="100">
        <f t="shared" ref="CV31:CV33" si="256">AU31</f>
        <v>0</v>
      </c>
      <c r="CW31" s="37"/>
      <c r="CX31" s="48">
        <f t="shared" ref="CX31:DG33" ca="1" si="257">SUMIFS(OFFSET(CX$35,,,TotalMeasures),OFFSET($B$35,,,TotalMeasures),SUBSTITUTE($B31,"All","*"))</f>
        <v>1831274.4109999996</v>
      </c>
      <c r="CY31" s="48">
        <f t="shared" ca="1" si="257"/>
        <v>1831274.4109999996</v>
      </c>
      <c r="CZ31" s="48">
        <f t="shared" ca="1" si="257"/>
        <v>1831274.4109999996</v>
      </c>
      <c r="DA31" s="48">
        <f t="shared" ca="1" si="257"/>
        <v>1831274.4109999996</v>
      </c>
      <c r="DB31" s="48">
        <f t="shared" ca="1" si="257"/>
        <v>1831274.4109999996</v>
      </c>
      <c r="DC31" s="48">
        <f t="shared" ca="1" si="257"/>
        <v>1831274.4109999996</v>
      </c>
      <c r="DD31" s="48">
        <f t="shared" ca="1" si="257"/>
        <v>1831274.4109999996</v>
      </c>
      <c r="DE31" s="48">
        <f t="shared" ca="1" si="257"/>
        <v>1831274.4109999996</v>
      </c>
      <c r="DF31" s="48">
        <f t="shared" ca="1" si="257"/>
        <v>1483061.2239999995</v>
      </c>
      <c r="DG31" s="48">
        <f t="shared" ca="1" si="257"/>
        <v>1483061.2239999995</v>
      </c>
      <c r="DH31" s="48">
        <f t="shared" ref="DH31:DQ33" ca="1" si="258">SUMIFS(OFFSET(DH$35,,,TotalMeasures),OFFSET($B$35,,,TotalMeasures),SUBSTITUTE($B31,"All","*"))</f>
        <v>1483061.2239999995</v>
      </c>
      <c r="DI31" s="48">
        <f t="shared" ca="1" si="258"/>
        <v>1483061.2239999995</v>
      </c>
      <c r="DJ31" s="48">
        <f t="shared" ca="1" si="258"/>
        <v>1483061.2239999995</v>
      </c>
      <c r="DK31" s="48">
        <f t="shared" ca="1" si="258"/>
        <v>1483061.2239999995</v>
      </c>
      <c r="DL31" s="48">
        <f t="shared" ca="1" si="258"/>
        <v>1483061.2239999995</v>
      </c>
      <c r="DM31" s="48">
        <f t="shared" ca="1" si="258"/>
        <v>1483061.2239999995</v>
      </c>
      <c r="DN31" s="48">
        <f t="shared" ca="1" si="258"/>
        <v>0</v>
      </c>
      <c r="DO31" s="48">
        <f t="shared" ca="1" si="258"/>
        <v>0</v>
      </c>
      <c r="DP31" s="48">
        <f t="shared" ca="1" si="258"/>
        <v>0</v>
      </c>
      <c r="DQ31" s="48">
        <f t="shared" ca="1" si="258"/>
        <v>0</v>
      </c>
      <c r="DR31" s="48">
        <f t="shared" ref="DR31:EA33" ca="1" si="259">SUMIFS(OFFSET(DR$35,,,TotalMeasures),OFFSET($B$35,,,TotalMeasures),SUBSTITUTE($B31,"All","*"))</f>
        <v>0</v>
      </c>
      <c r="DS31" s="48">
        <f t="shared" ca="1" si="259"/>
        <v>0</v>
      </c>
      <c r="DT31" s="48">
        <f t="shared" ca="1" si="259"/>
        <v>0</v>
      </c>
      <c r="DU31" s="48">
        <f t="shared" ca="1" si="259"/>
        <v>0</v>
      </c>
      <c r="DV31" s="48">
        <f t="shared" ca="1" si="259"/>
        <v>0</v>
      </c>
      <c r="DW31" s="48">
        <f t="shared" ca="1" si="259"/>
        <v>0</v>
      </c>
      <c r="DX31" s="48">
        <f t="shared" ca="1" si="259"/>
        <v>0</v>
      </c>
      <c r="DY31" s="48">
        <f t="shared" ca="1" si="259"/>
        <v>0</v>
      </c>
      <c r="DZ31" s="48">
        <f t="shared" ca="1" si="259"/>
        <v>0</v>
      </c>
      <c r="EA31" s="48">
        <f t="shared" ca="1" si="259"/>
        <v>0</v>
      </c>
      <c r="EB31" s="48">
        <f t="shared" ref="EB31:EK33" ca="1" si="260">SUMIFS(OFFSET(EB$35,,,TotalMeasures),OFFSET($B$35,,,TotalMeasures),SUBSTITUTE($B31,"All","*"))</f>
        <v>0</v>
      </c>
      <c r="EC31" s="48">
        <f t="shared" ca="1" si="260"/>
        <v>0</v>
      </c>
      <c r="ED31" s="48">
        <f t="shared" ca="1" si="260"/>
        <v>0</v>
      </c>
      <c r="EE31" s="48">
        <f t="shared" ca="1" si="260"/>
        <v>0</v>
      </c>
      <c r="EF31" s="48">
        <f t="shared" ca="1" si="260"/>
        <v>0</v>
      </c>
      <c r="EG31" s="48">
        <f t="shared" ca="1" si="260"/>
        <v>0</v>
      </c>
      <c r="EH31" s="48">
        <f t="shared" ca="1" si="260"/>
        <v>0</v>
      </c>
      <c r="EI31" s="48">
        <f t="shared" ca="1" si="260"/>
        <v>0</v>
      </c>
      <c r="EJ31" s="48">
        <f t="shared" ca="1" si="260"/>
        <v>0</v>
      </c>
      <c r="EK31" s="48">
        <f t="shared" ca="1" si="260"/>
        <v>0</v>
      </c>
      <c r="EL31" s="48">
        <f t="shared" ref="EL31:EX33" ca="1" si="261">SUMIFS(OFFSET(EL$35,,,TotalMeasures),OFFSET($B$35,,,TotalMeasures),SUBSTITUTE($B31,"All","*"))</f>
        <v>0</v>
      </c>
      <c r="EM31" s="48">
        <f t="shared" ca="1" si="261"/>
        <v>0</v>
      </c>
      <c r="EN31" s="48">
        <f t="shared" ca="1" si="261"/>
        <v>0</v>
      </c>
      <c r="EO31" s="48">
        <f t="shared" ca="1" si="261"/>
        <v>0</v>
      </c>
      <c r="EP31" s="48">
        <f t="shared" ca="1" si="261"/>
        <v>0</v>
      </c>
      <c r="EQ31" s="48">
        <f t="shared" ca="1" si="261"/>
        <v>0</v>
      </c>
      <c r="ER31" s="48">
        <f t="shared" ca="1" si="261"/>
        <v>0</v>
      </c>
      <c r="ES31" s="48">
        <f t="shared" ca="1" si="261"/>
        <v>0</v>
      </c>
      <c r="ET31" s="48">
        <f t="shared" ca="1" si="261"/>
        <v>0</v>
      </c>
      <c r="EU31" s="48">
        <f t="shared" ca="1" si="261"/>
        <v>0</v>
      </c>
      <c r="EV31" s="48">
        <f t="shared" ca="1" si="261"/>
        <v>0</v>
      </c>
      <c r="EW31" s="48">
        <f t="shared" ca="1" si="261"/>
        <v>0</v>
      </c>
      <c r="EX31" s="48">
        <f t="shared" ca="1" si="261"/>
        <v>0</v>
      </c>
      <c r="EY31" s="69"/>
      <c r="EZ31" s="48">
        <f t="shared" ref="EZ31:FI33" ca="1" si="262">SUMIFS(OFFSET(EZ$35,,,TotalMeasures),OFFSET($B$35,,,TotalMeasures),SUBSTITUTE($B31,"All","*"))</f>
        <v>397.78709299999991</v>
      </c>
      <c r="FA31" s="48">
        <f t="shared" ca="1" si="262"/>
        <v>397.78709299999991</v>
      </c>
      <c r="FB31" s="48">
        <f t="shared" ca="1" si="262"/>
        <v>397.78709299999991</v>
      </c>
      <c r="FC31" s="48">
        <f t="shared" ca="1" si="262"/>
        <v>397.78709299999991</v>
      </c>
      <c r="FD31" s="48">
        <f t="shared" ca="1" si="262"/>
        <v>397.78709299999991</v>
      </c>
      <c r="FE31" s="48">
        <f t="shared" ca="1" si="262"/>
        <v>397.78709299999991</v>
      </c>
      <c r="FF31" s="48">
        <f t="shared" ca="1" si="262"/>
        <v>397.78709299999991</v>
      </c>
      <c r="FG31" s="48">
        <f t="shared" ca="1" si="262"/>
        <v>397.78709299999991</v>
      </c>
      <c r="FH31" s="48">
        <f t="shared" ca="1" si="262"/>
        <v>334.88795499999992</v>
      </c>
      <c r="FI31" s="48">
        <f t="shared" ca="1" si="262"/>
        <v>334.88795499999992</v>
      </c>
      <c r="FJ31" s="48">
        <f t="shared" ref="FJ31:FS33" ca="1" si="263">SUMIFS(OFFSET(FJ$35,,,TotalMeasures),OFFSET($B$35,,,TotalMeasures),SUBSTITUTE($B31,"All","*"))</f>
        <v>334.88795499999992</v>
      </c>
      <c r="FK31" s="48">
        <f t="shared" ca="1" si="263"/>
        <v>334.88795499999992</v>
      </c>
      <c r="FL31" s="48">
        <f t="shared" ca="1" si="263"/>
        <v>334.88795499999992</v>
      </c>
      <c r="FM31" s="48">
        <f t="shared" ca="1" si="263"/>
        <v>334.88795499999992</v>
      </c>
      <c r="FN31" s="48">
        <f t="shared" ca="1" si="263"/>
        <v>334.88795499999992</v>
      </c>
      <c r="FO31" s="48">
        <f t="shared" ca="1" si="263"/>
        <v>334.88795499999992</v>
      </c>
      <c r="FP31" s="48">
        <f t="shared" ca="1" si="263"/>
        <v>0</v>
      </c>
      <c r="FQ31" s="48">
        <f t="shared" ca="1" si="263"/>
        <v>0</v>
      </c>
      <c r="FR31" s="48">
        <f t="shared" ca="1" si="263"/>
        <v>0</v>
      </c>
      <c r="FS31" s="48">
        <f t="shared" ca="1" si="263"/>
        <v>0</v>
      </c>
      <c r="FT31" s="48">
        <f t="shared" ref="FT31:GC33" ca="1" si="264">SUMIFS(OFFSET(FT$35,,,TotalMeasures),OFFSET($B$35,,,TotalMeasures),SUBSTITUTE($B31,"All","*"))</f>
        <v>0</v>
      </c>
      <c r="FU31" s="48">
        <f t="shared" ca="1" si="264"/>
        <v>0</v>
      </c>
      <c r="FV31" s="48">
        <f t="shared" ca="1" si="264"/>
        <v>0</v>
      </c>
      <c r="FW31" s="48">
        <f t="shared" ca="1" si="264"/>
        <v>0</v>
      </c>
      <c r="FX31" s="48">
        <f t="shared" ca="1" si="264"/>
        <v>0</v>
      </c>
      <c r="FY31" s="48">
        <f t="shared" ca="1" si="264"/>
        <v>0</v>
      </c>
      <c r="FZ31" s="48">
        <f t="shared" ca="1" si="264"/>
        <v>0</v>
      </c>
      <c r="GA31" s="48">
        <f t="shared" ca="1" si="264"/>
        <v>0</v>
      </c>
      <c r="GB31" s="48">
        <f t="shared" ca="1" si="264"/>
        <v>0</v>
      </c>
      <c r="GC31" s="48">
        <f t="shared" ca="1" si="264"/>
        <v>0</v>
      </c>
      <c r="GD31" s="48">
        <f t="shared" ref="GD31:GM33" ca="1" si="265">SUMIFS(OFFSET(GD$35,,,TotalMeasures),OFFSET($B$35,,,TotalMeasures),SUBSTITUTE($B31,"All","*"))</f>
        <v>0</v>
      </c>
      <c r="GE31" s="48">
        <f t="shared" ca="1" si="265"/>
        <v>0</v>
      </c>
      <c r="GF31" s="48">
        <f t="shared" ca="1" si="265"/>
        <v>0</v>
      </c>
      <c r="GG31" s="48">
        <f t="shared" ca="1" si="265"/>
        <v>0</v>
      </c>
      <c r="GH31" s="48">
        <f t="shared" ca="1" si="265"/>
        <v>0</v>
      </c>
      <c r="GI31" s="48">
        <f t="shared" ca="1" si="265"/>
        <v>0</v>
      </c>
      <c r="GJ31" s="48">
        <f t="shared" ca="1" si="265"/>
        <v>0</v>
      </c>
      <c r="GK31" s="48">
        <f t="shared" ca="1" si="265"/>
        <v>0</v>
      </c>
      <c r="GL31" s="48">
        <f t="shared" ca="1" si="265"/>
        <v>0</v>
      </c>
      <c r="GM31" s="48">
        <f t="shared" ca="1" si="265"/>
        <v>0</v>
      </c>
      <c r="GN31" s="48">
        <f t="shared" ref="GN31:GZ33" ca="1" si="266">SUMIFS(OFFSET(GN$35,,,TotalMeasures),OFFSET($B$35,,,TotalMeasures),SUBSTITUTE($B31,"All","*"))</f>
        <v>0</v>
      </c>
      <c r="GO31" s="48">
        <f t="shared" ca="1" si="266"/>
        <v>0</v>
      </c>
      <c r="GP31" s="48">
        <f t="shared" ca="1" si="266"/>
        <v>0</v>
      </c>
      <c r="GQ31" s="48">
        <f t="shared" ca="1" si="266"/>
        <v>0</v>
      </c>
      <c r="GR31" s="48">
        <f t="shared" ca="1" si="266"/>
        <v>0</v>
      </c>
      <c r="GS31" s="48">
        <f t="shared" ca="1" si="266"/>
        <v>0</v>
      </c>
      <c r="GT31" s="48">
        <f t="shared" ca="1" si="266"/>
        <v>0</v>
      </c>
      <c r="GU31" s="48">
        <f t="shared" ca="1" si="266"/>
        <v>0</v>
      </c>
      <c r="GV31" s="48">
        <f t="shared" ca="1" si="266"/>
        <v>0</v>
      </c>
      <c r="GW31" s="48">
        <f t="shared" ca="1" si="266"/>
        <v>0</v>
      </c>
      <c r="GX31" s="48">
        <f t="shared" ca="1" si="266"/>
        <v>0</v>
      </c>
      <c r="GY31" s="48">
        <f t="shared" ca="1" si="266"/>
        <v>0</v>
      </c>
      <c r="GZ31" s="48">
        <f t="shared" ca="1" si="266"/>
        <v>0</v>
      </c>
      <c r="HA31" s="69"/>
      <c r="HB31" s="150">
        <f t="shared" ref="HB31:HB33" ca="1" si="267">IFERROR(BB31,"n/a")</f>
        <v>2.0376327729070449</v>
      </c>
      <c r="HC31" s="150">
        <f t="shared" ref="HC31:HC33" ca="1" si="268">IFERROR(CD31,"n/a")</f>
        <v>3.7753444579897968</v>
      </c>
      <c r="HD31" s="150">
        <f t="shared" ref="HD31:HD33" ca="1" si="269">IFERROR(BK31,"n/a")</f>
        <v>2.5122604397758188</v>
      </c>
      <c r="HE31" s="150">
        <f t="shared" ref="HE31:HE33" ca="1" si="270">IFERROR(BU31,"n/a")</f>
        <v>5.1865603423311368</v>
      </c>
      <c r="HF31" s="150">
        <f t="shared" ref="HF31:HF33" ca="1" si="271">IFERROR(CN31,"n/a")</f>
        <v>0.39286784273509795</v>
      </c>
      <c r="HG31" s="148"/>
      <c r="HH31" s="149"/>
      <c r="HI31" s="149"/>
      <c r="HJ31" s="149"/>
      <c r="HK31" s="150"/>
      <c r="HL31" s="149"/>
      <c r="HM31" s="149"/>
      <c r="HN31" s="149"/>
      <c r="HO31" s="150"/>
      <c r="HP31" s="148"/>
      <c r="HQ31" s="149"/>
      <c r="HR31" s="149"/>
      <c r="HS31" s="149"/>
      <c r="HT31" s="150"/>
      <c r="HU31" s="149"/>
      <c r="HV31" s="149"/>
      <c r="HW31" s="149"/>
      <c r="HX31" s="150"/>
      <c r="HY31" s="151"/>
      <c r="HZ31" s="150"/>
      <c r="IA31" s="150"/>
      <c r="IB31" s="152"/>
      <c r="IC31" s="150"/>
      <c r="ID31" s="152"/>
      <c r="IE31" s="150"/>
      <c r="IF31" s="153"/>
    </row>
    <row r="32" spans="1:240" s="36" customFormat="1" ht="14.4" customHeight="1">
      <c r="A32" s="39"/>
      <c r="B32" s="108" t="str">
        <f t="shared" si="216"/>
        <v>C&amp;I_C&amp;I Prescriptive_HVAC_All_2017_Actual</v>
      </c>
      <c r="C32" s="108"/>
      <c r="D32" s="109" t="s">
        <v>142</v>
      </c>
      <c r="E32" s="109" t="s">
        <v>228</v>
      </c>
      <c r="F32" s="109" t="s">
        <v>85</v>
      </c>
      <c r="G32" s="109" t="s">
        <v>28</v>
      </c>
      <c r="H32" s="109">
        <v>2017</v>
      </c>
      <c r="I32" s="109" t="s">
        <v>167</v>
      </c>
      <c r="J32" s="37"/>
      <c r="K32" s="99"/>
      <c r="L32" s="38">
        <f ca="1">SUMIFS(OFFSET(L$35,,,TotalMeasures),OFFSET($B$35,,,TotalMeasures),SUBSTITUTE($B32,"All","*"))</f>
        <v>0</v>
      </c>
      <c r="M32" s="133"/>
      <c r="N32" s="132"/>
      <c r="O32" s="132"/>
      <c r="P32" s="37"/>
      <c r="Q32" s="129">
        <f t="shared" ca="1" si="217"/>
        <v>0</v>
      </c>
      <c r="R32" s="129">
        <f t="shared" ca="1" si="217"/>
        <v>0</v>
      </c>
      <c r="S32" s="129">
        <f t="shared" ca="1" si="217"/>
        <v>0</v>
      </c>
      <c r="T32" s="37"/>
      <c r="U32" s="129">
        <f t="shared" ca="1" si="218"/>
        <v>0</v>
      </c>
      <c r="V32" s="129">
        <f t="shared" ca="1" si="218"/>
        <v>0</v>
      </c>
      <c r="W32" s="129">
        <f t="shared" ca="1" si="218"/>
        <v>0</v>
      </c>
      <c r="X32" s="37"/>
      <c r="Y32" s="129">
        <f t="shared" ca="1" si="219"/>
        <v>0</v>
      </c>
      <c r="Z32" s="129">
        <f t="shared" ca="1" si="219"/>
        <v>0</v>
      </c>
      <c r="AA32" s="129">
        <f t="shared" ca="1" si="219"/>
        <v>0</v>
      </c>
      <c r="AB32" s="37"/>
      <c r="AC32" s="129">
        <f t="shared" ca="1" si="220"/>
        <v>0</v>
      </c>
      <c r="AD32" s="129">
        <f t="shared" ca="1" si="220"/>
        <v>0</v>
      </c>
      <c r="AE32" s="129">
        <f t="shared" ca="1" si="220"/>
        <v>0</v>
      </c>
      <c r="AF32" s="37"/>
      <c r="AG32" s="97"/>
      <c r="AH32" s="97"/>
      <c r="AI32" s="97">
        <f t="shared" ca="1" si="221"/>
        <v>0</v>
      </c>
      <c r="AJ32" s="100">
        <f t="shared" ca="1" si="221"/>
        <v>0</v>
      </c>
      <c r="AK32" s="100">
        <f t="shared" ca="1" si="221"/>
        <v>0</v>
      </c>
      <c r="AL32" s="100">
        <f t="shared" ca="1" si="221"/>
        <v>0</v>
      </c>
      <c r="AM32" s="100">
        <f t="shared" ca="1" si="221"/>
        <v>0</v>
      </c>
      <c r="AN32" s="100">
        <f t="shared" ca="1" si="221"/>
        <v>0</v>
      </c>
      <c r="AO32" s="163"/>
      <c r="AP32" s="100">
        <f t="shared" ca="1" si="222"/>
        <v>0</v>
      </c>
      <c r="AQ32" s="37"/>
      <c r="AR32" s="100">
        <f t="shared" ca="1" si="223"/>
        <v>0</v>
      </c>
      <c r="AS32" s="100">
        <f t="shared" ca="1" si="223"/>
        <v>0</v>
      </c>
      <c r="AT32" s="100">
        <f t="shared" ca="1" si="223"/>
        <v>0</v>
      </c>
      <c r="AU32" s="100">
        <f>SUMPRODUCT(--($CX$9:$EX$9=$H32)*$AO32,'General Inputs'!$K$40:$BK$40)</f>
        <v>0</v>
      </c>
      <c r="AV32" s="100">
        <f t="shared" ca="1" si="224"/>
        <v>0</v>
      </c>
      <c r="AW32" s="100">
        <f t="shared" ca="1" si="224"/>
        <v>0</v>
      </c>
      <c r="AX32" s="100">
        <f t="shared" ca="1" si="224"/>
        <v>0</v>
      </c>
      <c r="AY32" s="98">
        <f t="shared" ca="1" si="224"/>
        <v>0</v>
      </c>
      <c r="AZ32" s="37"/>
      <c r="BA32" s="100">
        <f t="shared" ca="1" si="225"/>
        <v>0</v>
      </c>
      <c r="BB32" s="102" t="e">
        <f t="shared" ca="1" si="226"/>
        <v>#DIV/0!</v>
      </c>
      <c r="BC32" s="100">
        <f t="shared" ca="1" si="155"/>
        <v>0</v>
      </c>
      <c r="BD32" s="100">
        <f t="shared" ca="1" si="156"/>
        <v>0</v>
      </c>
      <c r="BE32" s="100">
        <f t="shared" ca="1" si="227"/>
        <v>0</v>
      </c>
      <c r="BF32" s="100">
        <f t="shared" ca="1" si="158"/>
        <v>0</v>
      </c>
      <c r="BG32" s="100">
        <f t="shared" si="228"/>
        <v>0</v>
      </c>
      <c r="BH32" s="100">
        <f t="shared" ca="1" si="229"/>
        <v>0</v>
      </c>
      <c r="BI32" s="37"/>
      <c r="BJ32" s="100">
        <f t="shared" ca="1" si="230"/>
        <v>0</v>
      </c>
      <c r="BK32" s="102" t="e">
        <f t="shared" ca="1" si="231"/>
        <v>#DIV/0!</v>
      </c>
      <c r="BL32" s="100">
        <f t="shared" ca="1" si="163"/>
        <v>0</v>
      </c>
      <c r="BM32" s="100">
        <f t="shared" ca="1" si="164"/>
        <v>0</v>
      </c>
      <c r="BN32" s="100">
        <f t="shared" ca="1" si="232"/>
        <v>0</v>
      </c>
      <c r="BO32" s="100">
        <f t="shared" ca="1" si="233"/>
        <v>0</v>
      </c>
      <c r="BP32" s="100">
        <f t="shared" ca="1" si="234"/>
        <v>0</v>
      </c>
      <c r="BQ32" s="100">
        <f t="shared" si="235"/>
        <v>0</v>
      </c>
      <c r="BR32" s="100">
        <f t="shared" ca="1" si="236"/>
        <v>0</v>
      </c>
      <c r="BS32" s="37"/>
      <c r="BT32" s="100">
        <f t="shared" ca="1" si="237"/>
        <v>0</v>
      </c>
      <c r="BU32" s="102" t="e">
        <f t="shared" ca="1" si="238"/>
        <v>#DIV/0!</v>
      </c>
      <c r="BV32" s="102" t="e">
        <f t="shared" ca="1" si="239"/>
        <v>#DIV/0!</v>
      </c>
      <c r="BW32" s="100">
        <f t="shared" ca="1" si="173"/>
        <v>0</v>
      </c>
      <c r="BX32" s="100">
        <f t="shared" ca="1" si="174"/>
        <v>0</v>
      </c>
      <c r="BY32" s="100">
        <f t="shared" ca="1" si="240"/>
        <v>0</v>
      </c>
      <c r="BZ32" s="100">
        <f t="shared" ca="1" si="241"/>
        <v>0</v>
      </c>
      <c r="CA32" s="100">
        <f t="shared" ca="1" si="242"/>
        <v>0</v>
      </c>
      <c r="CB32" s="37"/>
      <c r="CC32" s="100">
        <f t="shared" ca="1" si="243"/>
        <v>0</v>
      </c>
      <c r="CD32" s="102" t="e">
        <f t="shared" ca="1" si="244"/>
        <v>#DIV/0!</v>
      </c>
      <c r="CE32" s="103" t="e">
        <f t="shared" ca="1" si="245"/>
        <v>#DIV/0!</v>
      </c>
      <c r="CF32" s="100">
        <f t="shared" ca="1" si="181"/>
        <v>0</v>
      </c>
      <c r="CG32" s="100">
        <f t="shared" ca="1" si="182"/>
        <v>0</v>
      </c>
      <c r="CH32" s="100">
        <f t="shared" ca="1" si="246"/>
        <v>0</v>
      </c>
      <c r="CI32" s="100">
        <f t="shared" ca="1" si="247"/>
        <v>0</v>
      </c>
      <c r="CJ32" s="100">
        <f t="shared" ca="1" si="248"/>
        <v>0</v>
      </c>
      <c r="CK32" s="100">
        <f t="shared" si="249"/>
        <v>0</v>
      </c>
      <c r="CL32" s="37"/>
      <c r="CM32" s="100">
        <f t="shared" ca="1" si="250"/>
        <v>0</v>
      </c>
      <c r="CN32" s="102" t="e">
        <f t="shared" ca="1" si="251"/>
        <v>#DIV/0!</v>
      </c>
      <c r="CO32" s="128"/>
      <c r="CP32" s="100">
        <f t="shared" ca="1" si="189"/>
        <v>0</v>
      </c>
      <c r="CQ32" s="100">
        <f t="shared" ca="1" si="190"/>
        <v>0</v>
      </c>
      <c r="CR32" s="100">
        <f t="shared" ca="1" si="252"/>
        <v>0</v>
      </c>
      <c r="CS32" s="100">
        <f t="shared" ca="1" si="253"/>
        <v>0</v>
      </c>
      <c r="CT32" s="100">
        <f t="shared" ca="1" si="254"/>
        <v>0</v>
      </c>
      <c r="CU32" s="100">
        <f t="shared" ca="1" si="255"/>
        <v>0</v>
      </c>
      <c r="CV32" s="100">
        <f t="shared" si="256"/>
        <v>0</v>
      </c>
      <c r="CW32" s="37"/>
      <c r="CX32" s="48">
        <f t="shared" ca="1" si="257"/>
        <v>0</v>
      </c>
      <c r="CY32" s="48">
        <f t="shared" ca="1" si="257"/>
        <v>0</v>
      </c>
      <c r="CZ32" s="48">
        <f t="shared" ca="1" si="257"/>
        <v>0</v>
      </c>
      <c r="DA32" s="48">
        <f t="shared" ca="1" si="257"/>
        <v>0</v>
      </c>
      <c r="DB32" s="48">
        <f t="shared" ca="1" si="257"/>
        <v>0</v>
      </c>
      <c r="DC32" s="48">
        <f t="shared" ca="1" si="257"/>
        <v>0</v>
      </c>
      <c r="DD32" s="48">
        <f t="shared" ca="1" si="257"/>
        <v>0</v>
      </c>
      <c r="DE32" s="48">
        <f t="shared" ca="1" si="257"/>
        <v>0</v>
      </c>
      <c r="DF32" s="48">
        <f t="shared" ca="1" si="257"/>
        <v>0</v>
      </c>
      <c r="DG32" s="48">
        <f t="shared" ca="1" si="257"/>
        <v>0</v>
      </c>
      <c r="DH32" s="48">
        <f t="shared" ca="1" si="258"/>
        <v>0</v>
      </c>
      <c r="DI32" s="48">
        <f t="shared" ca="1" si="258"/>
        <v>0</v>
      </c>
      <c r="DJ32" s="48">
        <f t="shared" ca="1" si="258"/>
        <v>0</v>
      </c>
      <c r="DK32" s="48">
        <f t="shared" ca="1" si="258"/>
        <v>0</v>
      </c>
      <c r="DL32" s="48">
        <f t="shared" ca="1" si="258"/>
        <v>0</v>
      </c>
      <c r="DM32" s="48">
        <f t="shared" ca="1" si="258"/>
        <v>0</v>
      </c>
      <c r="DN32" s="48">
        <f t="shared" ca="1" si="258"/>
        <v>0</v>
      </c>
      <c r="DO32" s="48">
        <f t="shared" ca="1" si="258"/>
        <v>0</v>
      </c>
      <c r="DP32" s="48">
        <f t="shared" ca="1" si="258"/>
        <v>0</v>
      </c>
      <c r="DQ32" s="48">
        <f t="shared" ca="1" si="258"/>
        <v>0</v>
      </c>
      <c r="DR32" s="48">
        <f t="shared" ca="1" si="259"/>
        <v>0</v>
      </c>
      <c r="DS32" s="48">
        <f t="shared" ca="1" si="259"/>
        <v>0</v>
      </c>
      <c r="DT32" s="48">
        <f t="shared" ca="1" si="259"/>
        <v>0</v>
      </c>
      <c r="DU32" s="48">
        <f t="shared" ca="1" si="259"/>
        <v>0</v>
      </c>
      <c r="DV32" s="48">
        <f t="shared" ca="1" si="259"/>
        <v>0</v>
      </c>
      <c r="DW32" s="48">
        <f t="shared" ca="1" si="259"/>
        <v>0</v>
      </c>
      <c r="DX32" s="48">
        <f t="shared" ca="1" si="259"/>
        <v>0</v>
      </c>
      <c r="DY32" s="48">
        <f t="shared" ca="1" si="259"/>
        <v>0</v>
      </c>
      <c r="DZ32" s="48">
        <f t="shared" ca="1" si="259"/>
        <v>0</v>
      </c>
      <c r="EA32" s="48">
        <f t="shared" ca="1" si="259"/>
        <v>0</v>
      </c>
      <c r="EB32" s="48">
        <f t="shared" ca="1" si="260"/>
        <v>0</v>
      </c>
      <c r="EC32" s="48">
        <f t="shared" ca="1" si="260"/>
        <v>0</v>
      </c>
      <c r="ED32" s="48">
        <f t="shared" ca="1" si="260"/>
        <v>0</v>
      </c>
      <c r="EE32" s="48">
        <f t="shared" ca="1" si="260"/>
        <v>0</v>
      </c>
      <c r="EF32" s="48">
        <f t="shared" ca="1" si="260"/>
        <v>0</v>
      </c>
      <c r="EG32" s="48">
        <f t="shared" ca="1" si="260"/>
        <v>0</v>
      </c>
      <c r="EH32" s="48">
        <f t="shared" ca="1" si="260"/>
        <v>0</v>
      </c>
      <c r="EI32" s="48">
        <f t="shared" ca="1" si="260"/>
        <v>0</v>
      </c>
      <c r="EJ32" s="48">
        <f t="shared" ca="1" si="260"/>
        <v>0</v>
      </c>
      <c r="EK32" s="48">
        <f t="shared" ca="1" si="260"/>
        <v>0</v>
      </c>
      <c r="EL32" s="48">
        <f t="shared" ca="1" si="261"/>
        <v>0</v>
      </c>
      <c r="EM32" s="48">
        <f t="shared" ca="1" si="261"/>
        <v>0</v>
      </c>
      <c r="EN32" s="48">
        <f t="shared" ca="1" si="261"/>
        <v>0</v>
      </c>
      <c r="EO32" s="48">
        <f t="shared" ca="1" si="261"/>
        <v>0</v>
      </c>
      <c r="EP32" s="48">
        <f t="shared" ca="1" si="261"/>
        <v>0</v>
      </c>
      <c r="EQ32" s="48">
        <f t="shared" ca="1" si="261"/>
        <v>0</v>
      </c>
      <c r="ER32" s="48">
        <f t="shared" ca="1" si="261"/>
        <v>0</v>
      </c>
      <c r="ES32" s="48">
        <f t="shared" ca="1" si="261"/>
        <v>0</v>
      </c>
      <c r="ET32" s="48">
        <f t="shared" ca="1" si="261"/>
        <v>0</v>
      </c>
      <c r="EU32" s="48">
        <f t="shared" ca="1" si="261"/>
        <v>0</v>
      </c>
      <c r="EV32" s="48">
        <f t="shared" ca="1" si="261"/>
        <v>0</v>
      </c>
      <c r="EW32" s="48">
        <f t="shared" ca="1" si="261"/>
        <v>0</v>
      </c>
      <c r="EX32" s="48">
        <f t="shared" ca="1" si="261"/>
        <v>0</v>
      </c>
      <c r="EY32" s="69"/>
      <c r="EZ32" s="48">
        <f t="shared" ca="1" si="262"/>
        <v>0</v>
      </c>
      <c r="FA32" s="48">
        <f t="shared" ca="1" si="262"/>
        <v>0</v>
      </c>
      <c r="FB32" s="48">
        <f t="shared" ca="1" si="262"/>
        <v>0</v>
      </c>
      <c r="FC32" s="48">
        <f t="shared" ca="1" si="262"/>
        <v>0</v>
      </c>
      <c r="FD32" s="48">
        <f t="shared" ca="1" si="262"/>
        <v>0</v>
      </c>
      <c r="FE32" s="48">
        <f t="shared" ca="1" si="262"/>
        <v>0</v>
      </c>
      <c r="FF32" s="48">
        <f t="shared" ca="1" si="262"/>
        <v>0</v>
      </c>
      <c r="FG32" s="48">
        <f t="shared" ca="1" si="262"/>
        <v>0</v>
      </c>
      <c r="FH32" s="48">
        <f t="shared" ca="1" si="262"/>
        <v>0</v>
      </c>
      <c r="FI32" s="48">
        <f t="shared" ca="1" si="262"/>
        <v>0</v>
      </c>
      <c r="FJ32" s="48">
        <f t="shared" ca="1" si="263"/>
        <v>0</v>
      </c>
      <c r="FK32" s="48">
        <f t="shared" ca="1" si="263"/>
        <v>0</v>
      </c>
      <c r="FL32" s="48">
        <f t="shared" ca="1" si="263"/>
        <v>0</v>
      </c>
      <c r="FM32" s="48">
        <f t="shared" ca="1" si="263"/>
        <v>0</v>
      </c>
      <c r="FN32" s="48">
        <f t="shared" ca="1" si="263"/>
        <v>0</v>
      </c>
      <c r="FO32" s="48">
        <f t="shared" ca="1" si="263"/>
        <v>0</v>
      </c>
      <c r="FP32" s="48">
        <f t="shared" ca="1" si="263"/>
        <v>0</v>
      </c>
      <c r="FQ32" s="48">
        <f t="shared" ca="1" si="263"/>
        <v>0</v>
      </c>
      <c r="FR32" s="48">
        <f t="shared" ca="1" si="263"/>
        <v>0</v>
      </c>
      <c r="FS32" s="48">
        <f t="shared" ca="1" si="263"/>
        <v>0</v>
      </c>
      <c r="FT32" s="48">
        <f t="shared" ca="1" si="264"/>
        <v>0</v>
      </c>
      <c r="FU32" s="48">
        <f t="shared" ca="1" si="264"/>
        <v>0</v>
      </c>
      <c r="FV32" s="48">
        <f t="shared" ca="1" si="264"/>
        <v>0</v>
      </c>
      <c r="FW32" s="48">
        <f t="shared" ca="1" si="264"/>
        <v>0</v>
      </c>
      <c r="FX32" s="48">
        <f t="shared" ca="1" si="264"/>
        <v>0</v>
      </c>
      <c r="FY32" s="48">
        <f t="shared" ca="1" si="264"/>
        <v>0</v>
      </c>
      <c r="FZ32" s="48">
        <f t="shared" ca="1" si="264"/>
        <v>0</v>
      </c>
      <c r="GA32" s="48">
        <f t="shared" ca="1" si="264"/>
        <v>0</v>
      </c>
      <c r="GB32" s="48">
        <f t="shared" ca="1" si="264"/>
        <v>0</v>
      </c>
      <c r="GC32" s="48">
        <f t="shared" ca="1" si="264"/>
        <v>0</v>
      </c>
      <c r="GD32" s="48">
        <f t="shared" ca="1" si="265"/>
        <v>0</v>
      </c>
      <c r="GE32" s="48">
        <f t="shared" ca="1" si="265"/>
        <v>0</v>
      </c>
      <c r="GF32" s="48">
        <f t="shared" ca="1" si="265"/>
        <v>0</v>
      </c>
      <c r="GG32" s="48">
        <f t="shared" ca="1" si="265"/>
        <v>0</v>
      </c>
      <c r="GH32" s="48">
        <f t="shared" ca="1" si="265"/>
        <v>0</v>
      </c>
      <c r="GI32" s="48">
        <f t="shared" ca="1" si="265"/>
        <v>0</v>
      </c>
      <c r="GJ32" s="48">
        <f t="shared" ca="1" si="265"/>
        <v>0</v>
      </c>
      <c r="GK32" s="48">
        <f t="shared" ca="1" si="265"/>
        <v>0</v>
      </c>
      <c r="GL32" s="48">
        <f t="shared" ca="1" si="265"/>
        <v>0</v>
      </c>
      <c r="GM32" s="48">
        <f t="shared" ca="1" si="265"/>
        <v>0</v>
      </c>
      <c r="GN32" s="48">
        <f t="shared" ca="1" si="266"/>
        <v>0</v>
      </c>
      <c r="GO32" s="48">
        <f t="shared" ca="1" si="266"/>
        <v>0</v>
      </c>
      <c r="GP32" s="48">
        <f t="shared" ca="1" si="266"/>
        <v>0</v>
      </c>
      <c r="GQ32" s="48">
        <f t="shared" ca="1" si="266"/>
        <v>0</v>
      </c>
      <c r="GR32" s="48">
        <f t="shared" ca="1" si="266"/>
        <v>0</v>
      </c>
      <c r="GS32" s="48">
        <f t="shared" ca="1" si="266"/>
        <v>0</v>
      </c>
      <c r="GT32" s="48">
        <f t="shared" ca="1" si="266"/>
        <v>0</v>
      </c>
      <c r="GU32" s="48">
        <f t="shared" ca="1" si="266"/>
        <v>0</v>
      </c>
      <c r="GV32" s="48">
        <f t="shared" ca="1" si="266"/>
        <v>0</v>
      </c>
      <c r="GW32" s="48">
        <f t="shared" ca="1" si="266"/>
        <v>0</v>
      </c>
      <c r="GX32" s="48">
        <f t="shared" ca="1" si="266"/>
        <v>0</v>
      </c>
      <c r="GY32" s="48">
        <f t="shared" ca="1" si="266"/>
        <v>0</v>
      </c>
      <c r="GZ32" s="48">
        <f t="shared" ca="1" si="266"/>
        <v>0</v>
      </c>
      <c r="HA32" s="69"/>
      <c r="HB32" s="150" t="str">
        <f t="shared" ca="1" si="267"/>
        <v>n/a</v>
      </c>
      <c r="HC32" s="150" t="str">
        <f t="shared" ca="1" si="268"/>
        <v>n/a</v>
      </c>
      <c r="HD32" s="150" t="str">
        <f t="shared" ca="1" si="269"/>
        <v>n/a</v>
      </c>
      <c r="HE32" s="150" t="str">
        <f t="shared" ca="1" si="270"/>
        <v>n/a</v>
      </c>
      <c r="HF32" s="150" t="str">
        <f t="shared" ca="1" si="271"/>
        <v>n/a</v>
      </c>
      <c r="HG32" s="148"/>
      <c r="HH32" s="149"/>
      <c r="HI32" s="149"/>
      <c r="HJ32" s="149"/>
      <c r="HK32" s="150"/>
      <c r="HL32" s="149"/>
      <c r="HM32" s="149"/>
      <c r="HN32" s="149"/>
      <c r="HO32" s="150"/>
      <c r="HP32" s="148"/>
      <c r="HQ32" s="149"/>
      <c r="HR32" s="149"/>
      <c r="HS32" s="149"/>
      <c r="HT32" s="150"/>
      <c r="HU32" s="149"/>
      <c r="HV32" s="149"/>
      <c r="HW32" s="149"/>
      <c r="HX32" s="150"/>
      <c r="HY32" s="151"/>
      <c r="HZ32" s="150"/>
      <c r="IA32" s="150"/>
      <c r="IB32" s="152"/>
      <c r="IC32" s="150"/>
      <c r="ID32" s="152"/>
      <c r="IE32" s="150"/>
      <c r="IF32" s="153"/>
    </row>
    <row r="33" spans="1:240" s="36" customFormat="1" ht="14.4" customHeight="1">
      <c r="A33" s="39"/>
      <c r="B33" s="108" t="str">
        <f t="shared" si="216"/>
        <v>C&amp;I_C&amp;I Prescriptive_Motors_All_2017_Actual</v>
      </c>
      <c r="C33" s="108"/>
      <c r="D33" s="109" t="s">
        <v>142</v>
      </c>
      <c r="E33" s="109" t="s">
        <v>228</v>
      </c>
      <c r="F33" s="109" t="s">
        <v>270</v>
      </c>
      <c r="G33" s="109" t="s">
        <v>28</v>
      </c>
      <c r="H33" s="109">
        <v>2017</v>
      </c>
      <c r="I33" s="109" t="s">
        <v>167</v>
      </c>
      <c r="J33" s="37"/>
      <c r="K33" s="99"/>
      <c r="L33" s="38">
        <f ca="1">SUMIFS(OFFSET(L$35,,,TotalMeasures),OFFSET($B$35,,,TotalMeasures),SUBSTITUTE($B33,"All","*"))</f>
        <v>0</v>
      </c>
      <c r="M33" s="133"/>
      <c r="N33" s="132"/>
      <c r="O33" s="132"/>
      <c r="P33" s="37"/>
      <c r="Q33" s="129">
        <f t="shared" ca="1" si="217"/>
        <v>0</v>
      </c>
      <c r="R33" s="129">
        <f t="shared" ca="1" si="217"/>
        <v>0</v>
      </c>
      <c r="S33" s="129">
        <f t="shared" ca="1" si="217"/>
        <v>0</v>
      </c>
      <c r="T33" s="37"/>
      <c r="U33" s="129">
        <f t="shared" ca="1" si="218"/>
        <v>0</v>
      </c>
      <c r="V33" s="129">
        <f t="shared" ca="1" si="218"/>
        <v>0</v>
      </c>
      <c r="W33" s="129">
        <f t="shared" ca="1" si="218"/>
        <v>0</v>
      </c>
      <c r="X33" s="37"/>
      <c r="Y33" s="129">
        <f t="shared" ca="1" si="219"/>
        <v>0</v>
      </c>
      <c r="Z33" s="129">
        <f t="shared" ca="1" si="219"/>
        <v>0</v>
      </c>
      <c r="AA33" s="129">
        <f t="shared" ca="1" si="219"/>
        <v>0</v>
      </c>
      <c r="AB33" s="37"/>
      <c r="AC33" s="129">
        <f t="shared" ca="1" si="220"/>
        <v>0</v>
      </c>
      <c r="AD33" s="129">
        <f t="shared" ca="1" si="220"/>
        <v>0</v>
      </c>
      <c r="AE33" s="129">
        <f t="shared" ca="1" si="220"/>
        <v>0</v>
      </c>
      <c r="AF33" s="37"/>
      <c r="AG33" s="97"/>
      <c r="AH33" s="97"/>
      <c r="AI33" s="97">
        <f t="shared" ca="1" si="221"/>
        <v>0</v>
      </c>
      <c r="AJ33" s="100">
        <f t="shared" ca="1" si="221"/>
        <v>0</v>
      </c>
      <c r="AK33" s="100">
        <f t="shared" ca="1" si="221"/>
        <v>0</v>
      </c>
      <c r="AL33" s="100">
        <f t="shared" ca="1" si="221"/>
        <v>0</v>
      </c>
      <c r="AM33" s="100">
        <f t="shared" ca="1" si="221"/>
        <v>0</v>
      </c>
      <c r="AN33" s="100">
        <f t="shared" ca="1" si="221"/>
        <v>0</v>
      </c>
      <c r="AO33" s="163"/>
      <c r="AP33" s="100">
        <f t="shared" ca="1" si="222"/>
        <v>0</v>
      </c>
      <c r="AQ33" s="37"/>
      <c r="AR33" s="100">
        <f t="shared" ca="1" si="223"/>
        <v>0</v>
      </c>
      <c r="AS33" s="100">
        <f t="shared" ca="1" si="223"/>
        <v>0</v>
      </c>
      <c r="AT33" s="100">
        <f t="shared" ca="1" si="223"/>
        <v>0</v>
      </c>
      <c r="AU33" s="100">
        <f>SUMPRODUCT(--($CX$9:$EX$9=$H33)*$AO33,'General Inputs'!$K$40:$BK$40)</f>
        <v>0</v>
      </c>
      <c r="AV33" s="100">
        <f t="shared" ca="1" si="224"/>
        <v>0</v>
      </c>
      <c r="AW33" s="100">
        <f t="shared" ca="1" si="224"/>
        <v>0</v>
      </c>
      <c r="AX33" s="100">
        <f t="shared" ca="1" si="224"/>
        <v>0</v>
      </c>
      <c r="AY33" s="98">
        <f t="shared" ca="1" si="224"/>
        <v>0</v>
      </c>
      <c r="AZ33" s="37"/>
      <c r="BA33" s="100">
        <f t="shared" ca="1" si="225"/>
        <v>0</v>
      </c>
      <c r="BB33" s="102" t="e">
        <f t="shared" ca="1" si="226"/>
        <v>#DIV/0!</v>
      </c>
      <c r="BC33" s="100">
        <f t="shared" ca="1" si="155"/>
        <v>0</v>
      </c>
      <c r="BD33" s="100">
        <f t="shared" ca="1" si="156"/>
        <v>0</v>
      </c>
      <c r="BE33" s="100">
        <f t="shared" ca="1" si="227"/>
        <v>0</v>
      </c>
      <c r="BF33" s="100">
        <f t="shared" ca="1" si="158"/>
        <v>0</v>
      </c>
      <c r="BG33" s="100">
        <f t="shared" si="228"/>
        <v>0</v>
      </c>
      <c r="BH33" s="100">
        <f t="shared" ca="1" si="229"/>
        <v>0</v>
      </c>
      <c r="BI33" s="37"/>
      <c r="BJ33" s="100">
        <f t="shared" ca="1" si="230"/>
        <v>0</v>
      </c>
      <c r="BK33" s="102" t="e">
        <f t="shared" ca="1" si="231"/>
        <v>#DIV/0!</v>
      </c>
      <c r="BL33" s="100">
        <f t="shared" ca="1" si="163"/>
        <v>0</v>
      </c>
      <c r="BM33" s="100">
        <f t="shared" ca="1" si="164"/>
        <v>0</v>
      </c>
      <c r="BN33" s="100">
        <f t="shared" ca="1" si="232"/>
        <v>0</v>
      </c>
      <c r="BO33" s="100">
        <f t="shared" ca="1" si="233"/>
        <v>0</v>
      </c>
      <c r="BP33" s="100">
        <f t="shared" ca="1" si="234"/>
        <v>0</v>
      </c>
      <c r="BQ33" s="100">
        <f t="shared" si="235"/>
        <v>0</v>
      </c>
      <c r="BR33" s="100">
        <f t="shared" ca="1" si="236"/>
        <v>0</v>
      </c>
      <c r="BS33" s="37"/>
      <c r="BT33" s="100">
        <f t="shared" ca="1" si="237"/>
        <v>0</v>
      </c>
      <c r="BU33" s="102" t="e">
        <f t="shared" ca="1" si="238"/>
        <v>#DIV/0!</v>
      </c>
      <c r="BV33" s="102" t="e">
        <f t="shared" ca="1" si="239"/>
        <v>#DIV/0!</v>
      </c>
      <c r="BW33" s="100">
        <f t="shared" ca="1" si="173"/>
        <v>0</v>
      </c>
      <c r="BX33" s="100">
        <f t="shared" ca="1" si="174"/>
        <v>0</v>
      </c>
      <c r="BY33" s="100">
        <f t="shared" ca="1" si="240"/>
        <v>0</v>
      </c>
      <c r="BZ33" s="100">
        <f t="shared" ca="1" si="241"/>
        <v>0</v>
      </c>
      <c r="CA33" s="100">
        <f t="shared" ca="1" si="242"/>
        <v>0</v>
      </c>
      <c r="CB33" s="37"/>
      <c r="CC33" s="100">
        <f t="shared" ca="1" si="243"/>
        <v>0</v>
      </c>
      <c r="CD33" s="102" t="e">
        <f t="shared" ca="1" si="244"/>
        <v>#DIV/0!</v>
      </c>
      <c r="CE33" s="103" t="e">
        <f t="shared" ca="1" si="245"/>
        <v>#DIV/0!</v>
      </c>
      <c r="CF33" s="100">
        <f t="shared" ca="1" si="181"/>
        <v>0</v>
      </c>
      <c r="CG33" s="100">
        <f t="shared" ca="1" si="182"/>
        <v>0</v>
      </c>
      <c r="CH33" s="100">
        <f t="shared" ca="1" si="246"/>
        <v>0</v>
      </c>
      <c r="CI33" s="100">
        <f t="shared" ca="1" si="247"/>
        <v>0</v>
      </c>
      <c r="CJ33" s="100">
        <f t="shared" ca="1" si="248"/>
        <v>0</v>
      </c>
      <c r="CK33" s="100">
        <f t="shared" si="249"/>
        <v>0</v>
      </c>
      <c r="CL33" s="37"/>
      <c r="CM33" s="100">
        <f t="shared" ca="1" si="250"/>
        <v>0</v>
      </c>
      <c r="CN33" s="102" t="e">
        <f t="shared" ca="1" si="251"/>
        <v>#DIV/0!</v>
      </c>
      <c r="CO33" s="128"/>
      <c r="CP33" s="100">
        <f t="shared" ca="1" si="189"/>
        <v>0</v>
      </c>
      <c r="CQ33" s="100">
        <f t="shared" ca="1" si="190"/>
        <v>0</v>
      </c>
      <c r="CR33" s="100">
        <f t="shared" ca="1" si="252"/>
        <v>0</v>
      </c>
      <c r="CS33" s="100">
        <f t="shared" ca="1" si="253"/>
        <v>0</v>
      </c>
      <c r="CT33" s="100">
        <f t="shared" ca="1" si="254"/>
        <v>0</v>
      </c>
      <c r="CU33" s="100">
        <f t="shared" ca="1" si="255"/>
        <v>0</v>
      </c>
      <c r="CV33" s="100">
        <f t="shared" si="256"/>
        <v>0</v>
      </c>
      <c r="CW33" s="37"/>
      <c r="CX33" s="48">
        <f t="shared" ca="1" si="257"/>
        <v>0</v>
      </c>
      <c r="CY33" s="48">
        <f t="shared" ca="1" si="257"/>
        <v>0</v>
      </c>
      <c r="CZ33" s="48">
        <f t="shared" ca="1" si="257"/>
        <v>0</v>
      </c>
      <c r="DA33" s="48">
        <f t="shared" ca="1" si="257"/>
        <v>0</v>
      </c>
      <c r="DB33" s="48">
        <f t="shared" ca="1" si="257"/>
        <v>0</v>
      </c>
      <c r="DC33" s="48">
        <f t="shared" ca="1" si="257"/>
        <v>0</v>
      </c>
      <c r="DD33" s="48">
        <f t="shared" ca="1" si="257"/>
        <v>0</v>
      </c>
      <c r="DE33" s="48">
        <f t="shared" ca="1" si="257"/>
        <v>0</v>
      </c>
      <c r="DF33" s="48">
        <f t="shared" ca="1" si="257"/>
        <v>0</v>
      </c>
      <c r="DG33" s="48">
        <f t="shared" ca="1" si="257"/>
        <v>0</v>
      </c>
      <c r="DH33" s="48">
        <f t="shared" ca="1" si="258"/>
        <v>0</v>
      </c>
      <c r="DI33" s="48">
        <f t="shared" ca="1" si="258"/>
        <v>0</v>
      </c>
      <c r="DJ33" s="48">
        <f t="shared" ca="1" si="258"/>
        <v>0</v>
      </c>
      <c r="DK33" s="48">
        <f t="shared" ca="1" si="258"/>
        <v>0</v>
      </c>
      <c r="DL33" s="48">
        <f t="shared" ca="1" si="258"/>
        <v>0</v>
      </c>
      <c r="DM33" s="48">
        <f t="shared" ca="1" si="258"/>
        <v>0</v>
      </c>
      <c r="DN33" s="48">
        <f t="shared" ca="1" si="258"/>
        <v>0</v>
      </c>
      <c r="DO33" s="48">
        <f t="shared" ca="1" si="258"/>
        <v>0</v>
      </c>
      <c r="DP33" s="48">
        <f t="shared" ca="1" si="258"/>
        <v>0</v>
      </c>
      <c r="DQ33" s="48">
        <f t="shared" ca="1" si="258"/>
        <v>0</v>
      </c>
      <c r="DR33" s="48">
        <f t="shared" ca="1" si="259"/>
        <v>0</v>
      </c>
      <c r="DS33" s="48">
        <f t="shared" ca="1" si="259"/>
        <v>0</v>
      </c>
      <c r="DT33" s="48">
        <f t="shared" ca="1" si="259"/>
        <v>0</v>
      </c>
      <c r="DU33" s="48">
        <f t="shared" ca="1" si="259"/>
        <v>0</v>
      </c>
      <c r="DV33" s="48">
        <f t="shared" ca="1" si="259"/>
        <v>0</v>
      </c>
      <c r="DW33" s="48">
        <f t="shared" ca="1" si="259"/>
        <v>0</v>
      </c>
      <c r="DX33" s="48">
        <f t="shared" ca="1" si="259"/>
        <v>0</v>
      </c>
      <c r="DY33" s="48">
        <f t="shared" ca="1" si="259"/>
        <v>0</v>
      </c>
      <c r="DZ33" s="48">
        <f t="shared" ca="1" si="259"/>
        <v>0</v>
      </c>
      <c r="EA33" s="48">
        <f t="shared" ca="1" si="259"/>
        <v>0</v>
      </c>
      <c r="EB33" s="48">
        <f t="shared" ca="1" si="260"/>
        <v>0</v>
      </c>
      <c r="EC33" s="48">
        <f t="shared" ca="1" si="260"/>
        <v>0</v>
      </c>
      <c r="ED33" s="48">
        <f t="shared" ca="1" si="260"/>
        <v>0</v>
      </c>
      <c r="EE33" s="48">
        <f t="shared" ca="1" si="260"/>
        <v>0</v>
      </c>
      <c r="EF33" s="48">
        <f t="shared" ca="1" si="260"/>
        <v>0</v>
      </c>
      <c r="EG33" s="48">
        <f t="shared" ca="1" si="260"/>
        <v>0</v>
      </c>
      <c r="EH33" s="48">
        <f t="shared" ca="1" si="260"/>
        <v>0</v>
      </c>
      <c r="EI33" s="48">
        <f t="shared" ca="1" si="260"/>
        <v>0</v>
      </c>
      <c r="EJ33" s="48">
        <f t="shared" ca="1" si="260"/>
        <v>0</v>
      </c>
      <c r="EK33" s="48">
        <f t="shared" ca="1" si="260"/>
        <v>0</v>
      </c>
      <c r="EL33" s="48">
        <f t="shared" ca="1" si="261"/>
        <v>0</v>
      </c>
      <c r="EM33" s="48">
        <f t="shared" ca="1" si="261"/>
        <v>0</v>
      </c>
      <c r="EN33" s="48">
        <f t="shared" ca="1" si="261"/>
        <v>0</v>
      </c>
      <c r="EO33" s="48">
        <f t="shared" ca="1" si="261"/>
        <v>0</v>
      </c>
      <c r="EP33" s="48">
        <f t="shared" ca="1" si="261"/>
        <v>0</v>
      </c>
      <c r="EQ33" s="48">
        <f t="shared" ca="1" si="261"/>
        <v>0</v>
      </c>
      <c r="ER33" s="48">
        <f t="shared" ca="1" si="261"/>
        <v>0</v>
      </c>
      <c r="ES33" s="48">
        <f t="shared" ca="1" si="261"/>
        <v>0</v>
      </c>
      <c r="ET33" s="48">
        <f t="shared" ca="1" si="261"/>
        <v>0</v>
      </c>
      <c r="EU33" s="48">
        <f t="shared" ca="1" si="261"/>
        <v>0</v>
      </c>
      <c r="EV33" s="48">
        <f t="shared" ca="1" si="261"/>
        <v>0</v>
      </c>
      <c r="EW33" s="48">
        <f t="shared" ca="1" si="261"/>
        <v>0</v>
      </c>
      <c r="EX33" s="48">
        <f t="shared" ca="1" si="261"/>
        <v>0</v>
      </c>
      <c r="EY33" s="69"/>
      <c r="EZ33" s="48">
        <f t="shared" ca="1" si="262"/>
        <v>0</v>
      </c>
      <c r="FA33" s="48">
        <f t="shared" ca="1" si="262"/>
        <v>0</v>
      </c>
      <c r="FB33" s="48">
        <f t="shared" ca="1" si="262"/>
        <v>0</v>
      </c>
      <c r="FC33" s="48">
        <f t="shared" ca="1" si="262"/>
        <v>0</v>
      </c>
      <c r="FD33" s="48">
        <f t="shared" ca="1" si="262"/>
        <v>0</v>
      </c>
      <c r="FE33" s="48">
        <f t="shared" ca="1" si="262"/>
        <v>0</v>
      </c>
      <c r="FF33" s="48">
        <f t="shared" ca="1" si="262"/>
        <v>0</v>
      </c>
      <c r="FG33" s="48">
        <f t="shared" ca="1" si="262"/>
        <v>0</v>
      </c>
      <c r="FH33" s="48">
        <f t="shared" ca="1" si="262"/>
        <v>0</v>
      </c>
      <c r="FI33" s="48">
        <f t="shared" ca="1" si="262"/>
        <v>0</v>
      </c>
      <c r="FJ33" s="48">
        <f t="shared" ca="1" si="263"/>
        <v>0</v>
      </c>
      <c r="FK33" s="48">
        <f t="shared" ca="1" si="263"/>
        <v>0</v>
      </c>
      <c r="FL33" s="48">
        <f t="shared" ca="1" si="263"/>
        <v>0</v>
      </c>
      <c r="FM33" s="48">
        <f t="shared" ca="1" si="263"/>
        <v>0</v>
      </c>
      <c r="FN33" s="48">
        <f t="shared" ca="1" si="263"/>
        <v>0</v>
      </c>
      <c r="FO33" s="48">
        <f t="shared" ca="1" si="263"/>
        <v>0</v>
      </c>
      <c r="FP33" s="48">
        <f t="shared" ca="1" si="263"/>
        <v>0</v>
      </c>
      <c r="FQ33" s="48">
        <f t="shared" ca="1" si="263"/>
        <v>0</v>
      </c>
      <c r="FR33" s="48">
        <f t="shared" ca="1" si="263"/>
        <v>0</v>
      </c>
      <c r="FS33" s="48">
        <f t="shared" ca="1" si="263"/>
        <v>0</v>
      </c>
      <c r="FT33" s="48">
        <f t="shared" ca="1" si="264"/>
        <v>0</v>
      </c>
      <c r="FU33" s="48">
        <f t="shared" ca="1" si="264"/>
        <v>0</v>
      </c>
      <c r="FV33" s="48">
        <f t="shared" ca="1" si="264"/>
        <v>0</v>
      </c>
      <c r="FW33" s="48">
        <f t="shared" ca="1" si="264"/>
        <v>0</v>
      </c>
      <c r="FX33" s="48">
        <f t="shared" ca="1" si="264"/>
        <v>0</v>
      </c>
      <c r="FY33" s="48">
        <f t="shared" ca="1" si="264"/>
        <v>0</v>
      </c>
      <c r="FZ33" s="48">
        <f t="shared" ca="1" si="264"/>
        <v>0</v>
      </c>
      <c r="GA33" s="48">
        <f t="shared" ca="1" si="264"/>
        <v>0</v>
      </c>
      <c r="GB33" s="48">
        <f t="shared" ca="1" si="264"/>
        <v>0</v>
      </c>
      <c r="GC33" s="48">
        <f t="shared" ca="1" si="264"/>
        <v>0</v>
      </c>
      <c r="GD33" s="48">
        <f t="shared" ca="1" si="265"/>
        <v>0</v>
      </c>
      <c r="GE33" s="48">
        <f t="shared" ca="1" si="265"/>
        <v>0</v>
      </c>
      <c r="GF33" s="48">
        <f t="shared" ca="1" si="265"/>
        <v>0</v>
      </c>
      <c r="GG33" s="48">
        <f t="shared" ca="1" si="265"/>
        <v>0</v>
      </c>
      <c r="GH33" s="48">
        <f t="shared" ca="1" si="265"/>
        <v>0</v>
      </c>
      <c r="GI33" s="48">
        <f t="shared" ca="1" si="265"/>
        <v>0</v>
      </c>
      <c r="GJ33" s="48">
        <f t="shared" ca="1" si="265"/>
        <v>0</v>
      </c>
      <c r="GK33" s="48">
        <f t="shared" ca="1" si="265"/>
        <v>0</v>
      </c>
      <c r="GL33" s="48">
        <f t="shared" ca="1" si="265"/>
        <v>0</v>
      </c>
      <c r="GM33" s="48">
        <f t="shared" ca="1" si="265"/>
        <v>0</v>
      </c>
      <c r="GN33" s="48">
        <f t="shared" ca="1" si="266"/>
        <v>0</v>
      </c>
      <c r="GO33" s="48">
        <f t="shared" ca="1" si="266"/>
        <v>0</v>
      </c>
      <c r="GP33" s="48">
        <f t="shared" ca="1" si="266"/>
        <v>0</v>
      </c>
      <c r="GQ33" s="48">
        <f t="shared" ca="1" si="266"/>
        <v>0</v>
      </c>
      <c r="GR33" s="48">
        <f t="shared" ca="1" si="266"/>
        <v>0</v>
      </c>
      <c r="GS33" s="48">
        <f t="shared" ca="1" si="266"/>
        <v>0</v>
      </c>
      <c r="GT33" s="48">
        <f t="shared" ca="1" si="266"/>
        <v>0</v>
      </c>
      <c r="GU33" s="48">
        <f t="shared" ca="1" si="266"/>
        <v>0</v>
      </c>
      <c r="GV33" s="48">
        <f t="shared" ca="1" si="266"/>
        <v>0</v>
      </c>
      <c r="GW33" s="48">
        <f t="shared" ca="1" si="266"/>
        <v>0</v>
      </c>
      <c r="GX33" s="48">
        <f t="shared" ca="1" si="266"/>
        <v>0</v>
      </c>
      <c r="GY33" s="48">
        <f t="shared" ca="1" si="266"/>
        <v>0</v>
      </c>
      <c r="GZ33" s="48">
        <f t="shared" ca="1" si="266"/>
        <v>0</v>
      </c>
      <c r="HA33" s="69"/>
      <c r="HB33" s="150" t="str">
        <f t="shared" ca="1" si="267"/>
        <v>n/a</v>
      </c>
      <c r="HC33" s="150" t="str">
        <f t="shared" ca="1" si="268"/>
        <v>n/a</v>
      </c>
      <c r="HD33" s="150" t="str">
        <f t="shared" ca="1" si="269"/>
        <v>n/a</v>
      </c>
      <c r="HE33" s="150" t="str">
        <f t="shared" ca="1" si="270"/>
        <v>n/a</v>
      </c>
      <c r="HF33" s="150" t="str">
        <f t="shared" ca="1" si="271"/>
        <v>n/a</v>
      </c>
      <c r="HG33" s="148"/>
      <c r="HH33" s="149"/>
      <c r="HI33" s="149"/>
      <c r="HJ33" s="149"/>
      <c r="HK33" s="150"/>
      <c r="HL33" s="149"/>
      <c r="HM33" s="149"/>
      <c r="HN33" s="149"/>
      <c r="HO33" s="150"/>
      <c r="HP33" s="148"/>
      <c r="HQ33" s="149"/>
      <c r="HR33" s="149"/>
      <c r="HS33" s="149"/>
      <c r="HT33" s="150"/>
      <c r="HU33" s="149"/>
      <c r="HV33" s="149"/>
      <c r="HW33" s="149"/>
      <c r="HX33" s="150"/>
      <c r="HY33" s="151"/>
      <c r="HZ33" s="150"/>
      <c r="IA33" s="150"/>
      <c r="IB33" s="152"/>
      <c r="IC33" s="150"/>
      <c r="ID33" s="152"/>
      <c r="IE33" s="150"/>
      <c r="IF33" s="153"/>
    </row>
    <row r="34" spans="1:240" s="36" customFormat="1" ht="14.4" customHeight="1">
      <c r="A34" s="39"/>
      <c r="B34" s="110"/>
      <c r="C34" s="110"/>
      <c r="D34" s="111"/>
      <c r="E34" s="111"/>
      <c r="F34" s="111"/>
      <c r="G34" s="111"/>
      <c r="H34" s="111"/>
      <c r="I34" s="111"/>
      <c r="J34" s="112"/>
      <c r="K34" s="113"/>
      <c r="L34" s="114"/>
      <c r="M34" s="115"/>
      <c r="N34" s="116"/>
      <c r="O34" s="116"/>
      <c r="P34" s="112"/>
      <c r="Q34" s="130"/>
      <c r="R34" s="130"/>
      <c r="S34" s="130"/>
      <c r="T34" s="112"/>
      <c r="U34" s="130"/>
      <c r="V34" s="130"/>
      <c r="W34" s="130"/>
      <c r="X34" s="112"/>
      <c r="Y34" s="130"/>
      <c r="Z34" s="130"/>
      <c r="AA34" s="130"/>
      <c r="AB34" s="112"/>
      <c r="AC34" s="130"/>
      <c r="AD34" s="130"/>
      <c r="AE34" s="130"/>
      <c r="AF34" s="112"/>
      <c r="AG34" s="117"/>
      <c r="AH34" s="117"/>
      <c r="AI34" s="117"/>
      <c r="AJ34" s="118"/>
      <c r="AK34" s="118"/>
      <c r="AL34" s="118"/>
      <c r="AM34" s="118"/>
      <c r="AN34" s="118"/>
      <c r="AO34" s="118"/>
      <c r="AP34" s="118"/>
      <c r="AQ34" s="112"/>
      <c r="AR34" s="118"/>
      <c r="AS34" s="118"/>
      <c r="AT34" s="118"/>
      <c r="AU34" s="118"/>
      <c r="AV34" s="118"/>
      <c r="AW34" s="118"/>
      <c r="AX34" s="118"/>
      <c r="AY34" s="164"/>
      <c r="AZ34" s="112"/>
      <c r="BA34" s="118"/>
      <c r="BB34" s="119"/>
      <c r="BC34" s="118"/>
      <c r="BD34" s="118"/>
      <c r="BE34" s="118"/>
      <c r="BF34" s="118"/>
      <c r="BG34" s="118"/>
      <c r="BH34" s="118"/>
      <c r="BI34" s="112"/>
      <c r="BJ34" s="118"/>
      <c r="BK34" s="119"/>
      <c r="BL34" s="118"/>
      <c r="BM34" s="118"/>
      <c r="BN34" s="118"/>
      <c r="BO34" s="118"/>
      <c r="BP34" s="118"/>
      <c r="BQ34" s="118"/>
      <c r="BR34" s="118"/>
      <c r="BS34" s="112"/>
      <c r="BT34" s="118"/>
      <c r="BU34" s="119"/>
      <c r="BV34" s="119"/>
      <c r="BW34" s="118"/>
      <c r="BX34" s="118"/>
      <c r="BY34" s="118"/>
      <c r="BZ34" s="118"/>
      <c r="CA34" s="118"/>
      <c r="CB34" s="112"/>
      <c r="CC34" s="118"/>
      <c r="CD34" s="119"/>
      <c r="CE34" s="120"/>
      <c r="CF34" s="118"/>
      <c r="CG34" s="118"/>
      <c r="CH34" s="118"/>
      <c r="CI34" s="118">
        <f t="shared" si="71"/>
        <v>0</v>
      </c>
      <c r="CJ34" s="118">
        <f t="shared" si="72"/>
        <v>0</v>
      </c>
      <c r="CK34" s="118"/>
      <c r="CL34" s="112"/>
      <c r="CM34" s="118"/>
      <c r="CN34" s="119"/>
      <c r="CO34" s="131"/>
      <c r="CP34" s="118"/>
      <c r="CQ34" s="118"/>
      <c r="CR34" s="118"/>
      <c r="CS34" s="118">
        <f t="shared" si="73"/>
        <v>0</v>
      </c>
      <c r="CT34" s="118"/>
      <c r="CU34" s="118"/>
      <c r="CV34" s="118"/>
      <c r="CW34" s="112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69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69"/>
      <c r="HB34" s="150">
        <f t="shared" si="74"/>
        <v>0</v>
      </c>
      <c r="HC34" s="150">
        <f t="shared" si="75"/>
        <v>0</v>
      </c>
      <c r="HD34" s="150">
        <f t="shared" si="76"/>
        <v>0</v>
      </c>
      <c r="HE34" s="150">
        <f t="shared" si="77"/>
        <v>0</v>
      </c>
      <c r="HF34" s="150">
        <f t="shared" si="78"/>
        <v>0</v>
      </c>
      <c r="HG34" s="148"/>
      <c r="HH34" s="149"/>
      <c r="HI34" s="149"/>
      <c r="HJ34" s="149"/>
      <c r="HK34" s="150"/>
      <c r="HL34" s="149"/>
      <c r="HM34" s="149"/>
      <c r="HN34" s="149"/>
      <c r="HO34" s="150"/>
      <c r="HP34" s="148"/>
      <c r="HQ34" s="149"/>
      <c r="HR34" s="149"/>
      <c r="HS34" s="149"/>
      <c r="HT34" s="150"/>
      <c r="HU34" s="149"/>
      <c r="HV34" s="149"/>
      <c r="HW34" s="149"/>
      <c r="HX34" s="150"/>
      <c r="HY34" s="151"/>
      <c r="HZ34" s="150"/>
      <c r="IA34" s="150"/>
      <c r="IB34" s="152"/>
      <c r="IC34" s="150"/>
      <c r="ID34" s="152"/>
      <c r="IE34" s="150"/>
      <c r="IF34" s="153"/>
    </row>
    <row r="35" spans="1:240" s="36" customFormat="1" ht="14.4" customHeight="1">
      <c r="A35" s="39"/>
      <c r="B35" s="50" t="str">
        <f>D35&amp;"_"&amp;E35&amp;"_"&amp;F35&amp;"_"&amp;G35&amp;"_"&amp;H35&amp;"_"&amp;I35</f>
        <v>Residential_Residential Lighting_Lighting_LED_2017_Actual</v>
      </c>
      <c r="C35" s="50">
        <f>INDEX('Measure Inputs'!$D:$D,MATCH($B35,'Measure Inputs'!$B:$B,0))</f>
        <v>1</v>
      </c>
      <c r="D35" s="51" t="str">
        <f>'Measure Inputs'!G7</f>
        <v>Residential</v>
      </c>
      <c r="E35" s="51" t="str">
        <f>'Measure Inputs'!H7</f>
        <v>Residential Lighting</v>
      </c>
      <c r="F35" s="51" t="str">
        <f>'Measure Inputs'!I7</f>
        <v>Lighting</v>
      </c>
      <c r="G35" s="51" t="str">
        <f>'Measure Inputs'!J7</f>
        <v>LED</v>
      </c>
      <c r="H35" s="51">
        <f>'Measure Inputs'!K7</f>
        <v>2017</v>
      </c>
      <c r="I35" s="51" t="str">
        <f>'Measure Inputs'!L7</f>
        <v>Actual</v>
      </c>
      <c r="J35" s="37"/>
      <c r="K35" s="99" t="str">
        <f ca="1">INDEX(OFFSET('Measure Inputs'!$O$7,,,InputRows),$C35)</f>
        <v>Units</v>
      </c>
      <c r="L35" s="38">
        <f ca="1">INDEX(OFFSET('Measure Inputs'!$Q$7,,,InputRows),$C35)</f>
        <v>1147</v>
      </c>
      <c r="M35" s="167">
        <f>INDEX('General Inputs'!$E$14:$E$15,MATCH(D35,'General Inputs'!$D$14:$D$15,0))</f>
        <v>1.0469999999999999</v>
      </c>
      <c r="N35" s="54">
        <f ca="1">INDEX(OFFSET('Measure Inputs'!$Y$7,,,InputRows),$C35)</f>
        <v>1</v>
      </c>
      <c r="O35" s="54">
        <f ca="1">INDEX(OFFSET('Measure Inputs'!$Z$7,,,InputRows),$C35)</f>
        <v>1</v>
      </c>
      <c r="P35" s="37"/>
      <c r="Q35" s="127">
        <f ca="1">CONVERT(INDEX(OFFSET('Measure Inputs'!$AB$7,,,InputRows),$C35),'Measure Inputs'!$AB$6,Q$8)*$L35</f>
        <v>43949.943099999997</v>
      </c>
      <c r="R35" s="127">
        <f ca="1">Q35*N35</f>
        <v>43949.943099999997</v>
      </c>
      <c r="S35" s="127">
        <f ca="1">R35*O35</f>
        <v>43949.943099999997</v>
      </c>
      <c r="T35" s="37"/>
      <c r="U35" s="127">
        <f ca="1">CONVERT(INDEX(OFFSET('Measure Inputs'!$AD$7,,,InputRows),$C35),'Measure Inputs'!$AD$6,U$8)*$L35</f>
        <v>0</v>
      </c>
      <c r="V35" s="127">
        <f ca="1">U35*N35</f>
        <v>0</v>
      </c>
      <c r="W35" s="127">
        <f ca="1">V35*O35</f>
        <v>0</v>
      </c>
      <c r="X35" s="37"/>
      <c r="Y35" s="127">
        <f ca="1">CONVERT(INDEX(OFFSET('Measure Inputs'!$AC$7,,,InputRows),$C35),'Measure Inputs'!$AC$6,Y$8)*$L35</f>
        <v>5.1675561599999993</v>
      </c>
      <c r="Z35" s="127">
        <f ca="1">Y35*N35</f>
        <v>5.1675561599999993</v>
      </c>
      <c r="AA35" s="127">
        <f ca="1">Z35*O35</f>
        <v>5.1675561599999993</v>
      </c>
      <c r="AB35" s="37"/>
      <c r="AC35" s="127">
        <f ca="1">CONVERT(INDEX(OFFSET('Measure Inputs'!$AE$7,,,InputRows),$C35),'Measure Inputs'!$AE$6,AC$8)*$L35</f>
        <v>0</v>
      </c>
      <c r="AD35" s="127">
        <f ca="1">AC35*N35</f>
        <v>0</v>
      </c>
      <c r="AE35" s="127">
        <f ca="1">AD35*O35</f>
        <v>0</v>
      </c>
      <c r="AF35" s="37"/>
      <c r="AG35" s="97">
        <f ca="1">INDEX(OFFSET('Measure Inputs'!$R$7,,,InputRows),$C35)</f>
        <v>10</v>
      </c>
      <c r="AH35" s="97">
        <f ca="1">INDEX(OFFSET('Measure Inputs'!$S$7,,,InputRows),$C35)</f>
        <v>0</v>
      </c>
      <c r="AI35" s="97">
        <f ca="1">SUM(CX35:EX35)</f>
        <v>439499.43099999987</v>
      </c>
      <c r="AJ35" s="100">
        <f ca="1">INDEX(OFFSET('Measure Inputs'!$T$7,,,InputRows),$C35)*$L35*$N35*$O35</f>
        <v>11470</v>
      </c>
      <c r="AK35" s="100">
        <f ca="1">INDEX(OFFSET('Measure Inputs'!$U$7,,,InputRows),$C35)*$L35*$N35*$O35</f>
        <v>0</v>
      </c>
      <c r="AL35" s="100">
        <f ca="1">INDEX(OFFSET('Measure Inputs'!$V$7,,,InputRows),$C35)*$L35*$N35*$O35</f>
        <v>0</v>
      </c>
      <c r="AM35" s="100">
        <f ca="1">INDEX(OFFSET('Measure Inputs'!$W$7,,,InputRows),$C35)*$L35*$N35*$O35</f>
        <v>0</v>
      </c>
      <c r="AN35" s="100">
        <f ca="1">INDEX(OFFSET('Measure Inputs'!$X$7,,,InputRows),$C35)*$L35</f>
        <v>4491.9071999999996</v>
      </c>
      <c r="AO35" s="100"/>
      <c r="AP35" s="100">
        <f t="shared" ref="AP35:AP41" ca="1" si="272">AO35+AN35</f>
        <v>4491.9071999999996</v>
      </c>
      <c r="AQ35" s="37"/>
      <c r="AR35" s="100">
        <f ca="1">SUMPRODUCT(--($CX$9:$EX$9=$H35)*$AJ35,'General Inputs'!$K$40:$BK$40)+SUMPRODUCT(--($CX$9:$EX$9=$H35+$AH35)*-$AK35,'General Inputs'!$K$43:$BK$43)</f>
        <v>11470</v>
      </c>
      <c r="AS35" s="100">
        <f ca="1">CONVERT(SUMPRODUCT($CX35:$EX35,'General Inputs'!$K$29:$BK$29,'General Inputs'!$K$40:$BK$40)*$M35,$Q$8,'General Inputs'!$E$17)</f>
        <v>3690.1113072716053</v>
      </c>
      <c r="AT35" s="100">
        <f ca="1">SUMPRODUCT(--($CX$9:$EX$9=$H35)*$AN35,'General Inputs'!$K$40:$BK$40)</f>
        <v>4491.9071999999996</v>
      </c>
      <c r="AU35" s="100">
        <f>SUMPRODUCT(--($CX$9:$EX$9=$H35)*$AO35,'General Inputs'!$K$40:$BK$40)</f>
        <v>0</v>
      </c>
      <c r="AV35" s="100">
        <f ca="1">CONVERT(SUMPRODUCT($CX35:$EX35,'General Inputs'!$K$40:$BK$40,OFFSET('General Inputs'!$K$34:$BK$34,MATCH($D35,'General Inputs'!$J$34:$J$35,0)-1,)),$Q$8,'General Inputs'!$G$32)</f>
        <v>45288.455654437108</v>
      </c>
      <c r="AW35" s="100">
        <f ca="1">CONVERT(SUMPRODUCT($CX35:$EX35,'General Inputs'!$K$27:$BK$27,'General Inputs'!$K$40:$BK$40)*$M35,$Q$8,'General Inputs'!$E$17)</f>
        <v>14274.68098174905</v>
      </c>
      <c r="AX35" s="100">
        <f ca="1">CONVERT(SUMPRODUCT($EZ35:$GZ35,'General Inputs'!$K$28:$BK$28,'General Inputs'!$K$40:$BK$40)*$M35,$Q$8,'General Inputs'!$E$17)</f>
        <v>631.27038691136977</v>
      </c>
      <c r="AY35" s="98">
        <f ca="1">SUMPRODUCT($CX35:$EX35,'General Inputs'!$K$40:$BK$40)</f>
        <v>309163.29925699206</v>
      </c>
      <c r="AZ35" s="37"/>
      <c r="BA35" s="100">
        <f ca="1">BD35-BC35</f>
        <v>3435.9513686604205</v>
      </c>
      <c r="BB35" s="102">
        <f ca="1">BD35/BC35</f>
        <v>1.2995598403365667</v>
      </c>
      <c r="BC35" s="100">
        <f t="shared" ref="BC35:BC97" ca="1" si="273">SUMIFS($BE35:$BH35,$BE$8:$BH$8,"Cost")</f>
        <v>11470</v>
      </c>
      <c r="BD35" s="100">
        <f t="shared" ref="BD35:BD97" ca="1" si="274">SUMIFS($BE35:$BH35,$BE$8:$BH$8,"BENEFIT")</f>
        <v>14905.95136866042</v>
      </c>
      <c r="BE35" s="100">
        <f t="shared" ref="BE35:BE97" ca="1" si="275">AW35</f>
        <v>14274.68098174905</v>
      </c>
      <c r="BF35" s="100">
        <f t="shared" ref="BF35:BF87" ca="1" si="276">$AX35</f>
        <v>631.27038691136977</v>
      </c>
      <c r="BG35" s="100">
        <f t="shared" ref="BG35:BG97" si="277">AU35</f>
        <v>0</v>
      </c>
      <c r="BH35" s="100">
        <f t="shared" ref="BH35:BH97" ca="1" si="278">AR35</f>
        <v>11470</v>
      </c>
      <c r="BI35" s="37"/>
      <c r="BJ35" s="100">
        <f ca="1">BM35-BL35</f>
        <v>7126.0626759320257</v>
      </c>
      <c r="BK35" s="102">
        <f ca="1">BM35/BL35</f>
        <v>1.6212783501248498</v>
      </c>
      <c r="BL35" s="100">
        <f t="shared" ref="BL35:BL97" ca="1" si="279">SUMIFS($BN35:$BR35,$BN$8:$BR$8,"Cost")</f>
        <v>11470</v>
      </c>
      <c r="BM35" s="100">
        <f t="shared" ca="1" si="164"/>
        <v>18596.062675932026</v>
      </c>
      <c r="BN35" s="100">
        <f t="shared" ref="BN35:BN97" ca="1" si="280">AW35</f>
        <v>14274.68098174905</v>
      </c>
      <c r="BO35" s="100">
        <f t="shared" ref="BO35:BO97" ca="1" si="281">AX35</f>
        <v>631.27038691136977</v>
      </c>
      <c r="BP35" s="100">
        <f t="shared" ref="BP35:BP97" ca="1" si="282">AS35</f>
        <v>3690.1113072716053</v>
      </c>
      <c r="BQ35" s="100">
        <f t="shared" ref="BQ35:BQ97" si="283">AU35</f>
        <v>0</v>
      </c>
      <c r="BR35" s="100">
        <f t="shared" ref="BR35:BR97" ca="1" si="284">AR35</f>
        <v>11470</v>
      </c>
      <c r="BS35" s="37"/>
      <c r="BT35" s="100">
        <f ca="1">BX35-BW35</f>
        <v>38310.362854437109</v>
      </c>
      <c r="BU35" s="102">
        <f ca="1">BX35/BW35</f>
        <v>4.3400490718776901</v>
      </c>
      <c r="BV35" s="102">
        <f t="shared" ref="BV35:BV97" ca="1" si="285">BW35/(BX35/AG35)</f>
        <v>2.3041214130036494</v>
      </c>
      <c r="BW35" s="100">
        <f t="shared" ref="BW35:BW97" ca="1" si="286">SUMIFS($BY35:$CA35,$BY$8:$CA$8,"cost")</f>
        <v>11470</v>
      </c>
      <c r="BX35" s="100">
        <f t="shared" ref="BX35:BX97" ca="1" si="287">SUMIFS($BY35:$CA35,$BY$8:$CA$8,"benefit")</f>
        <v>49780.362854437109</v>
      </c>
      <c r="BY35" s="100">
        <f t="shared" ref="BY35:BY97" ca="1" si="288">AV35</f>
        <v>45288.455654437108</v>
      </c>
      <c r="BZ35" s="100">
        <f t="shared" ref="BZ35:BZ97" ca="1" si="289">AT35</f>
        <v>4491.9071999999996</v>
      </c>
      <c r="CA35" s="100">
        <f t="shared" ref="CA35:CA97" ca="1" si="290">AR35</f>
        <v>11470</v>
      </c>
      <c r="CB35" s="37"/>
      <c r="CC35" s="100">
        <f ca="1">CG35-CF35</f>
        <v>10414.044168660421</v>
      </c>
      <c r="CD35" s="102">
        <f ca="1">CG35/CF35</f>
        <v>3.3184014506489405</v>
      </c>
      <c r="CE35" s="103">
        <f t="shared" ref="CE35:CE97" ca="1" si="291">CF35/CONVERT($AY35,$Q$8,"kWh")/(1-$M35)</f>
        <v>-0.30913272644815692</v>
      </c>
      <c r="CF35" s="100">
        <f t="shared" ref="CF35:CF97" ca="1" si="292">SUMIFS($CH35:$CK35,$CH$8:$CK$8,"Cost")</f>
        <v>4491.9071999999996</v>
      </c>
      <c r="CG35" s="100">
        <f t="shared" ref="CG35:CG97" ca="1" si="293">SUMIFS($CH35:$CK35,$CH$8:$CK$8,"BENEFIT")</f>
        <v>14905.95136866042</v>
      </c>
      <c r="CH35" s="100">
        <f t="shared" ref="CH35:CH97" ca="1" si="294">AW35</f>
        <v>14274.68098174905</v>
      </c>
      <c r="CI35" s="100">
        <f t="shared" ca="1" si="71"/>
        <v>631.27038691136977</v>
      </c>
      <c r="CJ35" s="100">
        <f t="shared" ca="1" si="72"/>
        <v>4491.9071999999996</v>
      </c>
      <c r="CK35" s="100">
        <f t="shared" ref="CK35:CK97" si="295">AU35</f>
        <v>0</v>
      </c>
      <c r="CL35" s="37"/>
      <c r="CM35" s="100">
        <f ca="1">CQ35-CP35</f>
        <v>-34874.411485776691</v>
      </c>
      <c r="CN35" s="102">
        <f ca="1">CQ35/CP35</f>
        <v>0.29943436555990866</v>
      </c>
      <c r="CO35" s="128"/>
      <c r="CP35" s="100">
        <f t="shared" ref="CP35:CP97" ca="1" si="296">SUMIFS($CR35:$CV35,$CR$8:$CV$8,"Cost")</f>
        <v>49780.362854437109</v>
      </c>
      <c r="CQ35" s="100">
        <f t="shared" ref="CQ35:CQ97" ca="1" si="297">SUMIFS($CR35:$CV35,$CR$8:$CV$8,"BENEFIT")</f>
        <v>14905.95136866042</v>
      </c>
      <c r="CR35" s="100">
        <f t="shared" ref="CR35:CR97" ca="1" si="298">AW35</f>
        <v>14274.68098174905</v>
      </c>
      <c r="CS35" s="100">
        <f t="shared" ca="1" si="73"/>
        <v>631.27038691136977</v>
      </c>
      <c r="CT35" s="100">
        <f t="shared" ref="CT35:CT97" ca="1" si="299">AV35</f>
        <v>45288.455654437108</v>
      </c>
      <c r="CU35" s="100">
        <f t="shared" ref="CU35:CU97" ca="1" si="300">AT35</f>
        <v>4491.9071999999996</v>
      </c>
      <c r="CV35" s="100">
        <f t="shared" ref="CV35:CV97" si="301">AU35</f>
        <v>0</v>
      </c>
      <c r="CW35" s="37"/>
      <c r="CX35" s="48">
        <f t="shared" ref="CX35:DG41" ca="1" si="302">IF(AND($H35&lt;=CX$9,$H35+$AG35&gt;CX$9),IF(AND($H35+$AH35&lt;=CX$9,$AH35&gt;0),$W35,$S35),0)</f>
        <v>43949.943099999997</v>
      </c>
      <c r="CY35" s="48">
        <f t="shared" ca="1" si="302"/>
        <v>43949.943099999997</v>
      </c>
      <c r="CZ35" s="48">
        <f t="shared" ca="1" si="302"/>
        <v>43949.943099999997</v>
      </c>
      <c r="DA35" s="48">
        <f t="shared" ca="1" si="302"/>
        <v>43949.943099999997</v>
      </c>
      <c r="DB35" s="48">
        <f t="shared" ca="1" si="302"/>
        <v>43949.943099999997</v>
      </c>
      <c r="DC35" s="48">
        <f t="shared" ca="1" si="302"/>
        <v>43949.943099999997</v>
      </c>
      <c r="DD35" s="48">
        <f t="shared" ca="1" si="302"/>
        <v>43949.943099999997</v>
      </c>
      <c r="DE35" s="48">
        <f t="shared" ca="1" si="302"/>
        <v>43949.943099999997</v>
      </c>
      <c r="DF35" s="48">
        <f t="shared" ca="1" si="302"/>
        <v>43949.943099999997</v>
      </c>
      <c r="DG35" s="48">
        <f t="shared" ca="1" si="302"/>
        <v>43949.943099999997</v>
      </c>
      <c r="DH35" s="48">
        <f t="shared" ref="DH35:DQ41" ca="1" si="303">IF(AND($H35&lt;=DH$9,$H35+$AG35&gt;DH$9),IF(AND($H35+$AH35&lt;=DH$9,$AH35&gt;0),$W35,$S35),0)</f>
        <v>0</v>
      </c>
      <c r="DI35" s="48">
        <f t="shared" ca="1" si="303"/>
        <v>0</v>
      </c>
      <c r="DJ35" s="48">
        <f t="shared" ca="1" si="303"/>
        <v>0</v>
      </c>
      <c r="DK35" s="48">
        <f t="shared" ca="1" si="303"/>
        <v>0</v>
      </c>
      <c r="DL35" s="48">
        <f t="shared" ca="1" si="303"/>
        <v>0</v>
      </c>
      <c r="DM35" s="48">
        <f t="shared" ca="1" si="303"/>
        <v>0</v>
      </c>
      <c r="DN35" s="48">
        <f t="shared" ca="1" si="303"/>
        <v>0</v>
      </c>
      <c r="DO35" s="48">
        <f t="shared" ca="1" si="303"/>
        <v>0</v>
      </c>
      <c r="DP35" s="48">
        <f t="shared" ca="1" si="303"/>
        <v>0</v>
      </c>
      <c r="DQ35" s="48">
        <f t="shared" ca="1" si="303"/>
        <v>0</v>
      </c>
      <c r="DR35" s="48">
        <f t="shared" ref="DR35:EA41" ca="1" si="304">IF(AND($H35&lt;=DR$9,$H35+$AG35&gt;DR$9),IF(AND($H35+$AH35&lt;=DR$9,$AH35&gt;0),$W35,$S35),0)</f>
        <v>0</v>
      </c>
      <c r="DS35" s="48">
        <f t="shared" ca="1" si="304"/>
        <v>0</v>
      </c>
      <c r="DT35" s="48">
        <f t="shared" ca="1" si="304"/>
        <v>0</v>
      </c>
      <c r="DU35" s="48">
        <f t="shared" ca="1" si="304"/>
        <v>0</v>
      </c>
      <c r="DV35" s="48">
        <f t="shared" ca="1" si="304"/>
        <v>0</v>
      </c>
      <c r="DW35" s="48">
        <f t="shared" ca="1" si="304"/>
        <v>0</v>
      </c>
      <c r="DX35" s="48">
        <f t="shared" ca="1" si="304"/>
        <v>0</v>
      </c>
      <c r="DY35" s="48">
        <f t="shared" ca="1" si="304"/>
        <v>0</v>
      </c>
      <c r="DZ35" s="48">
        <f t="shared" ca="1" si="304"/>
        <v>0</v>
      </c>
      <c r="EA35" s="48">
        <f t="shared" ca="1" si="304"/>
        <v>0</v>
      </c>
      <c r="EB35" s="48">
        <f t="shared" ref="EB35:EK41" ca="1" si="305">IF(AND($H35&lt;=EB$9,$H35+$AG35&gt;EB$9),IF(AND($H35+$AH35&lt;=EB$9,$AH35&gt;0),$W35,$S35),0)</f>
        <v>0</v>
      </c>
      <c r="EC35" s="48">
        <f t="shared" ca="1" si="305"/>
        <v>0</v>
      </c>
      <c r="ED35" s="48">
        <f t="shared" ca="1" si="305"/>
        <v>0</v>
      </c>
      <c r="EE35" s="48">
        <f t="shared" ca="1" si="305"/>
        <v>0</v>
      </c>
      <c r="EF35" s="48">
        <f t="shared" ca="1" si="305"/>
        <v>0</v>
      </c>
      <c r="EG35" s="48">
        <f t="shared" ca="1" si="305"/>
        <v>0</v>
      </c>
      <c r="EH35" s="48">
        <f t="shared" ca="1" si="305"/>
        <v>0</v>
      </c>
      <c r="EI35" s="48">
        <f t="shared" ca="1" si="305"/>
        <v>0</v>
      </c>
      <c r="EJ35" s="48">
        <f t="shared" ca="1" si="305"/>
        <v>0</v>
      </c>
      <c r="EK35" s="48">
        <f t="shared" ca="1" si="305"/>
        <v>0</v>
      </c>
      <c r="EL35" s="48">
        <f t="shared" ref="EL35:EX41" ca="1" si="306">IF(AND($H35&lt;=EL$9,$H35+$AG35&gt;EL$9),IF(AND($H35+$AH35&lt;=EL$9,$AH35&gt;0),$W35,$S35),0)</f>
        <v>0</v>
      </c>
      <c r="EM35" s="48">
        <f t="shared" ca="1" si="306"/>
        <v>0</v>
      </c>
      <c r="EN35" s="48">
        <f t="shared" ca="1" si="306"/>
        <v>0</v>
      </c>
      <c r="EO35" s="48">
        <f t="shared" ca="1" si="306"/>
        <v>0</v>
      </c>
      <c r="EP35" s="48">
        <f t="shared" ca="1" si="306"/>
        <v>0</v>
      </c>
      <c r="EQ35" s="48">
        <f t="shared" ca="1" si="306"/>
        <v>0</v>
      </c>
      <c r="ER35" s="48">
        <f t="shared" ca="1" si="306"/>
        <v>0</v>
      </c>
      <c r="ES35" s="48">
        <f t="shared" ca="1" si="306"/>
        <v>0</v>
      </c>
      <c r="ET35" s="48">
        <f t="shared" ca="1" si="306"/>
        <v>0</v>
      </c>
      <c r="EU35" s="48">
        <f t="shared" ca="1" si="306"/>
        <v>0</v>
      </c>
      <c r="EV35" s="48">
        <f t="shared" ca="1" si="306"/>
        <v>0</v>
      </c>
      <c r="EW35" s="48">
        <f t="shared" ca="1" si="306"/>
        <v>0</v>
      </c>
      <c r="EX35" s="48">
        <f t="shared" ca="1" si="306"/>
        <v>0</v>
      </c>
      <c r="EY35" s="69"/>
      <c r="EZ35" s="48">
        <f t="shared" ref="EZ35:FI41" ca="1" si="307">IF(AND($H35&lt;=EZ$9,$H35+$AG35&gt;EZ$9),IF(AND($H35+$AH35&lt;=EZ$9,$AH35&gt;0),$AE35,$AA35),0)</f>
        <v>5.1675561599999993</v>
      </c>
      <c r="FA35" s="48">
        <f t="shared" ca="1" si="307"/>
        <v>5.1675561599999993</v>
      </c>
      <c r="FB35" s="48">
        <f t="shared" ca="1" si="307"/>
        <v>5.1675561599999993</v>
      </c>
      <c r="FC35" s="48">
        <f t="shared" ca="1" si="307"/>
        <v>5.1675561599999993</v>
      </c>
      <c r="FD35" s="48">
        <f t="shared" ca="1" si="307"/>
        <v>5.1675561599999993</v>
      </c>
      <c r="FE35" s="48">
        <f t="shared" ca="1" si="307"/>
        <v>5.1675561599999993</v>
      </c>
      <c r="FF35" s="48">
        <f t="shared" ca="1" si="307"/>
        <v>5.1675561599999993</v>
      </c>
      <c r="FG35" s="48">
        <f t="shared" ca="1" si="307"/>
        <v>5.1675561599999993</v>
      </c>
      <c r="FH35" s="48">
        <f t="shared" ca="1" si="307"/>
        <v>5.1675561599999993</v>
      </c>
      <c r="FI35" s="48">
        <f t="shared" ca="1" si="307"/>
        <v>5.1675561599999993</v>
      </c>
      <c r="FJ35" s="48">
        <f t="shared" ref="FJ35:FS41" ca="1" si="308">IF(AND($H35&lt;=FJ$9,$H35+$AG35&gt;FJ$9),IF(AND($H35+$AH35&lt;=FJ$9,$AH35&gt;0),$AE35,$AA35),0)</f>
        <v>0</v>
      </c>
      <c r="FK35" s="48">
        <f t="shared" ca="1" si="308"/>
        <v>0</v>
      </c>
      <c r="FL35" s="48">
        <f t="shared" ca="1" si="308"/>
        <v>0</v>
      </c>
      <c r="FM35" s="48">
        <f t="shared" ca="1" si="308"/>
        <v>0</v>
      </c>
      <c r="FN35" s="48">
        <f t="shared" ca="1" si="308"/>
        <v>0</v>
      </c>
      <c r="FO35" s="48">
        <f t="shared" ca="1" si="308"/>
        <v>0</v>
      </c>
      <c r="FP35" s="48">
        <f t="shared" ca="1" si="308"/>
        <v>0</v>
      </c>
      <c r="FQ35" s="48">
        <f t="shared" ca="1" si="308"/>
        <v>0</v>
      </c>
      <c r="FR35" s="48">
        <f t="shared" ca="1" si="308"/>
        <v>0</v>
      </c>
      <c r="FS35" s="48">
        <f t="shared" ca="1" si="308"/>
        <v>0</v>
      </c>
      <c r="FT35" s="48">
        <f t="shared" ref="FT35:GC41" ca="1" si="309">IF(AND($H35&lt;=FT$9,$H35+$AG35&gt;FT$9),IF(AND($H35+$AH35&lt;=FT$9,$AH35&gt;0),$AE35,$AA35),0)</f>
        <v>0</v>
      </c>
      <c r="FU35" s="48">
        <f t="shared" ca="1" si="309"/>
        <v>0</v>
      </c>
      <c r="FV35" s="48">
        <f t="shared" ca="1" si="309"/>
        <v>0</v>
      </c>
      <c r="FW35" s="48">
        <f t="shared" ca="1" si="309"/>
        <v>0</v>
      </c>
      <c r="FX35" s="48">
        <f t="shared" ca="1" si="309"/>
        <v>0</v>
      </c>
      <c r="FY35" s="48">
        <f t="shared" ca="1" si="309"/>
        <v>0</v>
      </c>
      <c r="FZ35" s="48">
        <f t="shared" ca="1" si="309"/>
        <v>0</v>
      </c>
      <c r="GA35" s="48">
        <f t="shared" ca="1" si="309"/>
        <v>0</v>
      </c>
      <c r="GB35" s="48">
        <f t="shared" ca="1" si="309"/>
        <v>0</v>
      </c>
      <c r="GC35" s="48">
        <f t="shared" ca="1" si="309"/>
        <v>0</v>
      </c>
      <c r="GD35" s="48">
        <f t="shared" ref="GD35:GM41" ca="1" si="310">IF(AND($H35&lt;=GD$9,$H35+$AG35&gt;GD$9),IF(AND($H35+$AH35&lt;=GD$9,$AH35&gt;0),$AE35,$AA35),0)</f>
        <v>0</v>
      </c>
      <c r="GE35" s="48">
        <f t="shared" ca="1" si="310"/>
        <v>0</v>
      </c>
      <c r="GF35" s="48">
        <f t="shared" ca="1" si="310"/>
        <v>0</v>
      </c>
      <c r="GG35" s="48">
        <f t="shared" ca="1" si="310"/>
        <v>0</v>
      </c>
      <c r="GH35" s="48">
        <f t="shared" ca="1" si="310"/>
        <v>0</v>
      </c>
      <c r="GI35" s="48">
        <f t="shared" ca="1" si="310"/>
        <v>0</v>
      </c>
      <c r="GJ35" s="48">
        <f t="shared" ca="1" si="310"/>
        <v>0</v>
      </c>
      <c r="GK35" s="48">
        <f t="shared" ca="1" si="310"/>
        <v>0</v>
      </c>
      <c r="GL35" s="48">
        <f t="shared" ca="1" si="310"/>
        <v>0</v>
      </c>
      <c r="GM35" s="48">
        <f t="shared" ca="1" si="310"/>
        <v>0</v>
      </c>
      <c r="GN35" s="48">
        <f t="shared" ref="GN35:GZ41" ca="1" si="311">IF(AND($H35&lt;=GN$9,$H35+$AG35&gt;GN$9),IF(AND($H35+$AH35&lt;=GN$9,$AH35&gt;0),$AE35,$AA35),0)</f>
        <v>0</v>
      </c>
      <c r="GO35" s="48">
        <f t="shared" ca="1" si="311"/>
        <v>0</v>
      </c>
      <c r="GP35" s="48">
        <f t="shared" ca="1" si="311"/>
        <v>0</v>
      </c>
      <c r="GQ35" s="48">
        <f t="shared" ca="1" si="311"/>
        <v>0</v>
      </c>
      <c r="GR35" s="48">
        <f t="shared" ca="1" si="311"/>
        <v>0</v>
      </c>
      <c r="GS35" s="48">
        <f t="shared" ca="1" si="311"/>
        <v>0</v>
      </c>
      <c r="GT35" s="48">
        <f t="shared" ca="1" si="311"/>
        <v>0</v>
      </c>
      <c r="GU35" s="48">
        <f t="shared" ca="1" si="311"/>
        <v>0</v>
      </c>
      <c r="GV35" s="48">
        <f t="shared" ca="1" si="311"/>
        <v>0</v>
      </c>
      <c r="GW35" s="48">
        <f t="shared" ca="1" si="311"/>
        <v>0</v>
      </c>
      <c r="GX35" s="48">
        <f t="shared" ca="1" si="311"/>
        <v>0</v>
      </c>
      <c r="GY35" s="48">
        <f t="shared" ca="1" si="311"/>
        <v>0</v>
      </c>
      <c r="GZ35" s="48">
        <f t="shared" ca="1" si="311"/>
        <v>0</v>
      </c>
      <c r="HA35" s="69"/>
      <c r="HB35" s="150">
        <f t="shared" ca="1" si="74"/>
        <v>1.2995598403365667</v>
      </c>
      <c r="HC35" s="150">
        <f t="shared" ca="1" si="75"/>
        <v>3.3184014506489405</v>
      </c>
      <c r="HD35" s="150">
        <f t="shared" ca="1" si="76"/>
        <v>1.6212783501248498</v>
      </c>
      <c r="HE35" s="150">
        <f t="shared" ca="1" si="77"/>
        <v>4.3400490718776901</v>
      </c>
      <c r="HF35" s="150">
        <f t="shared" ca="1" si="78"/>
        <v>0.29943436555990866</v>
      </c>
      <c r="HG35" s="148"/>
      <c r="HH35" s="149"/>
      <c r="HI35" s="149"/>
      <c r="HJ35" s="149"/>
      <c r="HK35" s="150"/>
      <c r="HL35" s="149"/>
      <c r="HM35" s="149"/>
      <c r="HN35" s="149"/>
      <c r="HO35" s="150"/>
      <c r="HP35" s="148"/>
      <c r="HQ35" s="149"/>
      <c r="HR35" s="149"/>
      <c r="HS35" s="149"/>
      <c r="HT35" s="150"/>
      <c r="HU35" s="149"/>
      <c r="HV35" s="149"/>
      <c r="HW35" s="149"/>
      <c r="HX35" s="150"/>
      <c r="HY35" s="151"/>
      <c r="HZ35" s="150"/>
      <c r="IA35" s="150"/>
      <c r="IB35" s="152"/>
      <c r="IC35" s="150"/>
      <c r="ID35" s="152"/>
      <c r="IE35" s="150"/>
      <c r="IF35" s="153"/>
    </row>
    <row r="36" spans="1:240" s="36" customFormat="1" ht="14.4" customHeight="1">
      <c r="A36" s="39"/>
      <c r="B36" s="50" t="str">
        <f t="shared" ref="B36:B41" si="312">D36&amp;"_"&amp;E36&amp;"_"&amp;F36&amp;"_"&amp;G36&amp;"_"&amp;H36&amp;"_"&amp;I36</f>
        <v>Residential_Residential Lighting_Lighting_ENERGY STAR Fixture_2017_Actual</v>
      </c>
      <c r="C36" s="50">
        <f>INDEX('Measure Inputs'!$D:$D,MATCH($B36,'Measure Inputs'!$B:$B,0))</f>
        <v>2</v>
      </c>
      <c r="D36" s="51" t="str">
        <f>'Measure Inputs'!G8</f>
        <v>Residential</v>
      </c>
      <c r="E36" s="51" t="str">
        <f>'Measure Inputs'!H8</f>
        <v>Residential Lighting</v>
      </c>
      <c r="F36" s="51" t="str">
        <f>'Measure Inputs'!I8</f>
        <v>Lighting</v>
      </c>
      <c r="G36" s="51" t="str">
        <f>'Measure Inputs'!J8</f>
        <v>ENERGY STAR Fixture</v>
      </c>
      <c r="H36" s="51">
        <f>'Measure Inputs'!K8</f>
        <v>2017</v>
      </c>
      <c r="I36" s="51" t="str">
        <f>'Measure Inputs'!L8</f>
        <v>Actual</v>
      </c>
      <c r="J36" s="37"/>
      <c r="K36" s="99" t="str">
        <f ca="1">INDEX(OFFSET('Measure Inputs'!$O$7,,,InputRows),$C36)</f>
        <v>Units</v>
      </c>
      <c r="L36" s="38">
        <f ca="1">INDEX(OFFSET('Measure Inputs'!$Q$7,,,InputRows),$C36)</f>
        <v>391</v>
      </c>
      <c r="M36" s="167">
        <f>INDEX('General Inputs'!$E$14:$E$15,MATCH(D36,'General Inputs'!$D$14:$D$15,0))</f>
        <v>1.0469999999999999</v>
      </c>
      <c r="N36" s="54">
        <f ca="1">INDEX(OFFSET('Measure Inputs'!$Y$7,,,InputRows),$C36)</f>
        <v>1</v>
      </c>
      <c r="O36" s="54">
        <f ca="1">INDEX(OFFSET('Measure Inputs'!$Z$7,,,InputRows),$C36)</f>
        <v>1</v>
      </c>
      <c r="P36" s="37"/>
      <c r="Q36" s="127">
        <f ca="1">CONVERT(INDEX(OFFSET('Measure Inputs'!$AB$7,,,InputRows),$C36),'Measure Inputs'!$AB$6,Q$8)*$L36</f>
        <v>28387.069199999998</v>
      </c>
      <c r="R36" s="127">
        <f t="shared" ref="R36:R41" ca="1" si="313">Q36*N36</f>
        <v>28387.069199999998</v>
      </c>
      <c r="S36" s="127">
        <f t="shared" ref="S36:S41" ca="1" si="314">R36*O36</f>
        <v>28387.069199999998</v>
      </c>
      <c r="T36" s="37"/>
      <c r="U36" s="127">
        <f ca="1">CONVERT(INDEX(OFFSET('Measure Inputs'!$AD$7,,,InputRows),$C36),'Measure Inputs'!$AD$6,U$8)*$L36</f>
        <v>0</v>
      </c>
      <c r="V36" s="127">
        <f t="shared" ref="V36:V41" ca="1" si="315">U36*N36</f>
        <v>0</v>
      </c>
      <c r="W36" s="127">
        <f t="shared" ref="W36:W41" ca="1" si="316">V36*O36</f>
        <v>0</v>
      </c>
      <c r="X36" s="37"/>
      <c r="Y36" s="127">
        <f ca="1">CONVERT(INDEX(OFFSET('Measure Inputs'!$AC$7,,,InputRows),$C36),'Measure Inputs'!$AC$6,Y$8)*$L36</f>
        <v>3.3377011200000002</v>
      </c>
      <c r="Z36" s="127">
        <f t="shared" ref="Z36:AA36" ca="1" si="317">Y36*N36</f>
        <v>3.3377011200000002</v>
      </c>
      <c r="AA36" s="127">
        <f t="shared" ca="1" si="317"/>
        <v>3.3377011200000002</v>
      </c>
      <c r="AB36" s="37"/>
      <c r="AC36" s="127">
        <f ca="1">CONVERT(INDEX(OFFSET('Measure Inputs'!$AE$7,,,InputRows),$C36),'Measure Inputs'!$AE$6,AC$8)*$L36</f>
        <v>0</v>
      </c>
      <c r="AD36" s="127">
        <f t="shared" ref="AD36:AE36" ca="1" si="318">AC36*N36</f>
        <v>0</v>
      </c>
      <c r="AE36" s="127">
        <f t="shared" ca="1" si="318"/>
        <v>0</v>
      </c>
      <c r="AF36" s="37"/>
      <c r="AG36" s="97">
        <f ca="1">INDEX(OFFSET('Measure Inputs'!$R$7,,,InputRows),$C36)</f>
        <v>9.4</v>
      </c>
      <c r="AH36" s="97">
        <f ca="1">INDEX(OFFSET('Measure Inputs'!$S$7,,,InputRows),$C36)</f>
        <v>0</v>
      </c>
      <c r="AI36" s="97">
        <f t="shared" ref="AI36:AI41" ca="1" si="319">SUM(CX36:EX36)</f>
        <v>283870.69199999998</v>
      </c>
      <c r="AJ36" s="100">
        <f ca="1">INDEX(OFFSET('Measure Inputs'!$T$7,,,InputRows),$C36)*$L36*$N36*$O36</f>
        <v>5865</v>
      </c>
      <c r="AK36" s="100">
        <f ca="1">INDEX(OFFSET('Measure Inputs'!$U$7,,,InputRows),$C36)*$L36*$N36*$O36</f>
        <v>0</v>
      </c>
      <c r="AL36" s="100">
        <f ca="1">INDEX(OFFSET('Measure Inputs'!$V$7,,,InputRows),$C36)*$L36*$N36*$O36</f>
        <v>0</v>
      </c>
      <c r="AM36" s="100">
        <f ca="1">INDEX(OFFSET('Measure Inputs'!$W$7,,,InputRows),$C36)*$L36*$N36*$O36</f>
        <v>0</v>
      </c>
      <c r="AN36" s="100">
        <f ca="1">INDEX(OFFSET('Measure Inputs'!$X$7,,,InputRows),$C36)*$L36</f>
        <v>3638.1899999999996</v>
      </c>
      <c r="AO36" s="100"/>
      <c r="AP36" s="100">
        <f t="shared" ca="1" si="272"/>
        <v>3638.1899999999996</v>
      </c>
      <c r="AQ36" s="37"/>
      <c r="AR36" s="100">
        <f ca="1">SUMPRODUCT(--($CX$9:$EX$9=$H36)*$AJ36,'General Inputs'!$K$40:$BK$40)+SUMPRODUCT(--($CX$9:$EX$9=$H36+$AH36)*-$AK36,'General Inputs'!$K$43:$BK$43)</f>
        <v>5865</v>
      </c>
      <c r="AS36" s="100">
        <f ca="1">CONVERT(SUMPRODUCT($CX36:$EX36,'General Inputs'!$K$29:$BK$29,'General Inputs'!$K$40:$BK$40)*$M36,$Q$8,'General Inputs'!$E$17)</f>
        <v>2383.426180936774</v>
      </c>
      <c r="AT36" s="100">
        <f ca="1">SUMPRODUCT(--($CX$9:$EX$9=$H36)*$AN36,'General Inputs'!$K$40:$BK$40)</f>
        <v>3638.1899999999996</v>
      </c>
      <c r="AU36" s="100">
        <f>SUMPRODUCT(--($CX$9:$EX$9=$H36)*$AO36,'General Inputs'!$K$40:$BK$40)</f>
        <v>0</v>
      </c>
      <c r="AV36" s="100">
        <f ca="1">CONVERT(SUMPRODUCT($CX36:$EX36,'General Inputs'!$K$40:$BK$40,OFFSET('General Inputs'!$K$34:$BK$34,MATCH($D36,'General Inputs'!$J$34:$J$35,0)-1,)),$Q$8,'General Inputs'!$G$32)</f>
        <v>29251.608396818094</v>
      </c>
      <c r="AW36" s="100">
        <f ca="1">CONVERT(SUMPRODUCT($CX36:$EX36,'General Inputs'!$K$27:$BK$27,'General Inputs'!$K$40:$BK$40)*$M36,$Q$8,'General Inputs'!$E$17)</f>
        <v>9219.9517964070874</v>
      </c>
      <c r="AX36" s="100">
        <f ca="1">CONVERT(SUMPRODUCT($EZ36:$GZ36,'General Inputs'!$K$28:$BK$28,'General Inputs'!$K$40:$BK$40)*$M36,$Q$8,'General Inputs'!$E$17)</f>
        <v>407.73468389686786</v>
      </c>
      <c r="AY36" s="98">
        <f ca="1">SUMPRODUCT($CX36:$EX36,'General Inputs'!$K$40:$BK$40)</f>
        <v>199687.17479655941</v>
      </c>
      <c r="AZ36" s="37"/>
      <c r="BA36" s="100">
        <f t="shared" ref="BA36:BA41" ca="1" si="320">BD36-BC36</f>
        <v>3762.6864803039552</v>
      </c>
      <c r="BB36" s="102">
        <f t="shared" ref="BB36:BB41" ca="1" si="321">BD36/BC36</f>
        <v>1.6415492720040845</v>
      </c>
      <c r="BC36" s="100">
        <f t="shared" ca="1" si="273"/>
        <v>5865</v>
      </c>
      <c r="BD36" s="100">
        <f t="shared" ca="1" si="274"/>
        <v>9627.6864803039552</v>
      </c>
      <c r="BE36" s="100">
        <f t="shared" ca="1" si="275"/>
        <v>9219.9517964070874</v>
      </c>
      <c r="BF36" s="100">
        <f t="shared" ca="1" si="276"/>
        <v>407.73468389686786</v>
      </c>
      <c r="BG36" s="100">
        <f t="shared" si="277"/>
        <v>0</v>
      </c>
      <c r="BH36" s="100">
        <f t="shared" ca="1" si="278"/>
        <v>5865</v>
      </c>
      <c r="BI36" s="37"/>
      <c r="BJ36" s="100">
        <f t="shared" ref="BJ36:BJ41" ca="1" si="322">BM36-BL36</f>
        <v>6146.1126612407297</v>
      </c>
      <c r="BK36" s="102">
        <f t="shared" ref="BK36:BK41" ca="1" si="323">BM36/BL36</f>
        <v>2.0479305475261262</v>
      </c>
      <c r="BL36" s="100">
        <f t="shared" ca="1" si="279"/>
        <v>5865</v>
      </c>
      <c r="BM36" s="100">
        <f t="shared" ca="1" si="164"/>
        <v>12011.11266124073</v>
      </c>
      <c r="BN36" s="100">
        <f t="shared" ca="1" si="280"/>
        <v>9219.9517964070874</v>
      </c>
      <c r="BO36" s="100">
        <f t="shared" ca="1" si="281"/>
        <v>407.73468389686786</v>
      </c>
      <c r="BP36" s="100">
        <f t="shared" ca="1" si="282"/>
        <v>2383.426180936774</v>
      </c>
      <c r="BQ36" s="100">
        <f t="shared" si="283"/>
        <v>0</v>
      </c>
      <c r="BR36" s="100">
        <f t="shared" ca="1" si="284"/>
        <v>5865</v>
      </c>
      <c r="BS36" s="37"/>
      <c r="BT36" s="100">
        <f t="shared" ref="BT36:BT41" ca="1" si="324">BX36-BW36</f>
        <v>27024.798396818092</v>
      </c>
      <c r="BU36" s="102">
        <f t="shared" ref="BU36:BU41" ca="1" si="325">BX36/BW36</f>
        <v>5.6078087633108424</v>
      </c>
      <c r="BV36" s="102">
        <f t="shared" ca="1" si="285"/>
        <v>1.6762340509005256</v>
      </c>
      <c r="BW36" s="100">
        <f t="shared" ca="1" si="286"/>
        <v>5865</v>
      </c>
      <c r="BX36" s="100">
        <f t="shared" ca="1" si="287"/>
        <v>32889.798396818092</v>
      </c>
      <c r="BY36" s="100">
        <f t="shared" ca="1" si="288"/>
        <v>29251.608396818094</v>
      </c>
      <c r="BZ36" s="100">
        <f t="shared" ca="1" si="289"/>
        <v>3638.1899999999996</v>
      </c>
      <c r="CA36" s="100">
        <f t="shared" ca="1" si="290"/>
        <v>5865</v>
      </c>
      <c r="CB36" s="37"/>
      <c r="CC36" s="100">
        <f t="shared" ref="CC36:CC41" ca="1" si="326">CG36-CF36</f>
        <v>5989.4964803039557</v>
      </c>
      <c r="CD36" s="102">
        <f t="shared" ref="CD36:CD41" ca="1" si="327">CG36/CF36</f>
        <v>2.6462846856002451</v>
      </c>
      <c r="CE36" s="103">
        <f t="shared" ca="1" si="291"/>
        <v>-0.38764781940154058</v>
      </c>
      <c r="CF36" s="100">
        <f t="shared" ca="1" si="292"/>
        <v>3638.1899999999996</v>
      </c>
      <c r="CG36" s="100">
        <f t="shared" ca="1" si="293"/>
        <v>9627.6864803039552</v>
      </c>
      <c r="CH36" s="100">
        <f t="shared" ca="1" si="294"/>
        <v>9219.9517964070874</v>
      </c>
      <c r="CI36" s="100">
        <f t="shared" ca="1" si="71"/>
        <v>407.73468389686786</v>
      </c>
      <c r="CJ36" s="100">
        <f t="shared" ca="1" si="72"/>
        <v>3638.1899999999996</v>
      </c>
      <c r="CK36" s="100">
        <f t="shared" si="295"/>
        <v>0</v>
      </c>
      <c r="CL36" s="37"/>
      <c r="CM36" s="100">
        <f t="shared" ref="CM36:CM41" ca="1" si="328">CQ36-CP36</f>
        <v>-23262.111916514135</v>
      </c>
      <c r="CN36" s="102">
        <f t="shared" ref="CN36:CN41" ca="1" si="329">CQ36/CP36</f>
        <v>0.292725615528108</v>
      </c>
      <c r="CO36" s="128"/>
      <c r="CP36" s="100">
        <f t="shared" ca="1" si="296"/>
        <v>32889.798396818092</v>
      </c>
      <c r="CQ36" s="100">
        <f t="shared" ca="1" si="297"/>
        <v>9627.6864803039552</v>
      </c>
      <c r="CR36" s="100">
        <f t="shared" ca="1" si="298"/>
        <v>9219.9517964070874</v>
      </c>
      <c r="CS36" s="100">
        <f t="shared" ca="1" si="73"/>
        <v>407.73468389686786</v>
      </c>
      <c r="CT36" s="100">
        <f t="shared" ca="1" si="299"/>
        <v>29251.608396818094</v>
      </c>
      <c r="CU36" s="100">
        <f t="shared" ca="1" si="300"/>
        <v>3638.1899999999996</v>
      </c>
      <c r="CV36" s="100">
        <f t="shared" si="301"/>
        <v>0</v>
      </c>
      <c r="CW36" s="37"/>
      <c r="CX36" s="48">
        <f t="shared" ca="1" si="302"/>
        <v>28387.069199999998</v>
      </c>
      <c r="CY36" s="48">
        <f t="shared" ca="1" si="302"/>
        <v>28387.069199999998</v>
      </c>
      <c r="CZ36" s="48">
        <f t="shared" ca="1" si="302"/>
        <v>28387.069199999998</v>
      </c>
      <c r="DA36" s="48">
        <f t="shared" ca="1" si="302"/>
        <v>28387.069199999998</v>
      </c>
      <c r="DB36" s="48">
        <f t="shared" ca="1" si="302"/>
        <v>28387.069199999998</v>
      </c>
      <c r="DC36" s="48">
        <f t="shared" ca="1" si="302"/>
        <v>28387.069199999998</v>
      </c>
      <c r="DD36" s="48">
        <f t="shared" ca="1" si="302"/>
        <v>28387.069199999998</v>
      </c>
      <c r="DE36" s="48">
        <f t="shared" ca="1" si="302"/>
        <v>28387.069199999998</v>
      </c>
      <c r="DF36" s="48">
        <f t="shared" ca="1" si="302"/>
        <v>28387.069199999998</v>
      </c>
      <c r="DG36" s="48">
        <f t="shared" ca="1" si="302"/>
        <v>28387.069199999998</v>
      </c>
      <c r="DH36" s="48">
        <f t="shared" ca="1" si="303"/>
        <v>0</v>
      </c>
      <c r="DI36" s="48">
        <f t="shared" ca="1" si="303"/>
        <v>0</v>
      </c>
      <c r="DJ36" s="48">
        <f t="shared" ca="1" si="303"/>
        <v>0</v>
      </c>
      <c r="DK36" s="48">
        <f t="shared" ca="1" si="303"/>
        <v>0</v>
      </c>
      <c r="DL36" s="48">
        <f t="shared" ca="1" si="303"/>
        <v>0</v>
      </c>
      <c r="DM36" s="48">
        <f t="shared" ca="1" si="303"/>
        <v>0</v>
      </c>
      <c r="DN36" s="48">
        <f t="shared" ca="1" si="303"/>
        <v>0</v>
      </c>
      <c r="DO36" s="48">
        <f t="shared" ca="1" si="303"/>
        <v>0</v>
      </c>
      <c r="DP36" s="48">
        <f t="shared" ca="1" si="303"/>
        <v>0</v>
      </c>
      <c r="DQ36" s="48">
        <f t="shared" ca="1" si="303"/>
        <v>0</v>
      </c>
      <c r="DR36" s="48">
        <f t="shared" ca="1" si="304"/>
        <v>0</v>
      </c>
      <c r="DS36" s="48">
        <f t="shared" ca="1" si="304"/>
        <v>0</v>
      </c>
      <c r="DT36" s="48">
        <f t="shared" ca="1" si="304"/>
        <v>0</v>
      </c>
      <c r="DU36" s="48">
        <f t="shared" ca="1" si="304"/>
        <v>0</v>
      </c>
      <c r="DV36" s="48">
        <f t="shared" ca="1" si="304"/>
        <v>0</v>
      </c>
      <c r="DW36" s="48">
        <f t="shared" ca="1" si="304"/>
        <v>0</v>
      </c>
      <c r="DX36" s="48">
        <f t="shared" ca="1" si="304"/>
        <v>0</v>
      </c>
      <c r="DY36" s="48">
        <f t="shared" ca="1" si="304"/>
        <v>0</v>
      </c>
      <c r="DZ36" s="48">
        <f t="shared" ca="1" si="304"/>
        <v>0</v>
      </c>
      <c r="EA36" s="48">
        <f t="shared" ca="1" si="304"/>
        <v>0</v>
      </c>
      <c r="EB36" s="48">
        <f t="shared" ca="1" si="305"/>
        <v>0</v>
      </c>
      <c r="EC36" s="48">
        <f t="shared" ca="1" si="305"/>
        <v>0</v>
      </c>
      <c r="ED36" s="48">
        <f t="shared" ca="1" si="305"/>
        <v>0</v>
      </c>
      <c r="EE36" s="48">
        <f t="shared" ca="1" si="305"/>
        <v>0</v>
      </c>
      <c r="EF36" s="48">
        <f t="shared" ca="1" si="305"/>
        <v>0</v>
      </c>
      <c r="EG36" s="48">
        <f t="shared" ca="1" si="305"/>
        <v>0</v>
      </c>
      <c r="EH36" s="48">
        <f t="shared" ca="1" si="305"/>
        <v>0</v>
      </c>
      <c r="EI36" s="48">
        <f t="shared" ca="1" si="305"/>
        <v>0</v>
      </c>
      <c r="EJ36" s="48">
        <f t="shared" ca="1" si="305"/>
        <v>0</v>
      </c>
      <c r="EK36" s="48">
        <f t="shared" ca="1" si="305"/>
        <v>0</v>
      </c>
      <c r="EL36" s="48">
        <f t="shared" ca="1" si="306"/>
        <v>0</v>
      </c>
      <c r="EM36" s="48">
        <f t="shared" ca="1" si="306"/>
        <v>0</v>
      </c>
      <c r="EN36" s="48">
        <f t="shared" ca="1" si="306"/>
        <v>0</v>
      </c>
      <c r="EO36" s="48">
        <f t="shared" ca="1" si="306"/>
        <v>0</v>
      </c>
      <c r="EP36" s="48">
        <f t="shared" ca="1" si="306"/>
        <v>0</v>
      </c>
      <c r="EQ36" s="48">
        <f t="shared" ca="1" si="306"/>
        <v>0</v>
      </c>
      <c r="ER36" s="48">
        <f t="shared" ca="1" si="306"/>
        <v>0</v>
      </c>
      <c r="ES36" s="48">
        <f t="shared" ca="1" si="306"/>
        <v>0</v>
      </c>
      <c r="ET36" s="48">
        <f t="shared" ca="1" si="306"/>
        <v>0</v>
      </c>
      <c r="EU36" s="48">
        <f t="shared" ca="1" si="306"/>
        <v>0</v>
      </c>
      <c r="EV36" s="48">
        <f t="shared" ca="1" si="306"/>
        <v>0</v>
      </c>
      <c r="EW36" s="48">
        <f t="shared" ca="1" si="306"/>
        <v>0</v>
      </c>
      <c r="EX36" s="48">
        <f t="shared" ca="1" si="306"/>
        <v>0</v>
      </c>
      <c r="EY36" s="69"/>
      <c r="EZ36" s="48">
        <f t="shared" ca="1" si="307"/>
        <v>3.3377011200000002</v>
      </c>
      <c r="FA36" s="48">
        <f t="shared" ca="1" si="307"/>
        <v>3.3377011200000002</v>
      </c>
      <c r="FB36" s="48">
        <f t="shared" ca="1" si="307"/>
        <v>3.3377011200000002</v>
      </c>
      <c r="FC36" s="48">
        <f t="shared" ca="1" si="307"/>
        <v>3.3377011200000002</v>
      </c>
      <c r="FD36" s="48">
        <f t="shared" ca="1" si="307"/>
        <v>3.3377011200000002</v>
      </c>
      <c r="FE36" s="48">
        <f t="shared" ca="1" si="307"/>
        <v>3.3377011200000002</v>
      </c>
      <c r="FF36" s="48">
        <f t="shared" ca="1" si="307"/>
        <v>3.3377011200000002</v>
      </c>
      <c r="FG36" s="48">
        <f t="shared" ca="1" si="307"/>
        <v>3.3377011200000002</v>
      </c>
      <c r="FH36" s="48">
        <f t="shared" ca="1" si="307"/>
        <v>3.3377011200000002</v>
      </c>
      <c r="FI36" s="48">
        <f t="shared" ca="1" si="307"/>
        <v>3.3377011200000002</v>
      </c>
      <c r="FJ36" s="48">
        <f t="shared" ca="1" si="308"/>
        <v>0</v>
      </c>
      <c r="FK36" s="48">
        <f t="shared" ca="1" si="308"/>
        <v>0</v>
      </c>
      <c r="FL36" s="48">
        <f t="shared" ca="1" si="308"/>
        <v>0</v>
      </c>
      <c r="FM36" s="48">
        <f t="shared" ca="1" si="308"/>
        <v>0</v>
      </c>
      <c r="FN36" s="48">
        <f t="shared" ca="1" si="308"/>
        <v>0</v>
      </c>
      <c r="FO36" s="48">
        <f t="shared" ca="1" si="308"/>
        <v>0</v>
      </c>
      <c r="FP36" s="48">
        <f t="shared" ca="1" si="308"/>
        <v>0</v>
      </c>
      <c r="FQ36" s="48">
        <f t="shared" ca="1" si="308"/>
        <v>0</v>
      </c>
      <c r="FR36" s="48">
        <f t="shared" ca="1" si="308"/>
        <v>0</v>
      </c>
      <c r="FS36" s="48">
        <f t="shared" ca="1" si="308"/>
        <v>0</v>
      </c>
      <c r="FT36" s="48">
        <f t="shared" ca="1" si="309"/>
        <v>0</v>
      </c>
      <c r="FU36" s="48">
        <f t="shared" ca="1" si="309"/>
        <v>0</v>
      </c>
      <c r="FV36" s="48">
        <f t="shared" ca="1" si="309"/>
        <v>0</v>
      </c>
      <c r="FW36" s="48">
        <f t="shared" ca="1" si="309"/>
        <v>0</v>
      </c>
      <c r="FX36" s="48">
        <f t="shared" ca="1" si="309"/>
        <v>0</v>
      </c>
      <c r="FY36" s="48">
        <f t="shared" ca="1" si="309"/>
        <v>0</v>
      </c>
      <c r="FZ36" s="48">
        <f t="shared" ca="1" si="309"/>
        <v>0</v>
      </c>
      <c r="GA36" s="48">
        <f t="shared" ca="1" si="309"/>
        <v>0</v>
      </c>
      <c r="GB36" s="48">
        <f t="shared" ca="1" si="309"/>
        <v>0</v>
      </c>
      <c r="GC36" s="48">
        <f t="shared" ca="1" si="309"/>
        <v>0</v>
      </c>
      <c r="GD36" s="48">
        <f t="shared" ca="1" si="310"/>
        <v>0</v>
      </c>
      <c r="GE36" s="48">
        <f t="shared" ca="1" si="310"/>
        <v>0</v>
      </c>
      <c r="GF36" s="48">
        <f t="shared" ca="1" si="310"/>
        <v>0</v>
      </c>
      <c r="GG36" s="48">
        <f t="shared" ca="1" si="310"/>
        <v>0</v>
      </c>
      <c r="GH36" s="48">
        <f t="shared" ca="1" si="310"/>
        <v>0</v>
      </c>
      <c r="GI36" s="48">
        <f t="shared" ca="1" si="310"/>
        <v>0</v>
      </c>
      <c r="GJ36" s="48">
        <f t="shared" ca="1" si="310"/>
        <v>0</v>
      </c>
      <c r="GK36" s="48">
        <f t="shared" ca="1" si="310"/>
        <v>0</v>
      </c>
      <c r="GL36" s="48">
        <f t="shared" ca="1" si="310"/>
        <v>0</v>
      </c>
      <c r="GM36" s="48">
        <f t="shared" ca="1" si="310"/>
        <v>0</v>
      </c>
      <c r="GN36" s="48">
        <f t="shared" ca="1" si="311"/>
        <v>0</v>
      </c>
      <c r="GO36" s="48">
        <f t="shared" ca="1" si="311"/>
        <v>0</v>
      </c>
      <c r="GP36" s="48">
        <f t="shared" ca="1" si="311"/>
        <v>0</v>
      </c>
      <c r="GQ36" s="48">
        <f t="shared" ca="1" si="311"/>
        <v>0</v>
      </c>
      <c r="GR36" s="48">
        <f t="shared" ca="1" si="311"/>
        <v>0</v>
      </c>
      <c r="GS36" s="48">
        <f t="shared" ca="1" si="311"/>
        <v>0</v>
      </c>
      <c r="GT36" s="48">
        <f t="shared" ca="1" si="311"/>
        <v>0</v>
      </c>
      <c r="GU36" s="48">
        <f t="shared" ca="1" si="311"/>
        <v>0</v>
      </c>
      <c r="GV36" s="48">
        <f t="shared" ca="1" si="311"/>
        <v>0</v>
      </c>
      <c r="GW36" s="48">
        <f t="shared" ca="1" si="311"/>
        <v>0</v>
      </c>
      <c r="GX36" s="48">
        <f t="shared" ca="1" si="311"/>
        <v>0</v>
      </c>
      <c r="GY36" s="48">
        <f t="shared" ca="1" si="311"/>
        <v>0</v>
      </c>
      <c r="GZ36" s="48">
        <f t="shared" ca="1" si="311"/>
        <v>0</v>
      </c>
      <c r="HA36" s="69"/>
      <c r="HB36" s="150">
        <f t="shared" ca="1" si="74"/>
        <v>1.6415492720040845</v>
      </c>
      <c r="HC36" s="150">
        <f t="shared" ca="1" si="75"/>
        <v>2.6462846856002451</v>
      </c>
      <c r="HD36" s="150">
        <f t="shared" ca="1" si="76"/>
        <v>2.0479305475261262</v>
      </c>
      <c r="HE36" s="150">
        <f t="shared" ca="1" si="77"/>
        <v>5.6078087633108424</v>
      </c>
      <c r="HF36" s="150">
        <f t="shared" ca="1" si="78"/>
        <v>0.292725615528108</v>
      </c>
      <c r="HG36" s="148"/>
      <c r="HH36" s="149"/>
      <c r="HI36" s="149"/>
      <c r="HJ36" s="149"/>
      <c r="HK36" s="150"/>
      <c r="HL36" s="149"/>
      <c r="HM36" s="149"/>
      <c r="HN36" s="149"/>
      <c r="HO36" s="150"/>
      <c r="HP36" s="148"/>
      <c r="HQ36" s="149"/>
      <c r="HR36" s="149"/>
      <c r="HS36" s="149"/>
      <c r="HT36" s="150"/>
      <c r="HU36" s="149"/>
      <c r="HV36" s="149"/>
      <c r="HW36" s="149"/>
      <c r="HX36" s="150"/>
      <c r="HY36" s="151"/>
      <c r="HZ36" s="150"/>
      <c r="IA36" s="150"/>
      <c r="IB36" s="152"/>
      <c r="IC36" s="150"/>
      <c r="ID36" s="152"/>
      <c r="IE36" s="150"/>
      <c r="IF36" s="153"/>
    </row>
    <row r="37" spans="1:240" s="36" customFormat="1" ht="14.4" customHeight="1">
      <c r="A37" s="39"/>
      <c r="B37" s="50" t="str">
        <f t="shared" si="312"/>
        <v>Residential_Residential Lighting_Lighting_Advanced Power Strip_2017_Actual</v>
      </c>
      <c r="C37" s="50">
        <f>INDEX('Measure Inputs'!$D:$D,MATCH($B37,'Measure Inputs'!$B:$B,0))</f>
        <v>3</v>
      </c>
      <c r="D37" s="51" t="str">
        <f>'Measure Inputs'!G9</f>
        <v>Residential</v>
      </c>
      <c r="E37" s="51" t="str">
        <f>'Measure Inputs'!H9</f>
        <v>Residential Lighting</v>
      </c>
      <c r="F37" s="51" t="str">
        <f>'Measure Inputs'!I9</f>
        <v>Lighting</v>
      </c>
      <c r="G37" s="51" t="str">
        <f>'Measure Inputs'!J9</f>
        <v>Advanced Power Strip</v>
      </c>
      <c r="H37" s="51">
        <f>'Measure Inputs'!K9</f>
        <v>2017</v>
      </c>
      <c r="I37" s="51" t="str">
        <f>'Measure Inputs'!L9</f>
        <v>Actual</v>
      </c>
      <c r="J37" s="37"/>
      <c r="K37" s="99" t="str">
        <f ca="1">INDEX(OFFSET('Measure Inputs'!$O$7,,,InputRows),$C37)</f>
        <v>Units</v>
      </c>
      <c r="L37" s="38">
        <f ca="1">INDEX(OFFSET('Measure Inputs'!$Q$7,,,InputRows),$C37)</f>
        <v>0</v>
      </c>
      <c r="M37" s="167">
        <f>INDEX('General Inputs'!$E$14:$E$15,MATCH(D37,'General Inputs'!$D$14:$D$15,0))</f>
        <v>1.0469999999999999</v>
      </c>
      <c r="N37" s="54">
        <f ca="1">INDEX(OFFSET('Measure Inputs'!$Y$7,,,InputRows),$C37)</f>
        <v>1</v>
      </c>
      <c r="O37" s="54">
        <f ca="1">INDEX(OFFSET('Measure Inputs'!$Z$7,,,InputRows),$C37)</f>
        <v>1</v>
      </c>
      <c r="P37" s="37"/>
      <c r="Q37" s="127">
        <f ca="1">CONVERT(INDEX(OFFSET('Measure Inputs'!$AB$7,,,InputRows),$C37),'Measure Inputs'!$AB$6,Q$8)*$L37</f>
        <v>0</v>
      </c>
      <c r="R37" s="127">
        <f t="shared" ca="1" si="313"/>
        <v>0</v>
      </c>
      <c r="S37" s="127">
        <f t="shared" ca="1" si="314"/>
        <v>0</v>
      </c>
      <c r="T37" s="37"/>
      <c r="U37" s="127">
        <f ca="1">CONVERT(INDEX(OFFSET('Measure Inputs'!$AD$7,,,InputRows),$C37),'Measure Inputs'!$AD$6,U$8)*$L37</f>
        <v>0</v>
      </c>
      <c r="V37" s="127">
        <f t="shared" ca="1" si="315"/>
        <v>0</v>
      </c>
      <c r="W37" s="127">
        <f t="shared" ca="1" si="316"/>
        <v>0</v>
      </c>
      <c r="X37" s="37"/>
      <c r="Y37" s="127">
        <f ca="1">CONVERT(INDEX(OFFSET('Measure Inputs'!$AC$7,,,InputRows),$C37),'Measure Inputs'!$AC$6,Y$8)*$L37</f>
        <v>0</v>
      </c>
      <c r="Z37" s="127">
        <f t="shared" ref="Z37:AA37" ca="1" si="330">Y37*N37</f>
        <v>0</v>
      </c>
      <c r="AA37" s="127">
        <f t="shared" ca="1" si="330"/>
        <v>0</v>
      </c>
      <c r="AB37" s="37"/>
      <c r="AC37" s="127">
        <f ca="1">CONVERT(INDEX(OFFSET('Measure Inputs'!$AE$7,,,InputRows),$C37),'Measure Inputs'!$AE$6,AC$8)*$L37</f>
        <v>0</v>
      </c>
      <c r="AD37" s="127">
        <f t="shared" ref="AD37:AE37" ca="1" si="331">AC37*N37</f>
        <v>0</v>
      </c>
      <c r="AE37" s="127">
        <f t="shared" ca="1" si="331"/>
        <v>0</v>
      </c>
      <c r="AF37" s="37"/>
      <c r="AG37" s="97">
        <f ca="1">INDEX(OFFSET('Measure Inputs'!$R$7,,,InputRows),$C37)</f>
        <v>10</v>
      </c>
      <c r="AH37" s="97">
        <f ca="1">INDEX(OFFSET('Measure Inputs'!$S$7,,,InputRows),$C37)</f>
        <v>0</v>
      </c>
      <c r="AI37" s="97">
        <f t="shared" ca="1" si="319"/>
        <v>0</v>
      </c>
      <c r="AJ37" s="100">
        <f ca="1">INDEX(OFFSET('Measure Inputs'!$T$7,,,InputRows),$C37)*$L37*$N37*$O37</f>
        <v>0</v>
      </c>
      <c r="AK37" s="100">
        <f ca="1">INDEX(OFFSET('Measure Inputs'!$U$7,,,InputRows),$C37)*$L37*$N37*$O37</f>
        <v>0</v>
      </c>
      <c r="AL37" s="100">
        <f ca="1">INDEX(OFFSET('Measure Inputs'!$V$7,,,InputRows),$C37)*$L37*$N37*$O37</f>
        <v>0</v>
      </c>
      <c r="AM37" s="100">
        <f ca="1">INDEX(OFFSET('Measure Inputs'!$W$7,,,InputRows),$C37)*$L37*$N37*$O37</f>
        <v>0</v>
      </c>
      <c r="AN37" s="100">
        <f ca="1">INDEX(OFFSET('Measure Inputs'!$X$7,,,InputRows),$C37)*$L37</f>
        <v>0</v>
      </c>
      <c r="AO37" s="100"/>
      <c r="AP37" s="100">
        <f t="shared" ca="1" si="272"/>
        <v>0</v>
      </c>
      <c r="AQ37" s="37"/>
      <c r="AR37" s="100">
        <f ca="1">SUMPRODUCT(--($CX$9:$EX$9=$H37)*$AJ37,'General Inputs'!$K$40:$BK$40)+SUMPRODUCT(--($CX$9:$EX$9=$H37+$AH37)*-$AK37,'General Inputs'!$K$43:$BK$43)</f>
        <v>0</v>
      </c>
      <c r="AS37" s="100">
        <f ca="1">CONVERT(SUMPRODUCT($CX37:$EX37,'General Inputs'!$K$29:$BK$29,'General Inputs'!$K$40:$BK$40)*$M37,$Q$8,'General Inputs'!$E$17)</f>
        <v>0</v>
      </c>
      <c r="AT37" s="100">
        <f ca="1">SUMPRODUCT(--($CX$9:$EX$9=$H37)*$AN37,'General Inputs'!$K$40:$BK$40)</f>
        <v>0</v>
      </c>
      <c r="AU37" s="100">
        <f>SUMPRODUCT(--($CX$9:$EX$9=$H37)*$AO37,'General Inputs'!$K$40:$BK$40)</f>
        <v>0</v>
      </c>
      <c r="AV37" s="100">
        <f ca="1">CONVERT(SUMPRODUCT($CX37:$EX37,'General Inputs'!$K$40:$BK$40,OFFSET('General Inputs'!$K$34:$BK$34,MATCH($D37,'General Inputs'!$J$34:$J$35,0)-1,)),$Q$8,'General Inputs'!$G$32)</f>
        <v>0</v>
      </c>
      <c r="AW37" s="100">
        <f ca="1">CONVERT(SUMPRODUCT($CX37:$EX37,'General Inputs'!$K$27:$BK$27,'General Inputs'!$K$40:$BK$40)*$M37,$Q$8,'General Inputs'!$E$17)</f>
        <v>0</v>
      </c>
      <c r="AX37" s="100">
        <f ca="1">CONVERT(SUMPRODUCT($EZ37:$GZ37,'General Inputs'!$K$28:$BK$28,'General Inputs'!$K$40:$BK$40)*$M37,$Q$8,'General Inputs'!$E$17)</f>
        <v>0</v>
      </c>
      <c r="AY37" s="98">
        <f ca="1">SUMPRODUCT($CX37:$EX37,'General Inputs'!$K$40:$BK$40)</f>
        <v>0</v>
      </c>
      <c r="AZ37" s="37"/>
      <c r="BA37" s="100">
        <f t="shared" ca="1" si="320"/>
        <v>0</v>
      </c>
      <c r="BB37" s="102" t="e">
        <f t="shared" ca="1" si="321"/>
        <v>#DIV/0!</v>
      </c>
      <c r="BC37" s="100">
        <f t="shared" ca="1" si="273"/>
        <v>0</v>
      </c>
      <c r="BD37" s="100">
        <f t="shared" ca="1" si="274"/>
        <v>0</v>
      </c>
      <c r="BE37" s="100">
        <f t="shared" ca="1" si="275"/>
        <v>0</v>
      </c>
      <c r="BF37" s="100">
        <f t="shared" ca="1" si="276"/>
        <v>0</v>
      </c>
      <c r="BG37" s="100">
        <f t="shared" si="277"/>
        <v>0</v>
      </c>
      <c r="BH37" s="100">
        <f t="shared" ca="1" si="278"/>
        <v>0</v>
      </c>
      <c r="BI37" s="37"/>
      <c r="BJ37" s="100">
        <f t="shared" ca="1" si="322"/>
        <v>0</v>
      </c>
      <c r="BK37" s="102" t="e">
        <f t="shared" ca="1" si="323"/>
        <v>#DIV/0!</v>
      </c>
      <c r="BL37" s="100">
        <f t="shared" ca="1" si="279"/>
        <v>0</v>
      </c>
      <c r="BM37" s="100">
        <f t="shared" ca="1" si="164"/>
        <v>0</v>
      </c>
      <c r="BN37" s="100">
        <f t="shared" ca="1" si="280"/>
        <v>0</v>
      </c>
      <c r="BO37" s="100">
        <f t="shared" ca="1" si="281"/>
        <v>0</v>
      </c>
      <c r="BP37" s="100">
        <f t="shared" ca="1" si="282"/>
        <v>0</v>
      </c>
      <c r="BQ37" s="100">
        <f t="shared" si="283"/>
        <v>0</v>
      </c>
      <c r="BR37" s="100">
        <f t="shared" ca="1" si="284"/>
        <v>0</v>
      </c>
      <c r="BS37" s="37"/>
      <c r="BT37" s="100">
        <f t="shared" ca="1" si="324"/>
        <v>0</v>
      </c>
      <c r="BU37" s="102" t="e">
        <f t="shared" ca="1" si="325"/>
        <v>#DIV/0!</v>
      </c>
      <c r="BV37" s="102" t="e">
        <f t="shared" ca="1" si="285"/>
        <v>#DIV/0!</v>
      </c>
      <c r="BW37" s="100">
        <f t="shared" ca="1" si="286"/>
        <v>0</v>
      </c>
      <c r="BX37" s="100">
        <f t="shared" ca="1" si="287"/>
        <v>0</v>
      </c>
      <c r="BY37" s="100">
        <f t="shared" ca="1" si="288"/>
        <v>0</v>
      </c>
      <c r="BZ37" s="100">
        <f t="shared" ca="1" si="289"/>
        <v>0</v>
      </c>
      <c r="CA37" s="100">
        <f t="shared" ca="1" si="290"/>
        <v>0</v>
      </c>
      <c r="CB37" s="37"/>
      <c r="CC37" s="100">
        <f t="shared" ca="1" si="326"/>
        <v>0</v>
      </c>
      <c r="CD37" s="102" t="e">
        <f t="shared" ca="1" si="327"/>
        <v>#DIV/0!</v>
      </c>
      <c r="CE37" s="103" t="e">
        <f t="shared" ca="1" si="291"/>
        <v>#DIV/0!</v>
      </c>
      <c r="CF37" s="100">
        <f t="shared" ca="1" si="292"/>
        <v>0</v>
      </c>
      <c r="CG37" s="100">
        <f t="shared" ca="1" si="293"/>
        <v>0</v>
      </c>
      <c r="CH37" s="100">
        <f t="shared" ca="1" si="294"/>
        <v>0</v>
      </c>
      <c r="CI37" s="100">
        <f t="shared" ca="1" si="71"/>
        <v>0</v>
      </c>
      <c r="CJ37" s="100">
        <f t="shared" ca="1" si="72"/>
        <v>0</v>
      </c>
      <c r="CK37" s="100">
        <f t="shared" si="295"/>
        <v>0</v>
      </c>
      <c r="CL37" s="37"/>
      <c r="CM37" s="100">
        <f t="shared" ca="1" si="328"/>
        <v>0</v>
      </c>
      <c r="CN37" s="102" t="e">
        <f t="shared" ca="1" si="329"/>
        <v>#DIV/0!</v>
      </c>
      <c r="CO37" s="128"/>
      <c r="CP37" s="100">
        <f t="shared" ca="1" si="296"/>
        <v>0</v>
      </c>
      <c r="CQ37" s="100">
        <f t="shared" ca="1" si="297"/>
        <v>0</v>
      </c>
      <c r="CR37" s="100">
        <f t="shared" ca="1" si="298"/>
        <v>0</v>
      </c>
      <c r="CS37" s="100">
        <f t="shared" ca="1" si="73"/>
        <v>0</v>
      </c>
      <c r="CT37" s="100">
        <f t="shared" ca="1" si="299"/>
        <v>0</v>
      </c>
      <c r="CU37" s="100">
        <f t="shared" ca="1" si="300"/>
        <v>0</v>
      </c>
      <c r="CV37" s="100">
        <f t="shared" si="301"/>
        <v>0</v>
      </c>
      <c r="CW37" s="37"/>
      <c r="CX37" s="48">
        <f t="shared" ca="1" si="302"/>
        <v>0</v>
      </c>
      <c r="CY37" s="48">
        <f t="shared" ca="1" si="302"/>
        <v>0</v>
      </c>
      <c r="CZ37" s="48">
        <f t="shared" ca="1" si="302"/>
        <v>0</v>
      </c>
      <c r="DA37" s="48">
        <f t="shared" ca="1" si="302"/>
        <v>0</v>
      </c>
      <c r="DB37" s="48">
        <f t="shared" ca="1" si="302"/>
        <v>0</v>
      </c>
      <c r="DC37" s="48">
        <f t="shared" ca="1" si="302"/>
        <v>0</v>
      </c>
      <c r="DD37" s="48">
        <f t="shared" ca="1" si="302"/>
        <v>0</v>
      </c>
      <c r="DE37" s="48">
        <f t="shared" ca="1" si="302"/>
        <v>0</v>
      </c>
      <c r="DF37" s="48">
        <f t="shared" ca="1" si="302"/>
        <v>0</v>
      </c>
      <c r="DG37" s="48">
        <f t="shared" ca="1" si="302"/>
        <v>0</v>
      </c>
      <c r="DH37" s="48">
        <f t="shared" ca="1" si="303"/>
        <v>0</v>
      </c>
      <c r="DI37" s="48">
        <f t="shared" ca="1" si="303"/>
        <v>0</v>
      </c>
      <c r="DJ37" s="48">
        <f t="shared" ca="1" si="303"/>
        <v>0</v>
      </c>
      <c r="DK37" s="48">
        <f t="shared" ca="1" si="303"/>
        <v>0</v>
      </c>
      <c r="DL37" s="48">
        <f t="shared" ca="1" si="303"/>
        <v>0</v>
      </c>
      <c r="DM37" s="48">
        <f t="shared" ca="1" si="303"/>
        <v>0</v>
      </c>
      <c r="DN37" s="48">
        <f t="shared" ca="1" si="303"/>
        <v>0</v>
      </c>
      <c r="DO37" s="48">
        <f t="shared" ca="1" si="303"/>
        <v>0</v>
      </c>
      <c r="DP37" s="48">
        <f t="shared" ca="1" si="303"/>
        <v>0</v>
      </c>
      <c r="DQ37" s="48">
        <f t="shared" ca="1" si="303"/>
        <v>0</v>
      </c>
      <c r="DR37" s="48">
        <f t="shared" ca="1" si="304"/>
        <v>0</v>
      </c>
      <c r="DS37" s="48">
        <f t="shared" ca="1" si="304"/>
        <v>0</v>
      </c>
      <c r="DT37" s="48">
        <f t="shared" ca="1" si="304"/>
        <v>0</v>
      </c>
      <c r="DU37" s="48">
        <f t="shared" ca="1" si="304"/>
        <v>0</v>
      </c>
      <c r="DV37" s="48">
        <f t="shared" ca="1" si="304"/>
        <v>0</v>
      </c>
      <c r="DW37" s="48">
        <f t="shared" ca="1" si="304"/>
        <v>0</v>
      </c>
      <c r="DX37" s="48">
        <f t="shared" ca="1" si="304"/>
        <v>0</v>
      </c>
      <c r="DY37" s="48">
        <f t="shared" ca="1" si="304"/>
        <v>0</v>
      </c>
      <c r="DZ37" s="48">
        <f t="shared" ca="1" si="304"/>
        <v>0</v>
      </c>
      <c r="EA37" s="48">
        <f t="shared" ca="1" si="304"/>
        <v>0</v>
      </c>
      <c r="EB37" s="48">
        <f t="shared" ca="1" si="305"/>
        <v>0</v>
      </c>
      <c r="EC37" s="48">
        <f t="shared" ca="1" si="305"/>
        <v>0</v>
      </c>
      <c r="ED37" s="48">
        <f t="shared" ca="1" si="305"/>
        <v>0</v>
      </c>
      <c r="EE37" s="48">
        <f t="shared" ca="1" si="305"/>
        <v>0</v>
      </c>
      <c r="EF37" s="48">
        <f t="shared" ca="1" si="305"/>
        <v>0</v>
      </c>
      <c r="EG37" s="48">
        <f t="shared" ca="1" si="305"/>
        <v>0</v>
      </c>
      <c r="EH37" s="48">
        <f t="shared" ca="1" si="305"/>
        <v>0</v>
      </c>
      <c r="EI37" s="48">
        <f t="shared" ca="1" si="305"/>
        <v>0</v>
      </c>
      <c r="EJ37" s="48">
        <f t="shared" ca="1" si="305"/>
        <v>0</v>
      </c>
      <c r="EK37" s="48">
        <f t="shared" ca="1" si="305"/>
        <v>0</v>
      </c>
      <c r="EL37" s="48">
        <f t="shared" ca="1" si="306"/>
        <v>0</v>
      </c>
      <c r="EM37" s="48">
        <f t="shared" ca="1" si="306"/>
        <v>0</v>
      </c>
      <c r="EN37" s="48">
        <f t="shared" ca="1" si="306"/>
        <v>0</v>
      </c>
      <c r="EO37" s="48">
        <f t="shared" ca="1" si="306"/>
        <v>0</v>
      </c>
      <c r="EP37" s="48">
        <f t="shared" ca="1" si="306"/>
        <v>0</v>
      </c>
      <c r="EQ37" s="48">
        <f t="shared" ca="1" si="306"/>
        <v>0</v>
      </c>
      <c r="ER37" s="48">
        <f t="shared" ca="1" si="306"/>
        <v>0</v>
      </c>
      <c r="ES37" s="48">
        <f t="shared" ca="1" si="306"/>
        <v>0</v>
      </c>
      <c r="ET37" s="48">
        <f t="shared" ca="1" si="306"/>
        <v>0</v>
      </c>
      <c r="EU37" s="48">
        <f t="shared" ca="1" si="306"/>
        <v>0</v>
      </c>
      <c r="EV37" s="48">
        <f t="shared" ca="1" si="306"/>
        <v>0</v>
      </c>
      <c r="EW37" s="48">
        <f t="shared" ca="1" si="306"/>
        <v>0</v>
      </c>
      <c r="EX37" s="48">
        <f t="shared" ca="1" si="306"/>
        <v>0</v>
      </c>
      <c r="EY37" s="69"/>
      <c r="EZ37" s="48">
        <f t="shared" ca="1" si="307"/>
        <v>0</v>
      </c>
      <c r="FA37" s="48">
        <f t="shared" ca="1" si="307"/>
        <v>0</v>
      </c>
      <c r="FB37" s="48">
        <f t="shared" ca="1" si="307"/>
        <v>0</v>
      </c>
      <c r="FC37" s="48">
        <f t="shared" ca="1" si="307"/>
        <v>0</v>
      </c>
      <c r="FD37" s="48">
        <f t="shared" ca="1" si="307"/>
        <v>0</v>
      </c>
      <c r="FE37" s="48">
        <f t="shared" ca="1" si="307"/>
        <v>0</v>
      </c>
      <c r="FF37" s="48">
        <f t="shared" ca="1" si="307"/>
        <v>0</v>
      </c>
      <c r="FG37" s="48">
        <f t="shared" ca="1" si="307"/>
        <v>0</v>
      </c>
      <c r="FH37" s="48">
        <f t="shared" ca="1" si="307"/>
        <v>0</v>
      </c>
      <c r="FI37" s="48">
        <f t="shared" ca="1" si="307"/>
        <v>0</v>
      </c>
      <c r="FJ37" s="48">
        <f t="shared" ca="1" si="308"/>
        <v>0</v>
      </c>
      <c r="FK37" s="48">
        <f t="shared" ca="1" si="308"/>
        <v>0</v>
      </c>
      <c r="FL37" s="48">
        <f t="shared" ca="1" si="308"/>
        <v>0</v>
      </c>
      <c r="FM37" s="48">
        <f t="shared" ca="1" si="308"/>
        <v>0</v>
      </c>
      <c r="FN37" s="48">
        <f t="shared" ca="1" si="308"/>
        <v>0</v>
      </c>
      <c r="FO37" s="48">
        <f t="shared" ca="1" si="308"/>
        <v>0</v>
      </c>
      <c r="FP37" s="48">
        <f t="shared" ca="1" si="308"/>
        <v>0</v>
      </c>
      <c r="FQ37" s="48">
        <f t="shared" ca="1" si="308"/>
        <v>0</v>
      </c>
      <c r="FR37" s="48">
        <f t="shared" ca="1" si="308"/>
        <v>0</v>
      </c>
      <c r="FS37" s="48">
        <f t="shared" ca="1" si="308"/>
        <v>0</v>
      </c>
      <c r="FT37" s="48">
        <f t="shared" ca="1" si="309"/>
        <v>0</v>
      </c>
      <c r="FU37" s="48">
        <f t="shared" ca="1" si="309"/>
        <v>0</v>
      </c>
      <c r="FV37" s="48">
        <f t="shared" ca="1" si="309"/>
        <v>0</v>
      </c>
      <c r="FW37" s="48">
        <f t="shared" ca="1" si="309"/>
        <v>0</v>
      </c>
      <c r="FX37" s="48">
        <f t="shared" ca="1" si="309"/>
        <v>0</v>
      </c>
      <c r="FY37" s="48">
        <f t="shared" ca="1" si="309"/>
        <v>0</v>
      </c>
      <c r="FZ37" s="48">
        <f t="shared" ca="1" si="309"/>
        <v>0</v>
      </c>
      <c r="GA37" s="48">
        <f t="shared" ca="1" si="309"/>
        <v>0</v>
      </c>
      <c r="GB37" s="48">
        <f t="shared" ca="1" si="309"/>
        <v>0</v>
      </c>
      <c r="GC37" s="48">
        <f t="shared" ca="1" si="309"/>
        <v>0</v>
      </c>
      <c r="GD37" s="48">
        <f t="shared" ca="1" si="310"/>
        <v>0</v>
      </c>
      <c r="GE37" s="48">
        <f t="shared" ca="1" si="310"/>
        <v>0</v>
      </c>
      <c r="GF37" s="48">
        <f t="shared" ca="1" si="310"/>
        <v>0</v>
      </c>
      <c r="GG37" s="48">
        <f t="shared" ca="1" si="310"/>
        <v>0</v>
      </c>
      <c r="GH37" s="48">
        <f t="shared" ca="1" si="310"/>
        <v>0</v>
      </c>
      <c r="GI37" s="48">
        <f t="shared" ca="1" si="310"/>
        <v>0</v>
      </c>
      <c r="GJ37" s="48">
        <f t="shared" ca="1" si="310"/>
        <v>0</v>
      </c>
      <c r="GK37" s="48">
        <f t="shared" ca="1" si="310"/>
        <v>0</v>
      </c>
      <c r="GL37" s="48">
        <f t="shared" ca="1" si="310"/>
        <v>0</v>
      </c>
      <c r="GM37" s="48">
        <f t="shared" ca="1" si="310"/>
        <v>0</v>
      </c>
      <c r="GN37" s="48">
        <f t="shared" ca="1" si="311"/>
        <v>0</v>
      </c>
      <c r="GO37" s="48">
        <f t="shared" ca="1" si="311"/>
        <v>0</v>
      </c>
      <c r="GP37" s="48">
        <f t="shared" ca="1" si="311"/>
        <v>0</v>
      </c>
      <c r="GQ37" s="48">
        <f t="shared" ca="1" si="311"/>
        <v>0</v>
      </c>
      <c r="GR37" s="48">
        <f t="shared" ca="1" si="311"/>
        <v>0</v>
      </c>
      <c r="GS37" s="48">
        <f t="shared" ca="1" si="311"/>
        <v>0</v>
      </c>
      <c r="GT37" s="48">
        <f t="shared" ca="1" si="311"/>
        <v>0</v>
      </c>
      <c r="GU37" s="48">
        <f t="shared" ca="1" si="311"/>
        <v>0</v>
      </c>
      <c r="GV37" s="48">
        <f t="shared" ca="1" si="311"/>
        <v>0</v>
      </c>
      <c r="GW37" s="48">
        <f t="shared" ca="1" si="311"/>
        <v>0</v>
      </c>
      <c r="GX37" s="48">
        <f t="shared" ca="1" si="311"/>
        <v>0</v>
      </c>
      <c r="GY37" s="48">
        <f t="shared" ca="1" si="311"/>
        <v>0</v>
      </c>
      <c r="GZ37" s="48">
        <f t="shared" ca="1" si="311"/>
        <v>0</v>
      </c>
      <c r="HA37" s="69"/>
      <c r="HB37" s="150" t="str">
        <f t="shared" ca="1" si="74"/>
        <v>n/a</v>
      </c>
      <c r="HC37" s="150" t="str">
        <f t="shared" ca="1" si="75"/>
        <v>n/a</v>
      </c>
      <c r="HD37" s="150" t="str">
        <f t="shared" ca="1" si="76"/>
        <v>n/a</v>
      </c>
      <c r="HE37" s="150" t="str">
        <f t="shared" ca="1" si="77"/>
        <v>n/a</v>
      </c>
      <c r="HF37" s="150" t="str">
        <f t="shared" ca="1" si="78"/>
        <v>n/a</v>
      </c>
      <c r="HG37" s="148"/>
      <c r="HH37" s="149"/>
      <c r="HI37" s="149"/>
      <c r="HJ37" s="149"/>
      <c r="HK37" s="150"/>
      <c r="HL37" s="149"/>
      <c r="HM37" s="149"/>
      <c r="HN37" s="149"/>
      <c r="HO37" s="150"/>
      <c r="HP37" s="148"/>
      <c r="HQ37" s="149"/>
      <c r="HR37" s="149"/>
      <c r="HS37" s="149"/>
      <c r="HT37" s="150"/>
      <c r="HU37" s="149"/>
      <c r="HV37" s="149"/>
      <c r="HW37" s="149"/>
      <c r="HX37" s="150"/>
      <c r="HY37" s="151"/>
      <c r="HZ37" s="150"/>
      <c r="IA37" s="150"/>
      <c r="IB37" s="152"/>
      <c r="IC37" s="150"/>
      <c r="ID37" s="152"/>
      <c r="IE37" s="150"/>
      <c r="IF37" s="153"/>
    </row>
    <row r="38" spans="1:240" s="36" customFormat="1" ht="14.4" customHeight="1">
      <c r="A38" s="39"/>
      <c r="B38" s="50" t="str">
        <f t="shared" si="312"/>
        <v>Residential_Appliance Recycling_Appliance Recycling_Refrigerator Recycle_2017_Actual</v>
      </c>
      <c r="C38" s="50">
        <f>INDEX('Measure Inputs'!$D:$D,MATCH($B38,'Measure Inputs'!$B:$B,0))</f>
        <v>4</v>
      </c>
      <c r="D38" s="51" t="str">
        <f>'Measure Inputs'!G10</f>
        <v>Residential</v>
      </c>
      <c r="E38" s="51" t="str">
        <f>'Measure Inputs'!H10</f>
        <v>Appliance Recycling</v>
      </c>
      <c r="F38" s="51" t="str">
        <f>'Measure Inputs'!I10</f>
        <v>Appliance Recycling</v>
      </c>
      <c r="G38" s="51" t="str">
        <f>'Measure Inputs'!J10</f>
        <v>Refrigerator Recycle</v>
      </c>
      <c r="H38" s="51">
        <f>'Measure Inputs'!K10</f>
        <v>2017</v>
      </c>
      <c r="I38" s="51" t="str">
        <f>'Measure Inputs'!L10</f>
        <v>Actual</v>
      </c>
      <c r="J38" s="37"/>
      <c r="K38" s="99" t="str">
        <f ca="1">INDEX(OFFSET('Measure Inputs'!$O$7,,,InputRows),$C38)</f>
        <v>Units</v>
      </c>
      <c r="L38" s="38">
        <f ca="1">INDEX(OFFSET('Measure Inputs'!$Q$7,,,InputRows),$C38)</f>
        <v>37</v>
      </c>
      <c r="M38" s="167">
        <f>INDEX('General Inputs'!$E$14:$E$15,MATCH(D38,'General Inputs'!$D$14:$D$15,0))</f>
        <v>1.0469999999999999</v>
      </c>
      <c r="N38" s="54">
        <f ca="1">INDEX(OFFSET('Measure Inputs'!$Y$7,,,InputRows),$C38)</f>
        <v>1</v>
      </c>
      <c r="O38" s="54">
        <f ca="1">INDEX(OFFSET('Measure Inputs'!$Z$7,,,InputRows),$C38)</f>
        <v>1</v>
      </c>
      <c r="P38" s="37"/>
      <c r="Q38" s="127">
        <f ca="1">CONVERT(INDEX(OFFSET('Measure Inputs'!$AB$7,,,InputRows),$C38),'Measure Inputs'!$AB$6,Q$8)*$L38</f>
        <v>47693</v>
      </c>
      <c r="R38" s="127">
        <f t="shared" ca="1" si="313"/>
        <v>47693</v>
      </c>
      <c r="S38" s="127">
        <f t="shared" ca="1" si="314"/>
        <v>47693</v>
      </c>
      <c r="T38" s="37"/>
      <c r="U38" s="127">
        <f ca="1">CONVERT(INDEX(OFFSET('Measure Inputs'!$AD$7,,,InputRows),$C38),'Measure Inputs'!$AD$6,U$8)*$L38</f>
        <v>0</v>
      </c>
      <c r="V38" s="127">
        <f t="shared" ca="1" si="315"/>
        <v>0</v>
      </c>
      <c r="W38" s="127">
        <f t="shared" ca="1" si="316"/>
        <v>0</v>
      </c>
      <c r="X38" s="37"/>
      <c r="Y38" s="127">
        <f ca="1">CONVERT(INDEX(OFFSET('Measure Inputs'!$AC$7,,,InputRows),$C38),'Measure Inputs'!$AC$6,Y$8)*$L38</f>
        <v>5.4389999999999983</v>
      </c>
      <c r="Z38" s="127">
        <f t="shared" ref="Z38:AA38" ca="1" si="332">Y38*N38</f>
        <v>5.4389999999999983</v>
      </c>
      <c r="AA38" s="127">
        <f t="shared" ca="1" si="332"/>
        <v>5.4389999999999983</v>
      </c>
      <c r="AB38" s="37"/>
      <c r="AC38" s="127">
        <f ca="1">CONVERT(INDEX(OFFSET('Measure Inputs'!$AE$7,,,InputRows),$C38),'Measure Inputs'!$AE$6,AC$8)*$L38</f>
        <v>0</v>
      </c>
      <c r="AD38" s="127">
        <f t="shared" ref="AD38:AE38" ca="1" si="333">AC38*N38</f>
        <v>0</v>
      </c>
      <c r="AE38" s="127">
        <f t="shared" ca="1" si="333"/>
        <v>0</v>
      </c>
      <c r="AF38" s="37"/>
      <c r="AG38" s="97">
        <f ca="1">INDEX(OFFSET('Measure Inputs'!$R$7,,,InputRows),$C38)</f>
        <v>8</v>
      </c>
      <c r="AH38" s="97">
        <f ca="1">INDEX(OFFSET('Measure Inputs'!$S$7,,,InputRows),$C38)</f>
        <v>0</v>
      </c>
      <c r="AI38" s="97">
        <f t="shared" ca="1" si="319"/>
        <v>381544</v>
      </c>
      <c r="AJ38" s="100">
        <f ca="1">INDEX(OFFSET('Measure Inputs'!$T$7,,,InputRows),$C38)*$L38*$N38*$O38</f>
        <v>3441</v>
      </c>
      <c r="AK38" s="100">
        <f ca="1">INDEX(OFFSET('Measure Inputs'!$U$7,,,InputRows),$C38)*$L38*$N38*$O38</f>
        <v>0</v>
      </c>
      <c r="AL38" s="100">
        <f ca="1">INDEX(OFFSET('Measure Inputs'!$V$7,,,InputRows),$C38)*$L38*$N38*$O38</f>
        <v>0</v>
      </c>
      <c r="AM38" s="100">
        <f ca="1">INDEX(OFFSET('Measure Inputs'!$W$7,,,InputRows),$C38)*$L38*$N38*$O38</f>
        <v>0</v>
      </c>
      <c r="AN38" s="100">
        <f ca="1">INDEX(OFFSET('Measure Inputs'!$X$7,,,InputRows),$C38)*$L38</f>
        <v>1850</v>
      </c>
      <c r="AO38" s="100"/>
      <c r="AP38" s="100">
        <f t="shared" ca="1" si="272"/>
        <v>1850</v>
      </c>
      <c r="AQ38" s="37"/>
      <c r="AR38" s="100">
        <f ca="1">SUMPRODUCT(--($CX$9:$EX$9=$H38)*$AJ38,'General Inputs'!$K$40:$BK$40)+SUMPRODUCT(--($CX$9:$EX$9=$H38+$AH38)*-$AK38,'General Inputs'!$K$43:$BK$43)</f>
        <v>3441</v>
      </c>
      <c r="AS38" s="100">
        <f ca="1">CONVERT(SUMPRODUCT($CX38:$EX38,'General Inputs'!$K$29:$BK$29,'General Inputs'!$K$40:$BK$40)*$M38,$Q$8,'General Inputs'!$E$17)</f>
        <v>3449.729509787096</v>
      </c>
      <c r="AT38" s="100">
        <f ca="1">SUMPRODUCT(--($CX$9:$EX$9=$H38)*$AN38,'General Inputs'!$K$40:$BK$40)</f>
        <v>1850</v>
      </c>
      <c r="AU38" s="100">
        <f>SUMPRODUCT(--($CX$9:$EX$9=$H38)*$AO38,'General Inputs'!$K$40:$BK$40)</f>
        <v>0</v>
      </c>
      <c r="AV38" s="100">
        <f ca="1">CONVERT(SUMPRODUCT($CX38:$EX38,'General Inputs'!$K$40:$BK$40,OFFSET('General Inputs'!$K$34:$BK$34,MATCH($D38,'General Inputs'!$J$34:$J$35,0)-1,)),$Q$8,'General Inputs'!$G$32)</f>
        <v>41854.445110938454</v>
      </c>
      <c r="AW38" s="100">
        <f ca="1">CONVERT(SUMPRODUCT($CX38:$EX38,'General Inputs'!$K$27:$BK$27,'General Inputs'!$K$40:$BK$40)*$M38,$Q$8,'General Inputs'!$E$17)</f>
        <v>13192.299074747472</v>
      </c>
      <c r="AX38" s="100">
        <f ca="1">CONVERT(SUMPRODUCT($EZ38:$GZ38,'General Inputs'!$K$28:$BK$28,'General Inputs'!$K$40:$BK$40)*$M38,$Q$8,'General Inputs'!$E$17)</f>
        <v>565.85743095808903</v>
      </c>
      <c r="AY38" s="98">
        <f ca="1">SUMPRODUCT($CX38:$EX38,'General Inputs'!$K$40:$BK$40)</f>
        <v>289023.73613725894</v>
      </c>
      <c r="AZ38" s="37"/>
      <c r="BA38" s="100">
        <f t="shared" ca="1" si="320"/>
        <v>10317.156505705561</v>
      </c>
      <c r="BB38" s="102">
        <f t="shared" ca="1" si="321"/>
        <v>3.9983018034599134</v>
      </c>
      <c r="BC38" s="100">
        <f t="shared" ca="1" si="273"/>
        <v>3441</v>
      </c>
      <c r="BD38" s="100">
        <f t="shared" ca="1" si="274"/>
        <v>13758.156505705561</v>
      </c>
      <c r="BE38" s="100">
        <f t="shared" ca="1" si="275"/>
        <v>13192.299074747472</v>
      </c>
      <c r="BF38" s="100">
        <f t="shared" ca="1" si="276"/>
        <v>565.85743095808903</v>
      </c>
      <c r="BG38" s="100">
        <f t="shared" si="277"/>
        <v>0</v>
      </c>
      <c r="BH38" s="100">
        <f t="shared" ca="1" si="278"/>
        <v>3441</v>
      </c>
      <c r="BI38" s="37"/>
      <c r="BJ38" s="100">
        <f t="shared" ca="1" si="322"/>
        <v>13766.886015492659</v>
      </c>
      <c r="BK38" s="102">
        <f t="shared" ca="1" si="323"/>
        <v>5.0008387141797908</v>
      </c>
      <c r="BL38" s="100">
        <f t="shared" ca="1" si="279"/>
        <v>3441</v>
      </c>
      <c r="BM38" s="100">
        <f t="shared" ca="1" si="164"/>
        <v>17207.886015492659</v>
      </c>
      <c r="BN38" s="100">
        <f t="shared" ca="1" si="280"/>
        <v>13192.299074747472</v>
      </c>
      <c r="BO38" s="100">
        <f t="shared" ca="1" si="281"/>
        <v>565.85743095808903</v>
      </c>
      <c r="BP38" s="100">
        <f t="shared" ca="1" si="282"/>
        <v>3449.729509787096</v>
      </c>
      <c r="BQ38" s="100">
        <f t="shared" si="283"/>
        <v>0</v>
      </c>
      <c r="BR38" s="100">
        <f t="shared" ca="1" si="284"/>
        <v>3441</v>
      </c>
      <c r="BS38" s="37"/>
      <c r="BT38" s="100">
        <f t="shared" ca="1" si="324"/>
        <v>40263.445110938454</v>
      </c>
      <c r="BU38" s="102">
        <f t="shared" ca="1" si="325"/>
        <v>12.701088378651106</v>
      </c>
      <c r="BV38" s="102">
        <f t="shared" ca="1" si="285"/>
        <v>0.62986728077941501</v>
      </c>
      <c r="BW38" s="100">
        <f t="shared" ca="1" si="286"/>
        <v>3441</v>
      </c>
      <c r="BX38" s="100">
        <f t="shared" ca="1" si="287"/>
        <v>43704.445110938454</v>
      </c>
      <c r="BY38" s="100">
        <f t="shared" ca="1" si="288"/>
        <v>41854.445110938454</v>
      </c>
      <c r="BZ38" s="100">
        <f t="shared" ca="1" si="289"/>
        <v>1850</v>
      </c>
      <c r="CA38" s="100">
        <f t="shared" ca="1" si="290"/>
        <v>3441</v>
      </c>
      <c r="CB38" s="37"/>
      <c r="CC38" s="100">
        <f t="shared" ca="1" si="326"/>
        <v>11908.156505705561</v>
      </c>
      <c r="CD38" s="102">
        <f t="shared" ca="1" si="327"/>
        <v>7.4368413544354386</v>
      </c>
      <c r="CE38" s="103">
        <f t="shared" ca="1" si="291"/>
        <v>-0.13618847591454061</v>
      </c>
      <c r="CF38" s="100">
        <f t="shared" ca="1" si="292"/>
        <v>1850</v>
      </c>
      <c r="CG38" s="100">
        <f t="shared" ca="1" si="293"/>
        <v>13758.156505705561</v>
      </c>
      <c r="CH38" s="100">
        <f t="shared" ca="1" si="294"/>
        <v>13192.299074747472</v>
      </c>
      <c r="CI38" s="100">
        <f t="shared" ca="1" si="71"/>
        <v>565.85743095808903</v>
      </c>
      <c r="CJ38" s="100">
        <f t="shared" ca="1" si="72"/>
        <v>1850</v>
      </c>
      <c r="CK38" s="100">
        <f t="shared" si="295"/>
        <v>0</v>
      </c>
      <c r="CL38" s="37"/>
      <c r="CM38" s="100">
        <f t="shared" ca="1" si="328"/>
        <v>-29946.28860523289</v>
      </c>
      <c r="CN38" s="102">
        <f t="shared" ca="1" si="329"/>
        <v>0.31479993558509078</v>
      </c>
      <c r="CO38" s="128"/>
      <c r="CP38" s="100">
        <f t="shared" ca="1" si="296"/>
        <v>43704.445110938454</v>
      </c>
      <c r="CQ38" s="100">
        <f t="shared" ca="1" si="297"/>
        <v>13758.156505705561</v>
      </c>
      <c r="CR38" s="100">
        <f t="shared" ca="1" si="298"/>
        <v>13192.299074747472</v>
      </c>
      <c r="CS38" s="100">
        <f t="shared" ca="1" si="73"/>
        <v>565.85743095808903</v>
      </c>
      <c r="CT38" s="100">
        <f t="shared" ca="1" si="299"/>
        <v>41854.445110938454</v>
      </c>
      <c r="CU38" s="100">
        <f t="shared" ca="1" si="300"/>
        <v>1850</v>
      </c>
      <c r="CV38" s="100">
        <f t="shared" si="301"/>
        <v>0</v>
      </c>
      <c r="CW38" s="37"/>
      <c r="CX38" s="48">
        <f t="shared" ca="1" si="302"/>
        <v>47693</v>
      </c>
      <c r="CY38" s="48">
        <f t="shared" ca="1" si="302"/>
        <v>47693</v>
      </c>
      <c r="CZ38" s="48">
        <f t="shared" ca="1" si="302"/>
        <v>47693</v>
      </c>
      <c r="DA38" s="48">
        <f t="shared" ca="1" si="302"/>
        <v>47693</v>
      </c>
      <c r="DB38" s="48">
        <f t="shared" ca="1" si="302"/>
        <v>47693</v>
      </c>
      <c r="DC38" s="48">
        <f t="shared" ca="1" si="302"/>
        <v>47693</v>
      </c>
      <c r="DD38" s="48">
        <f t="shared" ca="1" si="302"/>
        <v>47693</v>
      </c>
      <c r="DE38" s="48">
        <f t="shared" ca="1" si="302"/>
        <v>47693</v>
      </c>
      <c r="DF38" s="48">
        <f t="shared" ca="1" si="302"/>
        <v>0</v>
      </c>
      <c r="DG38" s="48">
        <f t="shared" ca="1" si="302"/>
        <v>0</v>
      </c>
      <c r="DH38" s="48">
        <f t="shared" ca="1" si="303"/>
        <v>0</v>
      </c>
      <c r="DI38" s="48">
        <f t="shared" ca="1" si="303"/>
        <v>0</v>
      </c>
      <c r="DJ38" s="48">
        <f t="shared" ca="1" si="303"/>
        <v>0</v>
      </c>
      <c r="DK38" s="48">
        <f t="shared" ca="1" si="303"/>
        <v>0</v>
      </c>
      <c r="DL38" s="48">
        <f t="shared" ca="1" si="303"/>
        <v>0</v>
      </c>
      <c r="DM38" s="48">
        <f t="shared" ca="1" si="303"/>
        <v>0</v>
      </c>
      <c r="DN38" s="48">
        <f t="shared" ca="1" si="303"/>
        <v>0</v>
      </c>
      <c r="DO38" s="48">
        <f t="shared" ca="1" si="303"/>
        <v>0</v>
      </c>
      <c r="DP38" s="48">
        <f t="shared" ca="1" si="303"/>
        <v>0</v>
      </c>
      <c r="DQ38" s="48">
        <f t="shared" ca="1" si="303"/>
        <v>0</v>
      </c>
      <c r="DR38" s="48">
        <f t="shared" ca="1" si="304"/>
        <v>0</v>
      </c>
      <c r="DS38" s="48">
        <f t="shared" ca="1" si="304"/>
        <v>0</v>
      </c>
      <c r="DT38" s="48">
        <f t="shared" ca="1" si="304"/>
        <v>0</v>
      </c>
      <c r="DU38" s="48">
        <f t="shared" ca="1" si="304"/>
        <v>0</v>
      </c>
      <c r="DV38" s="48">
        <f t="shared" ca="1" si="304"/>
        <v>0</v>
      </c>
      <c r="DW38" s="48">
        <f t="shared" ca="1" si="304"/>
        <v>0</v>
      </c>
      <c r="DX38" s="48">
        <f t="shared" ca="1" si="304"/>
        <v>0</v>
      </c>
      <c r="DY38" s="48">
        <f t="shared" ca="1" si="304"/>
        <v>0</v>
      </c>
      <c r="DZ38" s="48">
        <f t="shared" ca="1" si="304"/>
        <v>0</v>
      </c>
      <c r="EA38" s="48">
        <f t="shared" ca="1" si="304"/>
        <v>0</v>
      </c>
      <c r="EB38" s="48">
        <f t="shared" ca="1" si="305"/>
        <v>0</v>
      </c>
      <c r="EC38" s="48">
        <f t="shared" ca="1" si="305"/>
        <v>0</v>
      </c>
      <c r="ED38" s="48">
        <f t="shared" ca="1" si="305"/>
        <v>0</v>
      </c>
      <c r="EE38" s="48">
        <f t="shared" ca="1" si="305"/>
        <v>0</v>
      </c>
      <c r="EF38" s="48">
        <f t="shared" ca="1" si="305"/>
        <v>0</v>
      </c>
      <c r="EG38" s="48">
        <f t="shared" ca="1" si="305"/>
        <v>0</v>
      </c>
      <c r="EH38" s="48">
        <f t="shared" ca="1" si="305"/>
        <v>0</v>
      </c>
      <c r="EI38" s="48">
        <f t="shared" ca="1" si="305"/>
        <v>0</v>
      </c>
      <c r="EJ38" s="48">
        <f t="shared" ca="1" si="305"/>
        <v>0</v>
      </c>
      <c r="EK38" s="48">
        <f t="shared" ca="1" si="305"/>
        <v>0</v>
      </c>
      <c r="EL38" s="48">
        <f t="shared" ca="1" si="306"/>
        <v>0</v>
      </c>
      <c r="EM38" s="48">
        <f t="shared" ca="1" si="306"/>
        <v>0</v>
      </c>
      <c r="EN38" s="48">
        <f t="shared" ca="1" si="306"/>
        <v>0</v>
      </c>
      <c r="EO38" s="48">
        <f t="shared" ca="1" si="306"/>
        <v>0</v>
      </c>
      <c r="EP38" s="48">
        <f t="shared" ca="1" si="306"/>
        <v>0</v>
      </c>
      <c r="EQ38" s="48">
        <f t="shared" ca="1" si="306"/>
        <v>0</v>
      </c>
      <c r="ER38" s="48">
        <f t="shared" ca="1" si="306"/>
        <v>0</v>
      </c>
      <c r="ES38" s="48">
        <f t="shared" ca="1" si="306"/>
        <v>0</v>
      </c>
      <c r="ET38" s="48">
        <f t="shared" ca="1" si="306"/>
        <v>0</v>
      </c>
      <c r="EU38" s="48">
        <f t="shared" ca="1" si="306"/>
        <v>0</v>
      </c>
      <c r="EV38" s="48">
        <f t="shared" ca="1" si="306"/>
        <v>0</v>
      </c>
      <c r="EW38" s="48">
        <f t="shared" ca="1" si="306"/>
        <v>0</v>
      </c>
      <c r="EX38" s="48">
        <f t="shared" ca="1" si="306"/>
        <v>0</v>
      </c>
      <c r="EY38" s="69"/>
      <c r="EZ38" s="48">
        <f t="shared" ca="1" si="307"/>
        <v>5.4389999999999983</v>
      </c>
      <c r="FA38" s="48">
        <f t="shared" ca="1" si="307"/>
        <v>5.4389999999999983</v>
      </c>
      <c r="FB38" s="48">
        <f t="shared" ca="1" si="307"/>
        <v>5.4389999999999983</v>
      </c>
      <c r="FC38" s="48">
        <f t="shared" ca="1" si="307"/>
        <v>5.4389999999999983</v>
      </c>
      <c r="FD38" s="48">
        <f t="shared" ca="1" si="307"/>
        <v>5.4389999999999983</v>
      </c>
      <c r="FE38" s="48">
        <f t="shared" ca="1" si="307"/>
        <v>5.4389999999999983</v>
      </c>
      <c r="FF38" s="48">
        <f t="shared" ca="1" si="307"/>
        <v>5.4389999999999983</v>
      </c>
      <c r="FG38" s="48">
        <f t="shared" ca="1" si="307"/>
        <v>5.4389999999999983</v>
      </c>
      <c r="FH38" s="48">
        <f t="shared" ca="1" si="307"/>
        <v>0</v>
      </c>
      <c r="FI38" s="48">
        <f t="shared" ca="1" si="307"/>
        <v>0</v>
      </c>
      <c r="FJ38" s="48">
        <f t="shared" ca="1" si="308"/>
        <v>0</v>
      </c>
      <c r="FK38" s="48">
        <f t="shared" ca="1" si="308"/>
        <v>0</v>
      </c>
      <c r="FL38" s="48">
        <f t="shared" ca="1" si="308"/>
        <v>0</v>
      </c>
      <c r="FM38" s="48">
        <f t="shared" ca="1" si="308"/>
        <v>0</v>
      </c>
      <c r="FN38" s="48">
        <f t="shared" ca="1" si="308"/>
        <v>0</v>
      </c>
      <c r="FO38" s="48">
        <f t="shared" ca="1" si="308"/>
        <v>0</v>
      </c>
      <c r="FP38" s="48">
        <f t="shared" ca="1" si="308"/>
        <v>0</v>
      </c>
      <c r="FQ38" s="48">
        <f t="shared" ca="1" si="308"/>
        <v>0</v>
      </c>
      <c r="FR38" s="48">
        <f t="shared" ca="1" si="308"/>
        <v>0</v>
      </c>
      <c r="FS38" s="48">
        <f t="shared" ca="1" si="308"/>
        <v>0</v>
      </c>
      <c r="FT38" s="48">
        <f t="shared" ca="1" si="309"/>
        <v>0</v>
      </c>
      <c r="FU38" s="48">
        <f t="shared" ca="1" si="309"/>
        <v>0</v>
      </c>
      <c r="FV38" s="48">
        <f t="shared" ca="1" si="309"/>
        <v>0</v>
      </c>
      <c r="FW38" s="48">
        <f t="shared" ca="1" si="309"/>
        <v>0</v>
      </c>
      <c r="FX38" s="48">
        <f t="shared" ca="1" si="309"/>
        <v>0</v>
      </c>
      <c r="FY38" s="48">
        <f t="shared" ca="1" si="309"/>
        <v>0</v>
      </c>
      <c r="FZ38" s="48">
        <f t="shared" ca="1" si="309"/>
        <v>0</v>
      </c>
      <c r="GA38" s="48">
        <f t="shared" ca="1" si="309"/>
        <v>0</v>
      </c>
      <c r="GB38" s="48">
        <f t="shared" ca="1" si="309"/>
        <v>0</v>
      </c>
      <c r="GC38" s="48">
        <f t="shared" ca="1" si="309"/>
        <v>0</v>
      </c>
      <c r="GD38" s="48">
        <f t="shared" ca="1" si="310"/>
        <v>0</v>
      </c>
      <c r="GE38" s="48">
        <f t="shared" ca="1" si="310"/>
        <v>0</v>
      </c>
      <c r="GF38" s="48">
        <f t="shared" ca="1" si="310"/>
        <v>0</v>
      </c>
      <c r="GG38" s="48">
        <f t="shared" ca="1" si="310"/>
        <v>0</v>
      </c>
      <c r="GH38" s="48">
        <f t="shared" ca="1" si="310"/>
        <v>0</v>
      </c>
      <c r="GI38" s="48">
        <f t="shared" ca="1" si="310"/>
        <v>0</v>
      </c>
      <c r="GJ38" s="48">
        <f t="shared" ca="1" si="310"/>
        <v>0</v>
      </c>
      <c r="GK38" s="48">
        <f t="shared" ca="1" si="310"/>
        <v>0</v>
      </c>
      <c r="GL38" s="48">
        <f t="shared" ca="1" si="310"/>
        <v>0</v>
      </c>
      <c r="GM38" s="48">
        <f t="shared" ca="1" si="310"/>
        <v>0</v>
      </c>
      <c r="GN38" s="48">
        <f t="shared" ca="1" si="311"/>
        <v>0</v>
      </c>
      <c r="GO38" s="48">
        <f t="shared" ca="1" si="311"/>
        <v>0</v>
      </c>
      <c r="GP38" s="48">
        <f t="shared" ca="1" si="311"/>
        <v>0</v>
      </c>
      <c r="GQ38" s="48">
        <f t="shared" ca="1" si="311"/>
        <v>0</v>
      </c>
      <c r="GR38" s="48">
        <f t="shared" ca="1" si="311"/>
        <v>0</v>
      </c>
      <c r="GS38" s="48">
        <f t="shared" ca="1" si="311"/>
        <v>0</v>
      </c>
      <c r="GT38" s="48">
        <f t="shared" ca="1" si="311"/>
        <v>0</v>
      </c>
      <c r="GU38" s="48">
        <f t="shared" ca="1" si="311"/>
        <v>0</v>
      </c>
      <c r="GV38" s="48">
        <f t="shared" ca="1" si="311"/>
        <v>0</v>
      </c>
      <c r="GW38" s="48">
        <f t="shared" ca="1" si="311"/>
        <v>0</v>
      </c>
      <c r="GX38" s="48">
        <f t="shared" ca="1" si="311"/>
        <v>0</v>
      </c>
      <c r="GY38" s="48">
        <f t="shared" ca="1" si="311"/>
        <v>0</v>
      </c>
      <c r="GZ38" s="48">
        <f t="shared" ca="1" si="311"/>
        <v>0</v>
      </c>
      <c r="HA38" s="69"/>
      <c r="HB38" s="150">
        <f t="shared" ca="1" si="74"/>
        <v>3.9983018034599134</v>
      </c>
      <c r="HC38" s="150">
        <f t="shared" ca="1" si="75"/>
        <v>7.4368413544354386</v>
      </c>
      <c r="HD38" s="150">
        <f t="shared" ca="1" si="76"/>
        <v>5.0008387141797908</v>
      </c>
      <c r="HE38" s="150">
        <f t="shared" ca="1" si="77"/>
        <v>12.701088378651106</v>
      </c>
      <c r="HF38" s="150">
        <f t="shared" ca="1" si="78"/>
        <v>0.31479993558509078</v>
      </c>
      <c r="HG38" s="148"/>
      <c r="HH38" s="149"/>
      <c r="HI38" s="149"/>
      <c r="HJ38" s="149"/>
      <c r="HK38" s="150"/>
      <c r="HL38" s="149"/>
      <c r="HM38" s="149"/>
      <c r="HN38" s="149"/>
      <c r="HO38" s="150"/>
      <c r="HP38" s="148"/>
      <c r="HQ38" s="149"/>
      <c r="HR38" s="149"/>
      <c r="HS38" s="149"/>
      <c r="HT38" s="150"/>
      <c r="HU38" s="149"/>
      <c r="HV38" s="149"/>
      <c r="HW38" s="149"/>
      <c r="HX38" s="150"/>
      <c r="HY38" s="151"/>
      <c r="HZ38" s="150"/>
      <c r="IA38" s="150"/>
      <c r="IB38" s="152"/>
      <c r="IC38" s="150"/>
      <c r="ID38" s="152"/>
      <c r="IE38" s="150"/>
      <c r="IF38" s="153"/>
    </row>
    <row r="39" spans="1:240" s="36" customFormat="1" ht="14.4" customHeight="1">
      <c r="A39" s="39"/>
      <c r="B39" s="50" t="str">
        <f t="shared" si="312"/>
        <v>Residential_Appliance Recycling_Appliance Recycling_Recycle and Replace - ENERGY STAR Refrigerator_2017_Actual</v>
      </c>
      <c r="C39" s="50">
        <f>INDEX('Measure Inputs'!$D:$D,MATCH($B39,'Measure Inputs'!$B:$B,0))</f>
        <v>5</v>
      </c>
      <c r="D39" s="51" t="str">
        <f>'Measure Inputs'!G11</f>
        <v>Residential</v>
      </c>
      <c r="E39" s="51" t="str">
        <f>'Measure Inputs'!H11</f>
        <v>Appliance Recycling</v>
      </c>
      <c r="F39" s="51" t="str">
        <f>'Measure Inputs'!I11</f>
        <v>Appliance Recycling</v>
      </c>
      <c r="G39" s="51" t="str">
        <f>'Measure Inputs'!J11</f>
        <v>Recycle and Replace - ENERGY STAR Refrigerator</v>
      </c>
      <c r="H39" s="51">
        <f>'Measure Inputs'!K11</f>
        <v>2017</v>
      </c>
      <c r="I39" s="51" t="str">
        <f>'Measure Inputs'!L11</f>
        <v>Actual</v>
      </c>
      <c r="J39" s="37"/>
      <c r="K39" s="99" t="str">
        <f ca="1">INDEX(OFFSET('Measure Inputs'!$O$7,,,InputRows),$C39)</f>
        <v>Units</v>
      </c>
      <c r="L39" s="38">
        <f ca="1">INDEX(OFFSET('Measure Inputs'!$Q$7,,,InputRows),$C39)</f>
        <v>0</v>
      </c>
      <c r="M39" s="167">
        <f>INDEX('General Inputs'!$E$14:$E$15,MATCH(D39,'General Inputs'!$D$14:$D$15,0))</f>
        <v>1.0469999999999999</v>
      </c>
      <c r="N39" s="54">
        <f ca="1">INDEX(OFFSET('Measure Inputs'!$Y$7,,,InputRows),$C39)</f>
        <v>1</v>
      </c>
      <c r="O39" s="54">
        <f ca="1">INDEX(OFFSET('Measure Inputs'!$Z$7,,,InputRows),$C39)</f>
        <v>1</v>
      </c>
      <c r="P39" s="37"/>
      <c r="Q39" s="127">
        <f ca="1">CONVERT(INDEX(OFFSET('Measure Inputs'!$AB$7,,,InputRows),$C39),'Measure Inputs'!$AB$6,Q$8)*$L39</f>
        <v>0</v>
      </c>
      <c r="R39" s="127">
        <f t="shared" ca="1" si="313"/>
        <v>0</v>
      </c>
      <c r="S39" s="127">
        <f t="shared" ca="1" si="314"/>
        <v>0</v>
      </c>
      <c r="T39" s="37"/>
      <c r="U39" s="127">
        <f ca="1">CONVERT(INDEX(OFFSET('Measure Inputs'!$AD$7,,,InputRows),$C39),'Measure Inputs'!$AD$6,U$8)*$L39</f>
        <v>0</v>
      </c>
      <c r="V39" s="127">
        <f t="shared" ca="1" si="315"/>
        <v>0</v>
      </c>
      <c r="W39" s="127">
        <f t="shared" ca="1" si="316"/>
        <v>0</v>
      </c>
      <c r="X39" s="37"/>
      <c r="Y39" s="127">
        <f ca="1">CONVERT(INDEX(OFFSET('Measure Inputs'!$AC$7,,,InputRows),$C39),'Measure Inputs'!$AC$6,Y$8)*$L39</f>
        <v>0</v>
      </c>
      <c r="Z39" s="127">
        <f t="shared" ref="Z39:AA39" ca="1" si="334">Y39*N39</f>
        <v>0</v>
      </c>
      <c r="AA39" s="127">
        <f t="shared" ca="1" si="334"/>
        <v>0</v>
      </c>
      <c r="AB39" s="37"/>
      <c r="AC39" s="127">
        <f ca="1">CONVERT(INDEX(OFFSET('Measure Inputs'!$AE$7,,,InputRows),$C39),'Measure Inputs'!$AE$6,AC$8)*$L39</f>
        <v>0</v>
      </c>
      <c r="AD39" s="127">
        <f t="shared" ref="AD39:AE39" ca="1" si="335">AC39*N39</f>
        <v>0</v>
      </c>
      <c r="AE39" s="127">
        <f t="shared" ca="1" si="335"/>
        <v>0</v>
      </c>
      <c r="AF39" s="37"/>
      <c r="AG39" s="97">
        <f ca="1">INDEX(OFFSET('Measure Inputs'!$R$7,,,InputRows),$C39)</f>
        <v>0</v>
      </c>
      <c r="AH39" s="97">
        <f ca="1">INDEX(OFFSET('Measure Inputs'!$S$7,,,InputRows),$C39)</f>
        <v>0</v>
      </c>
      <c r="AI39" s="97">
        <f t="shared" ca="1" si="319"/>
        <v>0</v>
      </c>
      <c r="AJ39" s="100">
        <f ca="1">INDEX(OFFSET('Measure Inputs'!$T$7,,,InputRows),$C39)*$L39*$N39*$O39</f>
        <v>0</v>
      </c>
      <c r="AK39" s="100">
        <f ca="1">INDEX(OFFSET('Measure Inputs'!$U$7,,,InputRows),$C39)*$L39*$N39*$O39</f>
        <v>0</v>
      </c>
      <c r="AL39" s="100">
        <f ca="1">INDEX(OFFSET('Measure Inputs'!$V$7,,,InputRows),$C39)*$L39*$N39*$O39</f>
        <v>0</v>
      </c>
      <c r="AM39" s="100">
        <f ca="1">INDEX(OFFSET('Measure Inputs'!$W$7,,,InputRows),$C39)*$L39*$N39*$O39</f>
        <v>0</v>
      </c>
      <c r="AN39" s="100">
        <f ca="1">INDEX(OFFSET('Measure Inputs'!$X$7,,,InputRows),$C39)*$L39</f>
        <v>0</v>
      </c>
      <c r="AO39" s="100"/>
      <c r="AP39" s="100">
        <f t="shared" ca="1" si="272"/>
        <v>0</v>
      </c>
      <c r="AQ39" s="37"/>
      <c r="AR39" s="100">
        <f ca="1">SUMPRODUCT(--($CX$9:$EX$9=$H39)*$AJ39,'General Inputs'!$K$40:$BK$40)+SUMPRODUCT(--($CX$9:$EX$9=$H39+$AH39)*-$AK39,'General Inputs'!$K$43:$BK$43)</f>
        <v>0</v>
      </c>
      <c r="AS39" s="100">
        <f ca="1">CONVERT(SUMPRODUCT($CX39:$EX39,'General Inputs'!$K$29:$BK$29,'General Inputs'!$K$40:$BK$40)*$M39,$Q$8,'General Inputs'!$E$17)</f>
        <v>0</v>
      </c>
      <c r="AT39" s="100">
        <f ca="1">SUMPRODUCT(--($CX$9:$EX$9=$H39)*$AN39,'General Inputs'!$K$40:$BK$40)</f>
        <v>0</v>
      </c>
      <c r="AU39" s="100">
        <f>SUMPRODUCT(--($CX$9:$EX$9=$H39)*$AO39,'General Inputs'!$K$40:$BK$40)</f>
        <v>0</v>
      </c>
      <c r="AV39" s="100">
        <f ca="1">CONVERT(SUMPRODUCT($CX39:$EX39,'General Inputs'!$K$40:$BK$40,OFFSET('General Inputs'!$K$34:$BK$34,MATCH($D39,'General Inputs'!$J$34:$J$35,0)-1,)),$Q$8,'General Inputs'!$G$32)</f>
        <v>0</v>
      </c>
      <c r="AW39" s="100">
        <f ca="1">CONVERT(SUMPRODUCT($CX39:$EX39,'General Inputs'!$K$27:$BK$27,'General Inputs'!$K$40:$BK$40)*$M39,$Q$8,'General Inputs'!$E$17)</f>
        <v>0</v>
      </c>
      <c r="AX39" s="100">
        <f ca="1">CONVERT(SUMPRODUCT($EZ39:$GZ39,'General Inputs'!$K$28:$BK$28,'General Inputs'!$K$40:$BK$40)*$M39,$Q$8,'General Inputs'!$E$17)</f>
        <v>0</v>
      </c>
      <c r="AY39" s="98">
        <f ca="1">SUMPRODUCT($CX39:$EX39,'General Inputs'!$K$40:$BK$40)</f>
        <v>0</v>
      </c>
      <c r="AZ39" s="37"/>
      <c r="BA39" s="100">
        <f t="shared" ca="1" si="320"/>
        <v>0</v>
      </c>
      <c r="BB39" s="102" t="e">
        <f t="shared" ca="1" si="321"/>
        <v>#DIV/0!</v>
      </c>
      <c r="BC39" s="100">
        <f t="shared" ca="1" si="273"/>
        <v>0</v>
      </c>
      <c r="BD39" s="100">
        <f t="shared" ca="1" si="274"/>
        <v>0</v>
      </c>
      <c r="BE39" s="100">
        <f t="shared" ca="1" si="275"/>
        <v>0</v>
      </c>
      <c r="BF39" s="100">
        <f t="shared" ca="1" si="276"/>
        <v>0</v>
      </c>
      <c r="BG39" s="100">
        <f t="shared" si="277"/>
        <v>0</v>
      </c>
      <c r="BH39" s="100">
        <f t="shared" ca="1" si="278"/>
        <v>0</v>
      </c>
      <c r="BI39" s="37"/>
      <c r="BJ39" s="100">
        <f t="shared" ca="1" si="322"/>
        <v>0</v>
      </c>
      <c r="BK39" s="102" t="e">
        <f t="shared" ca="1" si="323"/>
        <v>#DIV/0!</v>
      </c>
      <c r="BL39" s="100">
        <f t="shared" ca="1" si="279"/>
        <v>0</v>
      </c>
      <c r="BM39" s="100">
        <f t="shared" ca="1" si="164"/>
        <v>0</v>
      </c>
      <c r="BN39" s="100">
        <f t="shared" ca="1" si="280"/>
        <v>0</v>
      </c>
      <c r="BO39" s="100">
        <f t="shared" ca="1" si="281"/>
        <v>0</v>
      </c>
      <c r="BP39" s="100">
        <f t="shared" ca="1" si="282"/>
        <v>0</v>
      </c>
      <c r="BQ39" s="100">
        <f t="shared" si="283"/>
        <v>0</v>
      </c>
      <c r="BR39" s="100">
        <f t="shared" ca="1" si="284"/>
        <v>0</v>
      </c>
      <c r="BS39" s="37"/>
      <c r="BT39" s="100">
        <f t="shared" ca="1" si="324"/>
        <v>0</v>
      </c>
      <c r="BU39" s="102" t="e">
        <f t="shared" ca="1" si="325"/>
        <v>#DIV/0!</v>
      </c>
      <c r="BV39" s="102" t="e">
        <f t="shared" ca="1" si="285"/>
        <v>#DIV/0!</v>
      </c>
      <c r="BW39" s="100">
        <f t="shared" ca="1" si="286"/>
        <v>0</v>
      </c>
      <c r="BX39" s="100">
        <f t="shared" ca="1" si="287"/>
        <v>0</v>
      </c>
      <c r="BY39" s="100">
        <f t="shared" ca="1" si="288"/>
        <v>0</v>
      </c>
      <c r="BZ39" s="100">
        <f t="shared" ca="1" si="289"/>
        <v>0</v>
      </c>
      <c r="CA39" s="100">
        <f t="shared" ca="1" si="290"/>
        <v>0</v>
      </c>
      <c r="CB39" s="37"/>
      <c r="CC39" s="100">
        <f t="shared" ca="1" si="326"/>
        <v>0</v>
      </c>
      <c r="CD39" s="102" t="e">
        <f t="shared" ca="1" si="327"/>
        <v>#DIV/0!</v>
      </c>
      <c r="CE39" s="103" t="e">
        <f t="shared" ca="1" si="291"/>
        <v>#DIV/0!</v>
      </c>
      <c r="CF39" s="100">
        <f t="shared" ca="1" si="292"/>
        <v>0</v>
      </c>
      <c r="CG39" s="100">
        <f t="shared" ca="1" si="293"/>
        <v>0</v>
      </c>
      <c r="CH39" s="100">
        <f t="shared" ca="1" si="294"/>
        <v>0</v>
      </c>
      <c r="CI39" s="100">
        <f t="shared" ca="1" si="71"/>
        <v>0</v>
      </c>
      <c r="CJ39" s="100">
        <f t="shared" ca="1" si="72"/>
        <v>0</v>
      </c>
      <c r="CK39" s="100">
        <f t="shared" si="295"/>
        <v>0</v>
      </c>
      <c r="CL39" s="37"/>
      <c r="CM39" s="100">
        <f t="shared" ca="1" si="328"/>
        <v>0</v>
      </c>
      <c r="CN39" s="102" t="e">
        <f t="shared" ca="1" si="329"/>
        <v>#DIV/0!</v>
      </c>
      <c r="CO39" s="128"/>
      <c r="CP39" s="100">
        <f t="shared" ca="1" si="296"/>
        <v>0</v>
      </c>
      <c r="CQ39" s="100">
        <f t="shared" ca="1" si="297"/>
        <v>0</v>
      </c>
      <c r="CR39" s="100">
        <f t="shared" ca="1" si="298"/>
        <v>0</v>
      </c>
      <c r="CS39" s="100">
        <f t="shared" ca="1" si="73"/>
        <v>0</v>
      </c>
      <c r="CT39" s="100">
        <f t="shared" ca="1" si="299"/>
        <v>0</v>
      </c>
      <c r="CU39" s="100">
        <f t="shared" ca="1" si="300"/>
        <v>0</v>
      </c>
      <c r="CV39" s="100">
        <f t="shared" si="301"/>
        <v>0</v>
      </c>
      <c r="CW39" s="37"/>
      <c r="CX39" s="48">
        <f t="shared" ca="1" si="302"/>
        <v>0</v>
      </c>
      <c r="CY39" s="48">
        <f t="shared" ca="1" si="302"/>
        <v>0</v>
      </c>
      <c r="CZ39" s="48">
        <f t="shared" ca="1" si="302"/>
        <v>0</v>
      </c>
      <c r="DA39" s="48">
        <f t="shared" ca="1" si="302"/>
        <v>0</v>
      </c>
      <c r="DB39" s="48">
        <f t="shared" ca="1" si="302"/>
        <v>0</v>
      </c>
      <c r="DC39" s="48">
        <f t="shared" ca="1" si="302"/>
        <v>0</v>
      </c>
      <c r="DD39" s="48">
        <f t="shared" ca="1" si="302"/>
        <v>0</v>
      </c>
      <c r="DE39" s="48">
        <f t="shared" ca="1" si="302"/>
        <v>0</v>
      </c>
      <c r="DF39" s="48">
        <f t="shared" ca="1" si="302"/>
        <v>0</v>
      </c>
      <c r="DG39" s="48">
        <f t="shared" ca="1" si="302"/>
        <v>0</v>
      </c>
      <c r="DH39" s="48">
        <f t="shared" ca="1" si="303"/>
        <v>0</v>
      </c>
      <c r="DI39" s="48">
        <f t="shared" ca="1" si="303"/>
        <v>0</v>
      </c>
      <c r="DJ39" s="48">
        <f t="shared" ca="1" si="303"/>
        <v>0</v>
      </c>
      <c r="DK39" s="48">
        <f t="shared" ca="1" si="303"/>
        <v>0</v>
      </c>
      <c r="DL39" s="48">
        <f t="shared" ca="1" si="303"/>
        <v>0</v>
      </c>
      <c r="DM39" s="48">
        <f t="shared" ca="1" si="303"/>
        <v>0</v>
      </c>
      <c r="DN39" s="48">
        <f t="shared" ca="1" si="303"/>
        <v>0</v>
      </c>
      <c r="DO39" s="48">
        <f t="shared" ca="1" si="303"/>
        <v>0</v>
      </c>
      <c r="DP39" s="48">
        <f t="shared" ca="1" si="303"/>
        <v>0</v>
      </c>
      <c r="DQ39" s="48">
        <f t="shared" ca="1" si="303"/>
        <v>0</v>
      </c>
      <c r="DR39" s="48">
        <f t="shared" ca="1" si="304"/>
        <v>0</v>
      </c>
      <c r="DS39" s="48">
        <f t="shared" ca="1" si="304"/>
        <v>0</v>
      </c>
      <c r="DT39" s="48">
        <f t="shared" ca="1" si="304"/>
        <v>0</v>
      </c>
      <c r="DU39" s="48">
        <f t="shared" ca="1" si="304"/>
        <v>0</v>
      </c>
      <c r="DV39" s="48">
        <f t="shared" ca="1" si="304"/>
        <v>0</v>
      </c>
      <c r="DW39" s="48">
        <f t="shared" ca="1" si="304"/>
        <v>0</v>
      </c>
      <c r="DX39" s="48">
        <f t="shared" ca="1" si="304"/>
        <v>0</v>
      </c>
      <c r="DY39" s="48">
        <f t="shared" ca="1" si="304"/>
        <v>0</v>
      </c>
      <c r="DZ39" s="48">
        <f t="shared" ca="1" si="304"/>
        <v>0</v>
      </c>
      <c r="EA39" s="48">
        <f t="shared" ca="1" si="304"/>
        <v>0</v>
      </c>
      <c r="EB39" s="48">
        <f t="shared" ca="1" si="305"/>
        <v>0</v>
      </c>
      <c r="EC39" s="48">
        <f t="shared" ca="1" si="305"/>
        <v>0</v>
      </c>
      <c r="ED39" s="48">
        <f t="shared" ca="1" si="305"/>
        <v>0</v>
      </c>
      <c r="EE39" s="48">
        <f t="shared" ca="1" si="305"/>
        <v>0</v>
      </c>
      <c r="EF39" s="48">
        <f t="shared" ca="1" si="305"/>
        <v>0</v>
      </c>
      <c r="EG39" s="48">
        <f t="shared" ca="1" si="305"/>
        <v>0</v>
      </c>
      <c r="EH39" s="48">
        <f t="shared" ca="1" si="305"/>
        <v>0</v>
      </c>
      <c r="EI39" s="48">
        <f t="shared" ca="1" si="305"/>
        <v>0</v>
      </c>
      <c r="EJ39" s="48">
        <f t="shared" ca="1" si="305"/>
        <v>0</v>
      </c>
      <c r="EK39" s="48">
        <f t="shared" ca="1" si="305"/>
        <v>0</v>
      </c>
      <c r="EL39" s="48">
        <f t="shared" ca="1" si="306"/>
        <v>0</v>
      </c>
      <c r="EM39" s="48">
        <f t="shared" ca="1" si="306"/>
        <v>0</v>
      </c>
      <c r="EN39" s="48">
        <f t="shared" ca="1" si="306"/>
        <v>0</v>
      </c>
      <c r="EO39" s="48">
        <f t="shared" ca="1" si="306"/>
        <v>0</v>
      </c>
      <c r="EP39" s="48">
        <f t="shared" ca="1" si="306"/>
        <v>0</v>
      </c>
      <c r="EQ39" s="48">
        <f t="shared" ca="1" si="306"/>
        <v>0</v>
      </c>
      <c r="ER39" s="48">
        <f t="shared" ca="1" si="306"/>
        <v>0</v>
      </c>
      <c r="ES39" s="48">
        <f t="shared" ca="1" si="306"/>
        <v>0</v>
      </c>
      <c r="ET39" s="48">
        <f t="shared" ca="1" si="306"/>
        <v>0</v>
      </c>
      <c r="EU39" s="48">
        <f t="shared" ca="1" si="306"/>
        <v>0</v>
      </c>
      <c r="EV39" s="48">
        <f t="shared" ca="1" si="306"/>
        <v>0</v>
      </c>
      <c r="EW39" s="48">
        <f t="shared" ca="1" si="306"/>
        <v>0</v>
      </c>
      <c r="EX39" s="48">
        <f t="shared" ca="1" si="306"/>
        <v>0</v>
      </c>
      <c r="EY39" s="69"/>
      <c r="EZ39" s="48">
        <f t="shared" ca="1" si="307"/>
        <v>0</v>
      </c>
      <c r="FA39" s="48">
        <f t="shared" ca="1" si="307"/>
        <v>0</v>
      </c>
      <c r="FB39" s="48">
        <f t="shared" ca="1" si="307"/>
        <v>0</v>
      </c>
      <c r="FC39" s="48">
        <f t="shared" ca="1" si="307"/>
        <v>0</v>
      </c>
      <c r="FD39" s="48">
        <f t="shared" ca="1" si="307"/>
        <v>0</v>
      </c>
      <c r="FE39" s="48">
        <f t="shared" ca="1" si="307"/>
        <v>0</v>
      </c>
      <c r="FF39" s="48">
        <f t="shared" ca="1" si="307"/>
        <v>0</v>
      </c>
      <c r="FG39" s="48">
        <f t="shared" ca="1" si="307"/>
        <v>0</v>
      </c>
      <c r="FH39" s="48">
        <f t="shared" ca="1" si="307"/>
        <v>0</v>
      </c>
      <c r="FI39" s="48">
        <f t="shared" ca="1" si="307"/>
        <v>0</v>
      </c>
      <c r="FJ39" s="48">
        <f t="shared" ca="1" si="308"/>
        <v>0</v>
      </c>
      <c r="FK39" s="48">
        <f t="shared" ca="1" si="308"/>
        <v>0</v>
      </c>
      <c r="FL39" s="48">
        <f t="shared" ca="1" si="308"/>
        <v>0</v>
      </c>
      <c r="FM39" s="48">
        <f t="shared" ca="1" si="308"/>
        <v>0</v>
      </c>
      <c r="FN39" s="48">
        <f t="shared" ca="1" si="308"/>
        <v>0</v>
      </c>
      <c r="FO39" s="48">
        <f t="shared" ca="1" si="308"/>
        <v>0</v>
      </c>
      <c r="FP39" s="48">
        <f t="shared" ca="1" si="308"/>
        <v>0</v>
      </c>
      <c r="FQ39" s="48">
        <f t="shared" ca="1" si="308"/>
        <v>0</v>
      </c>
      <c r="FR39" s="48">
        <f t="shared" ca="1" si="308"/>
        <v>0</v>
      </c>
      <c r="FS39" s="48">
        <f t="shared" ca="1" si="308"/>
        <v>0</v>
      </c>
      <c r="FT39" s="48">
        <f t="shared" ca="1" si="309"/>
        <v>0</v>
      </c>
      <c r="FU39" s="48">
        <f t="shared" ca="1" si="309"/>
        <v>0</v>
      </c>
      <c r="FV39" s="48">
        <f t="shared" ca="1" si="309"/>
        <v>0</v>
      </c>
      <c r="FW39" s="48">
        <f t="shared" ca="1" si="309"/>
        <v>0</v>
      </c>
      <c r="FX39" s="48">
        <f t="shared" ca="1" si="309"/>
        <v>0</v>
      </c>
      <c r="FY39" s="48">
        <f t="shared" ca="1" si="309"/>
        <v>0</v>
      </c>
      <c r="FZ39" s="48">
        <f t="shared" ca="1" si="309"/>
        <v>0</v>
      </c>
      <c r="GA39" s="48">
        <f t="shared" ca="1" si="309"/>
        <v>0</v>
      </c>
      <c r="GB39" s="48">
        <f t="shared" ca="1" si="309"/>
        <v>0</v>
      </c>
      <c r="GC39" s="48">
        <f t="shared" ca="1" si="309"/>
        <v>0</v>
      </c>
      <c r="GD39" s="48">
        <f t="shared" ca="1" si="310"/>
        <v>0</v>
      </c>
      <c r="GE39" s="48">
        <f t="shared" ca="1" si="310"/>
        <v>0</v>
      </c>
      <c r="GF39" s="48">
        <f t="shared" ca="1" si="310"/>
        <v>0</v>
      </c>
      <c r="GG39" s="48">
        <f t="shared" ca="1" si="310"/>
        <v>0</v>
      </c>
      <c r="GH39" s="48">
        <f t="shared" ca="1" si="310"/>
        <v>0</v>
      </c>
      <c r="GI39" s="48">
        <f t="shared" ca="1" si="310"/>
        <v>0</v>
      </c>
      <c r="GJ39" s="48">
        <f t="shared" ca="1" si="310"/>
        <v>0</v>
      </c>
      <c r="GK39" s="48">
        <f t="shared" ca="1" si="310"/>
        <v>0</v>
      </c>
      <c r="GL39" s="48">
        <f t="shared" ca="1" si="310"/>
        <v>0</v>
      </c>
      <c r="GM39" s="48">
        <f t="shared" ca="1" si="310"/>
        <v>0</v>
      </c>
      <c r="GN39" s="48">
        <f t="shared" ca="1" si="311"/>
        <v>0</v>
      </c>
      <c r="GO39" s="48">
        <f t="shared" ca="1" si="311"/>
        <v>0</v>
      </c>
      <c r="GP39" s="48">
        <f t="shared" ca="1" si="311"/>
        <v>0</v>
      </c>
      <c r="GQ39" s="48">
        <f t="shared" ca="1" si="311"/>
        <v>0</v>
      </c>
      <c r="GR39" s="48">
        <f t="shared" ca="1" si="311"/>
        <v>0</v>
      </c>
      <c r="GS39" s="48">
        <f t="shared" ca="1" si="311"/>
        <v>0</v>
      </c>
      <c r="GT39" s="48">
        <f t="shared" ca="1" si="311"/>
        <v>0</v>
      </c>
      <c r="GU39" s="48">
        <f t="shared" ca="1" si="311"/>
        <v>0</v>
      </c>
      <c r="GV39" s="48">
        <f t="shared" ca="1" si="311"/>
        <v>0</v>
      </c>
      <c r="GW39" s="48">
        <f t="shared" ca="1" si="311"/>
        <v>0</v>
      </c>
      <c r="GX39" s="48">
        <f t="shared" ca="1" si="311"/>
        <v>0</v>
      </c>
      <c r="GY39" s="48">
        <f t="shared" ca="1" si="311"/>
        <v>0</v>
      </c>
      <c r="GZ39" s="48">
        <f t="shared" ca="1" si="311"/>
        <v>0</v>
      </c>
      <c r="HA39" s="69"/>
      <c r="HB39" s="150" t="str">
        <f t="shared" ca="1" si="74"/>
        <v>n/a</v>
      </c>
      <c r="HC39" s="150" t="str">
        <f t="shared" ca="1" si="75"/>
        <v>n/a</v>
      </c>
      <c r="HD39" s="150" t="str">
        <f t="shared" ca="1" si="76"/>
        <v>n/a</v>
      </c>
      <c r="HE39" s="150" t="str">
        <f t="shared" ca="1" si="77"/>
        <v>n/a</v>
      </c>
      <c r="HF39" s="150" t="str">
        <f t="shared" ca="1" si="78"/>
        <v>n/a</v>
      </c>
      <c r="HG39" s="148"/>
      <c r="HH39" s="149"/>
      <c r="HI39" s="149"/>
      <c r="HJ39" s="149"/>
      <c r="HK39" s="150"/>
      <c r="HL39" s="149"/>
      <c r="HM39" s="149"/>
      <c r="HN39" s="149"/>
      <c r="HO39" s="150"/>
      <c r="HP39" s="148"/>
      <c r="HQ39" s="149"/>
      <c r="HR39" s="149"/>
      <c r="HS39" s="149"/>
      <c r="HT39" s="150"/>
      <c r="HU39" s="149"/>
      <c r="HV39" s="149"/>
      <c r="HW39" s="149"/>
      <c r="HX39" s="150"/>
      <c r="HY39" s="151"/>
      <c r="HZ39" s="150"/>
      <c r="IA39" s="150"/>
      <c r="IB39" s="152"/>
      <c r="IC39" s="150"/>
      <c r="ID39" s="152"/>
      <c r="IE39" s="150"/>
      <c r="IF39" s="153"/>
    </row>
    <row r="40" spans="1:240" s="36" customFormat="1" ht="14.4" customHeight="1">
      <c r="A40" s="39"/>
      <c r="B40" s="50" t="str">
        <f t="shared" si="312"/>
        <v>Residential_Appliance Recycling_Appliance Recycling_Freezer Recycle_2017_Actual</v>
      </c>
      <c r="C40" s="50">
        <f>INDEX('Measure Inputs'!$D:$D,MATCH($B40,'Measure Inputs'!$B:$B,0))</f>
        <v>6</v>
      </c>
      <c r="D40" s="51" t="str">
        <f>'Measure Inputs'!G12</f>
        <v>Residential</v>
      </c>
      <c r="E40" s="51" t="str">
        <f>'Measure Inputs'!H12</f>
        <v>Appliance Recycling</v>
      </c>
      <c r="F40" s="51" t="str">
        <f>'Measure Inputs'!I12</f>
        <v>Appliance Recycling</v>
      </c>
      <c r="G40" s="51" t="str">
        <f>'Measure Inputs'!J12</f>
        <v>Freezer Recycle</v>
      </c>
      <c r="H40" s="51">
        <f>'Measure Inputs'!K12</f>
        <v>2017</v>
      </c>
      <c r="I40" s="51" t="str">
        <f>'Measure Inputs'!L12</f>
        <v>Actual</v>
      </c>
      <c r="J40" s="37"/>
      <c r="K40" s="99" t="str">
        <f ca="1">INDEX(OFFSET('Measure Inputs'!$O$7,,,InputRows),$C40)</f>
        <v>Units</v>
      </c>
      <c r="L40" s="38">
        <f ca="1">INDEX(OFFSET('Measure Inputs'!$Q$7,,,InputRows),$C40)</f>
        <v>7</v>
      </c>
      <c r="M40" s="167">
        <f>INDEX('General Inputs'!$E$14:$E$15,MATCH(D40,'General Inputs'!$D$14:$D$15,0))</f>
        <v>1.0469999999999999</v>
      </c>
      <c r="N40" s="54">
        <f ca="1">INDEX(OFFSET('Measure Inputs'!$Y$7,,,InputRows),$C40)</f>
        <v>1</v>
      </c>
      <c r="O40" s="54">
        <f ca="1">INDEX(OFFSET('Measure Inputs'!$Z$7,,,InputRows),$C40)</f>
        <v>1</v>
      </c>
      <c r="P40" s="37"/>
      <c r="Q40" s="127">
        <f ca="1">CONVERT(INDEX(OFFSET('Measure Inputs'!$AB$7,,,InputRows),$C40),'Measure Inputs'!$AB$6,Q$8)*$L40</f>
        <v>7735</v>
      </c>
      <c r="R40" s="127">
        <f t="shared" ca="1" si="313"/>
        <v>7735</v>
      </c>
      <c r="S40" s="127">
        <f t="shared" ca="1" si="314"/>
        <v>7735</v>
      </c>
      <c r="T40" s="37"/>
      <c r="U40" s="127">
        <f ca="1">CONVERT(INDEX(OFFSET('Measure Inputs'!$AD$7,,,InputRows),$C40),'Measure Inputs'!$AD$6,U$8)*$L40</f>
        <v>0</v>
      </c>
      <c r="V40" s="127">
        <f t="shared" ca="1" si="315"/>
        <v>0</v>
      </c>
      <c r="W40" s="127">
        <f t="shared" ca="1" si="316"/>
        <v>0</v>
      </c>
      <c r="X40" s="37"/>
      <c r="Y40" s="127">
        <f ca="1">CONVERT(INDEX(OFFSET('Measure Inputs'!$AC$7,,,InputRows),$C40),'Measure Inputs'!$AC$6,Y$8)*$L40</f>
        <v>0.88200000000000001</v>
      </c>
      <c r="Z40" s="127">
        <f t="shared" ref="Z40:AA40" ca="1" si="336">Y40*N40</f>
        <v>0.88200000000000001</v>
      </c>
      <c r="AA40" s="127">
        <f t="shared" ca="1" si="336"/>
        <v>0.88200000000000001</v>
      </c>
      <c r="AB40" s="37"/>
      <c r="AC40" s="127">
        <f ca="1">CONVERT(INDEX(OFFSET('Measure Inputs'!$AE$7,,,InputRows),$C40),'Measure Inputs'!$AE$6,AC$8)*$L40</f>
        <v>0</v>
      </c>
      <c r="AD40" s="127">
        <f t="shared" ref="AD40:AE40" ca="1" si="337">AC40*N40</f>
        <v>0</v>
      </c>
      <c r="AE40" s="127">
        <f t="shared" ca="1" si="337"/>
        <v>0</v>
      </c>
      <c r="AF40" s="37"/>
      <c r="AG40" s="97">
        <f ca="1">INDEX(OFFSET('Measure Inputs'!$R$7,,,InputRows),$C40)</f>
        <v>8</v>
      </c>
      <c r="AH40" s="97">
        <f ca="1">INDEX(OFFSET('Measure Inputs'!$S$7,,,InputRows),$C40)</f>
        <v>0</v>
      </c>
      <c r="AI40" s="97">
        <f t="shared" ca="1" si="319"/>
        <v>61880</v>
      </c>
      <c r="AJ40" s="100">
        <f ca="1">INDEX(OFFSET('Measure Inputs'!$T$7,,,InputRows),$C40)*$L40*$N40*$O40</f>
        <v>651</v>
      </c>
      <c r="AK40" s="100">
        <f ca="1">INDEX(OFFSET('Measure Inputs'!$U$7,,,InputRows),$C40)*$L40*$N40*$O40</f>
        <v>0</v>
      </c>
      <c r="AL40" s="100">
        <f ca="1">INDEX(OFFSET('Measure Inputs'!$V$7,,,InputRows),$C40)*$L40*$N40*$O40</f>
        <v>0</v>
      </c>
      <c r="AM40" s="100">
        <f ca="1">INDEX(OFFSET('Measure Inputs'!$W$7,,,InputRows),$C40)*$L40*$N40*$O40</f>
        <v>0</v>
      </c>
      <c r="AN40" s="100">
        <f ca="1">INDEX(OFFSET('Measure Inputs'!$X$7,,,InputRows),$C40)*$L40</f>
        <v>350</v>
      </c>
      <c r="AO40" s="100"/>
      <c r="AP40" s="100">
        <f t="shared" ca="1" si="272"/>
        <v>350</v>
      </c>
      <c r="AQ40" s="37"/>
      <c r="AR40" s="100">
        <f ca="1">SUMPRODUCT(--($CX$9:$EX$9=$H40)*$AJ40,'General Inputs'!$K$40:$BK$40)+SUMPRODUCT(--($CX$9:$EX$9=$H40+$AH40)*-$AK40,'General Inputs'!$K$43:$BK$43)</f>
        <v>651</v>
      </c>
      <c r="AS40" s="100">
        <f ca="1">CONVERT(SUMPRODUCT($CX40:$EX40,'General Inputs'!$K$29:$BK$29,'General Inputs'!$K$40:$BK$40)*$M40,$Q$8,'General Inputs'!$E$17)</f>
        <v>559.48792816981916</v>
      </c>
      <c r="AT40" s="100">
        <f ca="1">SUMPRODUCT(--($CX$9:$EX$9=$H40)*$AN40,'General Inputs'!$K$40:$BK$40)</f>
        <v>350</v>
      </c>
      <c r="AU40" s="100">
        <f>SUMPRODUCT(--($CX$9:$EX$9=$H40)*$AO40,'General Inputs'!$K$40:$BK$40)</f>
        <v>0</v>
      </c>
      <c r="AV40" s="100">
        <f ca="1">CONVERT(SUMPRODUCT($CX40:$EX40,'General Inputs'!$K$40:$BK$40,OFFSET('General Inputs'!$K$34:$BK$34,MATCH($D40,'General Inputs'!$J$34:$J$35,0)-1,)),$Q$8,'General Inputs'!$G$32)</f>
        <v>6788.0848957521839</v>
      </c>
      <c r="AW40" s="100">
        <f ca="1">CONVERT(SUMPRODUCT($CX40:$EX40,'General Inputs'!$K$27:$BK$27,'General Inputs'!$K$40:$BK$40)*$M40,$Q$8,'General Inputs'!$E$17)</f>
        <v>2139.5683505581892</v>
      </c>
      <c r="AX40" s="100">
        <f ca="1">CONVERT(SUMPRODUCT($EZ40:$GZ40,'General Inputs'!$K$28:$BK$28,'General Inputs'!$K$40:$BK$40)*$M40,$Q$8,'General Inputs'!$E$17)</f>
        <v>91.760664479690121</v>
      </c>
      <c r="AY40" s="98">
        <f ca="1">SUMPRODUCT($CX40:$EX40,'General Inputs'!$K$40:$BK$40)</f>
        <v>46874.774055347712</v>
      </c>
      <c r="AZ40" s="37"/>
      <c r="BA40" s="100">
        <f t="shared" ca="1" si="320"/>
        <v>1580.3290150378793</v>
      </c>
      <c r="BB40" s="102">
        <f t="shared" ca="1" si="321"/>
        <v>3.4275407297048837</v>
      </c>
      <c r="BC40" s="100">
        <f t="shared" ca="1" si="273"/>
        <v>651</v>
      </c>
      <c r="BD40" s="100">
        <f t="shared" ca="1" si="274"/>
        <v>2231.3290150378793</v>
      </c>
      <c r="BE40" s="100">
        <f t="shared" ca="1" si="275"/>
        <v>2139.5683505581892</v>
      </c>
      <c r="BF40" s="100">
        <f t="shared" ca="1" si="276"/>
        <v>91.760664479690121</v>
      </c>
      <c r="BG40" s="100">
        <f t="shared" si="277"/>
        <v>0</v>
      </c>
      <c r="BH40" s="100">
        <f t="shared" ca="1" si="278"/>
        <v>651</v>
      </c>
      <c r="BI40" s="37"/>
      <c r="BJ40" s="100">
        <f t="shared" ca="1" si="322"/>
        <v>2139.8169432076984</v>
      </c>
      <c r="BK40" s="102">
        <f t="shared" ca="1" si="323"/>
        <v>4.2869691907952356</v>
      </c>
      <c r="BL40" s="100">
        <f t="shared" ca="1" si="279"/>
        <v>651</v>
      </c>
      <c r="BM40" s="100">
        <f t="shared" ca="1" si="164"/>
        <v>2790.8169432076984</v>
      </c>
      <c r="BN40" s="100">
        <f t="shared" ca="1" si="280"/>
        <v>2139.5683505581892</v>
      </c>
      <c r="BO40" s="100">
        <f t="shared" ca="1" si="281"/>
        <v>91.760664479690121</v>
      </c>
      <c r="BP40" s="100">
        <f t="shared" ca="1" si="282"/>
        <v>559.48792816981916</v>
      </c>
      <c r="BQ40" s="100">
        <f t="shared" si="283"/>
        <v>0</v>
      </c>
      <c r="BR40" s="100">
        <f t="shared" ca="1" si="284"/>
        <v>651</v>
      </c>
      <c r="BS40" s="37"/>
      <c r="BT40" s="100">
        <f t="shared" ca="1" si="324"/>
        <v>6487.0848957521839</v>
      </c>
      <c r="BU40" s="102">
        <f t="shared" ca="1" si="325"/>
        <v>10.964800147084768</v>
      </c>
      <c r="BV40" s="102">
        <f t="shared" ca="1" si="285"/>
        <v>0.72960746139335475</v>
      </c>
      <c r="BW40" s="100">
        <f t="shared" ca="1" si="286"/>
        <v>651</v>
      </c>
      <c r="BX40" s="100">
        <f t="shared" ca="1" si="287"/>
        <v>7138.0848957521839</v>
      </c>
      <c r="BY40" s="100">
        <f t="shared" ca="1" si="288"/>
        <v>6788.0848957521839</v>
      </c>
      <c r="BZ40" s="100">
        <f t="shared" ca="1" si="289"/>
        <v>350</v>
      </c>
      <c r="CA40" s="100">
        <f t="shared" ca="1" si="290"/>
        <v>651</v>
      </c>
      <c r="CB40" s="37"/>
      <c r="CC40" s="100">
        <f t="shared" ca="1" si="326"/>
        <v>1881.3290150378793</v>
      </c>
      <c r="CD40" s="102">
        <f t="shared" ca="1" si="327"/>
        <v>6.3752257572510835</v>
      </c>
      <c r="CE40" s="103">
        <f t="shared" ca="1" si="291"/>
        <v>-0.15886601398537811</v>
      </c>
      <c r="CF40" s="100">
        <f t="shared" ca="1" si="292"/>
        <v>350</v>
      </c>
      <c r="CG40" s="100">
        <f t="shared" ca="1" si="293"/>
        <v>2231.3290150378793</v>
      </c>
      <c r="CH40" s="100">
        <f t="shared" ca="1" si="294"/>
        <v>2139.5683505581892</v>
      </c>
      <c r="CI40" s="100">
        <f t="shared" ca="1" si="71"/>
        <v>91.760664479690121</v>
      </c>
      <c r="CJ40" s="100">
        <f t="shared" ca="1" si="72"/>
        <v>350</v>
      </c>
      <c r="CK40" s="100">
        <f t="shared" si="295"/>
        <v>0</v>
      </c>
      <c r="CL40" s="37"/>
      <c r="CM40" s="100">
        <f t="shared" ca="1" si="328"/>
        <v>-4906.755880714305</v>
      </c>
      <c r="CN40" s="102">
        <f t="shared" ca="1" si="329"/>
        <v>0.31259491132778838</v>
      </c>
      <c r="CO40" s="128"/>
      <c r="CP40" s="100">
        <f t="shared" ca="1" si="296"/>
        <v>7138.0848957521839</v>
      </c>
      <c r="CQ40" s="100">
        <f t="shared" ca="1" si="297"/>
        <v>2231.3290150378793</v>
      </c>
      <c r="CR40" s="100">
        <f t="shared" ca="1" si="298"/>
        <v>2139.5683505581892</v>
      </c>
      <c r="CS40" s="100">
        <f t="shared" ca="1" si="73"/>
        <v>91.760664479690121</v>
      </c>
      <c r="CT40" s="100">
        <f t="shared" ca="1" si="299"/>
        <v>6788.0848957521839</v>
      </c>
      <c r="CU40" s="100">
        <f t="shared" ca="1" si="300"/>
        <v>350</v>
      </c>
      <c r="CV40" s="100">
        <f t="shared" si="301"/>
        <v>0</v>
      </c>
      <c r="CW40" s="37"/>
      <c r="CX40" s="48">
        <f t="shared" ca="1" si="302"/>
        <v>7735</v>
      </c>
      <c r="CY40" s="48">
        <f t="shared" ca="1" si="302"/>
        <v>7735</v>
      </c>
      <c r="CZ40" s="48">
        <f t="shared" ca="1" si="302"/>
        <v>7735</v>
      </c>
      <c r="DA40" s="48">
        <f t="shared" ca="1" si="302"/>
        <v>7735</v>
      </c>
      <c r="DB40" s="48">
        <f t="shared" ca="1" si="302"/>
        <v>7735</v>
      </c>
      <c r="DC40" s="48">
        <f t="shared" ca="1" si="302"/>
        <v>7735</v>
      </c>
      <c r="DD40" s="48">
        <f t="shared" ca="1" si="302"/>
        <v>7735</v>
      </c>
      <c r="DE40" s="48">
        <f t="shared" ca="1" si="302"/>
        <v>7735</v>
      </c>
      <c r="DF40" s="48">
        <f t="shared" ca="1" si="302"/>
        <v>0</v>
      </c>
      <c r="DG40" s="48">
        <f t="shared" ca="1" si="302"/>
        <v>0</v>
      </c>
      <c r="DH40" s="48">
        <f t="shared" ca="1" si="303"/>
        <v>0</v>
      </c>
      <c r="DI40" s="48">
        <f t="shared" ca="1" si="303"/>
        <v>0</v>
      </c>
      <c r="DJ40" s="48">
        <f t="shared" ca="1" si="303"/>
        <v>0</v>
      </c>
      <c r="DK40" s="48">
        <f t="shared" ca="1" si="303"/>
        <v>0</v>
      </c>
      <c r="DL40" s="48">
        <f t="shared" ca="1" si="303"/>
        <v>0</v>
      </c>
      <c r="DM40" s="48">
        <f t="shared" ca="1" si="303"/>
        <v>0</v>
      </c>
      <c r="DN40" s="48">
        <f t="shared" ca="1" si="303"/>
        <v>0</v>
      </c>
      <c r="DO40" s="48">
        <f t="shared" ca="1" si="303"/>
        <v>0</v>
      </c>
      <c r="DP40" s="48">
        <f t="shared" ca="1" si="303"/>
        <v>0</v>
      </c>
      <c r="DQ40" s="48">
        <f t="shared" ca="1" si="303"/>
        <v>0</v>
      </c>
      <c r="DR40" s="48">
        <f t="shared" ca="1" si="304"/>
        <v>0</v>
      </c>
      <c r="DS40" s="48">
        <f t="shared" ca="1" si="304"/>
        <v>0</v>
      </c>
      <c r="DT40" s="48">
        <f t="shared" ca="1" si="304"/>
        <v>0</v>
      </c>
      <c r="DU40" s="48">
        <f t="shared" ca="1" si="304"/>
        <v>0</v>
      </c>
      <c r="DV40" s="48">
        <f t="shared" ca="1" si="304"/>
        <v>0</v>
      </c>
      <c r="DW40" s="48">
        <f t="shared" ca="1" si="304"/>
        <v>0</v>
      </c>
      <c r="DX40" s="48">
        <f t="shared" ca="1" si="304"/>
        <v>0</v>
      </c>
      <c r="DY40" s="48">
        <f t="shared" ca="1" si="304"/>
        <v>0</v>
      </c>
      <c r="DZ40" s="48">
        <f t="shared" ca="1" si="304"/>
        <v>0</v>
      </c>
      <c r="EA40" s="48">
        <f t="shared" ca="1" si="304"/>
        <v>0</v>
      </c>
      <c r="EB40" s="48">
        <f t="shared" ca="1" si="305"/>
        <v>0</v>
      </c>
      <c r="EC40" s="48">
        <f t="shared" ca="1" si="305"/>
        <v>0</v>
      </c>
      <c r="ED40" s="48">
        <f t="shared" ca="1" si="305"/>
        <v>0</v>
      </c>
      <c r="EE40" s="48">
        <f t="shared" ca="1" si="305"/>
        <v>0</v>
      </c>
      <c r="EF40" s="48">
        <f t="shared" ca="1" si="305"/>
        <v>0</v>
      </c>
      <c r="EG40" s="48">
        <f t="shared" ca="1" si="305"/>
        <v>0</v>
      </c>
      <c r="EH40" s="48">
        <f t="shared" ca="1" si="305"/>
        <v>0</v>
      </c>
      <c r="EI40" s="48">
        <f t="shared" ca="1" si="305"/>
        <v>0</v>
      </c>
      <c r="EJ40" s="48">
        <f t="shared" ca="1" si="305"/>
        <v>0</v>
      </c>
      <c r="EK40" s="48">
        <f t="shared" ca="1" si="305"/>
        <v>0</v>
      </c>
      <c r="EL40" s="48">
        <f t="shared" ca="1" si="306"/>
        <v>0</v>
      </c>
      <c r="EM40" s="48">
        <f t="shared" ca="1" si="306"/>
        <v>0</v>
      </c>
      <c r="EN40" s="48">
        <f t="shared" ca="1" si="306"/>
        <v>0</v>
      </c>
      <c r="EO40" s="48">
        <f t="shared" ca="1" si="306"/>
        <v>0</v>
      </c>
      <c r="EP40" s="48">
        <f t="shared" ca="1" si="306"/>
        <v>0</v>
      </c>
      <c r="EQ40" s="48">
        <f t="shared" ca="1" si="306"/>
        <v>0</v>
      </c>
      <c r="ER40" s="48">
        <f t="shared" ca="1" si="306"/>
        <v>0</v>
      </c>
      <c r="ES40" s="48">
        <f t="shared" ca="1" si="306"/>
        <v>0</v>
      </c>
      <c r="ET40" s="48">
        <f t="shared" ca="1" si="306"/>
        <v>0</v>
      </c>
      <c r="EU40" s="48">
        <f t="shared" ca="1" si="306"/>
        <v>0</v>
      </c>
      <c r="EV40" s="48">
        <f t="shared" ca="1" si="306"/>
        <v>0</v>
      </c>
      <c r="EW40" s="48">
        <f t="shared" ca="1" si="306"/>
        <v>0</v>
      </c>
      <c r="EX40" s="48">
        <f t="shared" ca="1" si="306"/>
        <v>0</v>
      </c>
      <c r="EY40" s="69"/>
      <c r="EZ40" s="48">
        <f t="shared" ca="1" si="307"/>
        <v>0.88200000000000001</v>
      </c>
      <c r="FA40" s="48">
        <f t="shared" ca="1" si="307"/>
        <v>0.88200000000000001</v>
      </c>
      <c r="FB40" s="48">
        <f t="shared" ca="1" si="307"/>
        <v>0.88200000000000001</v>
      </c>
      <c r="FC40" s="48">
        <f t="shared" ca="1" si="307"/>
        <v>0.88200000000000001</v>
      </c>
      <c r="FD40" s="48">
        <f t="shared" ca="1" si="307"/>
        <v>0.88200000000000001</v>
      </c>
      <c r="FE40" s="48">
        <f t="shared" ca="1" si="307"/>
        <v>0.88200000000000001</v>
      </c>
      <c r="FF40" s="48">
        <f t="shared" ca="1" si="307"/>
        <v>0.88200000000000001</v>
      </c>
      <c r="FG40" s="48">
        <f t="shared" ca="1" si="307"/>
        <v>0.88200000000000001</v>
      </c>
      <c r="FH40" s="48">
        <f t="shared" ca="1" si="307"/>
        <v>0</v>
      </c>
      <c r="FI40" s="48">
        <f t="shared" ca="1" si="307"/>
        <v>0</v>
      </c>
      <c r="FJ40" s="48">
        <f t="shared" ca="1" si="308"/>
        <v>0</v>
      </c>
      <c r="FK40" s="48">
        <f t="shared" ca="1" si="308"/>
        <v>0</v>
      </c>
      <c r="FL40" s="48">
        <f t="shared" ca="1" si="308"/>
        <v>0</v>
      </c>
      <c r="FM40" s="48">
        <f t="shared" ca="1" si="308"/>
        <v>0</v>
      </c>
      <c r="FN40" s="48">
        <f t="shared" ca="1" si="308"/>
        <v>0</v>
      </c>
      <c r="FO40" s="48">
        <f t="shared" ca="1" si="308"/>
        <v>0</v>
      </c>
      <c r="FP40" s="48">
        <f t="shared" ca="1" si="308"/>
        <v>0</v>
      </c>
      <c r="FQ40" s="48">
        <f t="shared" ca="1" si="308"/>
        <v>0</v>
      </c>
      <c r="FR40" s="48">
        <f t="shared" ca="1" si="308"/>
        <v>0</v>
      </c>
      <c r="FS40" s="48">
        <f t="shared" ca="1" si="308"/>
        <v>0</v>
      </c>
      <c r="FT40" s="48">
        <f t="shared" ca="1" si="309"/>
        <v>0</v>
      </c>
      <c r="FU40" s="48">
        <f t="shared" ca="1" si="309"/>
        <v>0</v>
      </c>
      <c r="FV40" s="48">
        <f t="shared" ca="1" si="309"/>
        <v>0</v>
      </c>
      <c r="FW40" s="48">
        <f t="shared" ca="1" si="309"/>
        <v>0</v>
      </c>
      <c r="FX40" s="48">
        <f t="shared" ca="1" si="309"/>
        <v>0</v>
      </c>
      <c r="FY40" s="48">
        <f t="shared" ca="1" si="309"/>
        <v>0</v>
      </c>
      <c r="FZ40" s="48">
        <f t="shared" ca="1" si="309"/>
        <v>0</v>
      </c>
      <c r="GA40" s="48">
        <f t="shared" ca="1" si="309"/>
        <v>0</v>
      </c>
      <c r="GB40" s="48">
        <f t="shared" ca="1" si="309"/>
        <v>0</v>
      </c>
      <c r="GC40" s="48">
        <f t="shared" ca="1" si="309"/>
        <v>0</v>
      </c>
      <c r="GD40" s="48">
        <f t="shared" ca="1" si="310"/>
        <v>0</v>
      </c>
      <c r="GE40" s="48">
        <f t="shared" ca="1" si="310"/>
        <v>0</v>
      </c>
      <c r="GF40" s="48">
        <f t="shared" ca="1" si="310"/>
        <v>0</v>
      </c>
      <c r="GG40" s="48">
        <f t="shared" ca="1" si="310"/>
        <v>0</v>
      </c>
      <c r="GH40" s="48">
        <f t="shared" ca="1" si="310"/>
        <v>0</v>
      </c>
      <c r="GI40" s="48">
        <f t="shared" ca="1" si="310"/>
        <v>0</v>
      </c>
      <c r="GJ40" s="48">
        <f t="shared" ca="1" si="310"/>
        <v>0</v>
      </c>
      <c r="GK40" s="48">
        <f t="shared" ca="1" si="310"/>
        <v>0</v>
      </c>
      <c r="GL40" s="48">
        <f t="shared" ca="1" si="310"/>
        <v>0</v>
      </c>
      <c r="GM40" s="48">
        <f t="shared" ca="1" si="310"/>
        <v>0</v>
      </c>
      <c r="GN40" s="48">
        <f t="shared" ca="1" si="311"/>
        <v>0</v>
      </c>
      <c r="GO40" s="48">
        <f t="shared" ca="1" si="311"/>
        <v>0</v>
      </c>
      <c r="GP40" s="48">
        <f t="shared" ca="1" si="311"/>
        <v>0</v>
      </c>
      <c r="GQ40" s="48">
        <f t="shared" ca="1" si="311"/>
        <v>0</v>
      </c>
      <c r="GR40" s="48">
        <f t="shared" ca="1" si="311"/>
        <v>0</v>
      </c>
      <c r="GS40" s="48">
        <f t="shared" ca="1" si="311"/>
        <v>0</v>
      </c>
      <c r="GT40" s="48">
        <f t="shared" ca="1" si="311"/>
        <v>0</v>
      </c>
      <c r="GU40" s="48">
        <f t="shared" ca="1" si="311"/>
        <v>0</v>
      </c>
      <c r="GV40" s="48">
        <f t="shared" ca="1" si="311"/>
        <v>0</v>
      </c>
      <c r="GW40" s="48">
        <f t="shared" ca="1" si="311"/>
        <v>0</v>
      </c>
      <c r="GX40" s="48">
        <f t="shared" ca="1" si="311"/>
        <v>0</v>
      </c>
      <c r="GY40" s="48">
        <f t="shared" ca="1" si="311"/>
        <v>0</v>
      </c>
      <c r="GZ40" s="48">
        <f t="shared" ca="1" si="311"/>
        <v>0</v>
      </c>
      <c r="HA40" s="69"/>
      <c r="HB40" s="150">
        <f t="shared" ca="1" si="74"/>
        <v>3.4275407297048837</v>
      </c>
      <c r="HC40" s="150">
        <f t="shared" ca="1" si="75"/>
        <v>6.3752257572510835</v>
      </c>
      <c r="HD40" s="150">
        <f t="shared" ca="1" si="76"/>
        <v>4.2869691907952356</v>
      </c>
      <c r="HE40" s="150">
        <f t="shared" ca="1" si="77"/>
        <v>10.964800147084768</v>
      </c>
      <c r="HF40" s="150">
        <f t="shared" ca="1" si="78"/>
        <v>0.31259491132778838</v>
      </c>
      <c r="HG40" s="148"/>
      <c r="HH40" s="149"/>
      <c r="HI40" s="149"/>
      <c r="HJ40" s="149"/>
      <c r="HK40" s="150"/>
      <c r="HL40" s="149"/>
      <c r="HM40" s="149"/>
      <c r="HN40" s="149"/>
      <c r="HO40" s="150"/>
      <c r="HP40" s="148"/>
      <c r="HQ40" s="149"/>
      <c r="HR40" s="149"/>
      <c r="HS40" s="149"/>
      <c r="HT40" s="150"/>
      <c r="HU40" s="149"/>
      <c r="HV40" s="149"/>
      <c r="HW40" s="149"/>
      <c r="HX40" s="150"/>
      <c r="HY40" s="151"/>
      <c r="HZ40" s="150"/>
      <c r="IA40" s="150"/>
      <c r="IB40" s="152"/>
      <c r="IC40" s="150"/>
      <c r="ID40" s="152"/>
      <c r="IE40" s="150"/>
      <c r="IF40" s="153"/>
    </row>
    <row r="41" spans="1:240" s="36" customFormat="1" ht="14.4" customHeight="1">
      <c r="A41" s="39"/>
      <c r="B41" s="50" t="str">
        <f t="shared" si="312"/>
        <v>Residential_High Efficiency HVAC_HVAC_Heat Pump SEER 15_2017_Actual</v>
      </c>
      <c r="C41" s="50">
        <f>INDEX('Measure Inputs'!$D:$D,MATCH($B41,'Measure Inputs'!$B:$B,0))</f>
        <v>7</v>
      </c>
      <c r="D41" s="51" t="str">
        <f>'Measure Inputs'!G13</f>
        <v>Residential</v>
      </c>
      <c r="E41" s="51" t="str">
        <f>'Measure Inputs'!H13</f>
        <v>High Efficiency HVAC</v>
      </c>
      <c r="F41" s="51" t="str">
        <f>'Measure Inputs'!I13</f>
        <v>HVAC</v>
      </c>
      <c r="G41" s="51" t="str">
        <f>'Measure Inputs'!J13</f>
        <v>Heat Pump SEER 15</v>
      </c>
      <c r="H41" s="51">
        <f>'Measure Inputs'!K13</f>
        <v>2017</v>
      </c>
      <c r="I41" s="51" t="str">
        <f>'Measure Inputs'!L13</f>
        <v>Actual</v>
      </c>
      <c r="J41" s="37"/>
      <c r="K41" s="99" t="str">
        <f ca="1">INDEX(OFFSET('Measure Inputs'!$O$7,,,InputRows),$C41)</f>
        <v>Units</v>
      </c>
      <c r="L41" s="38">
        <f ca="1">INDEX(OFFSET('Measure Inputs'!$Q$7,,,InputRows),$C41)</f>
        <v>8</v>
      </c>
      <c r="M41" s="167">
        <f>INDEX('General Inputs'!$E$14:$E$15,MATCH(D41,'General Inputs'!$D$14:$D$15,0))</f>
        <v>1.0469999999999999</v>
      </c>
      <c r="N41" s="54">
        <f ca="1">INDEX(OFFSET('Measure Inputs'!$Y$7,,,InputRows),$C41)</f>
        <v>1</v>
      </c>
      <c r="O41" s="54">
        <f ca="1">INDEX(OFFSET('Measure Inputs'!$Z$7,,,InputRows),$C41)</f>
        <v>1</v>
      </c>
      <c r="P41" s="37"/>
      <c r="Q41" s="127">
        <f ca="1">CONVERT(INDEX(OFFSET('Measure Inputs'!$AB$7,,,InputRows),$C41),'Measure Inputs'!$AB$6,Q$8)*$L41</f>
        <v>7211.1080000000002</v>
      </c>
      <c r="R41" s="127">
        <f t="shared" ca="1" si="313"/>
        <v>7211.1080000000002</v>
      </c>
      <c r="S41" s="127">
        <f t="shared" ca="1" si="314"/>
        <v>7211.1080000000002</v>
      </c>
      <c r="T41" s="37"/>
      <c r="U41" s="127">
        <f ca="1">CONVERT(INDEX(OFFSET('Measure Inputs'!$AD$7,,,InputRows),$C41),'Measure Inputs'!$AD$6,U$8)*$L41</f>
        <v>0</v>
      </c>
      <c r="V41" s="127">
        <f t="shared" ca="1" si="315"/>
        <v>0</v>
      </c>
      <c r="W41" s="127">
        <f t="shared" ca="1" si="316"/>
        <v>0</v>
      </c>
      <c r="X41" s="37"/>
      <c r="Y41" s="127">
        <f ca="1">CONVERT(INDEX(OFFSET('Measure Inputs'!$AC$7,,,InputRows),$C41),'Measure Inputs'!$AC$6,Y$8)*$L41</f>
        <v>4.9429999999999996</v>
      </c>
      <c r="Z41" s="127">
        <f t="shared" ref="Z41:AA41" ca="1" si="338">Y41*N41</f>
        <v>4.9429999999999996</v>
      </c>
      <c r="AA41" s="127">
        <f t="shared" ca="1" si="338"/>
        <v>4.9429999999999996</v>
      </c>
      <c r="AB41" s="37"/>
      <c r="AC41" s="127">
        <f ca="1">CONVERT(INDEX(OFFSET('Measure Inputs'!$AE$7,,,InputRows),$C41),'Measure Inputs'!$AE$6,AC$8)*$L41</f>
        <v>0</v>
      </c>
      <c r="AD41" s="127">
        <f t="shared" ref="AD41:AE41" ca="1" si="339">AC41*N41</f>
        <v>0</v>
      </c>
      <c r="AE41" s="127">
        <f t="shared" ca="1" si="339"/>
        <v>0</v>
      </c>
      <c r="AF41" s="37"/>
      <c r="AG41" s="97">
        <f ca="1">INDEX(OFFSET('Measure Inputs'!$R$7,,,InputRows),$C41)</f>
        <v>18</v>
      </c>
      <c r="AH41" s="97">
        <f ca="1">INDEX(OFFSET('Measure Inputs'!$S$7,,,InputRows),$C41)</f>
        <v>0</v>
      </c>
      <c r="AI41" s="97">
        <f t="shared" ca="1" si="319"/>
        <v>129799.94400000005</v>
      </c>
      <c r="AJ41" s="100">
        <f ca="1">INDEX(OFFSET('Measure Inputs'!$T$7,,,InputRows),$C41)*$L41*$N41*$O41</f>
        <v>2350.4659844622447</v>
      </c>
      <c r="AK41" s="100">
        <f ca="1">INDEX(OFFSET('Measure Inputs'!$U$7,,,InputRows),$C41)*$L41*$N41*$O41</f>
        <v>0</v>
      </c>
      <c r="AL41" s="100">
        <f ca="1">INDEX(OFFSET('Measure Inputs'!$V$7,,,InputRows),$C41)*$L41*$N41*$O41</f>
        <v>0</v>
      </c>
      <c r="AM41" s="100">
        <f ca="1">INDEX(OFFSET('Measure Inputs'!$W$7,,,InputRows),$C41)*$L41*$N41*$O41</f>
        <v>0</v>
      </c>
      <c r="AN41" s="100">
        <f ca="1">INDEX(OFFSET('Measure Inputs'!$X$7,,,InputRows),$C41)*$L41</f>
        <v>1612.5</v>
      </c>
      <c r="AO41" s="100"/>
      <c r="AP41" s="100">
        <f t="shared" ca="1" si="272"/>
        <v>1612.5</v>
      </c>
      <c r="AQ41" s="37"/>
      <c r="AR41" s="100">
        <f ca="1">SUMPRODUCT(--($CX$9:$EX$9=$H41)*$AJ41,'General Inputs'!$K$40:$BK$40)+SUMPRODUCT(--($CX$9:$EX$9=$H41+$AH41)*-$AK41,'General Inputs'!$K$43:$BK$43)</f>
        <v>2350.4659844622447</v>
      </c>
      <c r="AS41" s="100">
        <f ca="1">CONVERT(SUMPRODUCT($CX41:$EX41,'General Inputs'!$K$29:$BK$29,'General Inputs'!$K$40:$BK$40)*$M41,$Q$8,'General Inputs'!$E$17)</f>
        <v>829.04405212212453</v>
      </c>
      <c r="AT41" s="100">
        <f ca="1">SUMPRODUCT(--($CX$9:$EX$9=$H41)*$AN41,'General Inputs'!$K$40:$BK$40)</f>
        <v>1612.5</v>
      </c>
      <c r="AU41" s="100">
        <f>SUMPRODUCT(--($CX$9:$EX$9=$H41)*$AO41,'General Inputs'!$K$40:$BK$40)</f>
        <v>0</v>
      </c>
      <c r="AV41" s="100">
        <f ca="1">CONVERT(SUMPRODUCT($CX41:$EX41,'General Inputs'!$K$40:$BK$40,OFFSET('General Inputs'!$K$34:$BK$34,MATCH($D41,'General Inputs'!$J$34:$J$35,0)-1,)),$Q$8,'General Inputs'!$G$32)</f>
        <v>10578.937586915883</v>
      </c>
      <c r="AW41" s="100">
        <f ca="1">CONVERT(SUMPRODUCT($CX41:$EX41,'General Inputs'!$K$27:$BK$27,'General Inputs'!$K$40:$BK$40)*$M41,$Q$8,'General Inputs'!$E$17)</f>
        <v>3334.4250095722391</v>
      </c>
      <c r="AX41" s="100">
        <f ca="1">CONVERT(SUMPRODUCT($EZ41:$GZ41,'General Inputs'!$K$28:$BK$28,'General Inputs'!$K$40:$BK$40)*$M41,$Q$8,'General Inputs'!$E$17)</f>
        <v>859.66982483048162</v>
      </c>
      <c r="AY41" s="98">
        <f ca="1">SUMPRODUCT($CX41:$EX41,'General Inputs'!$K$40:$BK$40)</f>
        <v>69458.607895752648</v>
      </c>
      <c r="AZ41" s="37"/>
      <c r="BA41" s="100">
        <f t="shared" ca="1" si="320"/>
        <v>1843.6288499404764</v>
      </c>
      <c r="BB41" s="102">
        <f t="shared" ca="1" si="321"/>
        <v>1.7843673816714578</v>
      </c>
      <c r="BC41" s="100">
        <f t="shared" ca="1" si="273"/>
        <v>2350.4659844622447</v>
      </c>
      <c r="BD41" s="100">
        <f t="shared" ca="1" si="274"/>
        <v>4194.0948344027211</v>
      </c>
      <c r="BE41" s="100">
        <f t="shared" ca="1" si="275"/>
        <v>3334.4250095722391</v>
      </c>
      <c r="BF41" s="100">
        <f t="shared" ca="1" si="276"/>
        <v>859.66982483048162</v>
      </c>
      <c r="BG41" s="100">
        <f t="shared" si="277"/>
        <v>0</v>
      </c>
      <c r="BH41" s="100">
        <f t="shared" ca="1" si="278"/>
        <v>2350.4659844622447</v>
      </c>
      <c r="BI41" s="37"/>
      <c r="BJ41" s="100">
        <f t="shared" ca="1" si="322"/>
        <v>2672.6729020626008</v>
      </c>
      <c r="BK41" s="102">
        <f t="shared" ca="1" si="323"/>
        <v>2.137082144447231</v>
      </c>
      <c r="BL41" s="100">
        <f t="shared" ca="1" si="279"/>
        <v>2350.4659844622447</v>
      </c>
      <c r="BM41" s="100">
        <f t="shared" ca="1" si="164"/>
        <v>5023.1388865248455</v>
      </c>
      <c r="BN41" s="100">
        <f t="shared" ca="1" si="280"/>
        <v>3334.4250095722391</v>
      </c>
      <c r="BO41" s="100">
        <f t="shared" ca="1" si="281"/>
        <v>859.66982483048162</v>
      </c>
      <c r="BP41" s="100">
        <f t="shared" ca="1" si="282"/>
        <v>829.04405212212453</v>
      </c>
      <c r="BQ41" s="100">
        <f t="shared" si="283"/>
        <v>0</v>
      </c>
      <c r="BR41" s="100">
        <f t="shared" ca="1" si="284"/>
        <v>2350.4659844622447</v>
      </c>
      <c r="BS41" s="37"/>
      <c r="BT41" s="100">
        <f t="shared" ca="1" si="324"/>
        <v>9840.9716024536392</v>
      </c>
      <c r="BU41" s="102">
        <f t="shared" ca="1" si="325"/>
        <v>5.186817281129521</v>
      </c>
      <c r="BV41" s="102">
        <f t="shared" ca="1" si="285"/>
        <v>3.4703362436704501</v>
      </c>
      <c r="BW41" s="100">
        <f t="shared" ca="1" si="286"/>
        <v>2350.4659844622447</v>
      </c>
      <c r="BX41" s="100">
        <f t="shared" ca="1" si="287"/>
        <v>12191.437586915883</v>
      </c>
      <c r="BY41" s="100">
        <f t="shared" ca="1" si="288"/>
        <v>10578.937586915883</v>
      </c>
      <c r="BZ41" s="100">
        <f t="shared" ca="1" si="289"/>
        <v>1612.5</v>
      </c>
      <c r="CA41" s="100">
        <f t="shared" ca="1" si="290"/>
        <v>2350.4659844622447</v>
      </c>
      <c r="CB41" s="37"/>
      <c r="CC41" s="100">
        <f t="shared" ca="1" si="326"/>
        <v>2581.5948344027211</v>
      </c>
      <c r="CD41" s="102">
        <f t="shared" ca="1" si="327"/>
        <v>2.6009890445908348</v>
      </c>
      <c r="CE41" s="103">
        <f t="shared" ca="1" si="291"/>
        <v>-0.49394181193193576</v>
      </c>
      <c r="CF41" s="100">
        <f t="shared" ca="1" si="292"/>
        <v>1612.5</v>
      </c>
      <c r="CG41" s="100">
        <f t="shared" ca="1" si="293"/>
        <v>4194.0948344027211</v>
      </c>
      <c r="CH41" s="100">
        <f t="shared" ca="1" si="294"/>
        <v>3334.4250095722391</v>
      </c>
      <c r="CI41" s="100">
        <f t="shared" ca="1" si="71"/>
        <v>859.66982483048162</v>
      </c>
      <c r="CJ41" s="100">
        <f t="shared" ca="1" si="72"/>
        <v>1612.5</v>
      </c>
      <c r="CK41" s="100">
        <f t="shared" si="295"/>
        <v>0</v>
      </c>
      <c r="CL41" s="37"/>
      <c r="CM41" s="100">
        <f t="shared" ca="1" si="328"/>
        <v>-7997.3427525131619</v>
      </c>
      <c r="CN41" s="102">
        <f t="shared" ca="1" si="329"/>
        <v>0.34401971092432243</v>
      </c>
      <c r="CO41" s="128"/>
      <c r="CP41" s="100">
        <f t="shared" ca="1" si="296"/>
        <v>12191.437586915883</v>
      </c>
      <c r="CQ41" s="100">
        <f t="shared" ca="1" si="297"/>
        <v>4194.0948344027211</v>
      </c>
      <c r="CR41" s="100">
        <f t="shared" ca="1" si="298"/>
        <v>3334.4250095722391</v>
      </c>
      <c r="CS41" s="100">
        <f t="shared" ca="1" si="73"/>
        <v>859.66982483048162</v>
      </c>
      <c r="CT41" s="100">
        <f t="shared" ca="1" si="299"/>
        <v>10578.937586915883</v>
      </c>
      <c r="CU41" s="100">
        <f t="shared" ca="1" si="300"/>
        <v>1612.5</v>
      </c>
      <c r="CV41" s="100">
        <f t="shared" si="301"/>
        <v>0</v>
      </c>
      <c r="CW41" s="37"/>
      <c r="CX41" s="48">
        <f t="shared" ca="1" si="302"/>
        <v>7211.1080000000002</v>
      </c>
      <c r="CY41" s="48">
        <f t="shared" ca="1" si="302"/>
        <v>7211.1080000000002</v>
      </c>
      <c r="CZ41" s="48">
        <f t="shared" ca="1" si="302"/>
        <v>7211.1080000000002</v>
      </c>
      <c r="DA41" s="48">
        <f t="shared" ca="1" si="302"/>
        <v>7211.1080000000002</v>
      </c>
      <c r="DB41" s="48">
        <f t="shared" ca="1" si="302"/>
        <v>7211.1080000000002</v>
      </c>
      <c r="DC41" s="48">
        <f t="shared" ca="1" si="302"/>
        <v>7211.1080000000002</v>
      </c>
      <c r="DD41" s="48">
        <f t="shared" ca="1" si="302"/>
        <v>7211.1080000000002</v>
      </c>
      <c r="DE41" s="48">
        <f t="shared" ca="1" si="302"/>
        <v>7211.1080000000002</v>
      </c>
      <c r="DF41" s="48">
        <f t="shared" ca="1" si="302"/>
        <v>7211.1080000000002</v>
      </c>
      <c r="DG41" s="48">
        <f t="shared" ca="1" si="302"/>
        <v>7211.1080000000002</v>
      </c>
      <c r="DH41" s="48">
        <f t="shared" ca="1" si="303"/>
        <v>7211.1080000000002</v>
      </c>
      <c r="DI41" s="48">
        <f t="shared" ca="1" si="303"/>
        <v>7211.1080000000002</v>
      </c>
      <c r="DJ41" s="48">
        <f t="shared" ca="1" si="303"/>
        <v>7211.1080000000002</v>
      </c>
      <c r="DK41" s="48">
        <f t="shared" ca="1" si="303"/>
        <v>7211.1080000000002</v>
      </c>
      <c r="DL41" s="48">
        <f t="shared" ca="1" si="303"/>
        <v>7211.1080000000002</v>
      </c>
      <c r="DM41" s="48">
        <f t="shared" ca="1" si="303"/>
        <v>7211.1080000000002</v>
      </c>
      <c r="DN41" s="48">
        <f t="shared" ca="1" si="303"/>
        <v>7211.1080000000002</v>
      </c>
      <c r="DO41" s="48">
        <f t="shared" ca="1" si="303"/>
        <v>7211.1080000000002</v>
      </c>
      <c r="DP41" s="48">
        <f t="shared" ca="1" si="303"/>
        <v>0</v>
      </c>
      <c r="DQ41" s="48">
        <f t="shared" ca="1" si="303"/>
        <v>0</v>
      </c>
      <c r="DR41" s="48">
        <f t="shared" ca="1" si="304"/>
        <v>0</v>
      </c>
      <c r="DS41" s="48">
        <f t="shared" ca="1" si="304"/>
        <v>0</v>
      </c>
      <c r="DT41" s="48">
        <f t="shared" ca="1" si="304"/>
        <v>0</v>
      </c>
      <c r="DU41" s="48">
        <f t="shared" ca="1" si="304"/>
        <v>0</v>
      </c>
      <c r="DV41" s="48">
        <f t="shared" ca="1" si="304"/>
        <v>0</v>
      </c>
      <c r="DW41" s="48">
        <f t="shared" ca="1" si="304"/>
        <v>0</v>
      </c>
      <c r="DX41" s="48">
        <f t="shared" ca="1" si="304"/>
        <v>0</v>
      </c>
      <c r="DY41" s="48">
        <f t="shared" ca="1" si="304"/>
        <v>0</v>
      </c>
      <c r="DZ41" s="48">
        <f t="shared" ca="1" si="304"/>
        <v>0</v>
      </c>
      <c r="EA41" s="48">
        <f t="shared" ca="1" si="304"/>
        <v>0</v>
      </c>
      <c r="EB41" s="48">
        <f t="shared" ca="1" si="305"/>
        <v>0</v>
      </c>
      <c r="EC41" s="48">
        <f t="shared" ca="1" si="305"/>
        <v>0</v>
      </c>
      <c r="ED41" s="48">
        <f t="shared" ca="1" si="305"/>
        <v>0</v>
      </c>
      <c r="EE41" s="48">
        <f t="shared" ca="1" si="305"/>
        <v>0</v>
      </c>
      <c r="EF41" s="48">
        <f t="shared" ca="1" si="305"/>
        <v>0</v>
      </c>
      <c r="EG41" s="48">
        <f t="shared" ca="1" si="305"/>
        <v>0</v>
      </c>
      <c r="EH41" s="48">
        <f t="shared" ca="1" si="305"/>
        <v>0</v>
      </c>
      <c r="EI41" s="48">
        <f t="shared" ca="1" si="305"/>
        <v>0</v>
      </c>
      <c r="EJ41" s="48">
        <f t="shared" ca="1" si="305"/>
        <v>0</v>
      </c>
      <c r="EK41" s="48">
        <f t="shared" ca="1" si="305"/>
        <v>0</v>
      </c>
      <c r="EL41" s="48">
        <f t="shared" ca="1" si="306"/>
        <v>0</v>
      </c>
      <c r="EM41" s="48">
        <f t="shared" ca="1" si="306"/>
        <v>0</v>
      </c>
      <c r="EN41" s="48">
        <f t="shared" ca="1" si="306"/>
        <v>0</v>
      </c>
      <c r="EO41" s="48">
        <f t="shared" ca="1" si="306"/>
        <v>0</v>
      </c>
      <c r="EP41" s="48">
        <f t="shared" ca="1" si="306"/>
        <v>0</v>
      </c>
      <c r="EQ41" s="48">
        <f t="shared" ca="1" si="306"/>
        <v>0</v>
      </c>
      <c r="ER41" s="48">
        <f t="shared" ca="1" si="306"/>
        <v>0</v>
      </c>
      <c r="ES41" s="48">
        <f t="shared" ca="1" si="306"/>
        <v>0</v>
      </c>
      <c r="ET41" s="48">
        <f t="shared" ca="1" si="306"/>
        <v>0</v>
      </c>
      <c r="EU41" s="48">
        <f t="shared" ca="1" si="306"/>
        <v>0</v>
      </c>
      <c r="EV41" s="48">
        <f t="shared" ca="1" si="306"/>
        <v>0</v>
      </c>
      <c r="EW41" s="48">
        <f t="shared" ca="1" si="306"/>
        <v>0</v>
      </c>
      <c r="EX41" s="48">
        <f t="shared" ca="1" si="306"/>
        <v>0</v>
      </c>
      <c r="EY41" s="69"/>
      <c r="EZ41" s="48">
        <f t="shared" ca="1" si="307"/>
        <v>4.9429999999999996</v>
      </c>
      <c r="FA41" s="48">
        <f t="shared" ca="1" si="307"/>
        <v>4.9429999999999996</v>
      </c>
      <c r="FB41" s="48">
        <f t="shared" ca="1" si="307"/>
        <v>4.9429999999999996</v>
      </c>
      <c r="FC41" s="48">
        <f t="shared" ca="1" si="307"/>
        <v>4.9429999999999996</v>
      </c>
      <c r="FD41" s="48">
        <f t="shared" ca="1" si="307"/>
        <v>4.9429999999999996</v>
      </c>
      <c r="FE41" s="48">
        <f t="shared" ca="1" si="307"/>
        <v>4.9429999999999996</v>
      </c>
      <c r="FF41" s="48">
        <f t="shared" ca="1" si="307"/>
        <v>4.9429999999999996</v>
      </c>
      <c r="FG41" s="48">
        <f t="shared" ca="1" si="307"/>
        <v>4.9429999999999996</v>
      </c>
      <c r="FH41" s="48">
        <f t="shared" ca="1" si="307"/>
        <v>4.9429999999999996</v>
      </c>
      <c r="FI41" s="48">
        <f t="shared" ca="1" si="307"/>
        <v>4.9429999999999996</v>
      </c>
      <c r="FJ41" s="48">
        <f t="shared" ca="1" si="308"/>
        <v>4.9429999999999996</v>
      </c>
      <c r="FK41" s="48">
        <f t="shared" ca="1" si="308"/>
        <v>4.9429999999999996</v>
      </c>
      <c r="FL41" s="48">
        <f t="shared" ca="1" si="308"/>
        <v>4.9429999999999996</v>
      </c>
      <c r="FM41" s="48">
        <f t="shared" ca="1" si="308"/>
        <v>4.9429999999999996</v>
      </c>
      <c r="FN41" s="48">
        <f t="shared" ca="1" si="308"/>
        <v>4.9429999999999996</v>
      </c>
      <c r="FO41" s="48">
        <f t="shared" ca="1" si="308"/>
        <v>4.9429999999999996</v>
      </c>
      <c r="FP41" s="48">
        <f t="shared" ca="1" si="308"/>
        <v>4.9429999999999996</v>
      </c>
      <c r="FQ41" s="48">
        <f t="shared" ca="1" si="308"/>
        <v>4.9429999999999996</v>
      </c>
      <c r="FR41" s="48">
        <f t="shared" ca="1" si="308"/>
        <v>0</v>
      </c>
      <c r="FS41" s="48">
        <f t="shared" ca="1" si="308"/>
        <v>0</v>
      </c>
      <c r="FT41" s="48">
        <f t="shared" ca="1" si="309"/>
        <v>0</v>
      </c>
      <c r="FU41" s="48">
        <f t="shared" ca="1" si="309"/>
        <v>0</v>
      </c>
      <c r="FV41" s="48">
        <f t="shared" ca="1" si="309"/>
        <v>0</v>
      </c>
      <c r="FW41" s="48">
        <f t="shared" ca="1" si="309"/>
        <v>0</v>
      </c>
      <c r="FX41" s="48">
        <f t="shared" ca="1" si="309"/>
        <v>0</v>
      </c>
      <c r="FY41" s="48">
        <f t="shared" ca="1" si="309"/>
        <v>0</v>
      </c>
      <c r="FZ41" s="48">
        <f t="shared" ca="1" si="309"/>
        <v>0</v>
      </c>
      <c r="GA41" s="48">
        <f t="shared" ca="1" si="309"/>
        <v>0</v>
      </c>
      <c r="GB41" s="48">
        <f t="shared" ca="1" si="309"/>
        <v>0</v>
      </c>
      <c r="GC41" s="48">
        <f t="shared" ca="1" si="309"/>
        <v>0</v>
      </c>
      <c r="GD41" s="48">
        <f t="shared" ca="1" si="310"/>
        <v>0</v>
      </c>
      <c r="GE41" s="48">
        <f t="shared" ca="1" si="310"/>
        <v>0</v>
      </c>
      <c r="GF41" s="48">
        <f t="shared" ca="1" si="310"/>
        <v>0</v>
      </c>
      <c r="GG41" s="48">
        <f t="shared" ca="1" si="310"/>
        <v>0</v>
      </c>
      <c r="GH41" s="48">
        <f t="shared" ca="1" si="310"/>
        <v>0</v>
      </c>
      <c r="GI41" s="48">
        <f t="shared" ca="1" si="310"/>
        <v>0</v>
      </c>
      <c r="GJ41" s="48">
        <f t="shared" ca="1" si="310"/>
        <v>0</v>
      </c>
      <c r="GK41" s="48">
        <f t="shared" ca="1" si="310"/>
        <v>0</v>
      </c>
      <c r="GL41" s="48">
        <f t="shared" ca="1" si="310"/>
        <v>0</v>
      </c>
      <c r="GM41" s="48">
        <f t="shared" ca="1" si="310"/>
        <v>0</v>
      </c>
      <c r="GN41" s="48">
        <f t="shared" ca="1" si="311"/>
        <v>0</v>
      </c>
      <c r="GO41" s="48">
        <f t="shared" ca="1" si="311"/>
        <v>0</v>
      </c>
      <c r="GP41" s="48">
        <f t="shared" ca="1" si="311"/>
        <v>0</v>
      </c>
      <c r="GQ41" s="48">
        <f t="shared" ca="1" si="311"/>
        <v>0</v>
      </c>
      <c r="GR41" s="48">
        <f t="shared" ca="1" si="311"/>
        <v>0</v>
      </c>
      <c r="GS41" s="48">
        <f t="shared" ca="1" si="311"/>
        <v>0</v>
      </c>
      <c r="GT41" s="48">
        <f t="shared" ca="1" si="311"/>
        <v>0</v>
      </c>
      <c r="GU41" s="48">
        <f t="shared" ca="1" si="311"/>
        <v>0</v>
      </c>
      <c r="GV41" s="48">
        <f t="shared" ca="1" si="311"/>
        <v>0</v>
      </c>
      <c r="GW41" s="48">
        <f t="shared" ca="1" si="311"/>
        <v>0</v>
      </c>
      <c r="GX41" s="48">
        <f t="shared" ca="1" si="311"/>
        <v>0</v>
      </c>
      <c r="GY41" s="48">
        <f t="shared" ca="1" si="311"/>
        <v>0</v>
      </c>
      <c r="GZ41" s="48">
        <f t="shared" ca="1" si="311"/>
        <v>0</v>
      </c>
      <c r="HA41" s="69"/>
      <c r="HB41" s="150">
        <f t="shared" ca="1" si="74"/>
        <v>1.7843673816714578</v>
      </c>
      <c r="HC41" s="150">
        <f t="shared" ca="1" si="75"/>
        <v>2.6009890445908348</v>
      </c>
      <c r="HD41" s="150">
        <f t="shared" ca="1" si="76"/>
        <v>2.137082144447231</v>
      </c>
      <c r="HE41" s="150">
        <f t="shared" ca="1" si="77"/>
        <v>5.186817281129521</v>
      </c>
      <c r="HF41" s="150">
        <f t="shared" ca="1" si="78"/>
        <v>0.34401971092432243</v>
      </c>
      <c r="HG41" s="148"/>
      <c r="HH41" s="149"/>
      <c r="HI41" s="149"/>
      <c r="HJ41" s="149"/>
      <c r="HK41" s="150"/>
      <c r="HL41" s="149"/>
      <c r="HM41" s="149"/>
      <c r="HN41" s="149"/>
      <c r="HO41" s="150"/>
      <c r="HP41" s="148"/>
      <c r="HQ41" s="149"/>
      <c r="HR41" s="149"/>
      <c r="HS41" s="149"/>
      <c r="HT41" s="150"/>
      <c r="HU41" s="149"/>
      <c r="HV41" s="149"/>
      <c r="HW41" s="149"/>
      <c r="HX41" s="150"/>
      <c r="HY41" s="151"/>
      <c r="HZ41" s="150"/>
      <c r="IA41" s="150"/>
      <c r="IB41" s="152"/>
      <c r="IC41" s="150"/>
      <c r="ID41" s="152"/>
      <c r="IE41" s="150"/>
      <c r="IF41" s="153"/>
    </row>
    <row r="42" spans="1:240" s="36" customFormat="1" ht="14.4" customHeight="1">
      <c r="A42" s="39"/>
      <c r="B42" s="50" t="str">
        <f t="shared" ref="B42:B97" si="340">D42&amp;"_"&amp;E42&amp;"_"&amp;F42&amp;"_"&amp;G42&amp;"_"&amp;H42&amp;"_"&amp;I42</f>
        <v>Residential_High Efficiency HVAC_HVAC_Early Retirement Heat Pump SEER 15_2017_Actual</v>
      </c>
      <c r="C42" s="50">
        <f>INDEX('Measure Inputs'!$D:$D,MATCH($B42,'Measure Inputs'!$B:$B,0))</f>
        <v>8</v>
      </c>
      <c r="D42" s="51" t="str">
        <f>'Measure Inputs'!G14</f>
        <v>Residential</v>
      </c>
      <c r="E42" s="51" t="str">
        <f>'Measure Inputs'!H14</f>
        <v>High Efficiency HVAC</v>
      </c>
      <c r="F42" s="51" t="str">
        <f>'Measure Inputs'!I14</f>
        <v>HVAC</v>
      </c>
      <c r="G42" s="51" t="str">
        <f>'Measure Inputs'!J14</f>
        <v>Early Retirement Heat Pump SEER 15</v>
      </c>
      <c r="H42" s="51">
        <f>'Measure Inputs'!K14</f>
        <v>2017</v>
      </c>
      <c r="I42" s="51" t="str">
        <f>'Measure Inputs'!L14</f>
        <v>Actual</v>
      </c>
      <c r="J42" s="37"/>
      <c r="K42" s="99" t="str">
        <f ca="1">INDEX(OFFSET('Measure Inputs'!$O$7,,,InputRows),$C42)</f>
        <v>Units</v>
      </c>
      <c r="L42" s="38">
        <f ca="1">INDEX(OFFSET('Measure Inputs'!$Q$7,,,InputRows),$C42)</f>
        <v>9</v>
      </c>
      <c r="M42" s="167">
        <f>INDEX('General Inputs'!$E$14:$E$15,MATCH(D42,'General Inputs'!$D$14:$D$15,0))</f>
        <v>1.0469999999999999</v>
      </c>
      <c r="N42" s="54">
        <f ca="1">INDEX(OFFSET('Measure Inputs'!$Y$7,,,InputRows),$C42)</f>
        <v>1</v>
      </c>
      <c r="O42" s="54">
        <f ca="1">INDEX(OFFSET('Measure Inputs'!$Z$7,,,InputRows),$C42)</f>
        <v>1</v>
      </c>
      <c r="P42" s="37"/>
      <c r="Q42" s="127">
        <f ca="1">CONVERT(INDEX(OFFSET('Measure Inputs'!$AB$7,,,InputRows),$C42),'Measure Inputs'!$AB$6,Q$8)*$L42</f>
        <v>42546.737999999998</v>
      </c>
      <c r="R42" s="127">
        <f t="shared" ref="R42:R97" ca="1" si="341">Q42*N42</f>
        <v>42546.737999999998</v>
      </c>
      <c r="S42" s="127">
        <f t="shared" ref="S42:S97" ca="1" si="342">R42*O42</f>
        <v>42546.737999999998</v>
      </c>
      <c r="T42" s="37"/>
      <c r="U42" s="127">
        <f ca="1">CONVERT(INDEX(OFFSET('Measure Inputs'!$AD$7,,,InputRows),$C42),'Measure Inputs'!$AD$6,U$8)*$L42</f>
        <v>4309.2442713670926</v>
      </c>
      <c r="V42" s="127">
        <f t="shared" ref="V42:V97" ca="1" si="343">U42*N42</f>
        <v>4309.2442713670926</v>
      </c>
      <c r="W42" s="127">
        <f t="shared" ref="W42:W97" ca="1" si="344">V42*O42</f>
        <v>4309.2442713670926</v>
      </c>
      <c r="X42" s="37"/>
      <c r="Y42" s="127">
        <f ca="1">CONVERT(INDEX(OFFSET('Measure Inputs'!$AC$7,,,InputRows),$C42),'Measure Inputs'!$AC$6,Y$8)*$L42</f>
        <v>22.700000000000003</v>
      </c>
      <c r="Z42" s="127">
        <f t="shared" ref="Z42:Z97" ca="1" si="345">Y42*N42</f>
        <v>22.700000000000003</v>
      </c>
      <c r="AA42" s="127">
        <f t="shared" ref="AA42:AA97" ca="1" si="346">Z42*O42</f>
        <v>22.700000000000003</v>
      </c>
      <c r="AB42" s="37"/>
      <c r="AC42" s="127">
        <f ca="1">CONVERT(INDEX(OFFSET('Measure Inputs'!$AE$7,,,InputRows),$C42),'Measure Inputs'!$AE$6,AC$8)*$L42</f>
        <v>4.4361841659058348</v>
      </c>
      <c r="AD42" s="127">
        <f t="shared" ref="AD42:AD97" ca="1" si="347">AC42*N42</f>
        <v>4.4361841659058348</v>
      </c>
      <c r="AE42" s="127">
        <f t="shared" ref="AE42:AE97" ca="1" si="348">AD42*O42</f>
        <v>4.4361841659058348</v>
      </c>
      <c r="AF42" s="37"/>
      <c r="AG42" s="97">
        <f ca="1">INDEX(OFFSET('Measure Inputs'!$R$7,,,InputRows),$C42)</f>
        <v>18</v>
      </c>
      <c r="AH42" s="97">
        <f ca="1">INDEX(OFFSET('Measure Inputs'!$S$7,,,InputRows),$C42)</f>
        <v>8</v>
      </c>
      <c r="AI42" s="97">
        <f t="shared" ref="AI42:AI97" ca="1" si="349">SUM(CX42:EX42)</f>
        <v>383466.34671367094</v>
      </c>
      <c r="AJ42" s="100">
        <f ca="1">INDEX(OFFSET('Measure Inputs'!$T$7,,,InputRows),$C42)*$L42*$N42*$O42</f>
        <v>22321.351251342116</v>
      </c>
      <c r="AK42" s="100">
        <f ca="1">INDEX(OFFSET('Measure Inputs'!$U$7,,,InputRows),$C42)*$L42*$N42*$O42</f>
        <v>19677.077018822089</v>
      </c>
      <c r="AL42" s="100">
        <f ca="1">INDEX(OFFSET('Measure Inputs'!$V$7,,,InputRows),$C42)*$L42*$N42*$O42</f>
        <v>0</v>
      </c>
      <c r="AM42" s="100">
        <f ca="1">INDEX(OFFSET('Measure Inputs'!$W$7,,,InputRows),$C42)*$L42*$N42*$O42</f>
        <v>0</v>
      </c>
      <c r="AN42" s="100">
        <f ca="1">INDEX(OFFSET('Measure Inputs'!$X$7,,,InputRows),$C42)*$L42</f>
        <v>6100</v>
      </c>
      <c r="AO42" s="100"/>
      <c r="AP42" s="100">
        <f t="shared" ref="AP42:AP97" ca="1" si="350">AO42+AN42</f>
        <v>6100</v>
      </c>
      <c r="AQ42" s="37"/>
      <c r="AR42" s="100">
        <f ca="1">SUMPRODUCT(--($CX$9:$EX$9=$H42)*$AJ42,'General Inputs'!$K$40:$BK$40)+SUMPRODUCT(--($CX$9:$EX$9=$H42+$AH42)*-$AK42,'General Inputs'!$K$43:$BK$43)</f>
        <v>22321.351251342116</v>
      </c>
      <c r="AS42" s="100">
        <f ca="1">CONVERT(SUMPRODUCT($CX42:$EX42,'General Inputs'!$K$29:$BK$29,'General Inputs'!$K$40:$BK$40)*$M42,$Q$8,'General Inputs'!$E$17)</f>
        <v>3261.2175766711307</v>
      </c>
      <c r="AT42" s="100">
        <f ca="1">SUMPRODUCT(--($CX$9:$EX$9=$H42)*$AN42,'General Inputs'!$K$40:$BK$40)</f>
        <v>6100</v>
      </c>
      <c r="AU42" s="100">
        <f>SUMPRODUCT(--($CX$9:$EX$9=$H42)*$AO42,'General Inputs'!$K$40:$BK$40)</f>
        <v>0</v>
      </c>
      <c r="AV42" s="100">
        <f ca="1">CONVERT(SUMPRODUCT($CX42:$EX42,'General Inputs'!$K$40:$BK$40,OFFSET('General Inputs'!$K$34:$BK$34,MATCH($D42,'General Inputs'!$J$34:$J$35,0)-1,)),$Q$8,'General Inputs'!$G$32)</f>
        <v>39878.283573411114</v>
      </c>
      <c r="AW42" s="100">
        <f ca="1">CONVERT(SUMPRODUCT($CX42:$EX42,'General Inputs'!$K$27:$BK$27,'General Inputs'!$K$40:$BK$40)*$M42,$Q$8,'General Inputs'!$E$17)</f>
        <v>12569.423441013165</v>
      </c>
      <c r="AX42" s="100">
        <f ca="1">CONVERT(SUMPRODUCT($EZ42:$GZ42,'General Inputs'!$K$28:$BK$28,'General Inputs'!$K$40:$BK$40)*$M42,$Q$8,'General Inputs'!$E$17)</f>
        <v>2671.6393699387158</v>
      </c>
      <c r="AY42" s="98">
        <f ca="1">SUMPRODUCT($CX42:$EX42,'General Inputs'!$K$40:$BK$40)</f>
        <v>273229.91141533299</v>
      </c>
      <c r="AZ42" s="37"/>
      <c r="BA42" s="100">
        <f t="shared" ref="BA42:BA97" ca="1" si="351">BD42-BC42</f>
        <v>-7080.2884403902353</v>
      </c>
      <c r="BB42" s="102">
        <f t="shared" ref="BB42:BB97" ca="1" si="352">BD42/BC42</f>
        <v>0.68280197911564522</v>
      </c>
      <c r="BC42" s="100">
        <f t="shared" ca="1" si="273"/>
        <v>22321.351251342116</v>
      </c>
      <c r="BD42" s="100">
        <f t="shared" ca="1" si="274"/>
        <v>15241.06281095188</v>
      </c>
      <c r="BE42" s="100">
        <f t="shared" ca="1" si="275"/>
        <v>12569.423441013165</v>
      </c>
      <c r="BF42" s="100">
        <f t="shared" ca="1" si="276"/>
        <v>2671.6393699387158</v>
      </c>
      <c r="BG42" s="100">
        <f t="shared" si="277"/>
        <v>0</v>
      </c>
      <c r="BH42" s="100">
        <f t="shared" ca="1" si="278"/>
        <v>22321.351251342116</v>
      </c>
      <c r="BI42" s="37"/>
      <c r="BJ42" s="100">
        <f t="shared" ref="BJ42:BJ97" ca="1" si="353">BM42-BL42</f>
        <v>-3819.0708637191055</v>
      </c>
      <c r="BK42" s="102">
        <f t="shared" ref="BK42:BK97" ca="1" si="354">BM42/BL42</f>
        <v>0.82890503264270454</v>
      </c>
      <c r="BL42" s="100">
        <f t="shared" ca="1" si="279"/>
        <v>22321.351251342116</v>
      </c>
      <c r="BM42" s="100">
        <f t="shared" ca="1" si="164"/>
        <v>18502.28038762301</v>
      </c>
      <c r="BN42" s="100">
        <f t="shared" ca="1" si="280"/>
        <v>12569.423441013165</v>
      </c>
      <c r="BO42" s="100">
        <f t="shared" ca="1" si="281"/>
        <v>2671.6393699387158</v>
      </c>
      <c r="BP42" s="100">
        <f t="shared" ca="1" si="282"/>
        <v>3261.2175766711307</v>
      </c>
      <c r="BQ42" s="100">
        <f t="shared" si="283"/>
        <v>0</v>
      </c>
      <c r="BR42" s="100">
        <f t="shared" ca="1" si="284"/>
        <v>22321.351251342116</v>
      </c>
      <c r="BS42" s="37"/>
      <c r="BT42" s="100">
        <f t="shared" ref="BT42:BT97" ca="1" si="355">BX42-BW42</f>
        <v>23656.932322068998</v>
      </c>
      <c r="BU42" s="102">
        <f t="shared" ref="BU42:BU97" ca="1" si="356">BX42/BW42</f>
        <v>2.0598342392307716</v>
      </c>
      <c r="BV42" s="102">
        <f t="shared" ca="1" si="285"/>
        <v>8.7385672386540936</v>
      </c>
      <c r="BW42" s="100">
        <f t="shared" ca="1" si="286"/>
        <v>22321.351251342116</v>
      </c>
      <c r="BX42" s="100">
        <f t="shared" ca="1" si="287"/>
        <v>45978.283573411114</v>
      </c>
      <c r="BY42" s="100">
        <f t="shared" ca="1" si="288"/>
        <v>39878.283573411114</v>
      </c>
      <c r="BZ42" s="100">
        <f t="shared" ca="1" si="289"/>
        <v>6100</v>
      </c>
      <c r="CA42" s="100">
        <f t="shared" ca="1" si="290"/>
        <v>22321.351251342116</v>
      </c>
      <c r="CB42" s="37"/>
      <c r="CC42" s="100">
        <f t="shared" ref="CC42:CC97" ca="1" si="357">CG42-CF42</f>
        <v>9141.0628109518802</v>
      </c>
      <c r="CD42" s="102">
        <f t="shared" ref="CD42:CD97" ca="1" si="358">CG42/CF42</f>
        <v>2.4985348870412918</v>
      </c>
      <c r="CE42" s="103">
        <f t="shared" ca="1" si="291"/>
        <v>-0.47501107536233694</v>
      </c>
      <c r="CF42" s="100">
        <f t="shared" ca="1" si="292"/>
        <v>6100</v>
      </c>
      <c r="CG42" s="100">
        <f t="shared" ca="1" si="293"/>
        <v>15241.06281095188</v>
      </c>
      <c r="CH42" s="100">
        <f t="shared" ca="1" si="294"/>
        <v>12569.423441013165</v>
      </c>
      <c r="CI42" s="100">
        <f t="shared" ca="1" si="71"/>
        <v>2671.6393699387158</v>
      </c>
      <c r="CJ42" s="100">
        <f t="shared" ca="1" si="72"/>
        <v>6100</v>
      </c>
      <c r="CK42" s="100">
        <f t="shared" si="295"/>
        <v>0</v>
      </c>
      <c r="CL42" s="37"/>
      <c r="CM42" s="100">
        <f t="shared" ref="CM42:CM97" ca="1" si="359">CQ42-CP42</f>
        <v>-30737.220762459234</v>
      </c>
      <c r="CN42" s="102">
        <f t="shared" ref="CN42:CN97" ca="1" si="360">CQ42/CP42</f>
        <v>0.33148394473267523</v>
      </c>
      <c r="CO42" s="128"/>
      <c r="CP42" s="100">
        <f t="shared" ca="1" si="296"/>
        <v>45978.283573411114</v>
      </c>
      <c r="CQ42" s="100">
        <f t="shared" ca="1" si="297"/>
        <v>15241.06281095188</v>
      </c>
      <c r="CR42" s="100">
        <f t="shared" ca="1" si="298"/>
        <v>12569.423441013165</v>
      </c>
      <c r="CS42" s="100">
        <f t="shared" ca="1" si="73"/>
        <v>2671.6393699387158</v>
      </c>
      <c r="CT42" s="100">
        <f t="shared" ca="1" si="299"/>
        <v>39878.283573411114</v>
      </c>
      <c r="CU42" s="100">
        <f t="shared" ca="1" si="300"/>
        <v>6100</v>
      </c>
      <c r="CV42" s="100">
        <f t="shared" si="301"/>
        <v>0</v>
      </c>
      <c r="CW42" s="37"/>
      <c r="CX42" s="48">
        <f t="shared" ref="CX42:DM57" ca="1" si="361">IF(AND($H42&lt;=CX$9,$H42+$AG42&gt;CX$9),IF(AND($H42+$AH42&lt;=CX$9,$AH42&gt;0),$W42,$S42),0)</f>
        <v>42546.737999999998</v>
      </c>
      <c r="CY42" s="48">
        <f t="shared" ca="1" si="361"/>
        <v>42546.737999999998</v>
      </c>
      <c r="CZ42" s="48">
        <f t="shared" ca="1" si="361"/>
        <v>42546.737999999998</v>
      </c>
      <c r="DA42" s="48">
        <f t="shared" ca="1" si="361"/>
        <v>42546.737999999998</v>
      </c>
      <c r="DB42" s="48">
        <f t="shared" ca="1" si="361"/>
        <v>42546.737999999998</v>
      </c>
      <c r="DC42" s="48">
        <f t="shared" ca="1" si="361"/>
        <v>42546.737999999998</v>
      </c>
      <c r="DD42" s="48">
        <f t="shared" ca="1" si="361"/>
        <v>42546.737999999998</v>
      </c>
      <c r="DE42" s="48">
        <f t="shared" ca="1" si="361"/>
        <v>42546.737999999998</v>
      </c>
      <c r="DF42" s="48">
        <f t="shared" ca="1" si="361"/>
        <v>4309.2442713670926</v>
      </c>
      <c r="DG42" s="48">
        <f t="shared" ca="1" si="361"/>
        <v>4309.2442713670926</v>
      </c>
      <c r="DH42" s="48">
        <f t="shared" ca="1" si="361"/>
        <v>4309.2442713670926</v>
      </c>
      <c r="DI42" s="48">
        <f t="shared" ca="1" si="361"/>
        <v>4309.2442713670926</v>
      </c>
      <c r="DJ42" s="48">
        <f t="shared" ca="1" si="361"/>
        <v>4309.2442713670926</v>
      </c>
      <c r="DK42" s="48">
        <f t="shared" ca="1" si="361"/>
        <v>4309.2442713670926</v>
      </c>
      <c r="DL42" s="48">
        <f t="shared" ca="1" si="361"/>
        <v>4309.2442713670926</v>
      </c>
      <c r="DM42" s="48">
        <f t="shared" ca="1" si="361"/>
        <v>4309.2442713670926</v>
      </c>
      <c r="DN42" s="48">
        <f t="shared" ref="DN42:EC57" ca="1" si="362">IF(AND($H42&lt;=DN$9,$H42+$AG42&gt;DN$9),IF(AND($H42+$AH42&lt;=DN$9,$AH42&gt;0),$W42,$S42),0)</f>
        <v>4309.2442713670926</v>
      </c>
      <c r="DO42" s="48">
        <f t="shared" ca="1" si="362"/>
        <v>4309.2442713670926</v>
      </c>
      <c r="DP42" s="48">
        <f t="shared" ca="1" si="362"/>
        <v>0</v>
      </c>
      <c r="DQ42" s="48">
        <f t="shared" ca="1" si="362"/>
        <v>0</v>
      </c>
      <c r="DR42" s="48">
        <f t="shared" ca="1" si="362"/>
        <v>0</v>
      </c>
      <c r="DS42" s="48">
        <f t="shared" ca="1" si="362"/>
        <v>0</v>
      </c>
      <c r="DT42" s="48">
        <f t="shared" ca="1" si="362"/>
        <v>0</v>
      </c>
      <c r="DU42" s="48">
        <f t="shared" ca="1" si="362"/>
        <v>0</v>
      </c>
      <c r="DV42" s="48">
        <f t="shared" ca="1" si="362"/>
        <v>0</v>
      </c>
      <c r="DW42" s="48">
        <f t="shared" ca="1" si="362"/>
        <v>0</v>
      </c>
      <c r="DX42" s="48">
        <f t="shared" ca="1" si="362"/>
        <v>0</v>
      </c>
      <c r="DY42" s="48">
        <f t="shared" ca="1" si="362"/>
        <v>0</v>
      </c>
      <c r="DZ42" s="48">
        <f t="shared" ca="1" si="362"/>
        <v>0</v>
      </c>
      <c r="EA42" s="48">
        <f t="shared" ca="1" si="362"/>
        <v>0</v>
      </c>
      <c r="EB42" s="48">
        <f t="shared" ca="1" si="362"/>
        <v>0</v>
      </c>
      <c r="EC42" s="48">
        <f t="shared" ca="1" si="362"/>
        <v>0</v>
      </c>
      <c r="ED42" s="48">
        <f t="shared" ref="ED42:ES57" ca="1" si="363">IF(AND($H42&lt;=ED$9,$H42+$AG42&gt;ED$9),IF(AND($H42+$AH42&lt;=ED$9,$AH42&gt;0),$W42,$S42),0)</f>
        <v>0</v>
      </c>
      <c r="EE42" s="48">
        <f t="shared" ca="1" si="363"/>
        <v>0</v>
      </c>
      <c r="EF42" s="48">
        <f t="shared" ca="1" si="363"/>
        <v>0</v>
      </c>
      <c r="EG42" s="48">
        <f t="shared" ca="1" si="363"/>
        <v>0</v>
      </c>
      <c r="EH42" s="48">
        <f t="shared" ca="1" si="363"/>
        <v>0</v>
      </c>
      <c r="EI42" s="48">
        <f t="shared" ca="1" si="363"/>
        <v>0</v>
      </c>
      <c r="EJ42" s="48">
        <f t="shared" ca="1" si="363"/>
        <v>0</v>
      </c>
      <c r="EK42" s="48">
        <f t="shared" ca="1" si="363"/>
        <v>0</v>
      </c>
      <c r="EL42" s="48">
        <f t="shared" ca="1" si="363"/>
        <v>0</v>
      </c>
      <c r="EM42" s="48">
        <f t="shared" ca="1" si="363"/>
        <v>0</v>
      </c>
      <c r="EN42" s="48">
        <f t="shared" ca="1" si="363"/>
        <v>0</v>
      </c>
      <c r="EO42" s="48">
        <f t="shared" ca="1" si="363"/>
        <v>0</v>
      </c>
      <c r="EP42" s="48">
        <f t="shared" ca="1" si="363"/>
        <v>0</v>
      </c>
      <c r="EQ42" s="48">
        <f t="shared" ca="1" si="363"/>
        <v>0</v>
      </c>
      <c r="ER42" s="48">
        <f t="shared" ca="1" si="363"/>
        <v>0</v>
      </c>
      <c r="ES42" s="48">
        <f t="shared" ca="1" si="363"/>
        <v>0</v>
      </c>
      <c r="ET42" s="48">
        <f t="shared" ref="ET42:EX92" ca="1" si="364">IF(AND($H42&lt;=ET$9,$H42+$AG42&gt;ET$9),IF(AND($H42+$AH42&lt;=ET$9,$AH42&gt;0),$W42,$S42),0)</f>
        <v>0</v>
      </c>
      <c r="EU42" s="48">
        <f t="shared" ca="1" si="364"/>
        <v>0</v>
      </c>
      <c r="EV42" s="48">
        <f t="shared" ca="1" si="364"/>
        <v>0</v>
      </c>
      <c r="EW42" s="48">
        <f t="shared" ca="1" si="364"/>
        <v>0</v>
      </c>
      <c r="EX42" s="48">
        <f t="shared" ca="1" si="364"/>
        <v>0</v>
      </c>
      <c r="EY42" s="69"/>
      <c r="EZ42" s="48">
        <f t="shared" ref="EZ42:FO57" ca="1" si="365">IF(AND($H42&lt;=EZ$9,$H42+$AG42&gt;EZ$9),IF(AND($H42+$AH42&lt;=EZ$9,$AH42&gt;0),$AE42,$AA42),0)</f>
        <v>22.700000000000003</v>
      </c>
      <c r="FA42" s="48">
        <f t="shared" ca="1" si="365"/>
        <v>22.700000000000003</v>
      </c>
      <c r="FB42" s="48">
        <f t="shared" ca="1" si="365"/>
        <v>22.700000000000003</v>
      </c>
      <c r="FC42" s="48">
        <f t="shared" ca="1" si="365"/>
        <v>22.700000000000003</v>
      </c>
      <c r="FD42" s="48">
        <f t="shared" ca="1" si="365"/>
        <v>22.700000000000003</v>
      </c>
      <c r="FE42" s="48">
        <f t="shared" ca="1" si="365"/>
        <v>22.700000000000003</v>
      </c>
      <c r="FF42" s="48">
        <f t="shared" ca="1" si="365"/>
        <v>22.700000000000003</v>
      </c>
      <c r="FG42" s="48">
        <f t="shared" ca="1" si="365"/>
        <v>22.700000000000003</v>
      </c>
      <c r="FH42" s="48">
        <f t="shared" ca="1" si="365"/>
        <v>4.4361841659058348</v>
      </c>
      <c r="FI42" s="48">
        <f t="shared" ca="1" si="365"/>
        <v>4.4361841659058348</v>
      </c>
      <c r="FJ42" s="48">
        <f t="shared" ca="1" si="365"/>
        <v>4.4361841659058348</v>
      </c>
      <c r="FK42" s="48">
        <f t="shared" ca="1" si="365"/>
        <v>4.4361841659058348</v>
      </c>
      <c r="FL42" s="48">
        <f t="shared" ca="1" si="365"/>
        <v>4.4361841659058348</v>
      </c>
      <c r="FM42" s="48">
        <f t="shared" ca="1" si="365"/>
        <v>4.4361841659058348</v>
      </c>
      <c r="FN42" s="48">
        <f t="shared" ca="1" si="365"/>
        <v>4.4361841659058348</v>
      </c>
      <c r="FO42" s="48">
        <f t="shared" ca="1" si="365"/>
        <v>4.4361841659058348</v>
      </c>
      <c r="FP42" s="48">
        <f t="shared" ref="FP42:GE57" ca="1" si="366">IF(AND($H42&lt;=FP$9,$H42+$AG42&gt;FP$9),IF(AND($H42+$AH42&lt;=FP$9,$AH42&gt;0),$AE42,$AA42),0)</f>
        <v>4.4361841659058348</v>
      </c>
      <c r="FQ42" s="48">
        <f t="shared" ca="1" si="366"/>
        <v>4.4361841659058348</v>
      </c>
      <c r="FR42" s="48">
        <f t="shared" ca="1" si="366"/>
        <v>0</v>
      </c>
      <c r="FS42" s="48">
        <f t="shared" ca="1" si="366"/>
        <v>0</v>
      </c>
      <c r="FT42" s="48">
        <f t="shared" ca="1" si="366"/>
        <v>0</v>
      </c>
      <c r="FU42" s="48">
        <f t="shared" ca="1" si="366"/>
        <v>0</v>
      </c>
      <c r="FV42" s="48">
        <f t="shared" ca="1" si="366"/>
        <v>0</v>
      </c>
      <c r="FW42" s="48">
        <f t="shared" ca="1" si="366"/>
        <v>0</v>
      </c>
      <c r="FX42" s="48">
        <f t="shared" ca="1" si="366"/>
        <v>0</v>
      </c>
      <c r="FY42" s="48">
        <f t="shared" ca="1" si="366"/>
        <v>0</v>
      </c>
      <c r="FZ42" s="48">
        <f t="shared" ca="1" si="366"/>
        <v>0</v>
      </c>
      <c r="GA42" s="48">
        <f t="shared" ca="1" si="366"/>
        <v>0</v>
      </c>
      <c r="GB42" s="48">
        <f t="shared" ca="1" si="366"/>
        <v>0</v>
      </c>
      <c r="GC42" s="48">
        <f t="shared" ca="1" si="366"/>
        <v>0</v>
      </c>
      <c r="GD42" s="48">
        <f t="shared" ca="1" si="366"/>
        <v>0</v>
      </c>
      <c r="GE42" s="48">
        <f t="shared" ca="1" si="366"/>
        <v>0</v>
      </c>
      <c r="GF42" s="48">
        <f t="shared" ref="GF42:GU57" ca="1" si="367">IF(AND($H42&lt;=GF$9,$H42+$AG42&gt;GF$9),IF(AND($H42+$AH42&lt;=GF$9,$AH42&gt;0),$AE42,$AA42),0)</f>
        <v>0</v>
      </c>
      <c r="GG42" s="48">
        <f t="shared" ca="1" si="367"/>
        <v>0</v>
      </c>
      <c r="GH42" s="48">
        <f t="shared" ca="1" si="367"/>
        <v>0</v>
      </c>
      <c r="GI42" s="48">
        <f t="shared" ca="1" si="367"/>
        <v>0</v>
      </c>
      <c r="GJ42" s="48">
        <f t="shared" ca="1" si="367"/>
        <v>0</v>
      </c>
      <c r="GK42" s="48">
        <f t="shared" ca="1" si="367"/>
        <v>0</v>
      </c>
      <c r="GL42" s="48">
        <f t="shared" ca="1" si="367"/>
        <v>0</v>
      </c>
      <c r="GM42" s="48">
        <f t="shared" ca="1" si="367"/>
        <v>0</v>
      </c>
      <c r="GN42" s="48">
        <f t="shared" ca="1" si="367"/>
        <v>0</v>
      </c>
      <c r="GO42" s="48">
        <f t="shared" ca="1" si="367"/>
        <v>0</v>
      </c>
      <c r="GP42" s="48">
        <f t="shared" ca="1" si="367"/>
        <v>0</v>
      </c>
      <c r="GQ42" s="48">
        <f t="shared" ca="1" si="367"/>
        <v>0</v>
      </c>
      <c r="GR42" s="48">
        <f t="shared" ca="1" si="367"/>
        <v>0</v>
      </c>
      <c r="GS42" s="48">
        <f t="shared" ca="1" si="367"/>
        <v>0</v>
      </c>
      <c r="GT42" s="48">
        <f t="shared" ca="1" si="367"/>
        <v>0</v>
      </c>
      <c r="GU42" s="48">
        <f t="shared" ca="1" si="367"/>
        <v>0</v>
      </c>
      <c r="GV42" s="48">
        <f t="shared" ref="GV42:GZ92" ca="1" si="368">IF(AND($H42&lt;=GV$9,$H42+$AG42&gt;GV$9),IF(AND($H42+$AH42&lt;=GV$9,$AH42&gt;0),$AE42,$AA42),0)</f>
        <v>0</v>
      </c>
      <c r="GW42" s="48">
        <f t="shared" ca="1" si="368"/>
        <v>0</v>
      </c>
      <c r="GX42" s="48">
        <f t="shared" ca="1" si="368"/>
        <v>0</v>
      </c>
      <c r="GY42" s="48">
        <f t="shared" ca="1" si="368"/>
        <v>0</v>
      </c>
      <c r="GZ42" s="48">
        <f t="shared" ca="1" si="368"/>
        <v>0</v>
      </c>
      <c r="HA42" s="69"/>
      <c r="HB42" s="150">
        <f t="shared" ca="1" si="74"/>
        <v>0.68280197911564522</v>
      </c>
      <c r="HC42" s="150">
        <f t="shared" ref="HC42:HC97" ca="1" si="369">IFERROR(CD42,"n/a")</f>
        <v>2.4985348870412918</v>
      </c>
      <c r="HD42" s="150">
        <f t="shared" ca="1" si="76"/>
        <v>0.82890503264270454</v>
      </c>
      <c r="HE42" s="150">
        <f t="shared" ref="HE42:HE97" ca="1" si="370">IFERROR(BU42,"n/a")</f>
        <v>2.0598342392307716</v>
      </c>
      <c r="HF42" s="150">
        <f t="shared" ref="HF42:HF97" ca="1" si="371">IFERROR(CN42,"n/a")</f>
        <v>0.33148394473267523</v>
      </c>
      <c r="HG42" s="148"/>
      <c r="HH42" s="149"/>
      <c r="HI42" s="149"/>
      <c r="HJ42" s="149"/>
      <c r="HK42" s="150"/>
      <c r="HL42" s="149"/>
      <c r="HM42" s="149"/>
      <c r="HN42" s="149"/>
      <c r="HO42" s="150"/>
      <c r="HP42" s="148"/>
      <c r="HQ42" s="149"/>
      <c r="HR42" s="149"/>
      <c r="HS42" s="149"/>
      <c r="HT42" s="150"/>
      <c r="HU42" s="149"/>
      <c r="HV42" s="149"/>
      <c r="HW42" s="149"/>
      <c r="HX42" s="150"/>
      <c r="HY42" s="151"/>
      <c r="HZ42" s="150"/>
      <c r="IA42" s="150"/>
      <c r="IB42" s="152"/>
      <c r="IC42" s="150"/>
      <c r="ID42" s="152"/>
      <c r="IE42" s="150"/>
      <c r="IF42" s="153"/>
    </row>
    <row r="43" spans="1:240" s="36" customFormat="1" ht="14.4" customHeight="1">
      <c r="A43" s="39"/>
      <c r="B43" s="50" t="str">
        <f t="shared" si="340"/>
        <v>Residential_High Efficiency HVAC_HVAC_Heat Pump SEER 15 Replace Electric Furnace_2017_Actual</v>
      </c>
      <c r="C43" s="50">
        <f>INDEX('Measure Inputs'!$D:$D,MATCH($B43,'Measure Inputs'!$B:$B,0))</f>
        <v>9</v>
      </c>
      <c r="D43" s="51" t="str">
        <f>'Measure Inputs'!G15</f>
        <v>Residential</v>
      </c>
      <c r="E43" s="51" t="str">
        <f>'Measure Inputs'!H15</f>
        <v>High Efficiency HVAC</v>
      </c>
      <c r="F43" s="51" t="str">
        <f>'Measure Inputs'!I15</f>
        <v>HVAC</v>
      </c>
      <c r="G43" s="51" t="str">
        <f>'Measure Inputs'!J15</f>
        <v>Heat Pump SEER 15 Replace Electric Furnace</v>
      </c>
      <c r="H43" s="51">
        <f>'Measure Inputs'!K15</f>
        <v>2017</v>
      </c>
      <c r="I43" s="51" t="str">
        <f>'Measure Inputs'!L15</f>
        <v>Actual</v>
      </c>
      <c r="J43" s="37"/>
      <c r="K43" s="99" t="str">
        <f ca="1">INDEX(OFFSET('Measure Inputs'!$O$7,,,InputRows),$C43)</f>
        <v>Units</v>
      </c>
      <c r="L43" s="38">
        <f ca="1">INDEX(OFFSET('Measure Inputs'!$Q$7,,,InputRows),$C43)</f>
        <v>0</v>
      </c>
      <c r="M43" s="167">
        <f>INDEX('General Inputs'!$E$14:$E$15,MATCH(D43,'General Inputs'!$D$14:$D$15,0))</f>
        <v>1.0469999999999999</v>
      </c>
      <c r="N43" s="54">
        <f ca="1">INDEX(OFFSET('Measure Inputs'!$Y$7,,,InputRows),$C43)</f>
        <v>1</v>
      </c>
      <c r="O43" s="54">
        <f ca="1">INDEX(OFFSET('Measure Inputs'!$Z$7,,,InputRows),$C43)</f>
        <v>1</v>
      </c>
      <c r="P43" s="37"/>
      <c r="Q43" s="127">
        <f ca="1">CONVERT(INDEX(OFFSET('Measure Inputs'!$AB$7,,,InputRows),$C43),'Measure Inputs'!$AB$6,Q$8)*$L43</f>
        <v>0</v>
      </c>
      <c r="R43" s="127">
        <f t="shared" ca="1" si="341"/>
        <v>0</v>
      </c>
      <c r="S43" s="127">
        <f t="shared" ca="1" si="342"/>
        <v>0</v>
      </c>
      <c r="T43" s="37"/>
      <c r="U43" s="127">
        <f ca="1">CONVERT(INDEX(OFFSET('Measure Inputs'!$AD$7,,,InputRows),$C43),'Measure Inputs'!$AD$6,U$8)*$L43</f>
        <v>0</v>
      </c>
      <c r="V43" s="127">
        <f t="shared" ca="1" si="343"/>
        <v>0</v>
      </c>
      <c r="W43" s="127">
        <f t="shared" ca="1" si="344"/>
        <v>0</v>
      </c>
      <c r="X43" s="37"/>
      <c r="Y43" s="127">
        <f ca="1">CONVERT(INDEX(OFFSET('Measure Inputs'!$AC$7,,,InputRows),$C43),'Measure Inputs'!$AC$6,Y$8)*$L43</f>
        <v>0</v>
      </c>
      <c r="Z43" s="127">
        <f t="shared" ca="1" si="345"/>
        <v>0</v>
      </c>
      <c r="AA43" s="127">
        <f t="shared" ca="1" si="346"/>
        <v>0</v>
      </c>
      <c r="AB43" s="37"/>
      <c r="AC43" s="127">
        <f ca="1">CONVERT(INDEX(OFFSET('Measure Inputs'!$AE$7,,,InputRows),$C43),'Measure Inputs'!$AE$6,AC$8)*$L43</f>
        <v>0</v>
      </c>
      <c r="AD43" s="127">
        <f t="shared" ca="1" si="347"/>
        <v>0</v>
      </c>
      <c r="AE43" s="127">
        <f t="shared" ca="1" si="348"/>
        <v>0</v>
      </c>
      <c r="AF43" s="37"/>
      <c r="AG43" s="97">
        <f ca="1">INDEX(OFFSET('Measure Inputs'!$R$7,,,InputRows),$C43)</f>
        <v>18</v>
      </c>
      <c r="AH43" s="97">
        <f ca="1">INDEX(OFFSET('Measure Inputs'!$S$7,,,InputRows),$C43)</f>
        <v>0</v>
      </c>
      <c r="AI43" s="97">
        <f t="shared" ca="1" si="349"/>
        <v>0</v>
      </c>
      <c r="AJ43" s="100">
        <f ca="1">INDEX(OFFSET('Measure Inputs'!$T$7,,,InputRows),$C43)*$L43*$N43*$O43</f>
        <v>0</v>
      </c>
      <c r="AK43" s="100">
        <f ca="1">INDEX(OFFSET('Measure Inputs'!$U$7,,,InputRows),$C43)*$L43*$N43*$O43</f>
        <v>0</v>
      </c>
      <c r="AL43" s="100">
        <f ca="1">INDEX(OFFSET('Measure Inputs'!$V$7,,,InputRows),$C43)*$L43*$N43*$O43</f>
        <v>0</v>
      </c>
      <c r="AM43" s="100">
        <f ca="1">INDEX(OFFSET('Measure Inputs'!$W$7,,,InputRows),$C43)*$L43*$N43*$O43</f>
        <v>0</v>
      </c>
      <c r="AN43" s="100">
        <f ca="1">INDEX(OFFSET('Measure Inputs'!$X$7,,,InputRows),$C43)*$L43</f>
        <v>0</v>
      </c>
      <c r="AO43" s="100"/>
      <c r="AP43" s="100">
        <f t="shared" ca="1" si="350"/>
        <v>0</v>
      </c>
      <c r="AQ43" s="37"/>
      <c r="AR43" s="100">
        <f ca="1">SUMPRODUCT(--($CX$9:$EX$9=$H43)*$AJ43,'General Inputs'!$K$40:$BK$40)+SUMPRODUCT(--($CX$9:$EX$9=$H43+$AH43)*-$AK43,'General Inputs'!$K$43:$BK$43)</f>
        <v>0</v>
      </c>
      <c r="AS43" s="100">
        <f ca="1">CONVERT(SUMPRODUCT($CX43:$EX43,'General Inputs'!$K$29:$BK$29,'General Inputs'!$K$40:$BK$40)*$M43,$Q$8,'General Inputs'!$E$17)</f>
        <v>0</v>
      </c>
      <c r="AT43" s="100">
        <f ca="1">SUMPRODUCT(--($CX$9:$EX$9=$H43)*$AN43,'General Inputs'!$K$40:$BK$40)</f>
        <v>0</v>
      </c>
      <c r="AU43" s="100">
        <f>SUMPRODUCT(--($CX$9:$EX$9=$H43)*$AO43,'General Inputs'!$K$40:$BK$40)</f>
        <v>0</v>
      </c>
      <c r="AV43" s="100">
        <f ca="1">CONVERT(SUMPRODUCT($CX43:$EX43,'General Inputs'!$K$40:$BK$40,OFFSET('General Inputs'!$K$34:$BK$34,MATCH($D43,'General Inputs'!$J$34:$J$35,0)-1,)),$Q$8,'General Inputs'!$G$32)</f>
        <v>0</v>
      </c>
      <c r="AW43" s="100">
        <f ca="1">CONVERT(SUMPRODUCT($CX43:$EX43,'General Inputs'!$K$27:$BK$27,'General Inputs'!$K$40:$BK$40)*$M43,$Q$8,'General Inputs'!$E$17)</f>
        <v>0</v>
      </c>
      <c r="AX43" s="100">
        <f ca="1">CONVERT(SUMPRODUCT($EZ43:$GZ43,'General Inputs'!$K$28:$BK$28,'General Inputs'!$K$40:$BK$40)*$M43,$Q$8,'General Inputs'!$E$17)</f>
        <v>0</v>
      </c>
      <c r="AY43" s="98">
        <f ca="1">SUMPRODUCT($CX43:$EX43,'General Inputs'!$K$40:$BK$40)</f>
        <v>0</v>
      </c>
      <c r="AZ43" s="37"/>
      <c r="BA43" s="100">
        <f t="shared" ca="1" si="351"/>
        <v>0</v>
      </c>
      <c r="BB43" s="102" t="e">
        <f t="shared" ca="1" si="352"/>
        <v>#DIV/0!</v>
      </c>
      <c r="BC43" s="100">
        <f t="shared" ca="1" si="273"/>
        <v>0</v>
      </c>
      <c r="BD43" s="100">
        <f t="shared" ca="1" si="274"/>
        <v>0</v>
      </c>
      <c r="BE43" s="100">
        <f t="shared" ca="1" si="275"/>
        <v>0</v>
      </c>
      <c r="BF43" s="100">
        <f t="shared" ca="1" si="276"/>
        <v>0</v>
      </c>
      <c r="BG43" s="100">
        <f t="shared" si="277"/>
        <v>0</v>
      </c>
      <c r="BH43" s="100">
        <f t="shared" ca="1" si="278"/>
        <v>0</v>
      </c>
      <c r="BI43" s="37"/>
      <c r="BJ43" s="100">
        <f t="shared" ca="1" si="353"/>
        <v>0</v>
      </c>
      <c r="BK43" s="102" t="e">
        <f t="shared" ca="1" si="354"/>
        <v>#DIV/0!</v>
      </c>
      <c r="BL43" s="100">
        <f t="shared" ca="1" si="279"/>
        <v>0</v>
      </c>
      <c r="BM43" s="100">
        <f t="shared" ca="1" si="164"/>
        <v>0</v>
      </c>
      <c r="BN43" s="100">
        <f t="shared" ca="1" si="280"/>
        <v>0</v>
      </c>
      <c r="BO43" s="100">
        <f t="shared" ca="1" si="281"/>
        <v>0</v>
      </c>
      <c r="BP43" s="100">
        <f t="shared" ca="1" si="282"/>
        <v>0</v>
      </c>
      <c r="BQ43" s="100">
        <f t="shared" si="283"/>
        <v>0</v>
      </c>
      <c r="BR43" s="100">
        <f t="shared" ca="1" si="284"/>
        <v>0</v>
      </c>
      <c r="BS43" s="37"/>
      <c r="BT43" s="100">
        <f t="shared" ca="1" si="355"/>
        <v>0</v>
      </c>
      <c r="BU43" s="102" t="e">
        <f t="shared" ca="1" si="356"/>
        <v>#DIV/0!</v>
      </c>
      <c r="BV43" s="102" t="e">
        <f t="shared" ca="1" si="285"/>
        <v>#DIV/0!</v>
      </c>
      <c r="BW43" s="100">
        <f t="shared" ca="1" si="286"/>
        <v>0</v>
      </c>
      <c r="BX43" s="100">
        <f t="shared" ca="1" si="287"/>
        <v>0</v>
      </c>
      <c r="BY43" s="100">
        <f t="shared" ca="1" si="288"/>
        <v>0</v>
      </c>
      <c r="BZ43" s="100">
        <f t="shared" ca="1" si="289"/>
        <v>0</v>
      </c>
      <c r="CA43" s="100">
        <f t="shared" ca="1" si="290"/>
        <v>0</v>
      </c>
      <c r="CB43" s="37"/>
      <c r="CC43" s="100">
        <f t="shared" ca="1" si="357"/>
        <v>0</v>
      </c>
      <c r="CD43" s="102" t="e">
        <f t="shared" ca="1" si="358"/>
        <v>#DIV/0!</v>
      </c>
      <c r="CE43" s="103" t="e">
        <f t="shared" ca="1" si="291"/>
        <v>#DIV/0!</v>
      </c>
      <c r="CF43" s="100">
        <f t="shared" ca="1" si="292"/>
        <v>0</v>
      </c>
      <c r="CG43" s="100">
        <f t="shared" ca="1" si="293"/>
        <v>0</v>
      </c>
      <c r="CH43" s="100">
        <f t="shared" ca="1" si="294"/>
        <v>0</v>
      </c>
      <c r="CI43" s="100">
        <f t="shared" ca="1" si="71"/>
        <v>0</v>
      </c>
      <c r="CJ43" s="100">
        <f t="shared" ca="1" si="72"/>
        <v>0</v>
      </c>
      <c r="CK43" s="100">
        <f t="shared" si="295"/>
        <v>0</v>
      </c>
      <c r="CL43" s="37"/>
      <c r="CM43" s="100">
        <f t="shared" ca="1" si="359"/>
        <v>0</v>
      </c>
      <c r="CN43" s="102" t="e">
        <f t="shared" ca="1" si="360"/>
        <v>#DIV/0!</v>
      </c>
      <c r="CO43" s="128"/>
      <c r="CP43" s="100">
        <f t="shared" ca="1" si="296"/>
        <v>0</v>
      </c>
      <c r="CQ43" s="100">
        <f t="shared" ca="1" si="297"/>
        <v>0</v>
      </c>
      <c r="CR43" s="100">
        <f t="shared" ca="1" si="298"/>
        <v>0</v>
      </c>
      <c r="CS43" s="100">
        <f t="shared" ca="1" si="73"/>
        <v>0</v>
      </c>
      <c r="CT43" s="100">
        <f t="shared" ca="1" si="299"/>
        <v>0</v>
      </c>
      <c r="CU43" s="100">
        <f t="shared" ca="1" si="300"/>
        <v>0</v>
      </c>
      <c r="CV43" s="100">
        <f t="shared" si="301"/>
        <v>0</v>
      </c>
      <c r="CW43" s="37"/>
      <c r="CX43" s="48">
        <f t="shared" ca="1" si="361"/>
        <v>0</v>
      </c>
      <c r="CY43" s="48">
        <f t="shared" ca="1" si="361"/>
        <v>0</v>
      </c>
      <c r="CZ43" s="48">
        <f t="shared" ca="1" si="361"/>
        <v>0</v>
      </c>
      <c r="DA43" s="48">
        <f t="shared" ca="1" si="361"/>
        <v>0</v>
      </c>
      <c r="DB43" s="48">
        <f t="shared" ca="1" si="361"/>
        <v>0</v>
      </c>
      <c r="DC43" s="48">
        <f t="shared" ca="1" si="361"/>
        <v>0</v>
      </c>
      <c r="DD43" s="48">
        <f t="shared" ca="1" si="361"/>
        <v>0</v>
      </c>
      <c r="DE43" s="48">
        <f t="shared" ca="1" si="361"/>
        <v>0</v>
      </c>
      <c r="DF43" s="48">
        <f t="shared" ca="1" si="361"/>
        <v>0</v>
      </c>
      <c r="DG43" s="48">
        <f t="shared" ca="1" si="361"/>
        <v>0</v>
      </c>
      <c r="DH43" s="48">
        <f t="shared" ca="1" si="361"/>
        <v>0</v>
      </c>
      <c r="DI43" s="48">
        <f t="shared" ca="1" si="361"/>
        <v>0</v>
      </c>
      <c r="DJ43" s="48">
        <f t="shared" ca="1" si="361"/>
        <v>0</v>
      </c>
      <c r="DK43" s="48">
        <f t="shared" ca="1" si="361"/>
        <v>0</v>
      </c>
      <c r="DL43" s="48">
        <f t="shared" ca="1" si="361"/>
        <v>0</v>
      </c>
      <c r="DM43" s="48">
        <f t="shared" ca="1" si="361"/>
        <v>0</v>
      </c>
      <c r="DN43" s="48">
        <f t="shared" ca="1" si="362"/>
        <v>0</v>
      </c>
      <c r="DO43" s="48">
        <f t="shared" ca="1" si="362"/>
        <v>0</v>
      </c>
      <c r="DP43" s="48">
        <f t="shared" ca="1" si="362"/>
        <v>0</v>
      </c>
      <c r="DQ43" s="48">
        <f t="shared" ca="1" si="362"/>
        <v>0</v>
      </c>
      <c r="DR43" s="48">
        <f t="shared" ca="1" si="362"/>
        <v>0</v>
      </c>
      <c r="DS43" s="48">
        <f t="shared" ca="1" si="362"/>
        <v>0</v>
      </c>
      <c r="DT43" s="48">
        <f t="shared" ca="1" si="362"/>
        <v>0</v>
      </c>
      <c r="DU43" s="48">
        <f t="shared" ca="1" si="362"/>
        <v>0</v>
      </c>
      <c r="DV43" s="48">
        <f t="shared" ca="1" si="362"/>
        <v>0</v>
      </c>
      <c r="DW43" s="48">
        <f t="shared" ca="1" si="362"/>
        <v>0</v>
      </c>
      <c r="DX43" s="48">
        <f t="shared" ca="1" si="362"/>
        <v>0</v>
      </c>
      <c r="DY43" s="48">
        <f t="shared" ca="1" si="362"/>
        <v>0</v>
      </c>
      <c r="DZ43" s="48">
        <f t="shared" ca="1" si="362"/>
        <v>0</v>
      </c>
      <c r="EA43" s="48">
        <f t="shared" ca="1" si="362"/>
        <v>0</v>
      </c>
      <c r="EB43" s="48">
        <f t="shared" ca="1" si="362"/>
        <v>0</v>
      </c>
      <c r="EC43" s="48">
        <f t="shared" ca="1" si="362"/>
        <v>0</v>
      </c>
      <c r="ED43" s="48">
        <f t="shared" ca="1" si="363"/>
        <v>0</v>
      </c>
      <c r="EE43" s="48">
        <f t="shared" ca="1" si="363"/>
        <v>0</v>
      </c>
      <c r="EF43" s="48">
        <f t="shared" ca="1" si="363"/>
        <v>0</v>
      </c>
      <c r="EG43" s="48">
        <f t="shared" ca="1" si="363"/>
        <v>0</v>
      </c>
      <c r="EH43" s="48">
        <f t="shared" ca="1" si="363"/>
        <v>0</v>
      </c>
      <c r="EI43" s="48">
        <f t="shared" ca="1" si="363"/>
        <v>0</v>
      </c>
      <c r="EJ43" s="48">
        <f t="shared" ca="1" si="363"/>
        <v>0</v>
      </c>
      <c r="EK43" s="48">
        <f t="shared" ca="1" si="363"/>
        <v>0</v>
      </c>
      <c r="EL43" s="48">
        <f t="shared" ca="1" si="363"/>
        <v>0</v>
      </c>
      <c r="EM43" s="48">
        <f t="shared" ca="1" si="363"/>
        <v>0</v>
      </c>
      <c r="EN43" s="48">
        <f t="shared" ca="1" si="363"/>
        <v>0</v>
      </c>
      <c r="EO43" s="48">
        <f t="shared" ca="1" si="363"/>
        <v>0</v>
      </c>
      <c r="EP43" s="48">
        <f t="shared" ca="1" si="363"/>
        <v>0</v>
      </c>
      <c r="EQ43" s="48">
        <f t="shared" ca="1" si="363"/>
        <v>0</v>
      </c>
      <c r="ER43" s="48">
        <f t="shared" ca="1" si="363"/>
        <v>0</v>
      </c>
      <c r="ES43" s="48">
        <f t="shared" ca="1" si="363"/>
        <v>0</v>
      </c>
      <c r="ET43" s="48">
        <f t="shared" ca="1" si="364"/>
        <v>0</v>
      </c>
      <c r="EU43" s="48">
        <f t="shared" ca="1" si="364"/>
        <v>0</v>
      </c>
      <c r="EV43" s="48">
        <f t="shared" ca="1" si="364"/>
        <v>0</v>
      </c>
      <c r="EW43" s="48">
        <f t="shared" ca="1" si="364"/>
        <v>0</v>
      </c>
      <c r="EX43" s="48">
        <f t="shared" ca="1" si="364"/>
        <v>0</v>
      </c>
      <c r="EY43" s="69"/>
      <c r="EZ43" s="48">
        <f t="shared" ca="1" si="365"/>
        <v>0</v>
      </c>
      <c r="FA43" s="48">
        <f t="shared" ca="1" si="365"/>
        <v>0</v>
      </c>
      <c r="FB43" s="48">
        <f t="shared" ca="1" si="365"/>
        <v>0</v>
      </c>
      <c r="FC43" s="48">
        <f t="shared" ca="1" si="365"/>
        <v>0</v>
      </c>
      <c r="FD43" s="48">
        <f t="shared" ca="1" si="365"/>
        <v>0</v>
      </c>
      <c r="FE43" s="48">
        <f t="shared" ca="1" si="365"/>
        <v>0</v>
      </c>
      <c r="FF43" s="48">
        <f t="shared" ca="1" si="365"/>
        <v>0</v>
      </c>
      <c r="FG43" s="48">
        <f t="shared" ca="1" si="365"/>
        <v>0</v>
      </c>
      <c r="FH43" s="48">
        <f t="shared" ca="1" si="365"/>
        <v>0</v>
      </c>
      <c r="FI43" s="48">
        <f t="shared" ca="1" si="365"/>
        <v>0</v>
      </c>
      <c r="FJ43" s="48">
        <f t="shared" ca="1" si="365"/>
        <v>0</v>
      </c>
      <c r="FK43" s="48">
        <f t="shared" ca="1" si="365"/>
        <v>0</v>
      </c>
      <c r="FL43" s="48">
        <f t="shared" ca="1" si="365"/>
        <v>0</v>
      </c>
      <c r="FM43" s="48">
        <f t="shared" ca="1" si="365"/>
        <v>0</v>
      </c>
      <c r="FN43" s="48">
        <f t="shared" ca="1" si="365"/>
        <v>0</v>
      </c>
      <c r="FO43" s="48">
        <f t="shared" ca="1" si="365"/>
        <v>0</v>
      </c>
      <c r="FP43" s="48">
        <f t="shared" ca="1" si="366"/>
        <v>0</v>
      </c>
      <c r="FQ43" s="48">
        <f t="shared" ca="1" si="366"/>
        <v>0</v>
      </c>
      <c r="FR43" s="48">
        <f t="shared" ca="1" si="366"/>
        <v>0</v>
      </c>
      <c r="FS43" s="48">
        <f t="shared" ca="1" si="366"/>
        <v>0</v>
      </c>
      <c r="FT43" s="48">
        <f t="shared" ca="1" si="366"/>
        <v>0</v>
      </c>
      <c r="FU43" s="48">
        <f t="shared" ca="1" si="366"/>
        <v>0</v>
      </c>
      <c r="FV43" s="48">
        <f t="shared" ca="1" si="366"/>
        <v>0</v>
      </c>
      <c r="FW43" s="48">
        <f t="shared" ca="1" si="366"/>
        <v>0</v>
      </c>
      <c r="FX43" s="48">
        <f t="shared" ca="1" si="366"/>
        <v>0</v>
      </c>
      <c r="FY43" s="48">
        <f t="shared" ca="1" si="366"/>
        <v>0</v>
      </c>
      <c r="FZ43" s="48">
        <f t="shared" ca="1" si="366"/>
        <v>0</v>
      </c>
      <c r="GA43" s="48">
        <f t="shared" ca="1" si="366"/>
        <v>0</v>
      </c>
      <c r="GB43" s="48">
        <f t="shared" ca="1" si="366"/>
        <v>0</v>
      </c>
      <c r="GC43" s="48">
        <f t="shared" ca="1" si="366"/>
        <v>0</v>
      </c>
      <c r="GD43" s="48">
        <f t="shared" ca="1" si="366"/>
        <v>0</v>
      </c>
      <c r="GE43" s="48">
        <f t="shared" ca="1" si="366"/>
        <v>0</v>
      </c>
      <c r="GF43" s="48">
        <f t="shared" ca="1" si="367"/>
        <v>0</v>
      </c>
      <c r="GG43" s="48">
        <f t="shared" ca="1" si="367"/>
        <v>0</v>
      </c>
      <c r="GH43" s="48">
        <f t="shared" ca="1" si="367"/>
        <v>0</v>
      </c>
      <c r="GI43" s="48">
        <f t="shared" ca="1" si="367"/>
        <v>0</v>
      </c>
      <c r="GJ43" s="48">
        <f t="shared" ca="1" si="367"/>
        <v>0</v>
      </c>
      <c r="GK43" s="48">
        <f t="shared" ca="1" si="367"/>
        <v>0</v>
      </c>
      <c r="GL43" s="48">
        <f t="shared" ca="1" si="367"/>
        <v>0</v>
      </c>
      <c r="GM43" s="48">
        <f t="shared" ca="1" si="367"/>
        <v>0</v>
      </c>
      <c r="GN43" s="48">
        <f t="shared" ca="1" si="367"/>
        <v>0</v>
      </c>
      <c r="GO43" s="48">
        <f t="shared" ca="1" si="367"/>
        <v>0</v>
      </c>
      <c r="GP43" s="48">
        <f t="shared" ca="1" si="367"/>
        <v>0</v>
      </c>
      <c r="GQ43" s="48">
        <f t="shared" ca="1" si="367"/>
        <v>0</v>
      </c>
      <c r="GR43" s="48">
        <f t="shared" ca="1" si="367"/>
        <v>0</v>
      </c>
      <c r="GS43" s="48">
        <f t="shared" ca="1" si="367"/>
        <v>0</v>
      </c>
      <c r="GT43" s="48">
        <f t="shared" ca="1" si="367"/>
        <v>0</v>
      </c>
      <c r="GU43" s="48">
        <f t="shared" ca="1" si="367"/>
        <v>0</v>
      </c>
      <c r="GV43" s="48">
        <f t="shared" ca="1" si="368"/>
        <v>0</v>
      </c>
      <c r="GW43" s="48">
        <f t="shared" ca="1" si="368"/>
        <v>0</v>
      </c>
      <c r="GX43" s="48">
        <f t="shared" ca="1" si="368"/>
        <v>0</v>
      </c>
      <c r="GY43" s="48">
        <f t="shared" ca="1" si="368"/>
        <v>0</v>
      </c>
      <c r="GZ43" s="48">
        <f t="shared" ca="1" si="368"/>
        <v>0</v>
      </c>
      <c r="HA43" s="69"/>
      <c r="HB43" s="150" t="str">
        <f t="shared" ca="1" si="74"/>
        <v>n/a</v>
      </c>
      <c r="HC43" s="150" t="str">
        <f t="shared" ca="1" si="369"/>
        <v>n/a</v>
      </c>
      <c r="HD43" s="150" t="str">
        <f t="shared" ca="1" si="76"/>
        <v>n/a</v>
      </c>
      <c r="HE43" s="150" t="str">
        <f t="shared" ca="1" si="370"/>
        <v>n/a</v>
      </c>
      <c r="HF43" s="150" t="str">
        <f t="shared" ca="1" si="371"/>
        <v>n/a</v>
      </c>
      <c r="HG43" s="148"/>
      <c r="HH43" s="149"/>
      <c r="HI43" s="149"/>
      <c r="HJ43" s="149"/>
      <c r="HK43" s="150"/>
      <c r="HL43" s="149"/>
      <c r="HM43" s="149"/>
      <c r="HN43" s="149"/>
      <c r="HO43" s="150"/>
      <c r="HP43" s="148"/>
      <c r="HQ43" s="149"/>
      <c r="HR43" s="149"/>
      <c r="HS43" s="149"/>
      <c r="HT43" s="150"/>
      <c r="HU43" s="149"/>
      <c r="HV43" s="149"/>
      <c r="HW43" s="149"/>
      <c r="HX43" s="150"/>
      <c r="HY43" s="151"/>
      <c r="HZ43" s="150"/>
      <c r="IA43" s="150"/>
      <c r="IB43" s="152"/>
      <c r="IC43" s="150"/>
      <c r="ID43" s="152"/>
      <c r="IE43" s="150"/>
      <c r="IF43" s="153"/>
    </row>
    <row r="44" spans="1:240" s="36" customFormat="1" ht="14.4" customHeight="1">
      <c r="A44" s="39"/>
      <c r="B44" s="50" t="str">
        <f t="shared" si="340"/>
        <v>Residential_High Efficiency HVAC_HVAC_CAC SEER 15_2017_Actual</v>
      </c>
      <c r="C44" s="50">
        <f>INDEX('Measure Inputs'!$D:$D,MATCH($B44,'Measure Inputs'!$B:$B,0))</f>
        <v>10</v>
      </c>
      <c r="D44" s="51" t="str">
        <f>'Measure Inputs'!G16</f>
        <v>Residential</v>
      </c>
      <c r="E44" s="51" t="str">
        <f>'Measure Inputs'!H16</f>
        <v>High Efficiency HVAC</v>
      </c>
      <c r="F44" s="51" t="str">
        <f>'Measure Inputs'!I16</f>
        <v>HVAC</v>
      </c>
      <c r="G44" s="51" t="str">
        <f>'Measure Inputs'!J16</f>
        <v>CAC SEER 15</v>
      </c>
      <c r="H44" s="51">
        <f>'Measure Inputs'!K16</f>
        <v>2017</v>
      </c>
      <c r="I44" s="51" t="str">
        <f>'Measure Inputs'!L16</f>
        <v>Actual</v>
      </c>
      <c r="J44" s="37"/>
      <c r="K44" s="99" t="str">
        <f ca="1">INDEX(OFFSET('Measure Inputs'!$O$7,,,InputRows),$C44)</f>
        <v>Units</v>
      </c>
      <c r="L44" s="38">
        <f ca="1">INDEX(OFFSET('Measure Inputs'!$Q$7,,,InputRows),$C44)</f>
        <v>0</v>
      </c>
      <c r="M44" s="167">
        <f>INDEX('General Inputs'!$E$14:$E$15,MATCH(D44,'General Inputs'!$D$14:$D$15,0))</f>
        <v>1.0469999999999999</v>
      </c>
      <c r="N44" s="54">
        <f ca="1">INDEX(OFFSET('Measure Inputs'!$Y$7,,,InputRows),$C44)</f>
        <v>1</v>
      </c>
      <c r="O44" s="54">
        <f ca="1">INDEX(OFFSET('Measure Inputs'!$Z$7,,,InputRows),$C44)</f>
        <v>1</v>
      </c>
      <c r="P44" s="37"/>
      <c r="Q44" s="127">
        <f ca="1">CONVERT(INDEX(OFFSET('Measure Inputs'!$AB$7,,,InputRows),$C44),'Measure Inputs'!$AB$6,Q$8)*$L44</f>
        <v>0</v>
      </c>
      <c r="R44" s="127">
        <f t="shared" ca="1" si="341"/>
        <v>0</v>
      </c>
      <c r="S44" s="127">
        <f t="shared" ca="1" si="342"/>
        <v>0</v>
      </c>
      <c r="T44" s="37"/>
      <c r="U44" s="127">
        <f ca="1">CONVERT(INDEX(OFFSET('Measure Inputs'!$AD$7,,,InputRows),$C44),'Measure Inputs'!$AD$6,U$8)*$L44</f>
        <v>0</v>
      </c>
      <c r="V44" s="127">
        <f t="shared" ca="1" si="343"/>
        <v>0</v>
      </c>
      <c r="W44" s="127">
        <f t="shared" ca="1" si="344"/>
        <v>0</v>
      </c>
      <c r="X44" s="37"/>
      <c r="Y44" s="127">
        <f ca="1">CONVERT(INDEX(OFFSET('Measure Inputs'!$AC$7,,,InputRows),$C44),'Measure Inputs'!$AC$6,Y$8)*$L44</f>
        <v>0</v>
      </c>
      <c r="Z44" s="127">
        <f t="shared" ca="1" si="345"/>
        <v>0</v>
      </c>
      <c r="AA44" s="127">
        <f t="shared" ca="1" si="346"/>
        <v>0</v>
      </c>
      <c r="AB44" s="37"/>
      <c r="AC44" s="127">
        <f ca="1">CONVERT(INDEX(OFFSET('Measure Inputs'!$AE$7,,,InputRows),$C44),'Measure Inputs'!$AE$6,AC$8)*$L44</f>
        <v>0</v>
      </c>
      <c r="AD44" s="127">
        <f t="shared" ca="1" si="347"/>
        <v>0</v>
      </c>
      <c r="AE44" s="127">
        <f t="shared" ca="1" si="348"/>
        <v>0</v>
      </c>
      <c r="AF44" s="37"/>
      <c r="AG44" s="97">
        <f ca="1">INDEX(OFFSET('Measure Inputs'!$R$7,,,InputRows),$C44)</f>
        <v>18</v>
      </c>
      <c r="AH44" s="97">
        <f ca="1">INDEX(OFFSET('Measure Inputs'!$S$7,,,InputRows),$C44)</f>
        <v>0</v>
      </c>
      <c r="AI44" s="97">
        <f t="shared" ca="1" si="349"/>
        <v>0</v>
      </c>
      <c r="AJ44" s="100">
        <f ca="1">INDEX(OFFSET('Measure Inputs'!$T$7,,,InputRows),$C44)*$L44*$N44*$O44</f>
        <v>0</v>
      </c>
      <c r="AK44" s="100">
        <f ca="1">INDEX(OFFSET('Measure Inputs'!$U$7,,,InputRows),$C44)*$L44*$N44*$O44</f>
        <v>0</v>
      </c>
      <c r="AL44" s="100">
        <f ca="1">INDEX(OFFSET('Measure Inputs'!$V$7,,,InputRows),$C44)*$L44*$N44*$O44</f>
        <v>0</v>
      </c>
      <c r="AM44" s="100">
        <f ca="1">INDEX(OFFSET('Measure Inputs'!$W$7,,,InputRows),$C44)*$L44*$N44*$O44</f>
        <v>0</v>
      </c>
      <c r="AN44" s="100">
        <f ca="1">INDEX(OFFSET('Measure Inputs'!$X$7,,,InputRows),$C44)*$L44</f>
        <v>0</v>
      </c>
      <c r="AO44" s="100"/>
      <c r="AP44" s="100">
        <f t="shared" ca="1" si="350"/>
        <v>0</v>
      </c>
      <c r="AQ44" s="37"/>
      <c r="AR44" s="100">
        <f ca="1">SUMPRODUCT(--($CX$9:$EX$9=$H44)*$AJ44,'General Inputs'!$K$40:$BK$40)+SUMPRODUCT(--($CX$9:$EX$9=$H44+$AH44)*-$AK44,'General Inputs'!$K$43:$BK$43)</f>
        <v>0</v>
      </c>
      <c r="AS44" s="100">
        <f ca="1">CONVERT(SUMPRODUCT($CX44:$EX44,'General Inputs'!$K$29:$BK$29,'General Inputs'!$K$40:$BK$40)*$M44,$Q$8,'General Inputs'!$E$17)</f>
        <v>0</v>
      </c>
      <c r="AT44" s="100">
        <f ca="1">SUMPRODUCT(--($CX$9:$EX$9=$H44)*$AN44,'General Inputs'!$K$40:$BK$40)</f>
        <v>0</v>
      </c>
      <c r="AU44" s="100">
        <f>SUMPRODUCT(--($CX$9:$EX$9=$H44)*$AO44,'General Inputs'!$K$40:$BK$40)</f>
        <v>0</v>
      </c>
      <c r="AV44" s="100">
        <f ca="1">CONVERT(SUMPRODUCT($CX44:$EX44,'General Inputs'!$K$40:$BK$40,OFFSET('General Inputs'!$K$34:$BK$34,MATCH($D44,'General Inputs'!$J$34:$J$35,0)-1,)),$Q$8,'General Inputs'!$G$32)</f>
        <v>0</v>
      </c>
      <c r="AW44" s="100">
        <f ca="1">CONVERT(SUMPRODUCT($CX44:$EX44,'General Inputs'!$K$27:$BK$27,'General Inputs'!$K$40:$BK$40)*$M44,$Q$8,'General Inputs'!$E$17)</f>
        <v>0</v>
      </c>
      <c r="AX44" s="100">
        <f ca="1">CONVERT(SUMPRODUCT($EZ44:$GZ44,'General Inputs'!$K$28:$BK$28,'General Inputs'!$K$40:$BK$40)*$M44,$Q$8,'General Inputs'!$E$17)</f>
        <v>0</v>
      </c>
      <c r="AY44" s="98">
        <f ca="1">SUMPRODUCT($CX44:$EX44,'General Inputs'!$K$40:$BK$40)</f>
        <v>0</v>
      </c>
      <c r="AZ44" s="37"/>
      <c r="BA44" s="100">
        <f t="shared" ca="1" si="351"/>
        <v>0</v>
      </c>
      <c r="BB44" s="102" t="e">
        <f t="shared" ca="1" si="352"/>
        <v>#DIV/0!</v>
      </c>
      <c r="BC44" s="100">
        <f t="shared" ca="1" si="273"/>
        <v>0</v>
      </c>
      <c r="BD44" s="100">
        <f t="shared" ca="1" si="274"/>
        <v>0</v>
      </c>
      <c r="BE44" s="100">
        <f t="shared" ca="1" si="275"/>
        <v>0</v>
      </c>
      <c r="BF44" s="100">
        <f t="shared" ca="1" si="276"/>
        <v>0</v>
      </c>
      <c r="BG44" s="100">
        <f t="shared" si="277"/>
        <v>0</v>
      </c>
      <c r="BH44" s="100">
        <f t="shared" ca="1" si="278"/>
        <v>0</v>
      </c>
      <c r="BI44" s="37"/>
      <c r="BJ44" s="100">
        <f t="shared" ca="1" si="353"/>
        <v>0</v>
      </c>
      <c r="BK44" s="102" t="e">
        <f t="shared" ca="1" si="354"/>
        <v>#DIV/0!</v>
      </c>
      <c r="BL44" s="100">
        <f t="shared" ca="1" si="279"/>
        <v>0</v>
      </c>
      <c r="BM44" s="100">
        <f t="shared" ca="1" si="164"/>
        <v>0</v>
      </c>
      <c r="BN44" s="100">
        <f t="shared" ca="1" si="280"/>
        <v>0</v>
      </c>
      <c r="BO44" s="100">
        <f t="shared" ca="1" si="281"/>
        <v>0</v>
      </c>
      <c r="BP44" s="100">
        <f t="shared" ca="1" si="282"/>
        <v>0</v>
      </c>
      <c r="BQ44" s="100">
        <f t="shared" si="283"/>
        <v>0</v>
      </c>
      <c r="BR44" s="100">
        <f t="shared" ca="1" si="284"/>
        <v>0</v>
      </c>
      <c r="BS44" s="37"/>
      <c r="BT44" s="100">
        <f t="shared" ca="1" si="355"/>
        <v>0</v>
      </c>
      <c r="BU44" s="102" t="e">
        <f t="shared" ca="1" si="356"/>
        <v>#DIV/0!</v>
      </c>
      <c r="BV44" s="102" t="e">
        <f t="shared" ca="1" si="285"/>
        <v>#DIV/0!</v>
      </c>
      <c r="BW44" s="100">
        <f t="shared" ca="1" si="286"/>
        <v>0</v>
      </c>
      <c r="BX44" s="100">
        <f t="shared" ca="1" si="287"/>
        <v>0</v>
      </c>
      <c r="BY44" s="100">
        <f t="shared" ca="1" si="288"/>
        <v>0</v>
      </c>
      <c r="BZ44" s="100">
        <f t="shared" ca="1" si="289"/>
        <v>0</v>
      </c>
      <c r="CA44" s="100">
        <f t="shared" ca="1" si="290"/>
        <v>0</v>
      </c>
      <c r="CB44" s="37"/>
      <c r="CC44" s="100">
        <f t="shared" ca="1" si="357"/>
        <v>0</v>
      </c>
      <c r="CD44" s="102" t="e">
        <f t="shared" ca="1" si="358"/>
        <v>#DIV/0!</v>
      </c>
      <c r="CE44" s="103" t="e">
        <f t="shared" ca="1" si="291"/>
        <v>#DIV/0!</v>
      </c>
      <c r="CF44" s="100">
        <f t="shared" ca="1" si="292"/>
        <v>0</v>
      </c>
      <c r="CG44" s="100">
        <f t="shared" ca="1" si="293"/>
        <v>0</v>
      </c>
      <c r="CH44" s="100">
        <f t="shared" ca="1" si="294"/>
        <v>0</v>
      </c>
      <c r="CI44" s="100">
        <f t="shared" ca="1" si="71"/>
        <v>0</v>
      </c>
      <c r="CJ44" s="100">
        <f t="shared" ca="1" si="72"/>
        <v>0</v>
      </c>
      <c r="CK44" s="100">
        <f t="shared" si="295"/>
        <v>0</v>
      </c>
      <c r="CL44" s="37"/>
      <c r="CM44" s="100">
        <f t="shared" ca="1" si="359"/>
        <v>0</v>
      </c>
      <c r="CN44" s="102" t="e">
        <f t="shared" ca="1" si="360"/>
        <v>#DIV/0!</v>
      </c>
      <c r="CO44" s="128"/>
      <c r="CP44" s="100">
        <f t="shared" ca="1" si="296"/>
        <v>0</v>
      </c>
      <c r="CQ44" s="100">
        <f t="shared" ca="1" si="297"/>
        <v>0</v>
      </c>
      <c r="CR44" s="100">
        <f t="shared" ca="1" si="298"/>
        <v>0</v>
      </c>
      <c r="CS44" s="100">
        <f t="shared" ca="1" si="73"/>
        <v>0</v>
      </c>
      <c r="CT44" s="100">
        <f t="shared" ca="1" si="299"/>
        <v>0</v>
      </c>
      <c r="CU44" s="100">
        <f t="shared" ca="1" si="300"/>
        <v>0</v>
      </c>
      <c r="CV44" s="100">
        <f t="shared" si="301"/>
        <v>0</v>
      </c>
      <c r="CW44" s="37"/>
      <c r="CX44" s="48">
        <f t="shared" ca="1" si="361"/>
        <v>0</v>
      </c>
      <c r="CY44" s="48">
        <f t="shared" ca="1" si="361"/>
        <v>0</v>
      </c>
      <c r="CZ44" s="48">
        <f t="shared" ca="1" si="361"/>
        <v>0</v>
      </c>
      <c r="DA44" s="48">
        <f t="shared" ca="1" si="361"/>
        <v>0</v>
      </c>
      <c r="DB44" s="48">
        <f t="shared" ca="1" si="361"/>
        <v>0</v>
      </c>
      <c r="DC44" s="48">
        <f t="shared" ca="1" si="361"/>
        <v>0</v>
      </c>
      <c r="DD44" s="48">
        <f t="shared" ca="1" si="361"/>
        <v>0</v>
      </c>
      <c r="DE44" s="48">
        <f t="shared" ca="1" si="361"/>
        <v>0</v>
      </c>
      <c r="DF44" s="48">
        <f t="shared" ca="1" si="361"/>
        <v>0</v>
      </c>
      <c r="DG44" s="48">
        <f t="shared" ca="1" si="361"/>
        <v>0</v>
      </c>
      <c r="DH44" s="48">
        <f t="shared" ca="1" si="361"/>
        <v>0</v>
      </c>
      <c r="DI44" s="48">
        <f t="shared" ca="1" si="361"/>
        <v>0</v>
      </c>
      <c r="DJ44" s="48">
        <f t="shared" ca="1" si="361"/>
        <v>0</v>
      </c>
      <c r="DK44" s="48">
        <f t="shared" ca="1" si="361"/>
        <v>0</v>
      </c>
      <c r="DL44" s="48">
        <f t="shared" ca="1" si="361"/>
        <v>0</v>
      </c>
      <c r="DM44" s="48">
        <f t="shared" ca="1" si="361"/>
        <v>0</v>
      </c>
      <c r="DN44" s="48">
        <f t="shared" ca="1" si="362"/>
        <v>0</v>
      </c>
      <c r="DO44" s="48">
        <f t="shared" ca="1" si="362"/>
        <v>0</v>
      </c>
      <c r="DP44" s="48">
        <f t="shared" ca="1" si="362"/>
        <v>0</v>
      </c>
      <c r="DQ44" s="48">
        <f t="shared" ca="1" si="362"/>
        <v>0</v>
      </c>
      <c r="DR44" s="48">
        <f t="shared" ca="1" si="362"/>
        <v>0</v>
      </c>
      <c r="DS44" s="48">
        <f t="shared" ca="1" si="362"/>
        <v>0</v>
      </c>
      <c r="DT44" s="48">
        <f t="shared" ca="1" si="362"/>
        <v>0</v>
      </c>
      <c r="DU44" s="48">
        <f t="shared" ca="1" si="362"/>
        <v>0</v>
      </c>
      <c r="DV44" s="48">
        <f t="shared" ca="1" si="362"/>
        <v>0</v>
      </c>
      <c r="DW44" s="48">
        <f t="shared" ca="1" si="362"/>
        <v>0</v>
      </c>
      <c r="DX44" s="48">
        <f t="shared" ca="1" si="362"/>
        <v>0</v>
      </c>
      <c r="DY44" s="48">
        <f t="shared" ca="1" si="362"/>
        <v>0</v>
      </c>
      <c r="DZ44" s="48">
        <f t="shared" ca="1" si="362"/>
        <v>0</v>
      </c>
      <c r="EA44" s="48">
        <f t="shared" ca="1" si="362"/>
        <v>0</v>
      </c>
      <c r="EB44" s="48">
        <f t="shared" ca="1" si="362"/>
        <v>0</v>
      </c>
      <c r="EC44" s="48">
        <f t="shared" ca="1" si="362"/>
        <v>0</v>
      </c>
      <c r="ED44" s="48">
        <f t="shared" ca="1" si="363"/>
        <v>0</v>
      </c>
      <c r="EE44" s="48">
        <f t="shared" ca="1" si="363"/>
        <v>0</v>
      </c>
      <c r="EF44" s="48">
        <f t="shared" ca="1" si="363"/>
        <v>0</v>
      </c>
      <c r="EG44" s="48">
        <f t="shared" ca="1" si="363"/>
        <v>0</v>
      </c>
      <c r="EH44" s="48">
        <f t="shared" ca="1" si="363"/>
        <v>0</v>
      </c>
      <c r="EI44" s="48">
        <f t="shared" ca="1" si="363"/>
        <v>0</v>
      </c>
      <c r="EJ44" s="48">
        <f t="shared" ca="1" si="363"/>
        <v>0</v>
      </c>
      <c r="EK44" s="48">
        <f t="shared" ca="1" si="363"/>
        <v>0</v>
      </c>
      <c r="EL44" s="48">
        <f t="shared" ca="1" si="363"/>
        <v>0</v>
      </c>
      <c r="EM44" s="48">
        <f t="shared" ca="1" si="363"/>
        <v>0</v>
      </c>
      <c r="EN44" s="48">
        <f t="shared" ca="1" si="363"/>
        <v>0</v>
      </c>
      <c r="EO44" s="48">
        <f t="shared" ca="1" si="363"/>
        <v>0</v>
      </c>
      <c r="EP44" s="48">
        <f t="shared" ca="1" si="363"/>
        <v>0</v>
      </c>
      <c r="EQ44" s="48">
        <f t="shared" ca="1" si="363"/>
        <v>0</v>
      </c>
      <c r="ER44" s="48">
        <f t="shared" ca="1" si="363"/>
        <v>0</v>
      </c>
      <c r="ES44" s="48">
        <f t="shared" ca="1" si="363"/>
        <v>0</v>
      </c>
      <c r="ET44" s="48">
        <f t="shared" ca="1" si="364"/>
        <v>0</v>
      </c>
      <c r="EU44" s="48">
        <f t="shared" ca="1" si="364"/>
        <v>0</v>
      </c>
      <c r="EV44" s="48">
        <f t="shared" ca="1" si="364"/>
        <v>0</v>
      </c>
      <c r="EW44" s="48">
        <f t="shared" ca="1" si="364"/>
        <v>0</v>
      </c>
      <c r="EX44" s="48">
        <f t="shared" ca="1" si="364"/>
        <v>0</v>
      </c>
      <c r="EY44" s="69"/>
      <c r="EZ44" s="48">
        <f t="shared" ca="1" si="365"/>
        <v>0</v>
      </c>
      <c r="FA44" s="48">
        <f t="shared" ca="1" si="365"/>
        <v>0</v>
      </c>
      <c r="FB44" s="48">
        <f t="shared" ca="1" si="365"/>
        <v>0</v>
      </c>
      <c r="FC44" s="48">
        <f t="shared" ca="1" si="365"/>
        <v>0</v>
      </c>
      <c r="FD44" s="48">
        <f t="shared" ca="1" si="365"/>
        <v>0</v>
      </c>
      <c r="FE44" s="48">
        <f t="shared" ca="1" si="365"/>
        <v>0</v>
      </c>
      <c r="FF44" s="48">
        <f t="shared" ca="1" si="365"/>
        <v>0</v>
      </c>
      <c r="FG44" s="48">
        <f t="shared" ca="1" si="365"/>
        <v>0</v>
      </c>
      <c r="FH44" s="48">
        <f t="shared" ca="1" si="365"/>
        <v>0</v>
      </c>
      <c r="FI44" s="48">
        <f t="shared" ca="1" si="365"/>
        <v>0</v>
      </c>
      <c r="FJ44" s="48">
        <f t="shared" ca="1" si="365"/>
        <v>0</v>
      </c>
      <c r="FK44" s="48">
        <f t="shared" ca="1" si="365"/>
        <v>0</v>
      </c>
      <c r="FL44" s="48">
        <f t="shared" ca="1" si="365"/>
        <v>0</v>
      </c>
      <c r="FM44" s="48">
        <f t="shared" ca="1" si="365"/>
        <v>0</v>
      </c>
      <c r="FN44" s="48">
        <f t="shared" ca="1" si="365"/>
        <v>0</v>
      </c>
      <c r="FO44" s="48">
        <f t="shared" ca="1" si="365"/>
        <v>0</v>
      </c>
      <c r="FP44" s="48">
        <f t="shared" ca="1" si="366"/>
        <v>0</v>
      </c>
      <c r="FQ44" s="48">
        <f t="shared" ca="1" si="366"/>
        <v>0</v>
      </c>
      <c r="FR44" s="48">
        <f t="shared" ca="1" si="366"/>
        <v>0</v>
      </c>
      <c r="FS44" s="48">
        <f t="shared" ca="1" si="366"/>
        <v>0</v>
      </c>
      <c r="FT44" s="48">
        <f t="shared" ca="1" si="366"/>
        <v>0</v>
      </c>
      <c r="FU44" s="48">
        <f t="shared" ca="1" si="366"/>
        <v>0</v>
      </c>
      <c r="FV44" s="48">
        <f t="shared" ca="1" si="366"/>
        <v>0</v>
      </c>
      <c r="FW44" s="48">
        <f t="shared" ca="1" si="366"/>
        <v>0</v>
      </c>
      <c r="FX44" s="48">
        <f t="shared" ca="1" si="366"/>
        <v>0</v>
      </c>
      <c r="FY44" s="48">
        <f t="shared" ca="1" si="366"/>
        <v>0</v>
      </c>
      <c r="FZ44" s="48">
        <f t="shared" ca="1" si="366"/>
        <v>0</v>
      </c>
      <c r="GA44" s="48">
        <f t="shared" ca="1" si="366"/>
        <v>0</v>
      </c>
      <c r="GB44" s="48">
        <f t="shared" ca="1" si="366"/>
        <v>0</v>
      </c>
      <c r="GC44" s="48">
        <f t="shared" ca="1" si="366"/>
        <v>0</v>
      </c>
      <c r="GD44" s="48">
        <f t="shared" ca="1" si="366"/>
        <v>0</v>
      </c>
      <c r="GE44" s="48">
        <f t="shared" ca="1" si="366"/>
        <v>0</v>
      </c>
      <c r="GF44" s="48">
        <f t="shared" ca="1" si="367"/>
        <v>0</v>
      </c>
      <c r="GG44" s="48">
        <f t="shared" ca="1" si="367"/>
        <v>0</v>
      </c>
      <c r="GH44" s="48">
        <f t="shared" ca="1" si="367"/>
        <v>0</v>
      </c>
      <c r="GI44" s="48">
        <f t="shared" ca="1" si="367"/>
        <v>0</v>
      </c>
      <c r="GJ44" s="48">
        <f t="shared" ca="1" si="367"/>
        <v>0</v>
      </c>
      <c r="GK44" s="48">
        <f t="shared" ca="1" si="367"/>
        <v>0</v>
      </c>
      <c r="GL44" s="48">
        <f t="shared" ca="1" si="367"/>
        <v>0</v>
      </c>
      <c r="GM44" s="48">
        <f t="shared" ca="1" si="367"/>
        <v>0</v>
      </c>
      <c r="GN44" s="48">
        <f t="shared" ca="1" si="367"/>
        <v>0</v>
      </c>
      <c r="GO44" s="48">
        <f t="shared" ca="1" si="367"/>
        <v>0</v>
      </c>
      <c r="GP44" s="48">
        <f t="shared" ca="1" si="367"/>
        <v>0</v>
      </c>
      <c r="GQ44" s="48">
        <f t="shared" ca="1" si="367"/>
        <v>0</v>
      </c>
      <c r="GR44" s="48">
        <f t="shared" ca="1" si="367"/>
        <v>0</v>
      </c>
      <c r="GS44" s="48">
        <f t="shared" ca="1" si="367"/>
        <v>0</v>
      </c>
      <c r="GT44" s="48">
        <f t="shared" ca="1" si="367"/>
        <v>0</v>
      </c>
      <c r="GU44" s="48">
        <f t="shared" ca="1" si="367"/>
        <v>0</v>
      </c>
      <c r="GV44" s="48">
        <f t="shared" ca="1" si="368"/>
        <v>0</v>
      </c>
      <c r="GW44" s="48">
        <f t="shared" ca="1" si="368"/>
        <v>0</v>
      </c>
      <c r="GX44" s="48">
        <f t="shared" ca="1" si="368"/>
        <v>0</v>
      </c>
      <c r="GY44" s="48">
        <f t="shared" ca="1" si="368"/>
        <v>0</v>
      </c>
      <c r="GZ44" s="48">
        <f t="shared" ca="1" si="368"/>
        <v>0</v>
      </c>
      <c r="HA44" s="69"/>
      <c r="HB44" s="150" t="str">
        <f t="shared" ca="1" si="74"/>
        <v>n/a</v>
      </c>
      <c r="HC44" s="150" t="str">
        <f t="shared" ca="1" si="369"/>
        <v>n/a</v>
      </c>
      <c r="HD44" s="150" t="str">
        <f t="shared" ca="1" si="76"/>
        <v>n/a</v>
      </c>
      <c r="HE44" s="150" t="str">
        <f t="shared" ca="1" si="370"/>
        <v>n/a</v>
      </c>
      <c r="HF44" s="150" t="str">
        <f t="shared" ca="1" si="371"/>
        <v>n/a</v>
      </c>
      <c r="HG44" s="148"/>
      <c r="HH44" s="149"/>
      <c r="HI44" s="149"/>
      <c r="HJ44" s="149"/>
      <c r="HK44" s="150"/>
      <c r="HL44" s="149"/>
      <c r="HM44" s="149"/>
      <c r="HN44" s="149"/>
      <c r="HO44" s="150"/>
      <c r="HP44" s="148"/>
      <c r="HQ44" s="149"/>
      <c r="HR44" s="149"/>
      <c r="HS44" s="149"/>
      <c r="HT44" s="150"/>
      <c r="HU44" s="149"/>
      <c r="HV44" s="149"/>
      <c r="HW44" s="149"/>
      <c r="HX44" s="150"/>
      <c r="HY44" s="151"/>
      <c r="HZ44" s="150"/>
      <c r="IA44" s="150"/>
      <c r="IB44" s="152"/>
      <c r="IC44" s="150"/>
      <c r="ID44" s="152"/>
      <c r="IE44" s="150"/>
      <c r="IF44" s="153"/>
    </row>
    <row r="45" spans="1:240" s="36" customFormat="1" ht="14.4" customHeight="1">
      <c r="A45" s="39"/>
      <c r="B45" s="50" t="str">
        <f t="shared" si="340"/>
        <v>Residential_High Efficiency HVAC_HVAC_Ductless Mini-Split AC SEER ≥19_2017_Actual</v>
      </c>
      <c r="C45" s="50">
        <f>INDEX('Measure Inputs'!$D:$D,MATCH($B45,'Measure Inputs'!$B:$B,0))</f>
        <v>11</v>
      </c>
      <c r="D45" s="51" t="str">
        <f>'Measure Inputs'!G17</f>
        <v>Residential</v>
      </c>
      <c r="E45" s="51" t="str">
        <f>'Measure Inputs'!H17</f>
        <v>High Efficiency HVAC</v>
      </c>
      <c r="F45" s="51" t="str">
        <f>'Measure Inputs'!I17</f>
        <v>HVAC</v>
      </c>
      <c r="G45" s="51" t="str">
        <f>'Measure Inputs'!J17</f>
        <v>Ductless Mini-Split AC SEER ≥19</v>
      </c>
      <c r="H45" s="51">
        <f>'Measure Inputs'!K17</f>
        <v>2017</v>
      </c>
      <c r="I45" s="51" t="str">
        <f>'Measure Inputs'!L17</f>
        <v>Actual</v>
      </c>
      <c r="J45" s="37"/>
      <c r="K45" s="99" t="str">
        <f ca="1">INDEX(OFFSET('Measure Inputs'!$O$7,,,InputRows),$C45)</f>
        <v>Units</v>
      </c>
      <c r="L45" s="38">
        <f ca="1">INDEX(OFFSET('Measure Inputs'!$Q$7,,,InputRows),$C45)</f>
        <v>0</v>
      </c>
      <c r="M45" s="167">
        <f>INDEX('General Inputs'!$E$14:$E$15,MATCH(D45,'General Inputs'!$D$14:$D$15,0))</f>
        <v>1.0469999999999999</v>
      </c>
      <c r="N45" s="54">
        <f ca="1">INDEX(OFFSET('Measure Inputs'!$Y$7,,,InputRows),$C45)</f>
        <v>1</v>
      </c>
      <c r="O45" s="54">
        <f ca="1">INDEX(OFFSET('Measure Inputs'!$Z$7,,,InputRows),$C45)</f>
        <v>1</v>
      </c>
      <c r="P45" s="37"/>
      <c r="Q45" s="127">
        <f ca="1">CONVERT(INDEX(OFFSET('Measure Inputs'!$AB$7,,,InputRows),$C45),'Measure Inputs'!$AB$6,Q$8)*$L45</f>
        <v>0</v>
      </c>
      <c r="R45" s="127">
        <f t="shared" ca="1" si="341"/>
        <v>0</v>
      </c>
      <c r="S45" s="127">
        <f t="shared" ca="1" si="342"/>
        <v>0</v>
      </c>
      <c r="T45" s="37"/>
      <c r="U45" s="127">
        <f ca="1">CONVERT(INDEX(OFFSET('Measure Inputs'!$AD$7,,,InputRows),$C45),'Measure Inputs'!$AD$6,U$8)*$L45</f>
        <v>0</v>
      </c>
      <c r="V45" s="127">
        <f t="shared" ca="1" si="343"/>
        <v>0</v>
      </c>
      <c r="W45" s="127">
        <f t="shared" ca="1" si="344"/>
        <v>0</v>
      </c>
      <c r="X45" s="37"/>
      <c r="Y45" s="127">
        <f ca="1">CONVERT(INDEX(OFFSET('Measure Inputs'!$AC$7,,,InputRows),$C45),'Measure Inputs'!$AC$6,Y$8)*$L45</f>
        <v>0</v>
      </c>
      <c r="Z45" s="127">
        <f t="shared" ca="1" si="345"/>
        <v>0</v>
      </c>
      <c r="AA45" s="127">
        <f t="shared" ca="1" si="346"/>
        <v>0</v>
      </c>
      <c r="AB45" s="37"/>
      <c r="AC45" s="127">
        <f ca="1">CONVERT(INDEX(OFFSET('Measure Inputs'!$AE$7,,,InputRows),$C45),'Measure Inputs'!$AE$6,AC$8)*$L45</f>
        <v>0</v>
      </c>
      <c r="AD45" s="127">
        <f t="shared" ca="1" si="347"/>
        <v>0</v>
      </c>
      <c r="AE45" s="127">
        <f t="shared" ca="1" si="348"/>
        <v>0</v>
      </c>
      <c r="AF45" s="37"/>
      <c r="AG45" s="97">
        <f ca="1">INDEX(OFFSET('Measure Inputs'!$R$7,,,InputRows),$C45)</f>
        <v>18</v>
      </c>
      <c r="AH45" s="97">
        <f ca="1">INDEX(OFFSET('Measure Inputs'!$S$7,,,InputRows),$C45)</f>
        <v>0</v>
      </c>
      <c r="AI45" s="97">
        <f t="shared" ca="1" si="349"/>
        <v>0</v>
      </c>
      <c r="AJ45" s="100">
        <f ca="1">INDEX(OFFSET('Measure Inputs'!$T$7,,,InputRows),$C45)*$L45*$N45*$O45</f>
        <v>0</v>
      </c>
      <c r="AK45" s="100">
        <f ca="1">INDEX(OFFSET('Measure Inputs'!$U$7,,,InputRows),$C45)*$L45*$N45*$O45</f>
        <v>0</v>
      </c>
      <c r="AL45" s="100">
        <f ca="1">INDEX(OFFSET('Measure Inputs'!$V$7,,,InputRows),$C45)*$L45*$N45*$O45</f>
        <v>0</v>
      </c>
      <c r="AM45" s="100">
        <f ca="1">INDEX(OFFSET('Measure Inputs'!$W$7,,,InputRows),$C45)*$L45*$N45*$O45</f>
        <v>0</v>
      </c>
      <c r="AN45" s="100">
        <f ca="1">INDEX(OFFSET('Measure Inputs'!$X$7,,,InputRows),$C45)*$L45</f>
        <v>0</v>
      </c>
      <c r="AO45" s="100"/>
      <c r="AP45" s="100">
        <f t="shared" ca="1" si="350"/>
        <v>0</v>
      </c>
      <c r="AQ45" s="37"/>
      <c r="AR45" s="100">
        <f ca="1">SUMPRODUCT(--($CX$9:$EX$9=$H45)*$AJ45,'General Inputs'!$K$40:$BK$40)+SUMPRODUCT(--($CX$9:$EX$9=$H45+$AH45)*-$AK45,'General Inputs'!$K$43:$BK$43)</f>
        <v>0</v>
      </c>
      <c r="AS45" s="100">
        <f ca="1">CONVERT(SUMPRODUCT($CX45:$EX45,'General Inputs'!$K$29:$BK$29,'General Inputs'!$K$40:$BK$40)*$M45,$Q$8,'General Inputs'!$E$17)</f>
        <v>0</v>
      </c>
      <c r="AT45" s="100">
        <f ca="1">SUMPRODUCT(--($CX$9:$EX$9=$H45)*$AN45,'General Inputs'!$K$40:$BK$40)</f>
        <v>0</v>
      </c>
      <c r="AU45" s="100">
        <f>SUMPRODUCT(--($CX$9:$EX$9=$H45)*$AO45,'General Inputs'!$K$40:$BK$40)</f>
        <v>0</v>
      </c>
      <c r="AV45" s="100">
        <f ca="1">CONVERT(SUMPRODUCT($CX45:$EX45,'General Inputs'!$K$40:$BK$40,OFFSET('General Inputs'!$K$34:$BK$34,MATCH($D45,'General Inputs'!$J$34:$J$35,0)-1,)),$Q$8,'General Inputs'!$G$32)</f>
        <v>0</v>
      </c>
      <c r="AW45" s="100">
        <f ca="1">CONVERT(SUMPRODUCT($CX45:$EX45,'General Inputs'!$K$27:$BK$27,'General Inputs'!$K$40:$BK$40)*$M45,$Q$8,'General Inputs'!$E$17)</f>
        <v>0</v>
      </c>
      <c r="AX45" s="100">
        <f ca="1">CONVERT(SUMPRODUCT($EZ45:$GZ45,'General Inputs'!$K$28:$BK$28,'General Inputs'!$K$40:$BK$40)*$M45,$Q$8,'General Inputs'!$E$17)</f>
        <v>0</v>
      </c>
      <c r="AY45" s="98">
        <f ca="1">SUMPRODUCT($CX45:$EX45,'General Inputs'!$K$40:$BK$40)</f>
        <v>0</v>
      </c>
      <c r="AZ45" s="37"/>
      <c r="BA45" s="100">
        <f t="shared" ca="1" si="351"/>
        <v>0</v>
      </c>
      <c r="BB45" s="102" t="e">
        <f t="shared" ca="1" si="352"/>
        <v>#DIV/0!</v>
      </c>
      <c r="BC45" s="100">
        <f t="shared" ca="1" si="273"/>
        <v>0</v>
      </c>
      <c r="BD45" s="100">
        <f t="shared" ca="1" si="274"/>
        <v>0</v>
      </c>
      <c r="BE45" s="100">
        <f t="shared" ca="1" si="275"/>
        <v>0</v>
      </c>
      <c r="BF45" s="100">
        <f t="shared" ca="1" si="276"/>
        <v>0</v>
      </c>
      <c r="BG45" s="100">
        <f t="shared" si="277"/>
        <v>0</v>
      </c>
      <c r="BH45" s="100">
        <f t="shared" ca="1" si="278"/>
        <v>0</v>
      </c>
      <c r="BI45" s="37"/>
      <c r="BJ45" s="100">
        <f t="shared" ca="1" si="353"/>
        <v>0</v>
      </c>
      <c r="BK45" s="102" t="e">
        <f t="shared" ca="1" si="354"/>
        <v>#DIV/0!</v>
      </c>
      <c r="BL45" s="100">
        <f t="shared" ca="1" si="279"/>
        <v>0</v>
      </c>
      <c r="BM45" s="100">
        <f t="shared" ca="1" si="164"/>
        <v>0</v>
      </c>
      <c r="BN45" s="100">
        <f t="shared" ca="1" si="280"/>
        <v>0</v>
      </c>
      <c r="BO45" s="100">
        <f t="shared" ca="1" si="281"/>
        <v>0</v>
      </c>
      <c r="BP45" s="100">
        <f t="shared" ca="1" si="282"/>
        <v>0</v>
      </c>
      <c r="BQ45" s="100">
        <f t="shared" si="283"/>
        <v>0</v>
      </c>
      <c r="BR45" s="100">
        <f t="shared" ca="1" si="284"/>
        <v>0</v>
      </c>
      <c r="BS45" s="37"/>
      <c r="BT45" s="100">
        <f t="shared" ca="1" si="355"/>
        <v>0</v>
      </c>
      <c r="BU45" s="102" t="e">
        <f t="shared" ca="1" si="356"/>
        <v>#DIV/0!</v>
      </c>
      <c r="BV45" s="102" t="e">
        <f t="shared" ca="1" si="285"/>
        <v>#DIV/0!</v>
      </c>
      <c r="BW45" s="100">
        <f t="shared" ca="1" si="286"/>
        <v>0</v>
      </c>
      <c r="BX45" s="100">
        <f t="shared" ca="1" si="287"/>
        <v>0</v>
      </c>
      <c r="BY45" s="100">
        <f t="shared" ca="1" si="288"/>
        <v>0</v>
      </c>
      <c r="BZ45" s="100">
        <f t="shared" ca="1" si="289"/>
        <v>0</v>
      </c>
      <c r="CA45" s="100">
        <f t="shared" ca="1" si="290"/>
        <v>0</v>
      </c>
      <c r="CB45" s="37"/>
      <c r="CC45" s="100">
        <f t="shared" ca="1" si="357"/>
        <v>0</v>
      </c>
      <c r="CD45" s="102" t="e">
        <f t="shared" ca="1" si="358"/>
        <v>#DIV/0!</v>
      </c>
      <c r="CE45" s="103" t="e">
        <f t="shared" ca="1" si="291"/>
        <v>#DIV/0!</v>
      </c>
      <c r="CF45" s="100">
        <f t="shared" ca="1" si="292"/>
        <v>0</v>
      </c>
      <c r="CG45" s="100">
        <f t="shared" ca="1" si="293"/>
        <v>0</v>
      </c>
      <c r="CH45" s="100">
        <f t="shared" ca="1" si="294"/>
        <v>0</v>
      </c>
      <c r="CI45" s="100">
        <f t="shared" ca="1" si="71"/>
        <v>0</v>
      </c>
      <c r="CJ45" s="100">
        <f t="shared" ca="1" si="72"/>
        <v>0</v>
      </c>
      <c r="CK45" s="100">
        <f t="shared" si="295"/>
        <v>0</v>
      </c>
      <c r="CL45" s="37"/>
      <c r="CM45" s="100">
        <f t="shared" ca="1" si="359"/>
        <v>0</v>
      </c>
      <c r="CN45" s="102" t="e">
        <f t="shared" ca="1" si="360"/>
        <v>#DIV/0!</v>
      </c>
      <c r="CO45" s="128"/>
      <c r="CP45" s="100">
        <f t="shared" ca="1" si="296"/>
        <v>0</v>
      </c>
      <c r="CQ45" s="100">
        <f t="shared" ca="1" si="297"/>
        <v>0</v>
      </c>
      <c r="CR45" s="100">
        <f t="shared" ca="1" si="298"/>
        <v>0</v>
      </c>
      <c r="CS45" s="100">
        <f t="shared" ca="1" si="73"/>
        <v>0</v>
      </c>
      <c r="CT45" s="100">
        <f t="shared" ca="1" si="299"/>
        <v>0</v>
      </c>
      <c r="CU45" s="100">
        <f t="shared" ca="1" si="300"/>
        <v>0</v>
      </c>
      <c r="CV45" s="100">
        <f t="shared" si="301"/>
        <v>0</v>
      </c>
      <c r="CW45" s="37"/>
      <c r="CX45" s="48">
        <f t="shared" ca="1" si="361"/>
        <v>0</v>
      </c>
      <c r="CY45" s="48">
        <f t="shared" ca="1" si="361"/>
        <v>0</v>
      </c>
      <c r="CZ45" s="48">
        <f t="shared" ca="1" si="361"/>
        <v>0</v>
      </c>
      <c r="DA45" s="48">
        <f t="shared" ca="1" si="361"/>
        <v>0</v>
      </c>
      <c r="DB45" s="48">
        <f t="shared" ca="1" si="361"/>
        <v>0</v>
      </c>
      <c r="DC45" s="48">
        <f t="shared" ca="1" si="361"/>
        <v>0</v>
      </c>
      <c r="DD45" s="48">
        <f t="shared" ca="1" si="361"/>
        <v>0</v>
      </c>
      <c r="DE45" s="48">
        <f t="shared" ca="1" si="361"/>
        <v>0</v>
      </c>
      <c r="DF45" s="48">
        <f t="shared" ca="1" si="361"/>
        <v>0</v>
      </c>
      <c r="DG45" s="48">
        <f t="shared" ca="1" si="361"/>
        <v>0</v>
      </c>
      <c r="DH45" s="48">
        <f t="shared" ca="1" si="361"/>
        <v>0</v>
      </c>
      <c r="DI45" s="48">
        <f t="shared" ca="1" si="361"/>
        <v>0</v>
      </c>
      <c r="DJ45" s="48">
        <f t="shared" ca="1" si="361"/>
        <v>0</v>
      </c>
      <c r="DK45" s="48">
        <f t="shared" ca="1" si="361"/>
        <v>0</v>
      </c>
      <c r="DL45" s="48">
        <f t="shared" ca="1" si="361"/>
        <v>0</v>
      </c>
      <c r="DM45" s="48">
        <f t="shared" ca="1" si="361"/>
        <v>0</v>
      </c>
      <c r="DN45" s="48">
        <f t="shared" ca="1" si="362"/>
        <v>0</v>
      </c>
      <c r="DO45" s="48">
        <f t="shared" ca="1" si="362"/>
        <v>0</v>
      </c>
      <c r="DP45" s="48">
        <f t="shared" ca="1" si="362"/>
        <v>0</v>
      </c>
      <c r="DQ45" s="48">
        <f t="shared" ca="1" si="362"/>
        <v>0</v>
      </c>
      <c r="DR45" s="48">
        <f t="shared" ca="1" si="362"/>
        <v>0</v>
      </c>
      <c r="DS45" s="48">
        <f t="shared" ca="1" si="362"/>
        <v>0</v>
      </c>
      <c r="DT45" s="48">
        <f t="shared" ca="1" si="362"/>
        <v>0</v>
      </c>
      <c r="DU45" s="48">
        <f t="shared" ca="1" si="362"/>
        <v>0</v>
      </c>
      <c r="DV45" s="48">
        <f t="shared" ca="1" si="362"/>
        <v>0</v>
      </c>
      <c r="DW45" s="48">
        <f t="shared" ca="1" si="362"/>
        <v>0</v>
      </c>
      <c r="DX45" s="48">
        <f t="shared" ca="1" si="362"/>
        <v>0</v>
      </c>
      <c r="DY45" s="48">
        <f t="shared" ca="1" si="362"/>
        <v>0</v>
      </c>
      <c r="DZ45" s="48">
        <f t="shared" ca="1" si="362"/>
        <v>0</v>
      </c>
      <c r="EA45" s="48">
        <f t="shared" ca="1" si="362"/>
        <v>0</v>
      </c>
      <c r="EB45" s="48">
        <f t="shared" ca="1" si="362"/>
        <v>0</v>
      </c>
      <c r="EC45" s="48">
        <f t="shared" ca="1" si="362"/>
        <v>0</v>
      </c>
      <c r="ED45" s="48">
        <f t="shared" ca="1" si="363"/>
        <v>0</v>
      </c>
      <c r="EE45" s="48">
        <f t="shared" ca="1" si="363"/>
        <v>0</v>
      </c>
      <c r="EF45" s="48">
        <f t="shared" ca="1" si="363"/>
        <v>0</v>
      </c>
      <c r="EG45" s="48">
        <f t="shared" ca="1" si="363"/>
        <v>0</v>
      </c>
      <c r="EH45" s="48">
        <f t="shared" ca="1" si="363"/>
        <v>0</v>
      </c>
      <c r="EI45" s="48">
        <f t="shared" ca="1" si="363"/>
        <v>0</v>
      </c>
      <c r="EJ45" s="48">
        <f t="shared" ca="1" si="363"/>
        <v>0</v>
      </c>
      <c r="EK45" s="48">
        <f t="shared" ca="1" si="363"/>
        <v>0</v>
      </c>
      <c r="EL45" s="48">
        <f t="shared" ca="1" si="363"/>
        <v>0</v>
      </c>
      <c r="EM45" s="48">
        <f t="shared" ca="1" si="363"/>
        <v>0</v>
      </c>
      <c r="EN45" s="48">
        <f t="shared" ca="1" si="363"/>
        <v>0</v>
      </c>
      <c r="EO45" s="48">
        <f t="shared" ca="1" si="363"/>
        <v>0</v>
      </c>
      <c r="EP45" s="48">
        <f t="shared" ca="1" si="363"/>
        <v>0</v>
      </c>
      <c r="EQ45" s="48">
        <f t="shared" ca="1" si="363"/>
        <v>0</v>
      </c>
      <c r="ER45" s="48">
        <f t="shared" ca="1" si="363"/>
        <v>0</v>
      </c>
      <c r="ES45" s="48">
        <f t="shared" ca="1" si="363"/>
        <v>0</v>
      </c>
      <c r="ET45" s="48">
        <f t="shared" ca="1" si="364"/>
        <v>0</v>
      </c>
      <c r="EU45" s="48">
        <f t="shared" ca="1" si="364"/>
        <v>0</v>
      </c>
      <c r="EV45" s="48">
        <f t="shared" ca="1" si="364"/>
        <v>0</v>
      </c>
      <c r="EW45" s="48">
        <f t="shared" ca="1" si="364"/>
        <v>0</v>
      </c>
      <c r="EX45" s="48">
        <f t="shared" ca="1" si="364"/>
        <v>0</v>
      </c>
      <c r="EY45" s="69"/>
      <c r="EZ45" s="48">
        <f t="shared" ca="1" si="365"/>
        <v>0</v>
      </c>
      <c r="FA45" s="48">
        <f t="shared" ca="1" si="365"/>
        <v>0</v>
      </c>
      <c r="FB45" s="48">
        <f t="shared" ca="1" si="365"/>
        <v>0</v>
      </c>
      <c r="FC45" s="48">
        <f t="shared" ca="1" si="365"/>
        <v>0</v>
      </c>
      <c r="FD45" s="48">
        <f t="shared" ca="1" si="365"/>
        <v>0</v>
      </c>
      <c r="FE45" s="48">
        <f t="shared" ca="1" si="365"/>
        <v>0</v>
      </c>
      <c r="FF45" s="48">
        <f t="shared" ca="1" si="365"/>
        <v>0</v>
      </c>
      <c r="FG45" s="48">
        <f t="shared" ca="1" si="365"/>
        <v>0</v>
      </c>
      <c r="FH45" s="48">
        <f t="shared" ca="1" si="365"/>
        <v>0</v>
      </c>
      <c r="FI45" s="48">
        <f t="shared" ca="1" si="365"/>
        <v>0</v>
      </c>
      <c r="FJ45" s="48">
        <f t="shared" ca="1" si="365"/>
        <v>0</v>
      </c>
      <c r="FK45" s="48">
        <f t="shared" ca="1" si="365"/>
        <v>0</v>
      </c>
      <c r="FL45" s="48">
        <f t="shared" ca="1" si="365"/>
        <v>0</v>
      </c>
      <c r="FM45" s="48">
        <f t="shared" ca="1" si="365"/>
        <v>0</v>
      </c>
      <c r="FN45" s="48">
        <f t="shared" ca="1" si="365"/>
        <v>0</v>
      </c>
      <c r="FO45" s="48">
        <f t="shared" ca="1" si="365"/>
        <v>0</v>
      </c>
      <c r="FP45" s="48">
        <f t="shared" ca="1" si="366"/>
        <v>0</v>
      </c>
      <c r="FQ45" s="48">
        <f t="shared" ca="1" si="366"/>
        <v>0</v>
      </c>
      <c r="FR45" s="48">
        <f t="shared" ca="1" si="366"/>
        <v>0</v>
      </c>
      <c r="FS45" s="48">
        <f t="shared" ca="1" si="366"/>
        <v>0</v>
      </c>
      <c r="FT45" s="48">
        <f t="shared" ca="1" si="366"/>
        <v>0</v>
      </c>
      <c r="FU45" s="48">
        <f t="shared" ca="1" si="366"/>
        <v>0</v>
      </c>
      <c r="FV45" s="48">
        <f t="shared" ca="1" si="366"/>
        <v>0</v>
      </c>
      <c r="FW45" s="48">
        <f t="shared" ca="1" si="366"/>
        <v>0</v>
      </c>
      <c r="FX45" s="48">
        <f t="shared" ca="1" si="366"/>
        <v>0</v>
      </c>
      <c r="FY45" s="48">
        <f t="shared" ca="1" si="366"/>
        <v>0</v>
      </c>
      <c r="FZ45" s="48">
        <f t="shared" ca="1" si="366"/>
        <v>0</v>
      </c>
      <c r="GA45" s="48">
        <f t="shared" ca="1" si="366"/>
        <v>0</v>
      </c>
      <c r="GB45" s="48">
        <f t="shared" ca="1" si="366"/>
        <v>0</v>
      </c>
      <c r="GC45" s="48">
        <f t="shared" ca="1" si="366"/>
        <v>0</v>
      </c>
      <c r="GD45" s="48">
        <f t="shared" ca="1" si="366"/>
        <v>0</v>
      </c>
      <c r="GE45" s="48">
        <f t="shared" ca="1" si="366"/>
        <v>0</v>
      </c>
      <c r="GF45" s="48">
        <f t="shared" ca="1" si="367"/>
        <v>0</v>
      </c>
      <c r="GG45" s="48">
        <f t="shared" ca="1" si="367"/>
        <v>0</v>
      </c>
      <c r="GH45" s="48">
        <f t="shared" ca="1" si="367"/>
        <v>0</v>
      </c>
      <c r="GI45" s="48">
        <f t="shared" ca="1" si="367"/>
        <v>0</v>
      </c>
      <c r="GJ45" s="48">
        <f t="shared" ca="1" si="367"/>
        <v>0</v>
      </c>
      <c r="GK45" s="48">
        <f t="shared" ca="1" si="367"/>
        <v>0</v>
      </c>
      <c r="GL45" s="48">
        <f t="shared" ca="1" si="367"/>
        <v>0</v>
      </c>
      <c r="GM45" s="48">
        <f t="shared" ca="1" si="367"/>
        <v>0</v>
      </c>
      <c r="GN45" s="48">
        <f t="shared" ca="1" si="367"/>
        <v>0</v>
      </c>
      <c r="GO45" s="48">
        <f t="shared" ca="1" si="367"/>
        <v>0</v>
      </c>
      <c r="GP45" s="48">
        <f t="shared" ca="1" si="367"/>
        <v>0</v>
      </c>
      <c r="GQ45" s="48">
        <f t="shared" ca="1" si="367"/>
        <v>0</v>
      </c>
      <c r="GR45" s="48">
        <f t="shared" ca="1" si="367"/>
        <v>0</v>
      </c>
      <c r="GS45" s="48">
        <f t="shared" ca="1" si="367"/>
        <v>0</v>
      </c>
      <c r="GT45" s="48">
        <f t="shared" ca="1" si="367"/>
        <v>0</v>
      </c>
      <c r="GU45" s="48">
        <f t="shared" ca="1" si="367"/>
        <v>0</v>
      </c>
      <c r="GV45" s="48">
        <f t="shared" ca="1" si="368"/>
        <v>0</v>
      </c>
      <c r="GW45" s="48">
        <f t="shared" ca="1" si="368"/>
        <v>0</v>
      </c>
      <c r="GX45" s="48">
        <f t="shared" ca="1" si="368"/>
        <v>0</v>
      </c>
      <c r="GY45" s="48">
        <f t="shared" ca="1" si="368"/>
        <v>0</v>
      </c>
      <c r="GZ45" s="48">
        <f t="shared" ca="1" si="368"/>
        <v>0</v>
      </c>
      <c r="HA45" s="69"/>
      <c r="HB45" s="150" t="str">
        <f t="shared" ca="1" si="74"/>
        <v>n/a</v>
      </c>
      <c r="HC45" s="150" t="str">
        <f t="shared" ca="1" si="369"/>
        <v>n/a</v>
      </c>
      <c r="HD45" s="150" t="str">
        <f t="shared" ca="1" si="76"/>
        <v>n/a</v>
      </c>
      <c r="HE45" s="150" t="str">
        <f t="shared" ca="1" si="370"/>
        <v>n/a</v>
      </c>
      <c r="HF45" s="150" t="str">
        <f t="shared" ca="1" si="371"/>
        <v>n/a</v>
      </c>
      <c r="HG45" s="148"/>
      <c r="HH45" s="149"/>
      <c r="HI45" s="149"/>
      <c r="HJ45" s="149"/>
      <c r="HK45" s="150"/>
      <c r="HL45" s="149"/>
      <c r="HM45" s="149"/>
      <c r="HN45" s="149"/>
      <c r="HO45" s="150"/>
      <c r="HP45" s="148"/>
      <c r="HQ45" s="149"/>
      <c r="HR45" s="149"/>
      <c r="HS45" s="149"/>
      <c r="HT45" s="150"/>
      <c r="HU45" s="149"/>
      <c r="HV45" s="149"/>
      <c r="HW45" s="149"/>
      <c r="HX45" s="150"/>
      <c r="HY45" s="151"/>
      <c r="HZ45" s="150"/>
      <c r="IA45" s="150"/>
      <c r="IB45" s="152"/>
      <c r="IC45" s="150"/>
      <c r="ID45" s="152"/>
      <c r="IE45" s="150"/>
      <c r="IF45" s="153"/>
    </row>
    <row r="46" spans="1:240" s="36" customFormat="1" ht="14.4" customHeight="1">
      <c r="A46" s="39"/>
      <c r="B46" s="50" t="str">
        <f t="shared" si="340"/>
        <v>Residential_High Efficiency HVAC_HVAC_Ductless Mini-Split HP SEER ≥19_2017_Actual</v>
      </c>
      <c r="C46" s="50">
        <f>INDEX('Measure Inputs'!$D:$D,MATCH($B46,'Measure Inputs'!$B:$B,0))</f>
        <v>12</v>
      </c>
      <c r="D46" s="51" t="str">
        <f>'Measure Inputs'!G18</f>
        <v>Residential</v>
      </c>
      <c r="E46" s="51" t="str">
        <f>'Measure Inputs'!H18</f>
        <v>High Efficiency HVAC</v>
      </c>
      <c r="F46" s="51" t="str">
        <f>'Measure Inputs'!I18</f>
        <v>HVAC</v>
      </c>
      <c r="G46" s="51" t="str">
        <f>'Measure Inputs'!J18</f>
        <v>Ductless Mini-Split HP SEER ≥19</v>
      </c>
      <c r="H46" s="51">
        <f>'Measure Inputs'!K18</f>
        <v>2017</v>
      </c>
      <c r="I46" s="51" t="str">
        <f>'Measure Inputs'!L18</f>
        <v>Actual</v>
      </c>
      <c r="J46" s="37"/>
      <c r="K46" s="99" t="str">
        <f ca="1">INDEX(OFFSET('Measure Inputs'!$O$7,,,InputRows),$C46)</f>
        <v>Units</v>
      </c>
      <c r="L46" s="38">
        <f ca="1">INDEX(OFFSET('Measure Inputs'!$Q$7,,,InputRows),$C46)</f>
        <v>14</v>
      </c>
      <c r="M46" s="167">
        <f>INDEX('General Inputs'!$E$14:$E$15,MATCH(D46,'General Inputs'!$D$14:$D$15,0))</f>
        <v>1.0469999999999999</v>
      </c>
      <c r="N46" s="54">
        <f ca="1">INDEX(OFFSET('Measure Inputs'!$Y$7,,,InputRows),$C46)</f>
        <v>1</v>
      </c>
      <c r="O46" s="54">
        <f ca="1">INDEX(OFFSET('Measure Inputs'!$Z$7,,,InputRows),$C46)</f>
        <v>1</v>
      </c>
      <c r="P46" s="37"/>
      <c r="Q46" s="127">
        <f ca="1">CONVERT(INDEX(OFFSET('Measure Inputs'!$AB$7,,,InputRows),$C46),'Measure Inputs'!$AB$6,Q$8)*$L46</f>
        <v>34941.728999999999</v>
      </c>
      <c r="R46" s="127">
        <f t="shared" ca="1" si="341"/>
        <v>34941.728999999999</v>
      </c>
      <c r="S46" s="127">
        <f t="shared" ca="1" si="342"/>
        <v>34941.728999999999</v>
      </c>
      <c r="T46" s="37"/>
      <c r="U46" s="127">
        <f ca="1">CONVERT(INDEX(OFFSET('Measure Inputs'!$AD$7,,,InputRows),$C46),'Measure Inputs'!$AD$6,U$8)*$L46</f>
        <v>0</v>
      </c>
      <c r="V46" s="127">
        <f t="shared" ca="1" si="343"/>
        <v>0</v>
      </c>
      <c r="W46" s="127">
        <f t="shared" ca="1" si="344"/>
        <v>0</v>
      </c>
      <c r="X46" s="37"/>
      <c r="Y46" s="127">
        <f ca="1">CONVERT(INDEX(OFFSET('Measure Inputs'!$AC$7,,,InputRows),$C46),'Measure Inputs'!$AC$6,Y$8)*$L46</f>
        <v>12.747000000000002</v>
      </c>
      <c r="Z46" s="127">
        <f t="shared" ca="1" si="345"/>
        <v>12.747000000000002</v>
      </c>
      <c r="AA46" s="127">
        <f t="shared" ca="1" si="346"/>
        <v>12.747000000000002</v>
      </c>
      <c r="AB46" s="37"/>
      <c r="AC46" s="127">
        <f ca="1">CONVERT(INDEX(OFFSET('Measure Inputs'!$AE$7,,,InputRows),$C46),'Measure Inputs'!$AE$6,AC$8)*$L46</f>
        <v>0</v>
      </c>
      <c r="AD46" s="127">
        <f t="shared" ca="1" si="347"/>
        <v>0</v>
      </c>
      <c r="AE46" s="127">
        <f t="shared" ca="1" si="348"/>
        <v>0</v>
      </c>
      <c r="AF46" s="37"/>
      <c r="AG46" s="97">
        <f ca="1">INDEX(OFFSET('Measure Inputs'!$R$7,,,InputRows),$C46)</f>
        <v>18</v>
      </c>
      <c r="AH46" s="97">
        <f ca="1">INDEX(OFFSET('Measure Inputs'!$S$7,,,InputRows),$C46)</f>
        <v>0</v>
      </c>
      <c r="AI46" s="97">
        <f t="shared" ca="1" si="349"/>
        <v>628951.12200000009</v>
      </c>
      <c r="AJ46" s="100">
        <f ca="1">INDEX(OFFSET('Measure Inputs'!$T$7,,,InputRows),$C46)*$L46*$N46*$O46</f>
        <v>10024</v>
      </c>
      <c r="AK46" s="100">
        <f ca="1">INDEX(OFFSET('Measure Inputs'!$U$7,,,InputRows),$C46)*$L46*$N46*$O46</f>
        <v>0</v>
      </c>
      <c r="AL46" s="100">
        <f ca="1">INDEX(OFFSET('Measure Inputs'!$V$7,,,InputRows),$C46)*$L46*$N46*$O46</f>
        <v>0</v>
      </c>
      <c r="AM46" s="100">
        <f ca="1">INDEX(OFFSET('Measure Inputs'!$W$7,,,InputRows),$C46)*$L46*$N46*$O46</f>
        <v>0</v>
      </c>
      <c r="AN46" s="100">
        <f ca="1">INDEX(OFFSET('Measure Inputs'!$X$7,,,InputRows),$C46)*$L46</f>
        <v>1500</v>
      </c>
      <c r="AO46" s="100"/>
      <c r="AP46" s="100">
        <f t="shared" ca="1" si="350"/>
        <v>1500</v>
      </c>
      <c r="AQ46" s="37"/>
      <c r="AR46" s="100">
        <f ca="1">SUMPRODUCT(--($CX$9:$EX$9=$H46)*$AJ46,'General Inputs'!$K$40:$BK$40)+SUMPRODUCT(--($CX$9:$EX$9=$H46+$AH46)*-$AK46,'General Inputs'!$K$43:$BK$43)</f>
        <v>10024</v>
      </c>
      <c r="AS46" s="100">
        <f ca="1">CONVERT(SUMPRODUCT($CX46:$EX46,'General Inputs'!$K$29:$BK$29,'General Inputs'!$K$40:$BK$40)*$M46,$Q$8,'General Inputs'!$E$17)</f>
        <v>4017.1680410712402</v>
      </c>
      <c r="AT46" s="100">
        <f ca="1">SUMPRODUCT(--($CX$9:$EX$9=$H46)*$AN46,'General Inputs'!$K$40:$BK$40)</f>
        <v>1500</v>
      </c>
      <c r="AU46" s="100">
        <f>SUMPRODUCT(--($CX$9:$EX$9=$H46)*$AO46,'General Inputs'!$K$40:$BK$40)</f>
        <v>0</v>
      </c>
      <c r="AV46" s="100">
        <f ca="1">CONVERT(SUMPRODUCT($CX46:$EX46,'General Inputs'!$K$40:$BK$40,OFFSET('General Inputs'!$K$34:$BK$34,MATCH($D46,'General Inputs'!$J$34:$J$35,0)-1,)),$Q$8,'General Inputs'!$G$32)</f>
        <v>51260.689795511142</v>
      </c>
      <c r="AW46" s="100">
        <f ca="1">CONVERT(SUMPRODUCT($CX46:$EX46,'General Inputs'!$K$27:$BK$27,'General Inputs'!$K$40:$BK$40)*$M46,$Q$8,'General Inputs'!$E$17)</f>
        <v>16157.097502255627</v>
      </c>
      <c r="AX46" s="100">
        <f ca="1">CONVERT(SUMPRODUCT($EZ46:$GZ46,'General Inputs'!$K$28:$BK$28,'General Inputs'!$K$40:$BK$40)*$M46,$Q$8,'General Inputs'!$E$17)</f>
        <v>2216.9150833732856</v>
      </c>
      <c r="AY46" s="98">
        <f ca="1">SUMPRODUCT($CX46:$EX46,'General Inputs'!$K$40:$BK$40)</f>
        <v>336564.62416186935</v>
      </c>
      <c r="AZ46" s="37"/>
      <c r="BA46" s="100">
        <f t="shared" ca="1" si="351"/>
        <v>8350.0125856289123</v>
      </c>
      <c r="BB46" s="102">
        <f t="shared" ca="1" si="352"/>
        <v>1.8330020536341691</v>
      </c>
      <c r="BC46" s="100">
        <f t="shared" ca="1" si="273"/>
        <v>10024</v>
      </c>
      <c r="BD46" s="100">
        <f t="shared" ca="1" si="274"/>
        <v>18374.012585628912</v>
      </c>
      <c r="BE46" s="100">
        <f t="shared" ca="1" si="275"/>
        <v>16157.097502255627</v>
      </c>
      <c r="BF46" s="100">
        <f t="shared" ca="1" si="276"/>
        <v>2216.9150833732856</v>
      </c>
      <c r="BG46" s="100">
        <f t="shared" si="277"/>
        <v>0</v>
      </c>
      <c r="BH46" s="100">
        <f t="shared" ca="1" si="278"/>
        <v>10024</v>
      </c>
      <c r="BI46" s="37"/>
      <c r="BJ46" s="100">
        <f t="shared" ca="1" si="353"/>
        <v>12367.180626700152</v>
      </c>
      <c r="BK46" s="102">
        <f t="shared" ca="1" si="354"/>
        <v>2.233757045760191</v>
      </c>
      <c r="BL46" s="100">
        <f t="shared" ca="1" si="279"/>
        <v>10024</v>
      </c>
      <c r="BM46" s="100">
        <f t="shared" ca="1" si="164"/>
        <v>22391.180626700152</v>
      </c>
      <c r="BN46" s="100">
        <f t="shared" ca="1" si="280"/>
        <v>16157.097502255627</v>
      </c>
      <c r="BO46" s="100">
        <f t="shared" ca="1" si="281"/>
        <v>2216.9150833732856</v>
      </c>
      <c r="BP46" s="100">
        <f t="shared" ca="1" si="282"/>
        <v>4017.1680410712402</v>
      </c>
      <c r="BQ46" s="100">
        <f t="shared" si="283"/>
        <v>0</v>
      </c>
      <c r="BR46" s="100">
        <f t="shared" ca="1" si="284"/>
        <v>10024</v>
      </c>
      <c r="BS46" s="37"/>
      <c r="BT46" s="100">
        <f t="shared" ca="1" si="355"/>
        <v>42736.689795511142</v>
      </c>
      <c r="BU46" s="102">
        <f t="shared" ca="1" si="356"/>
        <v>5.263436731395764</v>
      </c>
      <c r="BV46" s="102">
        <f t="shared" ca="1" si="285"/>
        <v>3.4198188215376799</v>
      </c>
      <c r="BW46" s="100">
        <f t="shared" ca="1" si="286"/>
        <v>10024</v>
      </c>
      <c r="BX46" s="100">
        <f t="shared" ca="1" si="287"/>
        <v>52760.689795511142</v>
      </c>
      <c r="BY46" s="100">
        <f t="shared" ca="1" si="288"/>
        <v>51260.689795511142</v>
      </c>
      <c r="BZ46" s="100">
        <f t="shared" ca="1" si="289"/>
        <v>1500</v>
      </c>
      <c r="CA46" s="100">
        <f t="shared" ca="1" si="290"/>
        <v>10024</v>
      </c>
      <c r="CB46" s="37"/>
      <c r="CC46" s="100">
        <f t="shared" ca="1" si="357"/>
        <v>16874.012585628912</v>
      </c>
      <c r="CD46" s="102">
        <f t="shared" ca="1" si="358"/>
        <v>12.249341723752607</v>
      </c>
      <c r="CE46" s="103">
        <f t="shared" ca="1" si="291"/>
        <v>-9.482545498207795E-2</v>
      </c>
      <c r="CF46" s="100">
        <f t="shared" ca="1" si="292"/>
        <v>1500</v>
      </c>
      <c r="CG46" s="100">
        <f t="shared" ca="1" si="293"/>
        <v>18374.012585628912</v>
      </c>
      <c r="CH46" s="100">
        <f t="shared" ca="1" si="294"/>
        <v>16157.097502255627</v>
      </c>
      <c r="CI46" s="100">
        <f t="shared" ca="1" si="71"/>
        <v>2216.9150833732856</v>
      </c>
      <c r="CJ46" s="100">
        <f t="shared" ca="1" si="72"/>
        <v>1500</v>
      </c>
      <c r="CK46" s="100">
        <f t="shared" si="295"/>
        <v>0</v>
      </c>
      <c r="CL46" s="37"/>
      <c r="CM46" s="100">
        <f t="shared" ca="1" si="359"/>
        <v>-34386.677209882226</v>
      </c>
      <c r="CN46" s="102">
        <f t="shared" ca="1" si="360"/>
        <v>0.34825194016307509</v>
      </c>
      <c r="CO46" s="128"/>
      <c r="CP46" s="100">
        <f t="shared" ca="1" si="296"/>
        <v>52760.689795511142</v>
      </c>
      <c r="CQ46" s="100">
        <f t="shared" ca="1" si="297"/>
        <v>18374.012585628912</v>
      </c>
      <c r="CR46" s="100">
        <f t="shared" ca="1" si="298"/>
        <v>16157.097502255627</v>
      </c>
      <c r="CS46" s="100">
        <f t="shared" ca="1" si="73"/>
        <v>2216.9150833732856</v>
      </c>
      <c r="CT46" s="100">
        <f t="shared" ca="1" si="299"/>
        <v>51260.689795511142</v>
      </c>
      <c r="CU46" s="100">
        <f t="shared" ca="1" si="300"/>
        <v>1500</v>
      </c>
      <c r="CV46" s="100">
        <f t="shared" si="301"/>
        <v>0</v>
      </c>
      <c r="CW46" s="37"/>
      <c r="CX46" s="48">
        <f t="shared" ca="1" si="361"/>
        <v>34941.728999999999</v>
      </c>
      <c r="CY46" s="48">
        <f t="shared" ca="1" si="361"/>
        <v>34941.728999999999</v>
      </c>
      <c r="CZ46" s="48">
        <f t="shared" ca="1" si="361"/>
        <v>34941.728999999999</v>
      </c>
      <c r="DA46" s="48">
        <f t="shared" ca="1" si="361"/>
        <v>34941.728999999999</v>
      </c>
      <c r="DB46" s="48">
        <f t="shared" ca="1" si="361"/>
        <v>34941.728999999999</v>
      </c>
      <c r="DC46" s="48">
        <f t="shared" ca="1" si="361"/>
        <v>34941.728999999999</v>
      </c>
      <c r="DD46" s="48">
        <f t="shared" ca="1" si="361"/>
        <v>34941.728999999999</v>
      </c>
      <c r="DE46" s="48">
        <f t="shared" ca="1" si="361"/>
        <v>34941.728999999999</v>
      </c>
      <c r="DF46" s="48">
        <f t="shared" ca="1" si="361"/>
        <v>34941.728999999999</v>
      </c>
      <c r="DG46" s="48">
        <f t="shared" ca="1" si="361"/>
        <v>34941.728999999999</v>
      </c>
      <c r="DH46" s="48">
        <f t="shared" ca="1" si="361"/>
        <v>34941.728999999999</v>
      </c>
      <c r="DI46" s="48">
        <f t="shared" ca="1" si="361"/>
        <v>34941.728999999999</v>
      </c>
      <c r="DJ46" s="48">
        <f t="shared" ca="1" si="361"/>
        <v>34941.728999999999</v>
      </c>
      <c r="DK46" s="48">
        <f t="shared" ca="1" si="361"/>
        <v>34941.728999999999</v>
      </c>
      <c r="DL46" s="48">
        <f t="shared" ca="1" si="361"/>
        <v>34941.728999999999</v>
      </c>
      <c r="DM46" s="48">
        <f t="shared" ca="1" si="361"/>
        <v>34941.728999999999</v>
      </c>
      <c r="DN46" s="48">
        <f t="shared" ca="1" si="362"/>
        <v>34941.728999999999</v>
      </c>
      <c r="DO46" s="48">
        <f t="shared" ca="1" si="362"/>
        <v>34941.728999999999</v>
      </c>
      <c r="DP46" s="48">
        <f t="shared" ca="1" si="362"/>
        <v>0</v>
      </c>
      <c r="DQ46" s="48">
        <f t="shared" ca="1" si="362"/>
        <v>0</v>
      </c>
      <c r="DR46" s="48">
        <f t="shared" ca="1" si="362"/>
        <v>0</v>
      </c>
      <c r="DS46" s="48">
        <f t="shared" ca="1" si="362"/>
        <v>0</v>
      </c>
      <c r="DT46" s="48">
        <f t="shared" ca="1" si="362"/>
        <v>0</v>
      </c>
      <c r="DU46" s="48">
        <f t="shared" ca="1" si="362"/>
        <v>0</v>
      </c>
      <c r="DV46" s="48">
        <f t="shared" ca="1" si="362"/>
        <v>0</v>
      </c>
      <c r="DW46" s="48">
        <f t="shared" ca="1" si="362"/>
        <v>0</v>
      </c>
      <c r="DX46" s="48">
        <f t="shared" ca="1" si="362"/>
        <v>0</v>
      </c>
      <c r="DY46" s="48">
        <f t="shared" ca="1" si="362"/>
        <v>0</v>
      </c>
      <c r="DZ46" s="48">
        <f t="shared" ca="1" si="362"/>
        <v>0</v>
      </c>
      <c r="EA46" s="48">
        <f t="shared" ca="1" si="362"/>
        <v>0</v>
      </c>
      <c r="EB46" s="48">
        <f t="shared" ca="1" si="362"/>
        <v>0</v>
      </c>
      <c r="EC46" s="48">
        <f t="shared" ca="1" si="362"/>
        <v>0</v>
      </c>
      <c r="ED46" s="48">
        <f t="shared" ca="1" si="363"/>
        <v>0</v>
      </c>
      <c r="EE46" s="48">
        <f t="shared" ca="1" si="363"/>
        <v>0</v>
      </c>
      <c r="EF46" s="48">
        <f t="shared" ca="1" si="363"/>
        <v>0</v>
      </c>
      <c r="EG46" s="48">
        <f t="shared" ca="1" si="363"/>
        <v>0</v>
      </c>
      <c r="EH46" s="48">
        <f t="shared" ca="1" si="363"/>
        <v>0</v>
      </c>
      <c r="EI46" s="48">
        <f t="shared" ca="1" si="363"/>
        <v>0</v>
      </c>
      <c r="EJ46" s="48">
        <f t="shared" ca="1" si="363"/>
        <v>0</v>
      </c>
      <c r="EK46" s="48">
        <f t="shared" ca="1" si="363"/>
        <v>0</v>
      </c>
      <c r="EL46" s="48">
        <f t="shared" ca="1" si="363"/>
        <v>0</v>
      </c>
      <c r="EM46" s="48">
        <f t="shared" ca="1" si="363"/>
        <v>0</v>
      </c>
      <c r="EN46" s="48">
        <f t="shared" ca="1" si="363"/>
        <v>0</v>
      </c>
      <c r="EO46" s="48">
        <f t="shared" ca="1" si="363"/>
        <v>0</v>
      </c>
      <c r="EP46" s="48">
        <f t="shared" ca="1" si="363"/>
        <v>0</v>
      </c>
      <c r="EQ46" s="48">
        <f t="shared" ca="1" si="363"/>
        <v>0</v>
      </c>
      <c r="ER46" s="48">
        <f t="shared" ca="1" si="363"/>
        <v>0</v>
      </c>
      <c r="ES46" s="48">
        <f t="shared" ca="1" si="363"/>
        <v>0</v>
      </c>
      <c r="ET46" s="48">
        <f t="shared" ca="1" si="364"/>
        <v>0</v>
      </c>
      <c r="EU46" s="48">
        <f t="shared" ca="1" si="364"/>
        <v>0</v>
      </c>
      <c r="EV46" s="48">
        <f t="shared" ca="1" si="364"/>
        <v>0</v>
      </c>
      <c r="EW46" s="48">
        <f t="shared" ca="1" si="364"/>
        <v>0</v>
      </c>
      <c r="EX46" s="48">
        <f t="shared" ca="1" si="364"/>
        <v>0</v>
      </c>
      <c r="EY46" s="69"/>
      <c r="EZ46" s="48">
        <f t="shared" ca="1" si="365"/>
        <v>12.747000000000002</v>
      </c>
      <c r="FA46" s="48">
        <f t="shared" ca="1" si="365"/>
        <v>12.747000000000002</v>
      </c>
      <c r="FB46" s="48">
        <f t="shared" ca="1" si="365"/>
        <v>12.747000000000002</v>
      </c>
      <c r="FC46" s="48">
        <f t="shared" ca="1" si="365"/>
        <v>12.747000000000002</v>
      </c>
      <c r="FD46" s="48">
        <f t="shared" ca="1" si="365"/>
        <v>12.747000000000002</v>
      </c>
      <c r="FE46" s="48">
        <f t="shared" ca="1" si="365"/>
        <v>12.747000000000002</v>
      </c>
      <c r="FF46" s="48">
        <f t="shared" ca="1" si="365"/>
        <v>12.747000000000002</v>
      </c>
      <c r="FG46" s="48">
        <f t="shared" ca="1" si="365"/>
        <v>12.747000000000002</v>
      </c>
      <c r="FH46" s="48">
        <f t="shared" ca="1" si="365"/>
        <v>12.747000000000002</v>
      </c>
      <c r="FI46" s="48">
        <f t="shared" ca="1" si="365"/>
        <v>12.747000000000002</v>
      </c>
      <c r="FJ46" s="48">
        <f t="shared" ca="1" si="365"/>
        <v>12.747000000000002</v>
      </c>
      <c r="FK46" s="48">
        <f t="shared" ca="1" si="365"/>
        <v>12.747000000000002</v>
      </c>
      <c r="FL46" s="48">
        <f t="shared" ca="1" si="365"/>
        <v>12.747000000000002</v>
      </c>
      <c r="FM46" s="48">
        <f t="shared" ca="1" si="365"/>
        <v>12.747000000000002</v>
      </c>
      <c r="FN46" s="48">
        <f t="shared" ca="1" si="365"/>
        <v>12.747000000000002</v>
      </c>
      <c r="FO46" s="48">
        <f t="shared" ca="1" si="365"/>
        <v>12.747000000000002</v>
      </c>
      <c r="FP46" s="48">
        <f t="shared" ca="1" si="366"/>
        <v>12.747000000000002</v>
      </c>
      <c r="FQ46" s="48">
        <f t="shared" ca="1" si="366"/>
        <v>12.747000000000002</v>
      </c>
      <c r="FR46" s="48">
        <f t="shared" ca="1" si="366"/>
        <v>0</v>
      </c>
      <c r="FS46" s="48">
        <f t="shared" ca="1" si="366"/>
        <v>0</v>
      </c>
      <c r="FT46" s="48">
        <f t="shared" ca="1" si="366"/>
        <v>0</v>
      </c>
      <c r="FU46" s="48">
        <f t="shared" ca="1" si="366"/>
        <v>0</v>
      </c>
      <c r="FV46" s="48">
        <f t="shared" ca="1" si="366"/>
        <v>0</v>
      </c>
      <c r="FW46" s="48">
        <f t="shared" ca="1" si="366"/>
        <v>0</v>
      </c>
      <c r="FX46" s="48">
        <f t="shared" ca="1" si="366"/>
        <v>0</v>
      </c>
      <c r="FY46" s="48">
        <f t="shared" ca="1" si="366"/>
        <v>0</v>
      </c>
      <c r="FZ46" s="48">
        <f t="shared" ca="1" si="366"/>
        <v>0</v>
      </c>
      <c r="GA46" s="48">
        <f t="shared" ca="1" si="366"/>
        <v>0</v>
      </c>
      <c r="GB46" s="48">
        <f t="shared" ca="1" si="366"/>
        <v>0</v>
      </c>
      <c r="GC46" s="48">
        <f t="shared" ca="1" si="366"/>
        <v>0</v>
      </c>
      <c r="GD46" s="48">
        <f t="shared" ca="1" si="366"/>
        <v>0</v>
      </c>
      <c r="GE46" s="48">
        <f t="shared" ca="1" si="366"/>
        <v>0</v>
      </c>
      <c r="GF46" s="48">
        <f t="shared" ca="1" si="367"/>
        <v>0</v>
      </c>
      <c r="GG46" s="48">
        <f t="shared" ca="1" si="367"/>
        <v>0</v>
      </c>
      <c r="GH46" s="48">
        <f t="shared" ca="1" si="367"/>
        <v>0</v>
      </c>
      <c r="GI46" s="48">
        <f t="shared" ca="1" si="367"/>
        <v>0</v>
      </c>
      <c r="GJ46" s="48">
        <f t="shared" ca="1" si="367"/>
        <v>0</v>
      </c>
      <c r="GK46" s="48">
        <f t="shared" ca="1" si="367"/>
        <v>0</v>
      </c>
      <c r="GL46" s="48">
        <f t="shared" ca="1" si="367"/>
        <v>0</v>
      </c>
      <c r="GM46" s="48">
        <f t="shared" ca="1" si="367"/>
        <v>0</v>
      </c>
      <c r="GN46" s="48">
        <f t="shared" ca="1" si="367"/>
        <v>0</v>
      </c>
      <c r="GO46" s="48">
        <f t="shared" ca="1" si="367"/>
        <v>0</v>
      </c>
      <c r="GP46" s="48">
        <f t="shared" ca="1" si="367"/>
        <v>0</v>
      </c>
      <c r="GQ46" s="48">
        <f t="shared" ca="1" si="367"/>
        <v>0</v>
      </c>
      <c r="GR46" s="48">
        <f t="shared" ca="1" si="367"/>
        <v>0</v>
      </c>
      <c r="GS46" s="48">
        <f t="shared" ca="1" si="367"/>
        <v>0</v>
      </c>
      <c r="GT46" s="48">
        <f t="shared" ca="1" si="367"/>
        <v>0</v>
      </c>
      <c r="GU46" s="48">
        <f t="shared" ca="1" si="367"/>
        <v>0</v>
      </c>
      <c r="GV46" s="48">
        <f t="shared" ca="1" si="368"/>
        <v>0</v>
      </c>
      <c r="GW46" s="48">
        <f t="shared" ca="1" si="368"/>
        <v>0</v>
      </c>
      <c r="GX46" s="48">
        <f t="shared" ca="1" si="368"/>
        <v>0</v>
      </c>
      <c r="GY46" s="48">
        <f t="shared" ca="1" si="368"/>
        <v>0</v>
      </c>
      <c r="GZ46" s="48">
        <f t="shared" ca="1" si="368"/>
        <v>0</v>
      </c>
      <c r="HA46" s="69"/>
      <c r="HB46" s="150">
        <f t="shared" ca="1" si="74"/>
        <v>1.8330020536341691</v>
      </c>
      <c r="HC46" s="150">
        <f t="shared" ca="1" si="369"/>
        <v>12.249341723752607</v>
      </c>
      <c r="HD46" s="150">
        <f t="shared" ca="1" si="76"/>
        <v>2.233757045760191</v>
      </c>
      <c r="HE46" s="150">
        <f t="shared" ca="1" si="370"/>
        <v>5.263436731395764</v>
      </c>
      <c r="HF46" s="150">
        <f t="shared" ca="1" si="371"/>
        <v>0.34825194016307509</v>
      </c>
      <c r="HG46" s="148"/>
      <c r="HH46" s="149"/>
      <c r="HI46" s="149"/>
      <c r="HJ46" s="149"/>
      <c r="HK46" s="150"/>
      <c r="HL46" s="149"/>
      <c r="HM46" s="149"/>
      <c r="HN46" s="149"/>
      <c r="HO46" s="150"/>
      <c r="HP46" s="148"/>
      <c r="HQ46" s="149"/>
      <c r="HR46" s="149"/>
      <c r="HS46" s="149"/>
      <c r="HT46" s="150"/>
      <c r="HU46" s="149"/>
      <c r="HV46" s="149"/>
      <c r="HW46" s="149"/>
      <c r="HX46" s="150"/>
      <c r="HY46" s="151"/>
      <c r="HZ46" s="150"/>
      <c r="IA46" s="150"/>
      <c r="IB46" s="152"/>
      <c r="IC46" s="150"/>
      <c r="ID46" s="152"/>
      <c r="IE46" s="150"/>
      <c r="IF46" s="153"/>
    </row>
    <row r="47" spans="1:240" s="36" customFormat="1" ht="14.4" customHeight="1">
      <c r="A47" s="39"/>
      <c r="B47" s="50" t="str">
        <f t="shared" si="340"/>
        <v>Residential_High Efficiency HVAC_Water Heating_Heat Pump Water Heater_2017_Actual</v>
      </c>
      <c r="C47" s="50">
        <f>INDEX('Measure Inputs'!$D:$D,MATCH($B47,'Measure Inputs'!$B:$B,0))</f>
        <v>13</v>
      </c>
      <c r="D47" s="51" t="str">
        <f>'Measure Inputs'!G19</f>
        <v>Residential</v>
      </c>
      <c r="E47" s="51" t="str">
        <f>'Measure Inputs'!H19</f>
        <v>High Efficiency HVAC</v>
      </c>
      <c r="F47" s="51" t="str">
        <f>'Measure Inputs'!I19</f>
        <v>Water Heating</v>
      </c>
      <c r="G47" s="51" t="str">
        <f>'Measure Inputs'!J19</f>
        <v>Heat Pump Water Heater</v>
      </c>
      <c r="H47" s="51">
        <f>'Measure Inputs'!K19</f>
        <v>2017</v>
      </c>
      <c r="I47" s="51" t="str">
        <f>'Measure Inputs'!L19</f>
        <v>Actual</v>
      </c>
      <c r="J47" s="37"/>
      <c r="K47" s="99" t="str">
        <f ca="1">INDEX(OFFSET('Measure Inputs'!$O$7,,,InputRows),$C47)</f>
        <v>Units</v>
      </c>
      <c r="L47" s="38">
        <f ca="1">INDEX(OFFSET('Measure Inputs'!$Q$7,,,InputRows),$C47)</f>
        <v>7</v>
      </c>
      <c r="M47" s="167">
        <f>INDEX('General Inputs'!$E$14:$E$15,MATCH(D47,'General Inputs'!$D$14:$D$15,0))</f>
        <v>1.0469999999999999</v>
      </c>
      <c r="N47" s="54">
        <f ca="1">INDEX(OFFSET('Measure Inputs'!$Y$7,,,InputRows),$C47)</f>
        <v>1</v>
      </c>
      <c r="O47" s="54">
        <f ca="1">INDEX(OFFSET('Measure Inputs'!$Z$7,,,InputRows),$C47)</f>
        <v>1</v>
      </c>
      <c r="P47" s="37"/>
      <c r="Q47" s="127">
        <f ca="1">CONVERT(INDEX(OFFSET('Measure Inputs'!$AB$7,,,InputRows),$C47),'Measure Inputs'!$AB$6,Q$8)*$L47</f>
        <v>21247</v>
      </c>
      <c r="R47" s="127">
        <f t="shared" ca="1" si="341"/>
        <v>21247</v>
      </c>
      <c r="S47" s="127">
        <f t="shared" ca="1" si="342"/>
        <v>21247</v>
      </c>
      <c r="T47" s="37"/>
      <c r="U47" s="127">
        <f ca="1">CONVERT(INDEX(OFFSET('Measure Inputs'!$AD$7,,,InputRows),$C47),'Measure Inputs'!$AD$6,U$8)*$L47</f>
        <v>0</v>
      </c>
      <c r="V47" s="127">
        <f t="shared" ca="1" si="343"/>
        <v>0</v>
      </c>
      <c r="W47" s="127">
        <f t="shared" ca="1" si="344"/>
        <v>0</v>
      </c>
      <c r="X47" s="37"/>
      <c r="Y47" s="127">
        <f ca="1">CONVERT(INDEX(OFFSET('Measure Inputs'!$AC$7,,,InputRows),$C47),'Measure Inputs'!$AC$6,Y$8)*$L47</f>
        <v>1.0050000000000001</v>
      </c>
      <c r="Z47" s="127">
        <f t="shared" ca="1" si="345"/>
        <v>1.0050000000000001</v>
      </c>
      <c r="AA47" s="127">
        <f t="shared" ca="1" si="346"/>
        <v>1.0050000000000001</v>
      </c>
      <c r="AB47" s="37"/>
      <c r="AC47" s="127">
        <f ca="1">CONVERT(INDEX(OFFSET('Measure Inputs'!$AE$7,,,InputRows),$C47),'Measure Inputs'!$AE$6,AC$8)*$L47</f>
        <v>0</v>
      </c>
      <c r="AD47" s="127">
        <f t="shared" ca="1" si="347"/>
        <v>0</v>
      </c>
      <c r="AE47" s="127">
        <f t="shared" ca="1" si="348"/>
        <v>0</v>
      </c>
      <c r="AF47" s="37"/>
      <c r="AG47" s="97">
        <f ca="1">INDEX(OFFSET('Measure Inputs'!$R$7,,,InputRows),$C47)</f>
        <v>15</v>
      </c>
      <c r="AH47" s="97">
        <f ca="1">INDEX(OFFSET('Measure Inputs'!$S$7,,,InputRows),$C47)</f>
        <v>0</v>
      </c>
      <c r="AI47" s="97">
        <f t="shared" ca="1" si="349"/>
        <v>318705</v>
      </c>
      <c r="AJ47" s="100">
        <f ca="1">INDEX(OFFSET('Measure Inputs'!$T$7,,,InputRows),$C47)*$L47*$N47*$O47</f>
        <v>4900</v>
      </c>
      <c r="AK47" s="100">
        <f ca="1">INDEX(OFFSET('Measure Inputs'!$U$7,,,InputRows),$C47)*$L47*$N47*$O47</f>
        <v>0</v>
      </c>
      <c r="AL47" s="100">
        <f ca="1">INDEX(OFFSET('Measure Inputs'!$V$7,,,InputRows),$C47)*$L47*$N47*$O47</f>
        <v>0</v>
      </c>
      <c r="AM47" s="100">
        <f ca="1">INDEX(OFFSET('Measure Inputs'!$W$7,,,InputRows),$C47)*$L47*$N47*$O47</f>
        <v>0</v>
      </c>
      <c r="AN47" s="100">
        <f ca="1">INDEX(OFFSET('Measure Inputs'!$X$7,,,InputRows),$C47)*$L47</f>
        <v>1830</v>
      </c>
      <c r="AO47" s="100"/>
      <c r="AP47" s="100">
        <f t="shared" ca="1" si="350"/>
        <v>1830</v>
      </c>
      <c r="AQ47" s="37"/>
      <c r="AR47" s="100">
        <f ca="1">SUMPRODUCT(--($CX$9:$EX$9=$H47)*$AJ47,'General Inputs'!$K$40:$BK$40)+SUMPRODUCT(--($CX$9:$EX$9=$H47+$AH47)*-$AK47,'General Inputs'!$K$43:$BK$43)</f>
        <v>4900</v>
      </c>
      <c r="AS47" s="100">
        <f ca="1">CONVERT(SUMPRODUCT($CX47:$EX47,'General Inputs'!$K$29:$BK$29,'General Inputs'!$K$40:$BK$40)*$M47,$Q$8,'General Inputs'!$E$17)</f>
        <v>2246.0682705143449</v>
      </c>
      <c r="AT47" s="100">
        <f ca="1">SUMPRODUCT(--($CX$9:$EX$9=$H47)*$AN47,'General Inputs'!$K$40:$BK$40)</f>
        <v>1830</v>
      </c>
      <c r="AU47" s="100">
        <f>SUMPRODUCT(--($CX$9:$EX$9=$H47)*$AO47,'General Inputs'!$K$40:$BK$40)</f>
        <v>0</v>
      </c>
      <c r="AV47" s="100">
        <f ca="1">CONVERT(SUMPRODUCT($CX47:$EX47,'General Inputs'!$K$40:$BK$40,OFFSET('General Inputs'!$K$34:$BK$34,MATCH($D47,'General Inputs'!$J$34:$J$35,0)-1,)),$Q$8,'General Inputs'!$G$32)</f>
        <v>28281.064221168253</v>
      </c>
      <c r="AW47" s="100">
        <f ca="1">CONVERT(SUMPRODUCT($CX47:$EX47,'General Inputs'!$K$27:$BK$27,'General Inputs'!$K$40:$BK$40)*$M47,$Q$8,'General Inputs'!$E$17)</f>
        <v>8914.0414206634887</v>
      </c>
      <c r="AX47" s="100">
        <f ca="1">CONVERT(SUMPRODUCT($EZ47:$GZ47,'General Inputs'!$K$28:$BK$28,'General Inputs'!$K$40:$BK$40)*$M47,$Q$8,'General Inputs'!$E$17)</f>
        <v>158.58613302473111</v>
      </c>
      <c r="AY47" s="98">
        <f ca="1">SUMPRODUCT($CX47:$EX47,'General Inputs'!$K$40:$BK$40)</f>
        <v>188179.11413682744</v>
      </c>
      <c r="AZ47" s="37"/>
      <c r="BA47" s="100">
        <f t="shared" ca="1" si="351"/>
        <v>4172.6275536882204</v>
      </c>
      <c r="BB47" s="102">
        <f t="shared" ca="1" si="352"/>
        <v>1.851556643609841</v>
      </c>
      <c r="BC47" s="100">
        <f t="shared" ca="1" si="273"/>
        <v>4900</v>
      </c>
      <c r="BD47" s="100">
        <f t="shared" ca="1" si="274"/>
        <v>9072.6275536882204</v>
      </c>
      <c r="BE47" s="100">
        <f t="shared" ca="1" si="275"/>
        <v>8914.0414206634887</v>
      </c>
      <c r="BF47" s="100">
        <f t="shared" ca="1" si="276"/>
        <v>158.58613302473111</v>
      </c>
      <c r="BG47" s="100">
        <f t="shared" si="277"/>
        <v>0</v>
      </c>
      <c r="BH47" s="100">
        <f t="shared" ca="1" si="278"/>
        <v>4900</v>
      </c>
      <c r="BI47" s="37"/>
      <c r="BJ47" s="100">
        <f t="shared" ca="1" si="353"/>
        <v>6418.6958242025648</v>
      </c>
      <c r="BK47" s="102">
        <f t="shared" ca="1" si="354"/>
        <v>2.3099379233066459</v>
      </c>
      <c r="BL47" s="100">
        <f t="shared" ca="1" si="279"/>
        <v>4900</v>
      </c>
      <c r="BM47" s="100">
        <f t="shared" ca="1" si="164"/>
        <v>11318.695824202565</v>
      </c>
      <c r="BN47" s="100">
        <f t="shared" ca="1" si="280"/>
        <v>8914.0414206634887</v>
      </c>
      <c r="BO47" s="100">
        <f t="shared" ca="1" si="281"/>
        <v>158.58613302473111</v>
      </c>
      <c r="BP47" s="100">
        <f t="shared" ca="1" si="282"/>
        <v>2246.0682705143449</v>
      </c>
      <c r="BQ47" s="100">
        <f t="shared" si="283"/>
        <v>0</v>
      </c>
      <c r="BR47" s="100">
        <f t="shared" ca="1" si="284"/>
        <v>4900</v>
      </c>
      <c r="BS47" s="37"/>
      <c r="BT47" s="100">
        <f t="shared" ca="1" si="355"/>
        <v>25211.064221168253</v>
      </c>
      <c r="BU47" s="102">
        <f t="shared" ca="1" si="356"/>
        <v>6.1451151471771945</v>
      </c>
      <c r="BV47" s="102">
        <f t="shared" ca="1" si="285"/>
        <v>2.4409632107366392</v>
      </c>
      <c r="BW47" s="100">
        <f t="shared" ca="1" si="286"/>
        <v>4900</v>
      </c>
      <c r="BX47" s="100">
        <f t="shared" ca="1" si="287"/>
        <v>30111.064221168253</v>
      </c>
      <c r="BY47" s="100">
        <f t="shared" ca="1" si="288"/>
        <v>28281.064221168253</v>
      </c>
      <c r="BZ47" s="100">
        <f t="shared" ca="1" si="289"/>
        <v>1830</v>
      </c>
      <c r="CA47" s="100">
        <f t="shared" ca="1" si="290"/>
        <v>4900</v>
      </c>
      <c r="CB47" s="37"/>
      <c r="CC47" s="100">
        <f t="shared" ca="1" si="357"/>
        <v>7242.6275536882204</v>
      </c>
      <c r="CD47" s="102">
        <f t="shared" ca="1" si="358"/>
        <v>4.957719974693017</v>
      </c>
      <c r="CE47" s="103">
        <f t="shared" ca="1" si="291"/>
        <v>-0.20691015786403921</v>
      </c>
      <c r="CF47" s="100">
        <f t="shared" ca="1" si="292"/>
        <v>1830</v>
      </c>
      <c r="CG47" s="100">
        <f t="shared" ca="1" si="293"/>
        <v>9072.6275536882204</v>
      </c>
      <c r="CH47" s="100">
        <f t="shared" ca="1" si="294"/>
        <v>8914.0414206634887</v>
      </c>
      <c r="CI47" s="100">
        <f t="shared" ca="1" si="71"/>
        <v>158.58613302473111</v>
      </c>
      <c r="CJ47" s="100">
        <f t="shared" ca="1" si="72"/>
        <v>1830</v>
      </c>
      <c r="CK47" s="100">
        <f t="shared" si="295"/>
        <v>0</v>
      </c>
      <c r="CL47" s="37"/>
      <c r="CM47" s="100">
        <f t="shared" ca="1" si="359"/>
        <v>-21038.436667480033</v>
      </c>
      <c r="CN47" s="102">
        <f t="shared" ca="1" si="360"/>
        <v>0.30130544330977549</v>
      </c>
      <c r="CO47" s="128"/>
      <c r="CP47" s="100">
        <f t="shared" ca="1" si="296"/>
        <v>30111.064221168253</v>
      </c>
      <c r="CQ47" s="100">
        <f t="shared" ca="1" si="297"/>
        <v>9072.6275536882204</v>
      </c>
      <c r="CR47" s="100">
        <f t="shared" ca="1" si="298"/>
        <v>8914.0414206634887</v>
      </c>
      <c r="CS47" s="100">
        <f t="shared" ca="1" si="73"/>
        <v>158.58613302473111</v>
      </c>
      <c r="CT47" s="100">
        <f t="shared" ca="1" si="299"/>
        <v>28281.064221168253</v>
      </c>
      <c r="CU47" s="100">
        <f t="shared" ca="1" si="300"/>
        <v>1830</v>
      </c>
      <c r="CV47" s="100">
        <f t="shared" si="301"/>
        <v>0</v>
      </c>
      <c r="CW47" s="37"/>
      <c r="CX47" s="48">
        <f t="shared" ca="1" si="361"/>
        <v>21247</v>
      </c>
      <c r="CY47" s="48">
        <f t="shared" ca="1" si="361"/>
        <v>21247</v>
      </c>
      <c r="CZ47" s="48">
        <f t="shared" ca="1" si="361"/>
        <v>21247</v>
      </c>
      <c r="DA47" s="48">
        <f t="shared" ca="1" si="361"/>
        <v>21247</v>
      </c>
      <c r="DB47" s="48">
        <f t="shared" ca="1" si="361"/>
        <v>21247</v>
      </c>
      <c r="DC47" s="48">
        <f t="shared" ca="1" si="361"/>
        <v>21247</v>
      </c>
      <c r="DD47" s="48">
        <f t="shared" ca="1" si="361"/>
        <v>21247</v>
      </c>
      <c r="DE47" s="48">
        <f t="shared" ca="1" si="361"/>
        <v>21247</v>
      </c>
      <c r="DF47" s="48">
        <f t="shared" ca="1" si="361"/>
        <v>21247</v>
      </c>
      <c r="DG47" s="48">
        <f t="shared" ca="1" si="361"/>
        <v>21247</v>
      </c>
      <c r="DH47" s="48">
        <f t="shared" ca="1" si="361"/>
        <v>21247</v>
      </c>
      <c r="DI47" s="48">
        <f t="shared" ca="1" si="361"/>
        <v>21247</v>
      </c>
      <c r="DJ47" s="48">
        <f t="shared" ca="1" si="361"/>
        <v>21247</v>
      </c>
      <c r="DK47" s="48">
        <f t="shared" ca="1" si="361"/>
        <v>21247</v>
      </c>
      <c r="DL47" s="48">
        <f t="shared" ca="1" si="361"/>
        <v>21247</v>
      </c>
      <c r="DM47" s="48">
        <f t="shared" ca="1" si="361"/>
        <v>0</v>
      </c>
      <c r="DN47" s="48">
        <f t="shared" ca="1" si="362"/>
        <v>0</v>
      </c>
      <c r="DO47" s="48">
        <f t="shared" ca="1" si="362"/>
        <v>0</v>
      </c>
      <c r="DP47" s="48">
        <f t="shared" ca="1" si="362"/>
        <v>0</v>
      </c>
      <c r="DQ47" s="48">
        <f t="shared" ca="1" si="362"/>
        <v>0</v>
      </c>
      <c r="DR47" s="48">
        <f t="shared" ca="1" si="362"/>
        <v>0</v>
      </c>
      <c r="DS47" s="48">
        <f t="shared" ca="1" si="362"/>
        <v>0</v>
      </c>
      <c r="DT47" s="48">
        <f t="shared" ca="1" si="362"/>
        <v>0</v>
      </c>
      <c r="DU47" s="48">
        <f t="shared" ca="1" si="362"/>
        <v>0</v>
      </c>
      <c r="DV47" s="48">
        <f t="shared" ca="1" si="362"/>
        <v>0</v>
      </c>
      <c r="DW47" s="48">
        <f t="shared" ca="1" si="362"/>
        <v>0</v>
      </c>
      <c r="DX47" s="48">
        <f t="shared" ca="1" si="362"/>
        <v>0</v>
      </c>
      <c r="DY47" s="48">
        <f t="shared" ca="1" si="362"/>
        <v>0</v>
      </c>
      <c r="DZ47" s="48">
        <f t="shared" ca="1" si="362"/>
        <v>0</v>
      </c>
      <c r="EA47" s="48">
        <f t="shared" ca="1" si="362"/>
        <v>0</v>
      </c>
      <c r="EB47" s="48">
        <f t="shared" ca="1" si="362"/>
        <v>0</v>
      </c>
      <c r="EC47" s="48">
        <f t="shared" ca="1" si="362"/>
        <v>0</v>
      </c>
      <c r="ED47" s="48">
        <f t="shared" ca="1" si="363"/>
        <v>0</v>
      </c>
      <c r="EE47" s="48">
        <f t="shared" ca="1" si="363"/>
        <v>0</v>
      </c>
      <c r="EF47" s="48">
        <f t="shared" ca="1" si="363"/>
        <v>0</v>
      </c>
      <c r="EG47" s="48">
        <f t="shared" ca="1" si="363"/>
        <v>0</v>
      </c>
      <c r="EH47" s="48">
        <f t="shared" ca="1" si="363"/>
        <v>0</v>
      </c>
      <c r="EI47" s="48">
        <f t="shared" ca="1" si="363"/>
        <v>0</v>
      </c>
      <c r="EJ47" s="48">
        <f t="shared" ca="1" si="363"/>
        <v>0</v>
      </c>
      <c r="EK47" s="48">
        <f t="shared" ca="1" si="363"/>
        <v>0</v>
      </c>
      <c r="EL47" s="48">
        <f t="shared" ca="1" si="363"/>
        <v>0</v>
      </c>
      <c r="EM47" s="48">
        <f t="shared" ca="1" si="363"/>
        <v>0</v>
      </c>
      <c r="EN47" s="48">
        <f t="shared" ca="1" si="363"/>
        <v>0</v>
      </c>
      <c r="EO47" s="48">
        <f t="shared" ca="1" si="363"/>
        <v>0</v>
      </c>
      <c r="EP47" s="48">
        <f t="shared" ca="1" si="363"/>
        <v>0</v>
      </c>
      <c r="EQ47" s="48">
        <f t="shared" ca="1" si="363"/>
        <v>0</v>
      </c>
      <c r="ER47" s="48">
        <f t="shared" ca="1" si="363"/>
        <v>0</v>
      </c>
      <c r="ES47" s="48">
        <f t="shared" ca="1" si="363"/>
        <v>0</v>
      </c>
      <c r="ET47" s="48">
        <f t="shared" ca="1" si="364"/>
        <v>0</v>
      </c>
      <c r="EU47" s="48">
        <f t="shared" ca="1" si="364"/>
        <v>0</v>
      </c>
      <c r="EV47" s="48">
        <f t="shared" ca="1" si="364"/>
        <v>0</v>
      </c>
      <c r="EW47" s="48">
        <f t="shared" ca="1" si="364"/>
        <v>0</v>
      </c>
      <c r="EX47" s="48">
        <f t="shared" ca="1" si="364"/>
        <v>0</v>
      </c>
      <c r="EY47" s="69"/>
      <c r="EZ47" s="48">
        <f t="shared" ca="1" si="365"/>
        <v>1.0050000000000001</v>
      </c>
      <c r="FA47" s="48">
        <f t="shared" ca="1" si="365"/>
        <v>1.0050000000000001</v>
      </c>
      <c r="FB47" s="48">
        <f t="shared" ca="1" si="365"/>
        <v>1.0050000000000001</v>
      </c>
      <c r="FC47" s="48">
        <f t="shared" ca="1" si="365"/>
        <v>1.0050000000000001</v>
      </c>
      <c r="FD47" s="48">
        <f t="shared" ca="1" si="365"/>
        <v>1.0050000000000001</v>
      </c>
      <c r="FE47" s="48">
        <f t="shared" ca="1" si="365"/>
        <v>1.0050000000000001</v>
      </c>
      <c r="FF47" s="48">
        <f t="shared" ca="1" si="365"/>
        <v>1.0050000000000001</v>
      </c>
      <c r="FG47" s="48">
        <f t="shared" ca="1" si="365"/>
        <v>1.0050000000000001</v>
      </c>
      <c r="FH47" s="48">
        <f t="shared" ca="1" si="365"/>
        <v>1.0050000000000001</v>
      </c>
      <c r="FI47" s="48">
        <f t="shared" ca="1" si="365"/>
        <v>1.0050000000000001</v>
      </c>
      <c r="FJ47" s="48">
        <f t="shared" ca="1" si="365"/>
        <v>1.0050000000000001</v>
      </c>
      <c r="FK47" s="48">
        <f t="shared" ca="1" si="365"/>
        <v>1.0050000000000001</v>
      </c>
      <c r="FL47" s="48">
        <f t="shared" ca="1" si="365"/>
        <v>1.0050000000000001</v>
      </c>
      <c r="FM47" s="48">
        <f t="shared" ca="1" si="365"/>
        <v>1.0050000000000001</v>
      </c>
      <c r="FN47" s="48">
        <f t="shared" ca="1" si="365"/>
        <v>1.0050000000000001</v>
      </c>
      <c r="FO47" s="48">
        <f t="shared" ca="1" si="365"/>
        <v>0</v>
      </c>
      <c r="FP47" s="48">
        <f t="shared" ca="1" si="366"/>
        <v>0</v>
      </c>
      <c r="FQ47" s="48">
        <f t="shared" ca="1" si="366"/>
        <v>0</v>
      </c>
      <c r="FR47" s="48">
        <f t="shared" ca="1" si="366"/>
        <v>0</v>
      </c>
      <c r="FS47" s="48">
        <f t="shared" ca="1" si="366"/>
        <v>0</v>
      </c>
      <c r="FT47" s="48">
        <f t="shared" ca="1" si="366"/>
        <v>0</v>
      </c>
      <c r="FU47" s="48">
        <f t="shared" ca="1" si="366"/>
        <v>0</v>
      </c>
      <c r="FV47" s="48">
        <f t="shared" ca="1" si="366"/>
        <v>0</v>
      </c>
      <c r="FW47" s="48">
        <f t="shared" ca="1" si="366"/>
        <v>0</v>
      </c>
      <c r="FX47" s="48">
        <f t="shared" ca="1" si="366"/>
        <v>0</v>
      </c>
      <c r="FY47" s="48">
        <f t="shared" ca="1" si="366"/>
        <v>0</v>
      </c>
      <c r="FZ47" s="48">
        <f t="shared" ca="1" si="366"/>
        <v>0</v>
      </c>
      <c r="GA47" s="48">
        <f t="shared" ca="1" si="366"/>
        <v>0</v>
      </c>
      <c r="GB47" s="48">
        <f t="shared" ca="1" si="366"/>
        <v>0</v>
      </c>
      <c r="GC47" s="48">
        <f t="shared" ca="1" si="366"/>
        <v>0</v>
      </c>
      <c r="GD47" s="48">
        <f t="shared" ca="1" si="366"/>
        <v>0</v>
      </c>
      <c r="GE47" s="48">
        <f t="shared" ca="1" si="366"/>
        <v>0</v>
      </c>
      <c r="GF47" s="48">
        <f t="shared" ca="1" si="367"/>
        <v>0</v>
      </c>
      <c r="GG47" s="48">
        <f t="shared" ca="1" si="367"/>
        <v>0</v>
      </c>
      <c r="GH47" s="48">
        <f t="shared" ca="1" si="367"/>
        <v>0</v>
      </c>
      <c r="GI47" s="48">
        <f t="shared" ca="1" si="367"/>
        <v>0</v>
      </c>
      <c r="GJ47" s="48">
        <f t="shared" ca="1" si="367"/>
        <v>0</v>
      </c>
      <c r="GK47" s="48">
        <f t="shared" ca="1" si="367"/>
        <v>0</v>
      </c>
      <c r="GL47" s="48">
        <f t="shared" ca="1" si="367"/>
        <v>0</v>
      </c>
      <c r="GM47" s="48">
        <f t="shared" ca="1" si="367"/>
        <v>0</v>
      </c>
      <c r="GN47" s="48">
        <f t="shared" ca="1" si="367"/>
        <v>0</v>
      </c>
      <c r="GO47" s="48">
        <f t="shared" ca="1" si="367"/>
        <v>0</v>
      </c>
      <c r="GP47" s="48">
        <f t="shared" ca="1" si="367"/>
        <v>0</v>
      </c>
      <c r="GQ47" s="48">
        <f t="shared" ca="1" si="367"/>
        <v>0</v>
      </c>
      <c r="GR47" s="48">
        <f t="shared" ca="1" si="367"/>
        <v>0</v>
      </c>
      <c r="GS47" s="48">
        <f t="shared" ca="1" si="367"/>
        <v>0</v>
      </c>
      <c r="GT47" s="48">
        <f t="shared" ca="1" si="367"/>
        <v>0</v>
      </c>
      <c r="GU47" s="48">
        <f t="shared" ca="1" si="367"/>
        <v>0</v>
      </c>
      <c r="GV47" s="48">
        <f t="shared" ca="1" si="368"/>
        <v>0</v>
      </c>
      <c r="GW47" s="48">
        <f t="shared" ca="1" si="368"/>
        <v>0</v>
      </c>
      <c r="GX47" s="48">
        <f t="shared" ca="1" si="368"/>
        <v>0</v>
      </c>
      <c r="GY47" s="48">
        <f t="shared" ca="1" si="368"/>
        <v>0</v>
      </c>
      <c r="GZ47" s="48">
        <f t="shared" ca="1" si="368"/>
        <v>0</v>
      </c>
      <c r="HA47" s="69"/>
      <c r="HB47" s="150">
        <f t="shared" ca="1" si="74"/>
        <v>1.851556643609841</v>
      </c>
      <c r="HC47" s="150">
        <f t="shared" ca="1" si="369"/>
        <v>4.957719974693017</v>
      </c>
      <c r="HD47" s="150">
        <f t="shared" ca="1" si="76"/>
        <v>2.3099379233066459</v>
      </c>
      <c r="HE47" s="150">
        <f t="shared" ca="1" si="370"/>
        <v>6.1451151471771945</v>
      </c>
      <c r="HF47" s="150">
        <f t="shared" ca="1" si="371"/>
        <v>0.30130544330977549</v>
      </c>
      <c r="HG47" s="148"/>
      <c r="HH47" s="149"/>
      <c r="HI47" s="149"/>
      <c r="HJ47" s="149"/>
      <c r="HK47" s="150"/>
      <c r="HL47" s="149"/>
      <c r="HM47" s="149"/>
      <c r="HN47" s="149"/>
      <c r="HO47" s="150"/>
      <c r="HP47" s="148"/>
      <c r="HQ47" s="149"/>
      <c r="HR47" s="149"/>
      <c r="HS47" s="149"/>
      <c r="HT47" s="150"/>
      <c r="HU47" s="149"/>
      <c r="HV47" s="149"/>
      <c r="HW47" s="149"/>
      <c r="HX47" s="150"/>
      <c r="HY47" s="151"/>
      <c r="HZ47" s="150"/>
      <c r="IA47" s="150"/>
      <c r="IB47" s="152"/>
      <c r="IC47" s="150"/>
      <c r="ID47" s="152"/>
      <c r="IE47" s="150"/>
      <c r="IF47" s="153"/>
    </row>
    <row r="48" spans="1:240" s="36" customFormat="1" ht="14.4" customHeight="1">
      <c r="A48" s="39"/>
      <c r="B48" s="50" t="str">
        <f t="shared" si="340"/>
        <v>Residential_High Efficiency HVAC_Water Heating_Electric Storage Water Heater EF 0.95_2017_Actual</v>
      </c>
      <c r="C48" s="50">
        <f>INDEX('Measure Inputs'!$D:$D,MATCH($B48,'Measure Inputs'!$B:$B,0))</f>
        <v>14</v>
      </c>
      <c r="D48" s="51" t="str">
        <f>'Measure Inputs'!G20</f>
        <v>Residential</v>
      </c>
      <c r="E48" s="51" t="str">
        <f>'Measure Inputs'!H20</f>
        <v>High Efficiency HVAC</v>
      </c>
      <c r="F48" s="51" t="str">
        <f>'Measure Inputs'!I20</f>
        <v>Water Heating</v>
      </c>
      <c r="G48" s="51" t="str">
        <f>'Measure Inputs'!J20</f>
        <v>Electric Storage Water Heater EF 0.95</v>
      </c>
      <c r="H48" s="51">
        <f>'Measure Inputs'!K20</f>
        <v>2017</v>
      </c>
      <c r="I48" s="51" t="str">
        <f>'Measure Inputs'!L20</f>
        <v>Actual</v>
      </c>
      <c r="J48" s="37"/>
      <c r="K48" s="99" t="str">
        <f ca="1">INDEX(OFFSET('Measure Inputs'!$O$7,,,InputRows),$C48)</f>
        <v>Units</v>
      </c>
      <c r="L48" s="38">
        <f ca="1">INDEX(OFFSET('Measure Inputs'!$Q$7,,,InputRows),$C48)</f>
        <v>1</v>
      </c>
      <c r="M48" s="167">
        <f>INDEX('General Inputs'!$E$14:$E$15,MATCH(D48,'General Inputs'!$D$14:$D$15,0))</f>
        <v>1.0469999999999999</v>
      </c>
      <c r="N48" s="54">
        <f ca="1">INDEX(OFFSET('Measure Inputs'!$Y$7,,,InputRows),$C48)</f>
        <v>1</v>
      </c>
      <c r="O48" s="54">
        <f ca="1">INDEX(OFFSET('Measure Inputs'!$Z$7,,,InputRows),$C48)</f>
        <v>1</v>
      </c>
      <c r="P48" s="37"/>
      <c r="Q48" s="127">
        <f ca="1">CONVERT(INDEX(OFFSET('Measure Inputs'!$AB$7,,,InputRows),$C48),'Measure Inputs'!$AB$6,Q$8)*$L48</f>
        <v>263.23678000000001</v>
      </c>
      <c r="R48" s="127">
        <f t="shared" ca="1" si="341"/>
        <v>263.23678000000001</v>
      </c>
      <c r="S48" s="127">
        <f t="shared" ca="1" si="342"/>
        <v>263.23678000000001</v>
      </c>
      <c r="T48" s="37"/>
      <c r="U48" s="127">
        <f ca="1">CONVERT(INDEX(OFFSET('Measure Inputs'!$AD$7,,,InputRows),$C48),'Measure Inputs'!$AD$6,U$8)*$L48</f>
        <v>0</v>
      </c>
      <c r="V48" s="127">
        <f t="shared" ca="1" si="343"/>
        <v>0</v>
      </c>
      <c r="W48" s="127">
        <f t="shared" ca="1" si="344"/>
        <v>0</v>
      </c>
      <c r="X48" s="37"/>
      <c r="Y48" s="127">
        <f ca="1">CONVERT(INDEX(OFFSET('Measure Inputs'!$AC$7,,,InputRows),$C48),'Measure Inputs'!$AC$6,Y$8)*$L48</f>
        <v>3.005E-2</v>
      </c>
      <c r="Z48" s="127">
        <f t="shared" ca="1" si="345"/>
        <v>3.005E-2</v>
      </c>
      <c r="AA48" s="127">
        <f t="shared" ca="1" si="346"/>
        <v>3.005E-2</v>
      </c>
      <c r="AB48" s="37"/>
      <c r="AC48" s="127">
        <f ca="1">CONVERT(INDEX(OFFSET('Measure Inputs'!$AE$7,,,InputRows),$C48),'Measure Inputs'!$AE$6,AC$8)*$L48</f>
        <v>0</v>
      </c>
      <c r="AD48" s="127">
        <f t="shared" ca="1" si="347"/>
        <v>0</v>
      </c>
      <c r="AE48" s="127">
        <f t="shared" ca="1" si="348"/>
        <v>0</v>
      </c>
      <c r="AF48" s="37"/>
      <c r="AG48" s="97">
        <f ca="1">INDEX(OFFSET('Measure Inputs'!$R$7,,,InputRows),$C48)</f>
        <v>15</v>
      </c>
      <c r="AH48" s="97">
        <f ca="1">INDEX(OFFSET('Measure Inputs'!$S$7,,,InputRows),$C48)</f>
        <v>0</v>
      </c>
      <c r="AI48" s="97">
        <f t="shared" ca="1" si="349"/>
        <v>3948.5517000000013</v>
      </c>
      <c r="AJ48" s="100">
        <f ca="1">INDEX(OFFSET('Measure Inputs'!$T$7,,,InputRows),$C48)*$L48*$N48*$O48</f>
        <v>51.06</v>
      </c>
      <c r="AK48" s="100">
        <f ca="1">INDEX(OFFSET('Measure Inputs'!$U$7,,,InputRows),$C48)*$L48*$N48*$O48</f>
        <v>0</v>
      </c>
      <c r="AL48" s="100">
        <f ca="1">INDEX(OFFSET('Measure Inputs'!$V$7,,,InputRows),$C48)*$L48*$N48*$O48</f>
        <v>0</v>
      </c>
      <c r="AM48" s="100">
        <f ca="1">INDEX(OFFSET('Measure Inputs'!$W$7,,,InputRows),$C48)*$L48*$N48*$O48</f>
        <v>0</v>
      </c>
      <c r="AN48" s="100">
        <f ca="1">INDEX(OFFSET('Measure Inputs'!$X$7,,,InputRows),$C48)*$L48</f>
        <v>106.25</v>
      </c>
      <c r="AO48" s="100"/>
      <c r="AP48" s="100">
        <f t="shared" ca="1" si="350"/>
        <v>106.25</v>
      </c>
      <c r="AQ48" s="37"/>
      <c r="AR48" s="100">
        <f ca="1">SUMPRODUCT(--($CX$9:$EX$9=$H48)*$AJ48,'General Inputs'!$K$40:$BK$40)+SUMPRODUCT(--($CX$9:$EX$9=$H48+$AH48)*-$AK48,'General Inputs'!$K$43:$BK$43)</f>
        <v>51.06</v>
      </c>
      <c r="AS48" s="100">
        <f ca="1">CONVERT(SUMPRODUCT($CX48:$EX48,'General Inputs'!$K$29:$BK$29,'General Inputs'!$K$40:$BK$40)*$M48,$Q$8,'General Inputs'!$E$17)</f>
        <v>27.827353470624804</v>
      </c>
      <c r="AT48" s="100">
        <f ca="1">SUMPRODUCT(--($CX$9:$EX$9=$H48)*$AN48,'General Inputs'!$K$40:$BK$40)</f>
        <v>106.25</v>
      </c>
      <c r="AU48" s="100">
        <f>SUMPRODUCT(--($CX$9:$EX$9=$H48)*$AO48,'General Inputs'!$K$40:$BK$40)</f>
        <v>0</v>
      </c>
      <c r="AV48" s="100">
        <f ca="1">CONVERT(SUMPRODUCT($CX48:$EX48,'General Inputs'!$K$40:$BK$40,OFFSET('General Inputs'!$K$34:$BK$34,MATCH($D48,'General Inputs'!$J$34:$J$35,0)-1,)),$Q$8,'General Inputs'!$G$32)</f>
        <v>350.38434981661129</v>
      </c>
      <c r="AW48" s="100">
        <f ca="1">CONVERT(SUMPRODUCT($CX48:$EX48,'General Inputs'!$K$27:$BK$27,'General Inputs'!$K$40:$BK$40)*$M48,$Q$8,'General Inputs'!$E$17)</f>
        <v>110.43928838716442</v>
      </c>
      <c r="AX48" s="100">
        <f ca="1">CONVERT(SUMPRODUCT($EZ48:$GZ48,'General Inputs'!$K$28:$BK$28,'General Inputs'!$K$40:$BK$40)*$M48,$Q$8,'General Inputs'!$E$17)</f>
        <v>4.7418042760131005</v>
      </c>
      <c r="AY48" s="98">
        <f ca="1">SUMPRODUCT($CX48:$EX48,'General Inputs'!$K$40:$BK$40)</f>
        <v>2331.4192153542122</v>
      </c>
      <c r="AZ48" s="37"/>
      <c r="BA48" s="100">
        <f t="shared" ca="1" si="351"/>
        <v>64.121092663177521</v>
      </c>
      <c r="BB48" s="102">
        <f t="shared" ca="1" si="352"/>
        <v>2.2557989162392778</v>
      </c>
      <c r="BC48" s="100">
        <f t="shared" ca="1" si="273"/>
        <v>51.06</v>
      </c>
      <c r="BD48" s="100">
        <f t="shared" ca="1" si="274"/>
        <v>115.18109266317752</v>
      </c>
      <c r="BE48" s="100">
        <f t="shared" ca="1" si="275"/>
        <v>110.43928838716442</v>
      </c>
      <c r="BF48" s="100">
        <f t="shared" ca="1" si="276"/>
        <v>4.7418042760131005</v>
      </c>
      <c r="BG48" s="100">
        <f t="shared" si="277"/>
        <v>0</v>
      </c>
      <c r="BH48" s="100">
        <f t="shared" ca="1" si="278"/>
        <v>51.06</v>
      </c>
      <c r="BI48" s="37"/>
      <c r="BJ48" s="100">
        <f t="shared" ca="1" si="353"/>
        <v>91.948446133802321</v>
      </c>
      <c r="BK48" s="102">
        <f t="shared" ca="1" si="354"/>
        <v>2.8007921295300102</v>
      </c>
      <c r="BL48" s="100">
        <f t="shared" ca="1" si="279"/>
        <v>51.06</v>
      </c>
      <c r="BM48" s="100">
        <f t="shared" ca="1" si="164"/>
        <v>143.00844613380232</v>
      </c>
      <c r="BN48" s="100">
        <f t="shared" ca="1" si="280"/>
        <v>110.43928838716442</v>
      </c>
      <c r="BO48" s="100">
        <f t="shared" ca="1" si="281"/>
        <v>4.7418042760131005</v>
      </c>
      <c r="BP48" s="100">
        <f t="shared" ca="1" si="282"/>
        <v>27.827353470624804</v>
      </c>
      <c r="BQ48" s="100">
        <f t="shared" si="283"/>
        <v>0</v>
      </c>
      <c r="BR48" s="100">
        <f t="shared" ca="1" si="284"/>
        <v>51.06</v>
      </c>
      <c r="BS48" s="37"/>
      <c r="BT48" s="100">
        <f t="shared" ca="1" si="355"/>
        <v>405.57434981661129</v>
      </c>
      <c r="BU48" s="102">
        <f t="shared" ca="1" si="356"/>
        <v>8.9430934159148308</v>
      </c>
      <c r="BV48" s="102">
        <f t="shared" ca="1" si="285"/>
        <v>1.677271979884108</v>
      </c>
      <c r="BW48" s="100">
        <f t="shared" ca="1" si="286"/>
        <v>51.06</v>
      </c>
      <c r="BX48" s="100">
        <f t="shared" ca="1" si="287"/>
        <v>456.63434981661129</v>
      </c>
      <c r="BY48" s="100">
        <f t="shared" ca="1" si="288"/>
        <v>350.38434981661129</v>
      </c>
      <c r="BZ48" s="100">
        <f t="shared" ca="1" si="289"/>
        <v>106.25</v>
      </c>
      <c r="CA48" s="100">
        <f t="shared" ca="1" si="290"/>
        <v>51.06</v>
      </c>
      <c r="CB48" s="37"/>
      <c r="CC48" s="100">
        <f t="shared" ca="1" si="357"/>
        <v>8.9310926631775231</v>
      </c>
      <c r="CD48" s="102">
        <f t="shared" ca="1" si="358"/>
        <v>1.0840573427122591</v>
      </c>
      <c r="CE48" s="103">
        <f t="shared" ca="1" si="291"/>
        <v>-0.96964041601110562</v>
      </c>
      <c r="CF48" s="100">
        <f t="shared" ca="1" si="292"/>
        <v>106.25</v>
      </c>
      <c r="CG48" s="100">
        <f t="shared" ca="1" si="293"/>
        <v>115.18109266317752</v>
      </c>
      <c r="CH48" s="100">
        <f t="shared" ca="1" si="294"/>
        <v>110.43928838716442</v>
      </c>
      <c r="CI48" s="100">
        <f t="shared" ca="1" si="71"/>
        <v>4.7418042760131005</v>
      </c>
      <c r="CJ48" s="100">
        <f t="shared" ca="1" si="72"/>
        <v>106.25</v>
      </c>
      <c r="CK48" s="100">
        <f t="shared" si="295"/>
        <v>0</v>
      </c>
      <c r="CL48" s="37"/>
      <c r="CM48" s="100">
        <f t="shared" ca="1" si="359"/>
        <v>-341.45325715343375</v>
      </c>
      <c r="CN48" s="102">
        <f t="shared" ca="1" si="360"/>
        <v>0.25223922096407192</v>
      </c>
      <c r="CO48" s="128"/>
      <c r="CP48" s="100">
        <f t="shared" ca="1" si="296"/>
        <v>456.63434981661129</v>
      </c>
      <c r="CQ48" s="100">
        <f t="shared" ca="1" si="297"/>
        <v>115.18109266317752</v>
      </c>
      <c r="CR48" s="100">
        <f t="shared" ca="1" si="298"/>
        <v>110.43928838716442</v>
      </c>
      <c r="CS48" s="100">
        <f t="shared" ca="1" si="73"/>
        <v>4.7418042760131005</v>
      </c>
      <c r="CT48" s="100">
        <f t="shared" ca="1" si="299"/>
        <v>350.38434981661129</v>
      </c>
      <c r="CU48" s="100">
        <f t="shared" ca="1" si="300"/>
        <v>106.25</v>
      </c>
      <c r="CV48" s="100">
        <f t="shared" si="301"/>
        <v>0</v>
      </c>
      <c r="CW48" s="37"/>
      <c r="CX48" s="48">
        <f t="shared" ca="1" si="361"/>
        <v>263.23678000000001</v>
      </c>
      <c r="CY48" s="48">
        <f t="shared" ca="1" si="361"/>
        <v>263.23678000000001</v>
      </c>
      <c r="CZ48" s="48">
        <f t="shared" ca="1" si="361"/>
        <v>263.23678000000001</v>
      </c>
      <c r="DA48" s="48">
        <f t="shared" ca="1" si="361"/>
        <v>263.23678000000001</v>
      </c>
      <c r="DB48" s="48">
        <f t="shared" ca="1" si="361"/>
        <v>263.23678000000001</v>
      </c>
      <c r="DC48" s="48">
        <f t="shared" ca="1" si="361"/>
        <v>263.23678000000001</v>
      </c>
      <c r="DD48" s="48">
        <f t="shared" ca="1" si="361"/>
        <v>263.23678000000001</v>
      </c>
      <c r="DE48" s="48">
        <f t="shared" ca="1" si="361"/>
        <v>263.23678000000001</v>
      </c>
      <c r="DF48" s="48">
        <f t="shared" ca="1" si="361"/>
        <v>263.23678000000001</v>
      </c>
      <c r="DG48" s="48">
        <f t="shared" ca="1" si="361"/>
        <v>263.23678000000001</v>
      </c>
      <c r="DH48" s="48">
        <f t="shared" ca="1" si="361"/>
        <v>263.23678000000001</v>
      </c>
      <c r="DI48" s="48">
        <f t="shared" ca="1" si="361"/>
        <v>263.23678000000001</v>
      </c>
      <c r="DJ48" s="48">
        <f t="shared" ca="1" si="361"/>
        <v>263.23678000000001</v>
      </c>
      <c r="DK48" s="48">
        <f t="shared" ca="1" si="361"/>
        <v>263.23678000000001</v>
      </c>
      <c r="DL48" s="48">
        <f t="shared" ca="1" si="361"/>
        <v>263.23678000000001</v>
      </c>
      <c r="DM48" s="48">
        <f t="shared" ca="1" si="361"/>
        <v>0</v>
      </c>
      <c r="DN48" s="48">
        <f t="shared" ca="1" si="362"/>
        <v>0</v>
      </c>
      <c r="DO48" s="48">
        <f t="shared" ca="1" si="362"/>
        <v>0</v>
      </c>
      <c r="DP48" s="48">
        <f t="shared" ca="1" si="362"/>
        <v>0</v>
      </c>
      <c r="DQ48" s="48">
        <f t="shared" ca="1" si="362"/>
        <v>0</v>
      </c>
      <c r="DR48" s="48">
        <f t="shared" ca="1" si="362"/>
        <v>0</v>
      </c>
      <c r="DS48" s="48">
        <f t="shared" ca="1" si="362"/>
        <v>0</v>
      </c>
      <c r="DT48" s="48">
        <f t="shared" ca="1" si="362"/>
        <v>0</v>
      </c>
      <c r="DU48" s="48">
        <f t="shared" ca="1" si="362"/>
        <v>0</v>
      </c>
      <c r="DV48" s="48">
        <f t="shared" ca="1" si="362"/>
        <v>0</v>
      </c>
      <c r="DW48" s="48">
        <f t="shared" ca="1" si="362"/>
        <v>0</v>
      </c>
      <c r="DX48" s="48">
        <f t="shared" ca="1" si="362"/>
        <v>0</v>
      </c>
      <c r="DY48" s="48">
        <f t="shared" ca="1" si="362"/>
        <v>0</v>
      </c>
      <c r="DZ48" s="48">
        <f t="shared" ca="1" si="362"/>
        <v>0</v>
      </c>
      <c r="EA48" s="48">
        <f t="shared" ca="1" si="362"/>
        <v>0</v>
      </c>
      <c r="EB48" s="48">
        <f t="shared" ca="1" si="362"/>
        <v>0</v>
      </c>
      <c r="EC48" s="48">
        <f t="shared" ca="1" si="362"/>
        <v>0</v>
      </c>
      <c r="ED48" s="48">
        <f t="shared" ca="1" si="363"/>
        <v>0</v>
      </c>
      <c r="EE48" s="48">
        <f t="shared" ca="1" si="363"/>
        <v>0</v>
      </c>
      <c r="EF48" s="48">
        <f t="shared" ca="1" si="363"/>
        <v>0</v>
      </c>
      <c r="EG48" s="48">
        <f t="shared" ca="1" si="363"/>
        <v>0</v>
      </c>
      <c r="EH48" s="48">
        <f t="shared" ca="1" si="363"/>
        <v>0</v>
      </c>
      <c r="EI48" s="48">
        <f t="shared" ca="1" si="363"/>
        <v>0</v>
      </c>
      <c r="EJ48" s="48">
        <f t="shared" ca="1" si="363"/>
        <v>0</v>
      </c>
      <c r="EK48" s="48">
        <f t="shared" ca="1" si="363"/>
        <v>0</v>
      </c>
      <c r="EL48" s="48">
        <f t="shared" ca="1" si="363"/>
        <v>0</v>
      </c>
      <c r="EM48" s="48">
        <f t="shared" ca="1" si="363"/>
        <v>0</v>
      </c>
      <c r="EN48" s="48">
        <f t="shared" ca="1" si="363"/>
        <v>0</v>
      </c>
      <c r="EO48" s="48">
        <f t="shared" ca="1" si="363"/>
        <v>0</v>
      </c>
      <c r="EP48" s="48">
        <f t="shared" ca="1" si="363"/>
        <v>0</v>
      </c>
      <c r="EQ48" s="48">
        <f t="shared" ca="1" si="363"/>
        <v>0</v>
      </c>
      <c r="ER48" s="48">
        <f t="shared" ca="1" si="363"/>
        <v>0</v>
      </c>
      <c r="ES48" s="48">
        <f t="shared" ca="1" si="363"/>
        <v>0</v>
      </c>
      <c r="ET48" s="48">
        <f t="shared" ca="1" si="364"/>
        <v>0</v>
      </c>
      <c r="EU48" s="48">
        <f t="shared" ca="1" si="364"/>
        <v>0</v>
      </c>
      <c r="EV48" s="48">
        <f t="shared" ca="1" si="364"/>
        <v>0</v>
      </c>
      <c r="EW48" s="48">
        <f t="shared" ca="1" si="364"/>
        <v>0</v>
      </c>
      <c r="EX48" s="48">
        <f t="shared" ca="1" si="364"/>
        <v>0</v>
      </c>
      <c r="EY48" s="69"/>
      <c r="EZ48" s="48">
        <f t="shared" ca="1" si="365"/>
        <v>3.005E-2</v>
      </c>
      <c r="FA48" s="48">
        <f t="shared" ca="1" si="365"/>
        <v>3.005E-2</v>
      </c>
      <c r="FB48" s="48">
        <f t="shared" ca="1" si="365"/>
        <v>3.005E-2</v>
      </c>
      <c r="FC48" s="48">
        <f t="shared" ca="1" si="365"/>
        <v>3.005E-2</v>
      </c>
      <c r="FD48" s="48">
        <f t="shared" ca="1" si="365"/>
        <v>3.005E-2</v>
      </c>
      <c r="FE48" s="48">
        <f t="shared" ca="1" si="365"/>
        <v>3.005E-2</v>
      </c>
      <c r="FF48" s="48">
        <f t="shared" ca="1" si="365"/>
        <v>3.005E-2</v>
      </c>
      <c r="FG48" s="48">
        <f t="shared" ca="1" si="365"/>
        <v>3.005E-2</v>
      </c>
      <c r="FH48" s="48">
        <f t="shared" ca="1" si="365"/>
        <v>3.005E-2</v>
      </c>
      <c r="FI48" s="48">
        <f t="shared" ca="1" si="365"/>
        <v>3.005E-2</v>
      </c>
      <c r="FJ48" s="48">
        <f t="shared" ca="1" si="365"/>
        <v>3.005E-2</v>
      </c>
      <c r="FK48" s="48">
        <f t="shared" ca="1" si="365"/>
        <v>3.005E-2</v>
      </c>
      <c r="FL48" s="48">
        <f t="shared" ca="1" si="365"/>
        <v>3.005E-2</v>
      </c>
      <c r="FM48" s="48">
        <f t="shared" ca="1" si="365"/>
        <v>3.005E-2</v>
      </c>
      <c r="FN48" s="48">
        <f t="shared" ca="1" si="365"/>
        <v>3.005E-2</v>
      </c>
      <c r="FO48" s="48">
        <f t="shared" ca="1" si="365"/>
        <v>0</v>
      </c>
      <c r="FP48" s="48">
        <f t="shared" ca="1" si="366"/>
        <v>0</v>
      </c>
      <c r="FQ48" s="48">
        <f t="shared" ca="1" si="366"/>
        <v>0</v>
      </c>
      <c r="FR48" s="48">
        <f t="shared" ca="1" si="366"/>
        <v>0</v>
      </c>
      <c r="FS48" s="48">
        <f t="shared" ca="1" si="366"/>
        <v>0</v>
      </c>
      <c r="FT48" s="48">
        <f t="shared" ca="1" si="366"/>
        <v>0</v>
      </c>
      <c r="FU48" s="48">
        <f t="shared" ca="1" si="366"/>
        <v>0</v>
      </c>
      <c r="FV48" s="48">
        <f t="shared" ca="1" si="366"/>
        <v>0</v>
      </c>
      <c r="FW48" s="48">
        <f t="shared" ca="1" si="366"/>
        <v>0</v>
      </c>
      <c r="FX48" s="48">
        <f t="shared" ca="1" si="366"/>
        <v>0</v>
      </c>
      <c r="FY48" s="48">
        <f t="shared" ca="1" si="366"/>
        <v>0</v>
      </c>
      <c r="FZ48" s="48">
        <f t="shared" ca="1" si="366"/>
        <v>0</v>
      </c>
      <c r="GA48" s="48">
        <f t="shared" ca="1" si="366"/>
        <v>0</v>
      </c>
      <c r="GB48" s="48">
        <f t="shared" ca="1" si="366"/>
        <v>0</v>
      </c>
      <c r="GC48" s="48">
        <f t="shared" ca="1" si="366"/>
        <v>0</v>
      </c>
      <c r="GD48" s="48">
        <f t="shared" ca="1" si="366"/>
        <v>0</v>
      </c>
      <c r="GE48" s="48">
        <f t="shared" ca="1" si="366"/>
        <v>0</v>
      </c>
      <c r="GF48" s="48">
        <f t="shared" ca="1" si="367"/>
        <v>0</v>
      </c>
      <c r="GG48" s="48">
        <f t="shared" ca="1" si="367"/>
        <v>0</v>
      </c>
      <c r="GH48" s="48">
        <f t="shared" ca="1" si="367"/>
        <v>0</v>
      </c>
      <c r="GI48" s="48">
        <f t="shared" ca="1" si="367"/>
        <v>0</v>
      </c>
      <c r="GJ48" s="48">
        <f t="shared" ca="1" si="367"/>
        <v>0</v>
      </c>
      <c r="GK48" s="48">
        <f t="shared" ca="1" si="367"/>
        <v>0</v>
      </c>
      <c r="GL48" s="48">
        <f t="shared" ca="1" si="367"/>
        <v>0</v>
      </c>
      <c r="GM48" s="48">
        <f t="shared" ca="1" si="367"/>
        <v>0</v>
      </c>
      <c r="GN48" s="48">
        <f t="shared" ca="1" si="367"/>
        <v>0</v>
      </c>
      <c r="GO48" s="48">
        <f t="shared" ca="1" si="367"/>
        <v>0</v>
      </c>
      <c r="GP48" s="48">
        <f t="shared" ca="1" si="367"/>
        <v>0</v>
      </c>
      <c r="GQ48" s="48">
        <f t="shared" ca="1" si="367"/>
        <v>0</v>
      </c>
      <c r="GR48" s="48">
        <f t="shared" ca="1" si="367"/>
        <v>0</v>
      </c>
      <c r="GS48" s="48">
        <f t="shared" ca="1" si="367"/>
        <v>0</v>
      </c>
      <c r="GT48" s="48">
        <f t="shared" ca="1" si="367"/>
        <v>0</v>
      </c>
      <c r="GU48" s="48">
        <f t="shared" ca="1" si="367"/>
        <v>0</v>
      </c>
      <c r="GV48" s="48">
        <f t="shared" ca="1" si="368"/>
        <v>0</v>
      </c>
      <c r="GW48" s="48">
        <f t="shared" ca="1" si="368"/>
        <v>0</v>
      </c>
      <c r="GX48" s="48">
        <f t="shared" ca="1" si="368"/>
        <v>0</v>
      </c>
      <c r="GY48" s="48">
        <f t="shared" ca="1" si="368"/>
        <v>0</v>
      </c>
      <c r="GZ48" s="48">
        <f t="shared" ca="1" si="368"/>
        <v>0</v>
      </c>
      <c r="HA48" s="69"/>
      <c r="HB48" s="150">
        <f t="shared" ca="1" si="74"/>
        <v>2.2557989162392778</v>
      </c>
      <c r="HC48" s="150">
        <f t="shared" ca="1" si="369"/>
        <v>1.0840573427122591</v>
      </c>
      <c r="HD48" s="150">
        <f t="shared" ca="1" si="76"/>
        <v>2.8007921295300102</v>
      </c>
      <c r="HE48" s="150">
        <f t="shared" ca="1" si="370"/>
        <v>8.9430934159148308</v>
      </c>
      <c r="HF48" s="150">
        <f t="shared" ca="1" si="371"/>
        <v>0.25223922096407192</v>
      </c>
      <c r="HG48" s="148"/>
      <c r="HH48" s="149"/>
      <c r="HI48" s="149"/>
      <c r="HJ48" s="149"/>
      <c r="HK48" s="150"/>
      <c r="HL48" s="149"/>
      <c r="HM48" s="149"/>
      <c r="HN48" s="149"/>
      <c r="HO48" s="150"/>
      <c r="HP48" s="148"/>
      <c r="HQ48" s="149"/>
      <c r="HR48" s="149"/>
      <c r="HS48" s="149"/>
      <c r="HT48" s="150"/>
      <c r="HU48" s="149"/>
      <c r="HV48" s="149"/>
      <c r="HW48" s="149"/>
      <c r="HX48" s="150"/>
      <c r="HY48" s="151"/>
      <c r="HZ48" s="150"/>
      <c r="IA48" s="150"/>
      <c r="IB48" s="152"/>
      <c r="IC48" s="150"/>
      <c r="ID48" s="152"/>
      <c r="IE48" s="150"/>
      <c r="IF48" s="153"/>
    </row>
    <row r="49" spans="1:240" s="36" customFormat="1" ht="14.4" customHeight="1">
      <c r="A49" s="39"/>
      <c r="B49" s="50" t="str">
        <f t="shared" si="340"/>
        <v>Residential_High Efficiency HVAC_Water Heating_Electric Storage Water Heater EF &gt;0.95_2017_Actual</v>
      </c>
      <c r="C49" s="50">
        <f>INDEX('Measure Inputs'!$D:$D,MATCH($B49,'Measure Inputs'!$B:$B,0))</f>
        <v>15</v>
      </c>
      <c r="D49" s="51" t="str">
        <f>'Measure Inputs'!G21</f>
        <v>Residential</v>
      </c>
      <c r="E49" s="51" t="str">
        <f>'Measure Inputs'!H21</f>
        <v>High Efficiency HVAC</v>
      </c>
      <c r="F49" s="51" t="str">
        <f>'Measure Inputs'!I21</f>
        <v>Water Heating</v>
      </c>
      <c r="G49" s="51" t="str">
        <f>'Measure Inputs'!J21</f>
        <v>Electric Storage Water Heater EF &gt;0.95</v>
      </c>
      <c r="H49" s="51">
        <f>'Measure Inputs'!K21</f>
        <v>2017</v>
      </c>
      <c r="I49" s="51" t="str">
        <f>'Measure Inputs'!L21</f>
        <v>Actual</v>
      </c>
      <c r="J49" s="37"/>
      <c r="K49" s="99" t="str">
        <f ca="1">INDEX(OFFSET('Measure Inputs'!$O$7,,,InputRows),$C49)</f>
        <v>Units</v>
      </c>
      <c r="L49" s="38">
        <f ca="1">INDEX(OFFSET('Measure Inputs'!$Q$7,,,InputRows),$C49)</f>
        <v>32</v>
      </c>
      <c r="M49" s="167">
        <f>INDEX('General Inputs'!$E$14:$E$15,MATCH(D49,'General Inputs'!$D$14:$D$15,0))</f>
        <v>1.0469999999999999</v>
      </c>
      <c r="N49" s="54">
        <f ca="1">INDEX(OFFSET('Measure Inputs'!$Y$7,,,InputRows),$C49)</f>
        <v>1</v>
      </c>
      <c r="O49" s="54">
        <f ca="1">INDEX(OFFSET('Measure Inputs'!$Z$7,,,InputRows),$C49)</f>
        <v>1</v>
      </c>
      <c r="P49" s="37"/>
      <c r="Q49" s="127">
        <f ca="1">CONVERT(INDEX(OFFSET('Measure Inputs'!$AB$7,,,InputRows),$C49),'Measure Inputs'!$AB$6,Q$8)*$L49</f>
        <v>5249.0910500000018</v>
      </c>
      <c r="R49" s="127">
        <f t="shared" ca="1" si="341"/>
        <v>5249.0910500000018</v>
      </c>
      <c r="S49" s="127">
        <f t="shared" ca="1" si="342"/>
        <v>5249.0910500000018</v>
      </c>
      <c r="T49" s="37"/>
      <c r="U49" s="127">
        <f ca="1">CONVERT(INDEX(OFFSET('Measure Inputs'!$AD$7,,,InputRows),$C49),'Measure Inputs'!$AD$6,U$8)*$L49</f>
        <v>0</v>
      </c>
      <c r="V49" s="127">
        <f t="shared" ca="1" si="343"/>
        <v>0</v>
      </c>
      <c r="W49" s="127">
        <f t="shared" ca="1" si="344"/>
        <v>0</v>
      </c>
      <c r="X49" s="37"/>
      <c r="Y49" s="127">
        <f ca="1">CONVERT(INDEX(OFFSET('Measure Inputs'!$AC$7,,,InputRows),$C49),'Measure Inputs'!$AC$6,Y$8)*$L49</f>
        <v>0.59914999999999996</v>
      </c>
      <c r="Z49" s="127">
        <f t="shared" ca="1" si="345"/>
        <v>0.59914999999999996</v>
      </c>
      <c r="AA49" s="127">
        <f t="shared" ca="1" si="346"/>
        <v>0.59914999999999996</v>
      </c>
      <c r="AB49" s="37"/>
      <c r="AC49" s="127">
        <f ca="1">CONVERT(INDEX(OFFSET('Measure Inputs'!$AE$7,,,InputRows),$C49),'Measure Inputs'!$AE$6,AC$8)*$L49</f>
        <v>0</v>
      </c>
      <c r="AD49" s="127">
        <f t="shared" ca="1" si="347"/>
        <v>0</v>
      </c>
      <c r="AE49" s="127">
        <f t="shared" ca="1" si="348"/>
        <v>0</v>
      </c>
      <c r="AF49" s="37"/>
      <c r="AG49" s="97">
        <f ca="1">INDEX(OFFSET('Measure Inputs'!$R$7,,,InputRows),$C49)</f>
        <v>15</v>
      </c>
      <c r="AH49" s="97">
        <f ca="1">INDEX(OFFSET('Measure Inputs'!$S$7,,,InputRows),$C49)</f>
        <v>0</v>
      </c>
      <c r="AI49" s="97">
        <f t="shared" ca="1" si="349"/>
        <v>78736.365750000026</v>
      </c>
      <c r="AJ49" s="100">
        <f ca="1">INDEX(OFFSET('Measure Inputs'!$T$7,,,InputRows),$C49)*$L49*$N49*$O49</f>
        <v>1633.92</v>
      </c>
      <c r="AK49" s="100">
        <f ca="1">INDEX(OFFSET('Measure Inputs'!$U$7,,,InputRows),$C49)*$L49*$N49*$O49</f>
        <v>0</v>
      </c>
      <c r="AL49" s="100">
        <f ca="1">INDEX(OFFSET('Measure Inputs'!$V$7,,,InputRows),$C49)*$L49*$N49*$O49</f>
        <v>0</v>
      </c>
      <c r="AM49" s="100">
        <f ca="1">INDEX(OFFSET('Measure Inputs'!$W$7,,,InputRows),$C49)*$L49*$N49*$O49</f>
        <v>0</v>
      </c>
      <c r="AN49" s="100">
        <f ca="1">INDEX(OFFSET('Measure Inputs'!$X$7,,,InputRows),$C49)*$L49</f>
        <v>2660</v>
      </c>
      <c r="AO49" s="100"/>
      <c r="AP49" s="100">
        <f t="shared" ca="1" si="350"/>
        <v>2660</v>
      </c>
      <c r="AQ49" s="37"/>
      <c r="AR49" s="100">
        <f ca="1">SUMPRODUCT(--($CX$9:$EX$9=$H49)*$AJ49,'General Inputs'!$K$40:$BK$40)+SUMPRODUCT(--($CX$9:$EX$9=$H49+$AH49)*-$AK49,'General Inputs'!$K$43:$BK$43)</f>
        <v>1633.92</v>
      </c>
      <c r="AS49" s="100">
        <f ca="1">CONVERT(SUMPRODUCT($CX49:$EX49,'General Inputs'!$K$29:$BK$29,'General Inputs'!$K$40:$BK$40)*$M49,$Q$8,'General Inputs'!$E$17)</f>
        <v>554.89324876198202</v>
      </c>
      <c r="AT49" s="100">
        <f ca="1">SUMPRODUCT(--($CX$9:$EX$9=$H49)*$AN49,'General Inputs'!$K$40:$BK$40)</f>
        <v>2660</v>
      </c>
      <c r="AU49" s="100">
        <f>SUMPRODUCT(--($CX$9:$EX$9=$H49)*$AO49,'General Inputs'!$K$40:$BK$40)</f>
        <v>0</v>
      </c>
      <c r="AV49" s="100">
        <f ca="1">CONVERT(SUMPRODUCT($CX49:$EX49,'General Inputs'!$K$40:$BK$40,OFFSET('General Inputs'!$K$34:$BK$34,MATCH($D49,'General Inputs'!$J$34:$J$35,0)-1,)),$Q$8,'General Inputs'!$G$32)</f>
        <v>6986.8631377516622</v>
      </c>
      <c r="AW49" s="100">
        <f ca="1">CONVERT(SUMPRODUCT($CX49:$EX49,'General Inputs'!$K$27:$BK$27,'General Inputs'!$K$40:$BK$40)*$M49,$Q$8,'General Inputs'!$E$17)</f>
        <v>2202.2221979824926</v>
      </c>
      <c r="AX49" s="100">
        <f ca="1">CONVERT(SUMPRODUCT($EZ49:$GZ49,'General Inputs'!$K$28:$BK$28,'General Inputs'!$K$40:$BK$40)*$M49,$Q$8,'General Inputs'!$E$17)</f>
        <v>94.544160797778687</v>
      </c>
      <c r="AY49" s="98">
        <f ca="1">SUMPRODUCT($CX49:$EX49,'General Inputs'!$K$40:$BK$40)</f>
        <v>46489.824625243557</v>
      </c>
      <c r="AZ49" s="37"/>
      <c r="BA49" s="100">
        <f t="shared" ca="1" si="351"/>
        <v>662.8463587802712</v>
      </c>
      <c r="BB49" s="102">
        <f t="shared" ca="1" si="352"/>
        <v>1.4056785881684974</v>
      </c>
      <c r="BC49" s="100">
        <f t="shared" ca="1" si="273"/>
        <v>1633.92</v>
      </c>
      <c r="BD49" s="100">
        <f t="shared" ca="1" si="274"/>
        <v>2296.7663587802713</v>
      </c>
      <c r="BE49" s="100">
        <f t="shared" ca="1" si="275"/>
        <v>2202.2221979824926</v>
      </c>
      <c r="BF49" s="100">
        <f t="shared" ca="1" si="276"/>
        <v>94.544160797778687</v>
      </c>
      <c r="BG49" s="100">
        <f t="shared" si="277"/>
        <v>0</v>
      </c>
      <c r="BH49" s="100">
        <f t="shared" ca="1" si="278"/>
        <v>1633.92</v>
      </c>
      <c r="BI49" s="37"/>
      <c r="BJ49" s="100">
        <f t="shared" ca="1" si="353"/>
        <v>1217.739607542253</v>
      </c>
      <c r="BK49" s="102">
        <f t="shared" ca="1" si="354"/>
        <v>1.7452871667782099</v>
      </c>
      <c r="BL49" s="100">
        <f t="shared" ca="1" si="279"/>
        <v>1633.92</v>
      </c>
      <c r="BM49" s="100">
        <f t="shared" ca="1" si="164"/>
        <v>2851.6596075422531</v>
      </c>
      <c r="BN49" s="100">
        <f t="shared" ca="1" si="280"/>
        <v>2202.2221979824926</v>
      </c>
      <c r="BO49" s="100">
        <f t="shared" ca="1" si="281"/>
        <v>94.544160797778687</v>
      </c>
      <c r="BP49" s="100">
        <f t="shared" ca="1" si="282"/>
        <v>554.89324876198202</v>
      </c>
      <c r="BQ49" s="100">
        <f t="shared" si="283"/>
        <v>0</v>
      </c>
      <c r="BR49" s="100">
        <f t="shared" ca="1" si="284"/>
        <v>1633.92</v>
      </c>
      <c r="BS49" s="37"/>
      <c r="BT49" s="100">
        <f t="shared" ca="1" si="355"/>
        <v>8012.9431377516612</v>
      </c>
      <c r="BU49" s="102">
        <f t="shared" ca="1" si="356"/>
        <v>5.9041220731441326</v>
      </c>
      <c r="BV49" s="102">
        <f t="shared" ca="1" si="285"/>
        <v>2.5405978762244703</v>
      </c>
      <c r="BW49" s="100">
        <f t="shared" ca="1" si="286"/>
        <v>1633.92</v>
      </c>
      <c r="BX49" s="100">
        <f t="shared" ca="1" si="287"/>
        <v>9646.8631377516613</v>
      </c>
      <c r="BY49" s="100">
        <f t="shared" ca="1" si="288"/>
        <v>6986.8631377516622</v>
      </c>
      <c r="BZ49" s="100">
        <f t="shared" ca="1" si="289"/>
        <v>2660</v>
      </c>
      <c r="CA49" s="100">
        <f t="shared" ca="1" si="290"/>
        <v>1633.92</v>
      </c>
      <c r="CB49" s="37"/>
      <c r="CC49" s="100">
        <f t="shared" ca="1" si="357"/>
        <v>-363.23364121972872</v>
      </c>
      <c r="CD49" s="102">
        <f t="shared" ca="1" si="358"/>
        <v>0.8634459995414554</v>
      </c>
      <c r="CE49" s="103">
        <f t="shared" ca="1" si="291"/>
        <v>-1.2173791821559199</v>
      </c>
      <c r="CF49" s="100">
        <f t="shared" ca="1" si="292"/>
        <v>2660</v>
      </c>
      <c r="CG49" s="100">
        <f t="shared" ca="1" si="293"/>
        <v>2296.7663587802713</v>
      </c>
      <c r="CH49" s="100">
        <f t="shared" ca="1" si="294"/>
        <v>2202.2221979824926</v>
      </c>
      <c r="CI49" s="100">
        <f t="shared" ca="1" si="71"/>
        <v>94.544160797778687</v>
      </c>
      <c r="CJ49" s="100">
        <f t="shared" ca="1" si="72"/>
        <v>2660</v>
      </c>
      <c r="CK49" s="100">
        <f t="shared" si="295"/>
        <v>0</v>
      </c>
      <c r="CL49" s="37"/>
      <c r="CM49" s="100">
        <f t="shared" ca="1" si="359"/>
        <v>-7350.0967789713904</v>
      </c>
      <c r="CN49" s="102">
        <f t="shared" ca="1" si="360"/>
        <v>0.23808426905033975</v>
      </c>
      <c r="CO49" s="128"/>
      <c r="CP49" s="100">
        <f t="shared" ca="1" si="296"/>
        <v>9646.8631377516613</v>
      </c>
      <c r="CQ49" s="100">
        <f t="shared" ca="1" si="297"/>
        <v>2296.7663587802713</v>
      </c>
      <c r="CR49" s="100">
        <f t="shared" ca="1" si="298"/>
        <v>2202.2221979824926</v>
      </c>
      <c r="CS49" s="100">
        <f t="shared" ca="1" si="73"/>
        <v>94.544160797778687</v>
      </c>
      <c r="CT49" s="100">
        <f t="shared" ca="1" si="299"/>
        <v>6986.8631377516622</v>
      </c>
      <c r="CU49" s="100">
        <f t="shared" ca="1" si="300"/>
        <v>2660</v>
      </c>
      <c r="CV49" s="100">
        <f t="shared" si="301"/>
        <v>0</v>
      </c>
      <c r="CW49" s="37"/>
      <c r="CX49" s="48">
        <f t="shared" ca="1" si="361"/>
        <v>5249.0910500000018</v>
      </c>
      <c r="CY49" s="48">
        <f t="shared" ca="1" si="361"/>
        <v>5249.0910500000018</v>
      </c>
      <c r="CZ49" s="48">
        <f t="shared" ca="1" si="361"/>
        <v>5249.0910500000018</v>
      </c>
      <c r="DA49" s="48">
        <f t="shared" ca="1" si="361"/>
        <v>5249.0910500000018</v>
      </c>
      <c r="DB49" s="48">
        <f t="shared" ca="1" si="361"/>
        <v>5249.0910500000018</v>
      </c>
      <c r="DC49" s="48">
        <f t="shared" ca="1" si="361"/>
        <v>5249.0910500000018</v>
      </c>
      <c r="DD49" s="48">
        <f t="shared" ca="1" si="361"/>
        <v>5249.0910500000018</v>
      </c>
      <c r="DE49" s="48">
        <f t="shared" ca="1" si="361"/>
        <v>5249.0910500000018</v>
      </c>
      <c r="DF49" s="48">
        <f t="shared" ca="1" si="361"/>
        <v>5249.0910500000018</v>
      </c>
      <c r="DG49" s="48">
        <f t="shared" ca="1" si="361"/>
        <v>5249.0910500000018</v>
      </c>
      <c r="DH49" s="48">
        <f t="shared" ca="1" si="361"/>
        <v>5249.0910500000018</v>
      </c>
      <c r="DI49" s="48">
        <f t="shared" ca="1" si="361"/>
        <v>5249.0910500000018</v>
      </c>
      <c r="DJ49" s="48">
        <f t="shared" ca="1" si="361"/>
        <v>5249.0910500000018</v>
      </c>
      <c r="DK49" s="48">
        <f t="shared" ca="1" si="361"/>
        <v>5249.0910500000018</v>
      </c>
      <c r="DL49" s="48">
        <f t="shared" ca="1" si="361"/>
        <v>5249.0910500000018</v>
      </c>
      <c r="DM49" s="48">
        <f t="shared" ca="1" si="361"/>
        <v>0</v>
      </c>
      <c r="DN49" s="48">
        <f t="shared" ca="1" si="362"/>
        <v>0</v>
      </c>
      <c r="DO49" s="48">
        <f t="shared" ca="1" si="362"/>
        <v>0</v>
      </c>
      <c r="DP49" s="48">
        <f t="shared" ca="1" si="362"/>
        <v>0</v>
      </c>
      <c r="DQ49" s="48">
        <f t="shared" ca="1" si="362"/>
        <v>0</v>
      </c>
      <c r="DR49" s="48">
        <f t="shared" ca="1" si="362"/>
        <v>0</v>
      </c>
      <c r="DS49" s="48">
        <f t="shared" ca="1" si="362"/>
        <v>0</v>
      </c>
      <c r="DT49" s="48">
        <f t="shared" ca="1" si="362"/>
        <v>0</v>
      </c>
      <c r="DU49" s="48">
        <f t="shared" ca="1" si="362"/>
        <v>0</v>
      </c>
      <c r="DV49" s="48">
        <f t="shared" ca="1" si="362"/>
        <v>0</v>
      </c>
      <c r="DW49" s="48">
        <f t="shared" ca="1" si="362"/>
        <v>0</v>
      </c>
      <c r="DX49" s="48">
        <f t="shared" ca="1" si="362"/>
        <v>0</v>
      </c>
      <c r="DY49" s="48">
        <f t="shared" ca="1" si="362"/>
        <v>0</v>
      </c>
      <c r="DZ49" s="48">
        <f t="shared" ca="1" si="362"/>
        <v>0</v>
      </c>
      <c r="EA49" s="48">
        <f t="shared" ca="1" si="362"/>
        <v>0</v>
      </c>
      <c r="EB49" s="48">
        <f t="shared" ca="1" si="362"/>
        <v>0</v>
      </c>
      <c r="EC49" s="48">
        <f t="shared" ca="1" si="362"/>
        <v>0</v>
      </c>
      <c r="ED49" s="48">
        <f t="shared" ca="1" si="363"/>
        <v>0</v>
      </c>
      <c r="EE49" s="48">
        <f t="shared" ca="1" si="363"/>
        <v>0</v>
      </c>
      <c r="EF49" s="48">
        <f t="shared" ca="1" si="363"/>
        <v>0</v>
      </c>
      <c r="EG49" s="48">
        <f t="shared" ca="1" si="363"/>
        <v>0</v>
      </c>
      <c r="EH49" s="48">
        <f t="shared" ca="1" si="363"/>
        <v>0</v>
      </c>
      <c r="EI49" s="48">
        <f t="shared" ca="1" si="363"/>
        <v>0</v>
      </c>
      <c r="EJ49" s="48">
        <f t="shared" ca="1" si="363"/>
        <v>0</v>
      </c>
      <c r="EK49" s="48">
        <f t="shared" ca="1" si="363"/>
        <v>0</v>
      </c>
      <c r="EL49" s="48">
        <f t="shared" ca="1" si="363"/>
        <v>0</v>
      </c>
      <c r="EM49" s="48">
        <f t="shared" ca="1" si="363"/>
        <v>0</v>
      </c>
      <c r="EN49" s="48">
        <f t="shared" ca="1" si="363"/>
        <v>0</v>
      </c>
      <c r="EO49" s="48">
        <f t="shared" ca="1" si="363"/>
        <v>0</v>
      </c>
      <c r="EP49" s="48">
        <f t="shared" ca="1" si="363"/>
        <v>0</v>
      </c>
      <c r="EQ49" s="48">
        <f t="shared" ca="1" si="363"/>
        <v>0</v>
      </c>
      <c r="ER49" s="48">
        <f t="shared" ca="1" si="363"/>
        <v>0</v>
      </c>
      <c r="ES49" s="48">
        <f t="shared" ca="1" si="363"/>
        <v>0</v>
      </c>
      <c r="ET49" s="48">
        <f t="shared" ca="1" si="364"/>
        <v>0</v>
      </c>
      <c r="EU49" s="48">
        <f t="shared" ca="1" si="364"/>
        <v>0</v>
      </c>
      <c r="EV49" s="48">
        <f t="shared" ca="1" si="364"/>
        <v>0</v>
      </c>
      <c r="EW49" s="48">
        <f t="shared" ca="1" si="364"/>
        <v>0</v>
      </c>
      <c r="EX49" s="48">
        <f t="shared" ca="1" si="364"/>
        <v>0</v>
      </c>
      <c r="EY49" s="69"/>
      <c r="EZ49" s="48">
        <f t="shared" ca="1" si="365"/>
        <v>0.59914999999999996</v>
      </c>
      <c r="FA49" s="48">
        <f t="shared" ca="1" si="365"/>
        <v>0.59914999999999996</v>
      </c>
      <c r="FB49" s="48">
        <f t="shared" ca="1" si="365"/>
        <v>0.59914999999999996</v>
      </c>
      <c r="FC49" s="48">
        <f t="shared" ca="1" si="365"/>
        <v>0.59914999999999996</v>
      </c>
      <c r="FD49" s="48">
        <f t="shared" ca="1" si="365"/>
        <v>0.59914999999999996</v>
      </c>
      <c r="FE49" s="48">
        <f t="shared" ca="1" si="365"/>
        <v>0.59914999999999996</v>
      </c>
      <c r="FF49" s="48">
        <f t="shared" ca="1" si="365"/>
        <v>0.59914999999999996</v>
      </c>
      <c r="FG49" s="48">
        <f t="shared" ca="1" si="365"/>
        <v>0.59914999999999996</v>
      </c>
      <c r="FH49" s="48">
        <f t="shared" ca="1" si="365"/>
        <v>0.59914999999999996</v>
      </c>
      <c r="FI49" s="48">
        <f t="shared" ca="1" si="365"/>
        <v>0.59914999999999996</v>
      </c>
      <c r="FJ49" s="48">
        <f t="shared" ca="1" si="365"/>
        <v>0.59914999999999996</v>
      </c>
      <c r="FK49" s="48">
        <f t="shared" ca="1" si="365"/>
        <v>0.59914999999999996</v>
      </c>
      <c r="FL49" s="48">
        <f t="shared" ca="1" si="365"/>
        <v>0.59914999999999996</v>
      </c>
      <c r="FM49" s="48">
        <f t="shared" ca="1" si="365"/>
        <v>0.59914999999999996</v>
      </c>
      <c r="FN49" s="48">
        <f t="shared" ca="1" si="365"/>
        <v>0.59914999999999996</v>
      </c>
      <c r="FO49" s="48">
        <f t="shared" ca="1" si="365"/>
        <v>0</v>
      </c>
      <c r="FP49" s="48">
        <f t="shared" ca="1" si="366"/>
        <v>0</v>
      </c>
      <c r="FQ49" s="48">
        <f t="shared" ca="1" si="366"/>
        <v>0</v>
      </c>
      <c r="FR49" s="48">
        <f t="shared" ca="1" si="366"/>
        <v>0</v>
      </c>
      <c r="FS49" s="48">
        <f t="shared" ca="1" si="366"/>
        <v>0</v>
      </c>
      <c r="FT49" s="48">
        <f t="shared" ca="1" si="366"/>
        <v>0</v>
      </c>
      <c r="FU49" s="48">
        <f t="shared" ca="1" si="366"/>
        <v>0</v>
      </c>
      <c r="FV49" s="48">
        <f t="shared" ca="1" si="366"/>
        <v>0</v>
      </c>
      <c r="FW49" s="48">
        <f t="shared" ca="1" si="366"/>
        <v>0</v>
      </c>
      <c r="FX49" s="48">
        <f t="shared" ca="1" si="366"/>
        <v>0</v>
      </c>
      <c r="FY49" s="48">
        <f t="shared" ca="1" si="366"/>
        <v>0</v>
      </c>
      <c r="FZ49" s="48">
        <f t="shared" ca="1" si="366"/>
        <v>0</v>
      </c>
      <c r="GA49" s="48">
        <f t="shared" ca="1" si="366"/>
        <v>0</v>
      </c>
      <c r="GB49" s="48">
        <f t="shared" ca="1" si="366"/>
        <v>0</v>
      </c>
      <c r="GC49" s="48">
        <f t="shared" ca="1" si="366"/>
        <v>0</v>
      </c>
      <c r="GD49" s="48">
        <f t="shared" ca="1" si="366"/>
        <v>0</v>
      </c>
      <c r="GE49" s="48">
        <f t="shared" ca="1" si="366"/>
        <v>0</v>
      </c>
      <c r="GF49" s="48">
        <f t="shared" ca="1" si="367"/>
        <v>0</v>
      </c>
      <c r="GG49" s="48">
        <f t="shared" ca="1" si="367"/>
        <v>0</v>
      </c>
      <c r="GH49" s="48">
        <f t="shared" ca="1" si="367"/>
        <v>0</v>
      </c>
      <c r="GI49" s="48">
        <f t="shared" ca="1" si="367"/>
        <v>0</v>
      </c>
      <c r="GJ49" s="48">
        <f t="shared" ca="1" si="367"/>
        <v>0</v>
      </c>
      <c r="GK49" s="48">
        <f t="shared" ca="1" si="367"/>
        <v>0</v>
      </c>
      <c r="GL49" s="48">
        <f t="shared" ca="1" si="367"/>
        <v>0</v>
      </c>
      <c r="GM49" s="48">
        <f t="shared" ca="1" si="367"/>
        <v>0</v>
      </c>
      <c r="GN49" s="48">
        <f t="shared" ca="1" si="367"/>
        <v>0</v>
      </c>
      <c r="GO49" s="48">
        <f t="shared" ca="1" si="367"/>
        <v>0</v>
      </c>
      <c r="GP49" s="48">
        <f t="shared" ca="1" si="367"/>
        <v>0</v>
      </c>
      <c r="GQ49" s="48">
        <f t="shared" ca="1" si="367"/>
        <v>0</v>
      </c>
      <c r="GR49" s="48">
        <f t="shared" ca="1" si="367"/>
        <v>0</v>
      </c>
      <c r="GS49" s="48">
        <f t="shared" ca="1" si="367"/>
        <v>0</v>
      </c>
      <c r="GT49" s="48">
        <f t="shared" ca="1" si="367"/>
        <v>0</v>
      </c>
      <c r="GU49" s="48">
        <f t="shared" ca="1" si="367"/>
        <v>0</v>
      </c>
      <c r="GV49" s="48">
        <f t="shared" ca="1" si="368"/>
        <v>0</v>
      </c>
      <c r="GW49" s="48">
        <f t="shared" ca="1" si="368"/>
        <v>0</v>
      </c>
      <c r="GX49" s="48">
        <f t="shared" ca="1" si="368"/>
        <v>0</v>
      </c>
      <c r="GY49" s="48">
        <f t="shared" ca="1" si="368"/>
        <v>0</v>
      </c>
      <c r="GZ49" s="48">
        <f t="shared" ca="1" si="368"/>
        <v>0</v>
      </c>
      <c r="HA49" s="69"/>
      <c r="HB49" s="150">
        <f t="shared" ca="1" si="74"/>
        <v>1.4056785881684974</v>
      </c>
      <c r="HC49" s="150">
        <f t="shared" ca="1" si="369"/>
        <v>0.8634459995414554</v>
      </c>
      <c r="HD49" s="150">
        <f t="shared" ca="1" si="76"/>
        <v>1.7452871667782099</v>
      </c>
      <c r="HE49" s="150">
        <f t="shared" ca="1" si="370"/>
        <v>5.9041220731441326</v>
      </c>
      <c r="HF49" s="150">
        <f t="shared" ca="1" si="371"/>
        <v>0.23808426905033975</v>
      </c>
      <c r="HG49" s="148"/>
      <c r="HH49" s="149"/>
      <c r="HI49" s="149"/>
      <c r="HJ49" s="149"/>
      <c r="HK49" s="150"/>
      <c r="HL49" s="149"/>
      <c r="HM49" s="149"/>
      <c r="HN49" s="149"/>
      <c r="HO49" s="150"/>
      <c r="HP49" s="148"/>
      <c r="HQ49" s="149"/>
      <c r="HR49" s="149"/>
      <c r="HS49" s="149"/>
      <c r="HT49" s="150"/>
      <c r="HU49" s="149"/>
      <c r="HV49" s="149"/>
      <c r="HW49" s="149"/>
      <c r="HX49" s="150"/>
      <c r="HY49" s="151"/>
      <c r="HZ49" s="150"/>
      <c r="IA49" s="150"/>
      <c r="IB49" s="152"/>
      <c r="IC49" s="150"/>
      <c r="ID49" s="152"/>
      <c r="IE49" s="150"/>
      <c r="IF49" s="153"/>
    </row>
    <row r="50" spans="1:240" s="36" customFormat="1" ht="14.4" customHeight="1">
      <c r="A50" s="39"/>
      <c r="B50" s="50" t="str">
        <f t="shared" si="340"/>
        <v>Residential_High Efficiency HVAC_HVAC_Geothermal EER ≥21_2017_Actual</v>
      </c>
      <c r="C50" s="50">
        <f>INDEX('Measure Inputs'!$D:$D,MATCH($B50,'Measure Inputs'!$B:$B,0))</f>
        <v>16</v>
      </c>
      <c r="D50" s="51" t="str">
        <f>'Measure Inputs'!G22</f>
        <v>Residential</v>
      </c>
      <c r="E50" s="51" t="str">
        <f>'Measure Inputs'!H22</f>
        <v>High Efficiency HVAC</v>
      </c>
      <c r="F50" s="51" t="str">
        <f>'Measure Inputs'!I22</f>
        <v>HVAC</v>
      </c>
      <c r="G50" s="51" t="str">
        <f>'Measure Inputs'!J22</f>
        <v>Geothermal EER ≥21</v>
      </c>
      <c r="H50" s="51">
        <f>'Measure Inputs'!K22</f>
        <v>2017</v>
      </c>
      <c r="I50" s="51" t="str">
        <f>'Measure Inputs'!L22</f>
        <v>Actual</v>
      </c>
      <c r="J50" s="37"/>
      <c r="K50" s="99" t="str">
        <f ca="1">INDEX(OFFSET('Measure Inputs'!$O$7,,,InputRows),$C50)</f>
        <v>Units</v>
      </c>
      <c r="L50" s="38">
        <f ca="1">INDEX(OFFSET('Measure Inputs'!$Q$7,,,InputRows),$C50)</f>
        <v>0</v>
      </c>
      <c r="M50" s="167">
        <f>INDEX('General Inputs'!$E$14:$E$15,MATCH(D50,'General Inputs'!$D$14:$D$15,0))</f>
        <v>1.0469999999999999</v>
      </c>
      <c r="N50" s="54">
        <f ca="1">INDEX(OFFSET('Measure Inputs'!$Y$7,,,InputRows),$C50)</f>
        <v>1</v>
      </c>
      <c r="O50" s="54">
        <f ca="1">INDEX(OFFSET('Measure Inputs'!$Z$7,,,InputRows),$C50)</f>
        <v>1</v>
      </c>
      <c r="P50" s="37"/>
      <c r="Q50" s="127">
        <f ca="1">CONVERT(INDEX(OFFSET('Measure Inputs'!$AB$7,,,InputRows),$C50),'Measure Inputs'!$AB$6,Q$8)*$L50</f>
        <v>0</v>
      </c>
      <c r="R50" s="127">
        <f t="shared" ca="1" si="341"/>
        <v>0</v>
      </c>
      <c r="S50" s="127">
        <f t="shared" ca="1" si="342"/>
        <v>0</v>
      </c>
      <c r="T50" s="37"/>
      <c r="U50" s="127">
        <f ca="1">CONVERT(INDEX(OFFSET('Measure Inputs'!$AD$7,,,InputRows),$C50),'Measure Inputs'!$AD$6,U$8)*$L50</f>
        <v>0</v>
      </c>
      <c r="V50" s="127">
        <f t="shared" ca="1" si="343"/>
        <v>0</v>
      </c>
      <c r="W50" s="127">
        <f t="shared" ca="1" si="344"/>
        <v>0</v>
      </c>
      <c r="X50" s="37"/>
      <c r="Y50" s="127">
        <f ca="1">CONVERT(INDEX(OFFSET('Measure Inputs'!$AC$7,,,InputRows),$C50),'Measure Inputs'!$AC$6,Y$8)*$L50</f>
        <v>0</v>
      </c>
      <c r="Z50" s="127">
        <f t="shared" ca="1" si="345"/>
        <v>0</v>
      </c>
      <c r="AA50" s="127">
        <f t="shared" ca="1" si="346"/>
        <v>0</v>
      </c>
      <c r="AB50" s="37"/>
      <c r="AC50" s="127">
        <f ca="1">CONVERT(INDEX(OFFSET('Measure Inputs'!$AE$7,,,InputRows),$C50),'Measure Inputs'!$AE$6,AC$8)*$L50</f>
        <v>0</v>
      </c>
      <c r="AD50" s="127">
        <f t="shared" ca="1" si="347"/>
        <v>0</v>
      </c>
      <c r="AE50" s="127">
        <f t="shared" ca="1" si="348"/>
        <v>0</v>
      </c>
      <c r="AF50" s="37"/>
      <c r="AG50" s="97">
        <f ca="1">INDEX(OFFSET('Measure Inputs'!$R$7,,,InputRows),$C50)</f>
        <v>25</v>
      </c>
      <c r="AH50" s="97">
        <f ca="1">INDEX(OFFSET('Measure Inputs'!$S$7,,,InputRows),$C50)</f>
        <v>0</v>
      </c>
      <c r="AI50" s="97">
        <f t="shared" ca="1" si="349"/>
        <v>0</v>
      </c>
      <c r="AJ50" s="100">
        <f ca="1">INDEX(OFFSET('Measure Inputs'!$T$7,,,InputRows),$C50)*$L50*$N50*$O50</f>
        <v>0</v>
      </c>
      <c r="AK50" s="100">
        <f ca="1">INDEX(OFFSET('Measure Inputs'!$U$7,,,InputRows),$C50)*$L50*$N50*$O50</f>
        <v>0</v>
      </c>
      <c r="AL50" s="100">
        <f ca="1">INDEX(OFFSET('Measure Inputs'!$V$7,,,InputRows),$C50)*$L50*$N50*$O50</f>
        <v>0</v>
      </c>
      <c r="AM50" s="100">
        <f ca="1">INDEX(OFFSET('Measure Inputs'!$W$7,,,InputRows),$C50)*$L50*$N50*$O50</f>
        <v>0</v>
      </c>
      <c r="AN50" s="100">
        <f ca="1">INDEX(OFFSET('Measure Inputs'!$X$7,,,InputRows),$C50)*$L50</f>
        <v>0</v>
      </c>
      <c r="AO50" s="100"/>
      <c r="AP50" s="100">
        <f t="shared" ca="1" si="350"/>
        <v>0</v>
      </c>
      <c r="AQ50" s="37"/>
      <c r="AR50" s="100">
        <f ca="1">SUMPRODUCT(--($CX$9:$EX$9=$H50)*$AJ50,'General Inputs'!$K$40:$BK$40)+SUMPRODUCT(--($CX$9:$EX$9=$H50+$AH50)*-$AK50,'General Inputs'!$K$43:$BK$43)</f>
        <v>0</v>
      </c>
      <c r="AS50" s="100">
        <f ca="1">CONVERT(SUMPRODUCT($CX50:$EX50,'General Inputs'!$K$29:$BK$29,'General Inputs'!$K$40:$BK$40)*$M50,$Q$8,'General Inputs'!$E$17)</f>
        <v>0</v>
      </c>
      <c r="AT50" s="100">
        <f ca="1">SUMPRODUCT(--($CX$9:$EX$9=$H50)*$AN50,'General Inputs'!$K$40:$BK$40)</f>
        <v>0</v>
      </c>
      <c r="AU50" s="100">
        <f>SUMPRODUCT(--($CX$9:$EX$9=$H50)*$AO50,'General Inputs'!$K$40:$BK$40)</f>
        <v>0</v>
      </c>
      <c r="AV50" s="100">
        <f ca="1">CONVERT(SUMPRODUCT($CX50:$EX50,'General Inputs'!$K$40:$BK$40,OFFSET('General Inputs'!$K$34:$BK$34,MATCH($D50,'General Inputs'!$J$34:$J$35,0)-1,)),$Q$8,'General Inputs'!$G$32)</f>
        <v>0</v>
      </c>
      <c r="AW50" s="100">
        <f ca="1">CONVERT(SUMPRODUCT($CX50:$EX50,'General Inputs'!$K$27:$BK$27,'General Inputs'!$K$40:$BK$40)*$M50,$Q$8,'General Inputs'!$E$17)</f>
        <v>0</v>
      </c>
      <c r="AX50" s="100">
        <f ca="1">CONVERT(SUMPRODUCT($EZ50:$GZ50,'General Inputs'!$K$28:$BK$28,'General Inputs'!$K$40:$BK$40)*$M50,$Q$8,'General Inputs'!$E$17)</f>
        <v>0</v>
      </c>
      <c r="AY50" s="98">
        <f ca="1">SUMPRODUCT($CX50:$EX50,'General Inputs'!$K$40:$BK$40)</f>
        <v>0</v>
      </c>
      <c r="AZ50" s="37"/>
      <c r="BA50" s="100">
        <f t="shared" ca="1" si="351"/>
        <v>0</v>
      </c>
      <c r="BB50" s="102" t="e">
        <f t="shared" ca="1" si="352"/>
        <v>#DIV/0!</v>
      </c>
      <c r="BC50" s="100">
        <f t="shared" ca="1" si="273"/>
        <v>0</v>
      </c>
      <c r="BD50" s="100">
        <f t="shared" ca="1" si="274"/>
        <v>0</v>
      </c>
      <c r="BE50" s="100">
        <f t="shared" ca="1" si="275"/>
        <v>0</v>
      </c>
      <c r="BF50" s="100">
        <f t="shared" ca="1" si="276"/>
        <v>0</v>
      </c>
      <c r="BG50" s="100">
        <f t="shared" si="277"/>
        <v>0</v>
      </c>
      <c r="BH50" s="100">
        <f t="shared" ca="1" si="278"/>
        <v>0</v>
      </c>
      <c r="BI50" s="37"/>
      <c r="BJ50" s="100">
        <f t="shared" ca="1" si="353"/>
        <v>0</v>
      </c>
      <c r="BK50" s="102" t="e">
        <f t="shared" ca="1" si="354"/>
        <v>#DIV/0!</v>
      </c>
      <c r="BL50" s="100">
        <f t="shared" ca="1" si="279"/>
        <v>0</v>
      </c>
      <c r="BM50" s="100">
        <f t="shared" ca="1" si="164"/>
        <v>0</v>
      </c>
      <c r="BN50" s="100">
        <f t="shared" ca="1" si="280"/>
        <v>0</v>
      </c>
      <c r="BO50" s="100">
        <f t="shared" ca="1" si="281"/>
        <v>0</v>
      </c>
      <c r="BP50" s="100">
        <f t="shared" ca="1" si="282"/>
        <v>0</v>
      </c>
      <c r="BQ50" s="100">
        <f t="shared" si="283"/>
        <v>0</v>
      </c>
      <c r="BR50" s="100">
        <f t="shared" ca="1" si="284"/>
        <v>0</v>
      </c>
      <c r="BS50" s="37"/>
      <c r="BT50" s="100">
        <f t="shared" ca="1" si="355"/>
        <v>0</v>
      </c>
      <c r="BU50" s="102" t="e">
        <f t="shared" ca="1" si="356"/>
        <v>#DIV/0!</v>
      </c>
      <c r="BV50" s="102" t="e">
        <f t="shared" ca="1" si="285"/>
        <v>#DIV/0!</v>
      </c>
      <c r="BW50" s="100">
        <f t="shared" ca="1" si="286"/>
        <v>0</v>
      </c>
      <c r="BX50" s="100">
        <f t="shared" ca="1" si="287"/>
        <v>0</v>
      </c>
      <c r="BY50" s="100">
        <f t="shared" ca="1" si="288"/>
        <v>0</v>
      </c>
      <c r="BZ50" s="100">
        <f t="shared" ca="1" si="289"/>
        <v>0</v>
      </c>
      <c r="CA50" s="100">
        <f t="shared" ca="1" si="290"/>
        <v>0</v>
      </c>
      <c r="CB50" s="37"/>
      <c r="CC50" s="100">
        <f t="shared" ca="1" si="357"/>
        <v>0</v>
      </c>
      <c r="CD50" s="102" t="e">
        <f t="shared" ca="1" si="358"/>
        <v>#DIV/0!</v>
      </c>
      <c r="CE50" s="103" t="e">
        <f t="shared" ca="1" si="291"/>
        <v>#DIV/0!</v>
      </c>
      <c r="CF50" s="100">
        <f t="shared" ca="1" si="292"/>
        <v>0</v>
      </c>
      <c r="CG50" s="100">
        <f t="shared" ca="1" si="293"/>
        <v>0</v>
      </c>
      <c r="CH50" s="100">
        <f t="shared" ca="1" si="294"/>
        <v>0</v>
      </c>
      <c r="CI50" s="100">
        <f t="shared" ca="1" si="71"/>
        <v>0</v>
      </c>
      <c r="CJ50" s="100">
        <f t="shared" ca="1" si="72"/>
        <v>0</v>
      </c>
      <c r="CK50" s="100">
        <f t="shared" si="295"/>
        <v>0</v>
      </c>
      <c r="CL50" s="37"/>
      <c r="CM50" s="100">
        <f t="shared" ca="1" si="359"/>
        <v>0</v>
      </c>
      <c r="CN50" s="102" t="e">
        <f t="shared" ca="1" si="360"/>
        <v>#DIV/0!</v>
      </c>
      <c r="CO50" s="128"/>
      <c r="CP50" s="100">
        <f t="shared" ca="1" si="296"/>
        <v>0</v>
      </c>
      <c r="CQ50" s="100">
        <f t="shared" ca="1" si="297"/>
        <v>0</v>
      </c>
      <c r="CR50" s="100">
        <f t="shared" ca="1" si="298"/>
        <v>0</v>
      </c>
      <c r="CS50" s="100">
        <f t="shared" ca="1" si="73"/>
        <v>0</v>
      </c>
      <c r="CT50" s="100">
        <f t="shared" ca="1" si="299"/>
        <v>0</v>
      </c>
      <c r="CU50" s="100">
        <f t="shared" ca="1" si="300"/>
        <v>0</v>
      </c>
      <c r="CV50" s="100">
        <f t="shared" si="301"/>
        <v>0</v>
      </c>
      <c r="CW50" s="37"/>
      <c r="CX50" s="48">
        <f t="shared" ca="1" si="361"/>
        <v>0</v>
      </c>
      <c r="CY50" s="48">
        <f t="shared" ca="1" si="361"/>
        <v>0</v>
      </c>
      <c r="CZ50" s="48">
        <f t="shared" ca="1" si="361"/>
        <v>0</v>
      </c>
      <c r="DA50" s="48">
        <f t="shared" ca="1" si="361"/>
        <v>0</v>
      </c>
      <c r="DB50" s="48">
        <f t="shared" ca="1" si="361"/>
        <v>0</v>
      </c>
      <c r="DC50" s="48">
        <f t="shared" ca="1" si="361"/>
        <v>0</v>
      </c>
      <c r="DD50" s="48">
        <f t="shared" ca="1" si="361"/>
        <v>0</v>
      </c>
      <c r="DE50" s="48">
        <f t="shared" ca="1" si="361"/>
        <v>0</v>
      </c>
      <c r="DF50" s="48">
        <f t="shared" ca="1" si="361"/>
        <v>0</v>
      </c>
      <c r="DG50" s="48">
        <f t="shared" ca="1" si="361"/>
        <v>0</v>
      </c>
      <c r="DH50" s="48">
        <f t="shared" ca="1" si="361"/>
        <v>0</v>
      </c>
      <c r="DI50" s="48">
        <f t="shared" ca="1" si="361"/>
        <v>0</v>
      </c>
      <c r="DJ50" s="48">
        <f t="shared" ca="1" si="361"/>
        <v>0</v>
      </c>
      <c r="DK50" s="48">
        <f t="shared" ca="1" si="361"/>
        <v>0</v>
      </c>
      <c r="DL50" s="48">
        <f t="shared" ca="1" si="361"/>
        <v>0</v>
      </c>
      <c r="DM50" s="48">
        <f t="shared" ca="1" si="361"/>
        <v>0</v>
      </c>
      <c r="DN50" s="48">
        <f t="shared" ca="1" si="362"/>
        <v>0</v>
      </c>
      <c r="DO50" s="48">
        <f t="shared" ca="1" si="362"/>
        <v>0</v>
      </c>
      <c r="DP50" s="48">
        <f t="shared" ca="1" si="362"/>
        <v>0</v>
      </c>
      <c r="DQ50" s="48">
        <f t="shared" ca="1" si="362"/>
        <v>0</v>
      </c>
      <c r="DR50" s="48">
        <f t="shared" ca="1" si="362"/>
        <v>0</v>
      </c>
      <c r="DS50" s="48">
        <f t="shared" ca="1" si="362"/>
        <v>0</v>
      </c>
      <c r="DT50" s="48">
        <f t="shared" ca="1" si="362"/>
        <v>0</v>
      </c>
      <c r="DU50" s="48">
        <f t="shared" ca="1" si="362"/>
        <v>0</v>
      </c>
      <c r="DV50" s="48">
        <f t="shared" ca="1" si="362"/>
        <v>0</v>
      </c>
      <c r="DW50" s="48">
        <f t="shared" ca="1" si="362"/>
        <v>0</v>
      </c>
      <c r="DX50" s="48">
        <f t="shared" ca="1" si="362"/>
        <v>0</v>
      </c>
      <c r="DY50" s="48">
        <f t="shared" ca="1" si="362"/>
        <v>0</v>
      </c>
      <c r="DZ50" s="48">
        <f t="shared" ca="1" si="362"/>
        <v>0</v>
      </c>
      <c r="EA50" s="48">
        <f t="shared" ca="1" si="362"/>
        <v>0</v>
      </c>
      <c r="EB50" s="48">
        <f t="shared" ca="1" si="362"/>
        <v>0</v>
      </c>
      <c r="EC50" s="48">
        <f t="shared" ca="1" si="362"/>
        <v>0</v>
      </c>
      <c r="ED50" s="48">
        <f t="shared" ca="1" si="363"/>
        <v>0</v>
      </c>
      <c r="EE50" s="48">
        <f t="shared" ca="1" si="363"/>
        <v>0</v>
      </c>
      <c r="EF50" s="48">
        <f t="shared" ca="1" si="363"/>
        <v>0</v>
      </c>
      <c r="EG50" s="48">
        <f t="shared" ca="1" si="363"/>
        <v>0</v>
      </c>
      <c r="EH50" s="48">
        <f t="shared" ca="1" si="363"/>
        <v>0</v>
      </c>
      <c r="EI50" s="48">
        <f t="shared" ca="1" si="363"/>
        <v>0</v>
      </c>
      <c r="EJ50" s="48">
        <f t="shared" ca="1" si="363"/>
        <v>0</v>
      </c>
      <c r="EK50" s="48">
        <f t="shared" ca="1" si="363"/>
        <v>0</v>
      </c>
      <c r="EL50" s="48">
        <f t="shared" ca="1" si="363"/>
        <v>0</v>
      </c>
      <c r="EM50" s="48">
        <f t="shared" ca="1" si="363"/>
        <v>0</v>
      </c>
      <c r="EN50" s="48">
        <f t="shared" ca="1" si="363"/>
        <v>0</v>
      </c>
      <c r="EO50" s="48">
        <f t="shared" ca="1" si="363"/>
        <v>0</v>
      </c>
      <c r="EP50" s="48">
        <f t="shared" ca="1" si="363"/>
        <v>0</v>
      </c>
      <c r="EQ50" s="48">
        <f t="shared" ca="1" si="363"/>
        <v>0</v>
      </c>
      <c r="ER50" s="48">
        <f t="shared" ca="1" si="363"/>
        <v>0</v>
      </c>
      <c r="ES50" s="48">
        <f t="shared" ca="1" si="363"/>
        <v>0</v>
      </c>
      <c r="ET50" s="48">
        <f t="shared" ca="1" si="364"/>
        <v>0</v>
      </c>
      <c r="EU50" s="48">
        <f t="shared" ca="1" si="364"/>
        <v>0</v>
      </c>
      <c r="EV50" s="48">
        <f t="shared" ca="1" si="364"/>
        <v>0</v>
      </c>
      <c r="EW50" s="48">
        <f t="shared" ca="1" si="364"/>
        <v>0</v>
      </c>
      <c r="EX50" s="48">
        <f t="shared" ca="1" si="364"/>
        <v>0</v>
      </c>
      <c r="EY50" s="69"/>
      <c r="EZ50" s="48">
        <f t="shared" ca="1" si="365"/>
        <v>0</v>
      </c>
      <c r="FA50" s="48">
        <f t="shared" ca="1" si="365"/>
        <v>0</v>
      </c>
      <c r="FB50" s="48">
        <f t="shared" ca="1" si="365"/>
        <v>0</v>
      </c>
      <c r="FC50" s="48">
        <f t="shared" ca="1" si="365"/>
        <v>0</v>
      </c>
      <c r="FD50" s="48">
        <f t="shared" ca="1" si="365"/>
        <v>0</v>
      </c>
      <c r="FE50" s="48">
        <f t="shared" ca="1" si="365"/>
        <v>0</v>
      </c>
      <c r="FF50" s="48">
        <f t="shared" ca="1" si="365"/>
        <v>0</v>
      </c>
      <c r="FG50" s="48">
        <f t="shared" ca="1" si="365"/>
        <v>0</v>
      </c>
      <c r="FH50" s="48">
        <f t="shared" ca="1" si="365"/>
        <v>0</v>
      </c>
      <c r="FI50" s="48">
        <f t="shared" ca="1" si="365"/>
        <v>0</v>
      </c>
      <c r="FJ50" s="48">
        <f t="shared" ca="1" si="365"/>
        <v>0</v>
      </c>
      <c r="FK50" s="48">
        <f t="shared" ca="1" si="365"/>
        <v>0</v>
      </c>
      <c r="FL50" s="48">
        <f t="shared" ca="1" si="365"/>
        <v>0</v>
      </c>
      <c r="FM50" s="48">
        <f t="shared" ca="1" si="365"/>
        <v>0</v>
      </c>
      <c r="FN50" s="48">
        <f t="shared" ca="1" si="365"/>
        <v>0</v>
      </c>
      <c r="FO50" s="48">
        <f t="shared" ca="1" si="365"/>
        <v>0</v>
      </c>
      <c r="FP50" s="48">
        <f t="shared" ca="1" si="366"/>
        <v>0</v>
      </c>
      <c r="FQ50" s="48">
        <f t="shared" ca="1" si="366"/>
        <v>0</v>
      </c>
      <c r="FR50" s="48">
        <f t="shared" ca="1" si="366"/>
        <v>0</v>
      </c>
      <c r="FS50" s="48">
        <f t="shared" ca="1" si="366"/>
        <v>0</v>
      </c>
      <c r="FT50" s="48">
        <f t="shared" ca="1" si="366"/>
        <v>0</v>
      </c>
      <c r="FU50" s="48">
        <f t="shared" ca="1" si="366"/>
        <v>0</v>
      </c>
      <c r="FV50" s="48">
        <f t="shared" ca="1" si="366"/>
        <v>0</v>
      </c>
      <c r="FW50" s="48">
        <f t="shared" ca="1" si="366"/>
        <v>0</v>
      </c>
      <c r="FX50" s="48">
        <f t="shared" ca="1" si="366"/>
        <v>0</v>
      </c>
      <c r="FY50" s="48">
        <f t="shared" ca="1" si="366"/>
        <v>0</v>
      </c>
      <c r="FZ50" s="48">
        <f t="shared" ca="1" si="366"/>
        <v>0</v>
      </c>
      <c r="GA50" s="48">
        <f t="shared" ca="1" si="366"/>
        <v>0</v>
      </c>
      <c r="GB50" s="48">
        <f t="shared" ca="1" si="366"/>
        <v>0</v>
      </c>
      <c r="GC50" s="48">
        <f t="shared" ca="1" si="366"/>
        <v>0</v>
      </c>
      <c r="GD50" s="48">
        <f t="shared" ca="1" si="366"/>
        <v>0</v>
      </c>
      <c r="GE50" s="48">
        <f t="shared" ca="1" si="366"/>
        <v>0</v>
      </c>
      <c r="GF50" s="48">
        <f t="shared" ca="1" si="367"/>
        <v>0</v>
      </c>
      <c r="GG50" s="48">
        <f t="shared" ca="1" si="367"/>
        <v>0</v>
      </c>
      <c r="GH50" s="48">
        <f t="shared" ca="1" si="367"/>
        <v>0</v>
      </c>
      <c r="GI50" s="48">
        <f t="shared" ca="1" si="367"/>
        <v>0</v>
      </c>
      <c r="GJ50" s="48">
        <f t="shared" ca="1" si="367"/>
        <v>0</v>
      </c>
      <c r="GK50" s="48">
        <f t="shared" ca="1" si="367"/>
        <v>0</v>
      </c>
      <c r="GL50" s="48">
        <f t="shared" ca="1" si="367"/>
        <v>0</v>
      </c>
      <c r="GM50" s="48">
        <f t="shared" ca="1" si="367"/>
        <v>0</v>
      </c>
      <c r="GN50" s="48">
        <f t="shared" ca="1" si="367"/>
        <v>0</v>
      </c>
      <c r="GO50" s="48">
        <f t="shared" ca="1" si="367"/>
        <v>0</v>
      </c>
      <c r="GP50" s="48">
        <f t="shared" ca="1" si="367"/>
        <v>0</v>
      </c>
      <c r="GQ50" s="48">
        <f t="shared" ca="1" si="367"/>
        <v>0</v>
      </c>
      <c r="GR50" s="48">
        <f t="shared" ca="1" si="367"/>
        <v>0</v>
      </c>
      <c r="GS50" s="48">
        <f t="shared" ca="1" si="367"/>
        <v>0</v>
      </c>
      <c r="GT50" s="48">
        <f t="shared" ca="1" si="367"/>
        <v>0</v>
      </c>
      <c r="GU50" s="48">
        <f t="shared" ca="1" si="367"/>
        <v>0</v>
      </c>
      <c r="GV50" s="48">
        <f t="shared" ca="1" si="368"/>
        <v>0</v>
      </c>
      <c r="GW50" s="48">
        <f t="shared" ca="1" si="368"/>
        <v>0</v>
      </c>
      <c r="GX50" s="48">
        <f t="shared" ca="1" si="368"/>
        <v>0</v>
      </c>
      <c r="GY50" s="48">
        <f t="shared" ca="1" si="368"/>
        <v>0</v>
      </c>
      <c r="GZ50" s="48">
        <f t="shared" ca="1" si="368"/>
        <v>0</v>
      </c>
      <c r="HA50" s="69"/>
      <c r="HB50" s="150" t="str">
        <f t="shared" ca="1" si="74"/>
        <v>n/a</v>
      </c>
      <c r="HC50" s="150" t="str">
        <f t="shared" ca="1" si="369"/>
        <v>n/a</v>
      </c>
      <c r="HD50" s="150" t="str">
        <f t="shared" ca="1" si="76"/>
        <v>n/a</v>
      </c>
      <c r="HE50" s="150" t="str">
        <f t="shared" ca="1" si="370"/>
        <v>n/a</v>
      </c>
      <c r="HF50" s="150" t="str">
        <f t="shared" ca="1" si="371"/>
        <v>n/a</v>
      </c>
      <c r="HG50" s="148"/>
      <c r="HH50" s="149"/>
      <c r="HI50" s="149"/>
      <c r="HJ50" s="149"/>
      <c r="HK50" s="150"/>
      <c r="HL50" s="149"/>
      <c r="HM50" s="149"/>
      <c r="HN50" s="149"/>
      <c r="HO50" s="150"/>
      <c r="HP50" s="148"/>
      <c r="HQ50" s="149"/>
      <c r="HR50" s="149"/>
      <c r="HS50" s="149"/>
      <c r="HT50" s="150"/>
      <c r="HU50" s="149"/>
      <c r="HV50" s="149"/>
      <c r="HW50" s="149"/>
      <c r="HX50" s="150"/>
      <c r="HY50" s="151"/>
      <c r="HZ50" s="150"/>
      <c r="IA50" s="150"/>
      <c r="IB50" s="152"/>
      <c r="IC50" s="150"/>
      <c r="ID50" s="152"/>
      <c r="IE50" s="150"/>
      <c r="IF50" s="153"/>
    </row>
    <row r="51" spans="1:240" s="36" customFormat="1" ht="14.4" customHeight="1">
      <c r="A51" s="39"/>
      <c r="B51" s="50" t="str">
        <f t="shared" si="340"/>
        <v>Residential_High Efficiency HVAC_HVAC_Early Retirement Geothermal EER ≥21_2017_Actual</v>
      </c>
      <c r="C51" s="50">
        <f>INDEX('Measure Inputs'!$D:$D,MATCH($B51,'Measure Inputs'!$B:$B,0))</f>
        <v>17</v>
      </c>
      <c r="D51" s="51" t="str">
        <f>'Measure Inputs'!G23</f>
        <v>Residential</v>
      </c>
      <c r="E51" s="51" t="str">
        <f>'Measure Inputs'!H23</f>
        <v>High Efficiency HVAC</v>
      </c>
      <c r="F51" s="51" t="str">
        <f>'Measure Inputs'!I23</f>
        <v>HVAC</v>
      </c>
      <c r="G51" s="51" t="str">
        <f>'Measure Inputs'!J23</f>
        <v>Early Retirement Geothermal EER ≥21</v>
      </c>
      <c r="H51" s="51">
        <f>'Measure Inputs'!K23</f>
        <v>2017</v>
      </c>
      <c r="I51" s="51" t="str">
        <f>'Measure Inputs'!L23</f>
        <v>Actual</v>
      </c>
      <c r="J51" s="37"/>
      <c r="K51" s="99" t="str">
        <f ca="1">INDEX(OFFSET('Measure Inputs'!$O$7,,,InputRows),$C51)</f>
        <v>Units</v>
      </c>
      <c r="L51" s="38">
        <f ca="1">INDEX(OFFSET('Measure Inputs'!$Q$7,,,InputRows),$C51)</f>
        <v>0</v>
      </c>
      <c r="M51" s="167">
        <f>INDEX('General Inputs'!$E$14:$E$15,MATCH(D51,'General Inputs'!$D$14:$D$15,0))</f>
        <v>1.0469999999999999</v>
      </c>
      <c r="N51" s="54">
        <f ca="1">INDEX(OFFSET('Measure Inputs'!$Y$7,,,InputRows),$C51)</f>
        <v>1</v>
      </c>
      <c r="O51" s="54">
        <f ca="1">INDEX(OFFSET('Measure Inputs'!$Z$7,,,InputRows),$C51)</f>
        <v>1</v>
      </c>
      <c r="P51" s="37"/>
      <c r="Q51" s="127">
        <f ca="1">CONVERT(INDEX(OFFSET('Measure Inputs'!$AB$7,,,InputRows),$C51),'Measure Inputs'!$AB$6,Q$8)*$L51</f>
        <v>0</v>
      </c>
      <c r="R51" s="127">
        <f t="shared" ca="1" si="341"/>
        <v>0</v>
      </c>
      <c r="S51" s="127">
        <f t="shared" ca="1" si="342"/>
        <v>0</v>
      </c>
      <c r="T51" s="37"/>
      <c r="U51" s="127">
        <f ca="1">CONVERT(INDEX(OFFSET('Measure Inputs'!$AD$7,,,InputRows),$C51),'Measure Inputs'!$AD$6,U$8)*$L51</f>
        <v>0</v>
      </c>
      <c r="V51" s="127">
        <f t="shared" ca="1" si="343"/>
        <v>0</v>
      </c>
      <c r="W51" s="127">
        <f t="shared" ca="1" si="344"/>
        <v>0</v>
      </c>
      <c r="X51" s="37"/>
      <c r="Y51" s="127">
        <f ca="1">CONVERT(INDEX(OFFSET('Measure Inputs'!$AC$7,,,InputRows),$C51),'Measure Inputs'!$AC$6,Y$8)*$L51</f>
        <v>0</v>
      </c>
      <c r="Z51" s="127">
        <f t="shared" ca="1" si="345"/>
        <v>0</v>
      </c>
      <c r="AA51" s="127">
        <f t="shared" ca="1" si="346"/>
        <v>0</v>
      </c>
      <c r="AB51" s="37"/>
      <c r="AC51" s="127">
        <f ca="1">CONVERT(INDEX(OFFSET('Measure Inputs'!$AE$7,,,InputRows),$C51),'Measure Inputs'!$AE$6,AC$8)*$L51</f>
        <v>0</v>
      </c>
      <c r="AD51" s="127">
        <f t="shared" ca="1" si="347"/>
        <v>0</v>
      </c>
      <c r="AE51" s="127">
        <f t="shared" ca="1" si="348"/>
        <v>0</v>
      </c>
      <c r="AF51" s="37"/>
      <c r="AG51" s="97">
        <f ca="1">INDEX(OFFSET('Measure Inputs'!$R$7,,,InputRows),$C51)</f>
        <v>25</v>
      </c>
      <c r="AH51" s="97">
        <f ca="1">INDEX(OFFSET('Measure Inputs'!$S$7,,,InputRows),$C51)</f>
        <v>8</v>
      </c>
      <c r="AI51" s="97">
        <f t="shared" ca="1" si="349"/>
        <v>0</v>
      </c>
      <c r="AJ51" s="100">
        <f ca="1">INDEX(OFFSET('Measure Inputs'!$T$7,,,InputRows),$C51)*$L51*$N51*$O51</f>
        <v>0</v>
      </c>
      <c r="AK51" s="100">
        <f ca="1">INDEX(OFFSET('Measure Inputs'!$U$7,,,InputRows),$C51)*$L51*$N51*$O51</f>
        <v>0</v>
      </c>
      <c r="AL51" s="100">
        <f ca="1">INDEX(OFFSET('Measure Inputs'!$V$7,,,InputRows),$C51)*$L51*$N51*$O51</f>
        <v>0</v>
      </c>
      <c r="AM51" s="100">
        <f ca="1">INDEX(OFFSET('Measure Inputs'!$W$7,,,InputRows),$C51)*$L51*$N51*$O51</f>
        <v>0</v>
      </c>
      <c r="AN51" s="100">
        <f ca="1">INDEX(OFFSET('Measure Inputs'!$X$7,,,InputRows),$C51)*$L51</f>
        <v>0</v>
      </c>
      <c r="AO51" s="100"/>
      <c r="AP51" s="100">
        <f t="shared" ca="1" si="350"/>
        <v>0</v>
      </c>
      <c r="AQ51" s="37"/>
      <c r="AR51" s="100">
        <f ca="1">SUMPRODUCT(--($CX$9:$EX$9=$H51)*$AJ51,'General Inputs'!$K$40:$BK$40)+SUMPRODUCT(--($CX$9:$EX$9=$H51+$AH51)*-$AK51,'General Inputs'!$K$43:$BK$43)</f>
        <v>0</v>
      </c>
      <c r="AS51" s="100">
        <f ca="1">CONVERT(SUMPRODUCT($CX51:$EX51,'General Inputs'!$K$29:$BK$29,'General Inputs'!$K$40:$BK$40)*$M51,$Q$8,'General Inputs'!$E$17)</f>
        <v>0</v>
      </c>
      <c r="AT51" s="100">
        <f ca="1">SUMPRODUCT(--($CX$9:$EX$9=$H51)*$AN51,'General Inputs'!$K$40:$BK$40)</f>
        <v>0</v>
      </c>
      <c r="AU51" s="100">
        <f>SUMPRODUCT(--($CX$9:$EX$9=$H51)*$AO51,'General Inputs'!$K$40:$BK$40)</f>
        <v>0</v>
      </c>
      <c r="AV51" s="100">
        <f ca="1">CONVERT(SUMPRODUCT($CX51:$EX51,'General Inputs'!$K$40:$BK$40,OFFSET('General Inputs'!$K$34:$BK$34,MATCH($D51,'General Inputs'!$J$34:$J$35,0)-1,)),$Q$8,'General Inputs'!$G$32)</f>
        <v>0</v>
      </c>
      <c r="AW51" s="100">
        <f ca="1">CONVERT(SUMPRODUCT($CX51:$EX51,'General Inputs'!$K$27:$BK$27,'General Inputs'!$K$40:$BK$40)*$M51,$Q$8,'General Inputs'!$E$17)</f>
        <v>0</v>
      </c>
      <c r="AX51" s="100">
        <f ca="1">CONVERT(SUMPRODUCT($EZ51:$GZ51,'General Inputs'!$K$28:$BK$28,'General Inputs'!$K$40:$BK$40)*$M51,$Q$8,'General Inputs'!$E$17)</f>
        <v>0</v>
      </c>
      <c r="AY51" s="98">
        <f ca="1">SUMPRODUCT($CX51:$EX51,'General Inputs'!$K$40:$BK$40)</f>
        <v>0</v>
      </c>
      <c r="AZ51" s="37"/>
      <c r="BA51" s="100">
        <f t="shared" ca="1" si="351"/>
        <v>0</v>
      </c>
      <c r="BB51" s="102" t="e">
        <f t="shared" ca="1" si="352"/>
        <v>#DIV/0!</v>
      </c>
      <c r="BC51" s="100">
        <f t="shared" ca="1" si="273"/>
        <v>0</v>
      </c>
      <c r="BD51" s="100">
        <f t="shared" ca="1" si="274"/>
        <v>0</v>
      </c>
      <c r="BE51" s="100">
        <f t="shared" ca="1" si="275"/>
        <v>0</v>
      </c>
      <c r="BF51" s="100">
        <f t="shared" ca="1" si="276"/>
        <v>0</v>
      </c>
      <c r="BG51" s="100">
        <f t="shared" si="277"/>
        <v>0</v>
      </c>
      <c r="BH51" s="100">
        <f t="shared" ca="1" si="278"/>
        <v>0</v>
      </c>
      <c r="BI51" s="37"/>
      <c r="BJ51" s="100">
        <f t="shared" ca="1" si="353"/>
        <v>0</v>
      </c>
      <c r="BK51" s="102" t="e">
        <f t="shared" ca="1" si="354"/>
        <v>#DIV/0!</v>
      </c>
      <c r="BL51" s="100">
        <f t="shared" ca="1" si="279"/>
        <v>0</v>
      </c>
      <c r="BM51" s="100">
        <f t="shared" ca="1" si="164"/>
        <v>0</v>
      </c>
      <c r="BN51" s="100">
        <f t="shared" ca="1" si="280"/>
        <v>0</v>
      </c>
      <c r="BO51" s="100">
        <f t="shared" ca="1" si="281"/>
        <v>0</v>
      </c>
      <c r="BP51" s="100">
        <f t="shared" ca="1" si="282"/>
        <v>0</v>
      </c>
      <c r="BQ51" s="100">
        <f t="shared" si="283"/>
        <v>0</v>
      </c>
      <c r="BR51" s="100">
        <f t="shared" ca="1" si="284"/>
        <v>0</v>
      </c>
      <c r="BS51" s="37"/>
      <c r="BT51" s="100">
        <f t="shared" ca="1" si="355"/>
        <v>0</v>
      </c>
      <c r="BU51" s="102" t="e">
        <f t="shared" ca="1" si="356"/>
        <v>#DIV/0!</v>
      </c>
      <c r="BV51" s="102" t="e">
        <f t="shared" ca="1" si="285"/>
        <v>#DIV/0!</v>
      </c>
      <c r="BW51" s="100">
        <f t="shared" ca="1" si="286"/>
        <v>0</v>
      </c>
      <c r="BX51" s="100">
        <f t="shared" ca="1" si="287"/>
        <v>0</v>
      </c>
      <c r="BY51" s="100">
        <f t="shared" ca="1" si="288"/>
        <v>0</v>
      </c>
      <c r="BZ51" s="100">
        <f t="shared" ca="1" si="289"/>
        <v>0</v>
      </c>
      <c r="CA51" s="100">
        <f t="shared" ca="1" si="290"/>
        <v>0</v>
      </c>
      <c r="CB51" s="37"/>
      <c r="CC51" s="100">
        <f t="shared" ca="1" si="357"/>
        <v>0</v>
      </c>
      <c r="CD51" s="102" t="e">
        <f t="shared" ca="1" si="358"/>
        <v>#DIV/0!</v>
      </c>
      <c r="CE51" s="103" t="e">
        <f t="shared" ca="1" si="291"/>
        <v>#DIV/0!</v>
      </c>
      <c r="CF51" s="100">
        <f t="shared" ca="1" si="292"/>
        <v>0</v>
      </c>
      <c r="CG51" s="100">
        <f t="shared" ca="1" si="293"/>
        <v>0</v>
      </c>
      <c r="CH51" s="100">
        <f t="shared" ca="1" si="294"/>
        <v>0</v>
      </c>
      <c r="CI51" s="100">
        <f t="shared" ca="1" si="71"/>
        <v>0</v>
      </c>
      <c r="CJ51" s="100">
        <f t="shared" ca="1" si="72"/>
        <v>0</v>
      </c>
      <c r="CK51" s="100">
        <f t="shared" si="295"/>
        <v>0</v>
      </c>
      <c r="CL51" s="37"/>
      <c r="CM51" s="100">
        <f t="shared" ca="1" si="359"/>
        <v>0</v>
      </c>
      <c r="CN51" s="102" t="e">
        <f t="shared" ca="1" si="360"/>
        <v>#DIV/0!</v>
      </c>
      <c r="CO51" s="128"/>
      <c r="CP51" s="100">
        <f t="shared" ca="1" si="296"/>
        <v>0</v>
      </c>
      <c r="CQ51" s="100">
        <f t="shared" ca="1" si="297"/>
        <v>0</v>
      </c>
      <c r="CR51" s="100">
        <f t="shared" ca="1" si="298"/>
        <v>0</v>
      </c>
      <c r="CS51" s="100">
        <f t="shared" ca="1" si="73"/>
        <v>0</v>
      </c>
      <c r="CT51" s="100">
        <f t="shared" ca="1" si="299"/>
        <v>0</v>
      </c>
      <c r="CU51" s="100">
        <f t="shared" ca="1" si="300"/>
        <v>0</v>
      </c>
      <c r="CV51" s="100">
        <f t="shared" si="301"/>
        <v>0</v>
      </c>
      <c r="CW51" s="37"/>
      <c r="CX51" s="48">
        <f t="shared" ca="1" si="361"/>
        <v>0</v>
      </c>
      <c r="CY51" s="48">
        <f t="shared" ca="1" si="361"/>
        <v>0</v>
      </c>
      <c r="CZ51" s="48">
        <f t="shared" ca="1" si="361"/>
        <v>0</v>
      </c>
      <c r="DA51" s="48">
        <f t="shared" ca="1" si="361"/>
        <v>0</v>
      </c>
      <c r="DB51" s="48">
        <f t="shared" ca="1" si="361"/>
        <v>0</v>
      </c>
      <c r="DC51" s="48">
        <f t="shared" ca="1" si="361"/>
        <v>0</v>
      </c>
      <c r="DD51" s="48">
        <f t="shared" ca="1" si="361"/>
        <v>0</v>
      </c>
      <c r="DE51" s="48">
        <f t="shared" ca="1" si="361"/>
        <v>0</v>
      </c>
      <c r="DF51" s="48">
        <f t="shared" ca="1" si="361"/>
        <v>0</v>
      </c>
      <c r="DG51" s="48">
        <f t="shared" ca="1" si="361"/>
        <v>0</v>
      </c>
      <c r="DH51" s="48">
        <f t="shared" ca="1" si="361"/>
        <v>0</v>
      </c>
      <c r="DI51" s="48">
        <f t="shared" ca="1" si="361"/>
        <v>0</v>
      </c>
      <c r="DJ51" s="48">
        <f t="shared" ca="1" si="361"/>
        <v>0</v>
      </c>
      <c r="DK51" s="48">
        <f t="shared" ca="1" si="361"/>
        <v>0</v>
      </c>
      <c r="DL51" s="48">
        <f t="shared" ca="1" si="361"/>
        <v>0</v>
      </c>
      <c r="DM51" s="48">
        <f t="shared" ca="1" si="361"/>
        <v>0</v>
      </c>
      <c r="DN51" s="48">
        <f t="shared" ca="1" si="362"/>
        <v>0</v>
      </c>
      <c r="DO51" s="48">
        <f t="shared" ca="1" si="362"/>
        <v>0</v>
      </c>
      <c r="DP51" s="48">
        <f t="shared" ca="1" si="362"/>
        <v>0</v>
      </c>
      <c r="DQ51" s="48">
        <f t="shared" ca="1" si="362"/>
        <v>0</v>
      </c>
      <c r="DR51" s="48">
        <f t="shared" ca="1" si="362"/>
        <v>0</v>
      </c>
      <c r="DS51" s="48">
        <f t="shared" ca="1" si="362"/>
        <v>0</v>
      </c>
      <c r="DT51" s="48">
        <f t="shared" ca="1" si="362"/>
        <v>0</v>
      </c>
      <c r="DU51" s="48">
        <f t="shared" ca="1" si="362"/>
        <v>0</v>
      </c>
      <c r="DV51" s="48">
        <f t="shared" ca="1" si="362"/>
        <v>0</v>
      </c>
      <c r="DW51" s="48">
        <f t="shared" ca="1" si="362"/>
        <v>0</v>
      </c>
      <c r="DX51" s="48">
        <f t="shared" ca="1" si="362"/>
        <v>0</v>
      </c>
      <c r="DY51" s="48">
        <f t="shared" ca="1" si="362"/>
        <v>0</v>
      </c>
      <c r="DZ51" s="48">
        <f t="shared" ca="1" si="362"/>
        <v>0</v>
      </c>
      <c r="EA51" s="48">
        <f t="shared" ca="1" si="362"/>
        <v>0</v>
      </c>
      <c r="EB51" s="48">
        <f t="shared" ca="1" si="362"/>
        <v>0</v>
      </c>
      <c r="EC51" s="48">
        <f t="shared" ca="1" si="362"/>
        <v>0</v>
      </c>
      <c r="ED51" s="48">
        <f t="shared" ca="1" si="363"/>
        <v>0</v>
      </c>
      <c r="EE51" s="48">
        <f t="shared" ca="1" si="363"/>
        <v>0</v>
      </c>
      <c r="EF51" s="48">
        <f t="shared" ca="1" si="363"/>
        <v>0</v>
      </c>
      <c r="EG51" s="48">
        <f t="shared" ca="1" si="363"/>
        <v>0</v>
      </c>
      <c r="EH51" s="48">
        <f t="shared" ca="1" si="363"/>
        <v>0</v>
      </c>
      <c r="EI51" s="48">
        <f t="shared" ca="1" si="363"/>
        <v>0</v>
      </c>
      <c r="EJ51" s="48">
        <f t="shared" ca="1" si="363"/>
        <v>0</v>
      </c>
      <c r="EK51" s="48">
        <f t="shared" ca="1" si="363"/>
        <v>0</v>
      </c>
      <c r="EL51" s="48">
        <f t="shared" ca="1" si="363"/>
        <v>0</v>
      </c>
      <c r="EM51" s="48">
        <f t="shared" ca="1" si="363"/>
        <v>0</v>
      </c>
      <c r="EN51" s="48">
        <f t="shared" ca="1" si="363"/>
        <v>0</v>
      </c>
      <c r="EO51" s="48">
        <f t="shared" ca="1" si="363"/>
        <v>0</v>
      </c>
      <c r="EP51" s="48">
        <f t="shared" ca="1" si="363"/>
        <v>0</v>
      </c>
      <c r="EQ51" s="48">
        <f t="shared" ca="1" si="363"/>
        <v>0</v>
      </c>
      <c r="ER51" s="48">
        <f t="shared" ca="1" si="363"/>
        <v>0</v>
      </c>
      <c r="ES51" s="48">
        <f t="shared" ca="1" si="363"/>
        <v>0</v>
      </c>
      <c r="ET51" s="48">
        <f t="shared" ca="1" si="364"/>
        <v>0</v>
      </c>
      <c r="EU51" s="48">
        <f t="shared" ca="1" si="364"/>
        <v>0</v>
      </c>
      <c r="EV51" s="48">
        <f t="shared" ca="1" si="364"/>
        <v>0</v>
      </c>
      <c r="EW51" s="48">
        <f t="shared" ca="1" si="364"/>
        <v>0</v>
      </c>
      <c r="EX51" s="48">
        <f t="shared" ca="1" si="364"/>
        <v>0</v>
      </c>
      <c r="EY51" s="69"/>
      <c r="EZ51" s="48">
        <f t="shared" ca="1" si="365"/>
        <v>0</v>
      </c>
      <c r="FA51" s="48">
        <f t="shared" ca="1" si="365"/>
        <v>0</v>
      </c>
      <c r="FB51" s="48">
        <f t="shared" ca="1" si="365"/>
        <v>0</v>
      </c>
      <c r="FC51" s="48">
        <f t="shared" ca="1" si="365"/>
        <v>0</v>
      </c>
      <c r="FD51" s="48">
        <f t="shared" ca="1" si="365"/>
        <v>0</v>
      </c>
      <c r="FE51" s="48">
        <f t="shared" ca="1" si="365"/>
        <v>0</v>
      </c>
      <c r="FF51" s="48">
        <f t="shared" ca="1" si="365"/>
        <v>0</v>
      </c>
      <c r="FG51" s="48">
        <f t="shared" ca="1" si="365"/>
        <v>0</v>
      </c>
      <c r="FH51" s="48">
        <f t="shared" ca="1" si="365"/>
        <v>0</v>
      </c>
      <c r="FI51" s="48">
        <f t="shared" ca="1" si="365"/>
        <v>0</v>
      </c>
      <c r="FJ51" s="48">
        <f t="shared" ca="1" si="365"/>
        <v>0</v>
      </c>
      <c r="FK51" s="48">
        <f t="shared" ca="1" si="365"/>
        <v>0</v>
      </c>
      <c r="FL51" s="48">
        <f t="shared" ca="1" si="365"/>
        <v>0</v>
      </c>
      <c r="FM51" s="48">
        <f t="shared" ca="1" si="365"/>
        <v>0</v>
      </c>
      <c r="FN51" s="48">
        <f t="shared" ca="1" si="365"/>
        <v>0</v>
      </c>
      <c r="FO51" s="48">
        <f t="shared" ca="1" si="365"/>
        <v>0</v>
      </c>
      <c r="FP51" s="48">
        <f t="shared" ca="1" si="366"/>
        <v>0</v>
      </c>
      <c r="FQ51" s="48">
        <f t="shared" ca="1" si="366"/>
        <v>0</v>
      </c>
      <c r="FR51" s="48">
        <f t="shared" ca="1" si="366"/>
        <v>0</v>
      </c>
      <c r="FS51" s="48">
        <f t="shared" ca="1" si="366"/>
        <v>0</v>
      </c>
      <c r="FT51" s="48">
        <f t="shared" ca="1" si="366"/>
        <v>0</v>
      </c>
      <c r="FU51" s="48">
        <f t="shared" ca="1" si="366"/>
        <v>0</v>
      </c>
      <c r="FV51" s="48">
        <f t="shared" ca="1" si="366"/>
        <v>0</v>
      </c>
      <c r="FW51" s="48">
        <f t="shared" ca="1" si="366"/>
        <v>0</v>
      </c>
      <c r="FX51" s="48">
        <f t="shared" ca="1" si="366"/>
        <v>0</v>
      </c>
      <c r="FY51" s="48">
        <f t="shared" ca="1" si="366"/>
        <v>0</v>
      </c>
      <c r="FZ51" s="48">
        <f t="shared" ca="1" si="366"/>
        <v>0</v>
      </c>
      <c r="GA51" s="48">
        <f t="shared" ca="1" si="366"/>
        <v>0</v>
      </c>
      <c r="GB51" s="48">
        <f t="shared" ca="1" si="366"/>
        <v>0</v>
      </c>
      <c r="GC51" s="48">
        <f t="shared" ca="1" si="366"/>
        <v>0</v>
      </c>
      <c r="GD51" s="48">
        <f t="shared" ca="1" si="366"/>
        <v>0</v>
      </c>
      <c r="GE51" s="48">
        <f t="shared" ca="1" si="366"/>
        <v>0</v>
      </c>
      <c r="GF51" s="48">
        <f t="shared" ca="1" si="367"/>
        <v>0</v>
      </c>
      <c r="GG51" s="48">
        <f t="shared" ca="1" si="367"/>
        <v>0</v>
      </c>
      <c r="GH51" s="48">
        <f t="shared" ca="1" si="367"/>
        <v>0</v>
      </c>
      <c r="GI51" s="48">
        <f t="shared" ca="1" si="367"/>
        <v>0</v>
      </c>
      <c r="GJ51" s="48">
        <f t="shared" ca="1" si="367"/>
        <v>0</v>
      </c>
      <c r="GK51" s="48">
        <f t="shared" ca="1" si="367"/>
        <v>0</v>
      </c>
      <c r="GL51" s="48">
        <f t="shared" ca="1" si="367"/>
        <v>0</v>
      </c>
      <c r="GM51" s="48">
        <f t="shared" ca="1" si="367"/>
        <v>0</v>
      </c>
      <c r="GN51" s="48">
        <f t="shared" ca="1" si="367"/>
        <v>0</v>
      </c>
      <c r="GO51" s="48">
        <f t="shared" ca="1" si="367"/>
        <v>0</v>
      </c>
      <c r="GP51" s="48">
        <f t="shared" ca="1" si="367"/>
        <v>0</v>
      </c>
      <c r="GQ51" s="48">
        <f t="shared" ca="1" si="367"/>
        <v>0</v>
      </c>
      <c r="GR51" s="48">
        <f t="shared" ca="1" si="367"/>
        <v>0</v>
      </c>
      <c r="GS51" s="48">
        <f t="shared" ca="1" si="367"/>
        <v>0</v>
      </c>
      <c r="GT51" s="48">
        <f t="shared" ca="1" si="367"/>
        <v>0</v>
      </c>
      <c r="GU51" s="48">
        <f t="shared" ca="1" si="367"/>
        <v>0</v>
      </c>
      <c r="GV51" s="48">
        <f t="shared" ca="1" si="368"/>
        <v>0</v>
      </c>
      <c r="GW51" s="48">
        <f t="shared" ca="1" si="368"/>
        <v>0</v>
      </c>
      <c r="GX51" s="48">
        <f t="shared" ca="1" si="368"/>
        <v>0</v>
      </c>
      <c r="GY51" s="48">
        <f t="shared" ca="1" si="368"/>
        <v>0</v>
      </c>
      <c r="GZ51" s="48">
        <f t="shared" ca="1" si="368"/>
        <v>0</v>
      </c>
      <c r="HA51" s="69"/>
      <c r="HB51" s="150" t="str">
        <f t="shared" ca="1" si="74"/>
        <v>n/a</v>
      </c>
      <c r="HC51" s="150" t="str">
        <f t="shared" ca="1" si="369"/>
        <v>n/a</v>
      </c>
      <c r="HD51" s="150" t="str">
        <f t="shared" ca="1" si="76"/>
        <v>n/a</v>
      </c>
      <c r="HE51" s="150" t="str">
        <f t="shared" ca="1" si="370"/>
        <v>n/a</v>
      </c>
      <c r="HF51" s="150" t="str">
        <f t="shared" ca="1" si="371"/>
        <v>n/a</v>
      </c>
      <c r="HG51" s="148"/>
      <c r="HH51" s="149"/>
      <c r="HI51" s="149"/>
      <c r="HJ51" s="149"/>
      <c r="HK51" s="150"/>
      <c r="HL51" s="149"/>
      <c r="HM51" s="149"/>
      <c r="HN51" s="149"/>
      <c r="HO51" s="150"/>
      <c r="HP51" s="148"/>
      <c r="HQ51" s="149"/>
      <c r="HR51" s="149"/>
      <c r="HS51" s="149"/>
      <c r="HT51" s="150"/>
      <c r="HU51" s="149"/>
      <c r="HV51" s="149"/>
      <c r="HW51" s="149"/>
      <c r="HX51" s="150"/>
      <c r="HY51" s="151"/>
      <c r="HZ51" s="150"/>
      <c r="IA51" s="150"/>
      <c r="IB51" s="152"/>
      <c r="IC51" s="150"/>
      <c r="ID51" s="152"/>
      <c r="IE51" s="150"/>
      <c r="IF51" s="153"/>
    </row>
    <row r="52" spans="1:240" s="36" customFormat="1" ht="14.4" customHeight="1">
      <c r="A52" s="39"/>
      <c r="B52" s="50" t="str">
        <f t="shared" si="340"/>
        <v>Residential_Whole House Efficiency_Various_Measures_2017_Actual</v>
      </c>
      <c r="C52" s="50">
        <f>INDEX('Measure Inputs'!$D:$D,MATCH($B52,'Measure Inputs'!$B:$B,0))</f>
        <v>18</v>
      </c>
      <c r="D52" s="51" t="str">
        <f>'Measure Inputs'!G24</f>
        <v>Residential</v>
      </c>
      <c r="E52" s="51" t="str">
        <f>'Measure Inputs'!H24</f>
        <v>Whole House Efficiency</v>
      </c>
      <c r="F52" s="51" t="str">
        <f>'Measure Inputs'!I24</f>
        <v>Various</v>
      </c>
      <c r="G52" s="51" t="str">
        <f>'Measure Inputs'!J24</f>
        <v>Measures</v>
      </c>
      <c r="H52" s="51">
        <f>'Measure Inputs'!K24</f>
        <v>2017</v>
      </c>
      <c r="I52" s="51" t="str">
        <f>'Measure Inputs'!L24</f>
        <v>Actual</v>
      </c>
      <c r="J52" s="37"/>
      <c r="K52" s="99" t="str">
        <f ca="1">INDEX(OFFSET('Measure Inputs'!$O$7,,,InputRows),$C52)</f>
        <v>Units</v>
      </c>
      <c r="L52" s="38">
        <f ca="1">INDEX(OFFSET('Measure Inputs'!$Q$7,,,InputRows),$C52)</f>
        <v>41</v>
      </c>
      <c r="M52" s="167">
        <f>INDEX('General Inputs'!$E$14:$E$15,MATCH(D52,'General Inputs'!$D$14:$D$15,0))</f>
        <v>1.0469999999999999</v>
      </c>
      <c r="N52" s="54">
        <f ca="1">INDEX(OFFSET('Measure Inputs'!$Y$7,,,InputRows),$C52)</f>
        <v>1</v>
      </c>
      <c r="O52" s="54">
        <f ca="1">INDEX(OFFSET('Measure Inputs'!$Z$7,,,InputRows),$C52)</f>
        <v>1</v>
      </c>
      <c r="P52" s="37"/>
      <c r="Q52" s="127">
        <f ca="1">CONVERT(INDEX(OFFSET('Measure Inputs'!$AB$7,,,InputRows),$C52),'Measure Inputs'!$AB$6,Q$8)*$L52</f>
        <v>20828</v>
      </c>
      <c r="R52" s="127">
        <f t="shared" ca="1" si="341"/>
        <v>20828</v>
      </c>
      <c r="S52" s="127">
        <f t="shared" ca="1" si="342"/>
        <v>20828</v>
      </c>
      <c r="T52" s="37"/>
      <c r="U52" s="127">
        <f ca="1">CONVERT(INDEX(OFFSET('Measure Inputs'!$AD$7,,,InputRows),$C52),'Measure Inputs'!$AD$6,U$8)*$L52</f>
        <v>0</v>
      </c>
      <c r="V52" s="127">
        <f t="shared" ca="1" si="343"/>
        <v>0</v>
      </c>
      <c r="W52" s="127">
        <f t="shared" ca="1" si="344"/>
        <v>0</v>
      </c>
      <c r="X52" s="37"/>
      <c r="Y52" s="127">
        <f ca="1">CONVERT(INDEX(OFFSET('Measure Inputs'!$AC$7,,,InputRows),$C52),'Measure Inputs'!$AC$6,Y$8)*$L52</f>
        <v>7.7900000000000071</v>
      </c>
      <c r="Z52" s="127">
        <f t="shared" ca="1" si="345"/>
        <v>7.7900000000000071</v>
      </c>
      <c r="AA52" s="127">
        <f t="shared" ca="1" si="346"/>
        <v>7.7900000000000071</v>
      </c>
      <c r="AB52" s="37"/>
      <c r="AC52" s="127">
        <f ca="1">CONVERT(INDEX(OFFSET('Measure Inputs'!$AE$7,,,InputRows),$C52),'Measure Inputs'!$AE$6,AC$8)*$L52</f>
        <v>0</v>
      </c>
      <c r="AD52" s="127">
        <f t="shared" ca="1" si="347"/>
        <v>0</v>
      </c>
      <c r="AE52" s="127">
        <f t="shared" ca="1" si="348"/>
        <v>0</v>
      </c>
      <c r="AF52" s="37"/>
      <c r="AG52" s="97">
        <f ca="1">INDEX(OFFSET('Measure Inputs'!$R$7,,,InputRows),$C52)</f>
        <v>12.199963201185822</v>
      </c>
      <c r="AH52" s="97">
        <f ca="1">INDEX(OFFSET('Measure Inputs'!$S$7,,,InputRows),$C52)</f>
        <v>0</v>
      </c>
      <c r="AI52" s="97">
        <f t="shared" ca="1" si="349"/>
        <v>270764</v>
      </c>
      <c r="AJ52" s="100">
        <f ca="1">INDEX(OFFSET('Measure Inputs'!$T$7,,,InputRows),$C52)*$L52*$N52*$O52</f>
        <v>0</v>
      </c>
      <c r="AK52" s="100">
        <f ca="1">INDEX(OFFSET('Measure Inputs'!$U$7,,,InputRows),$C52)*$L52*$N52*$O52</f>
        <v>0</v>
      </c>
      <c r="AL52" s="100">
        <f ca="1">INDEX(OFFSET('Measure Inputs'!$V$7,,,InputRows),$C52)*$L52*$N52*$O52</f>
        <v>0</v>
      </c>
      <c r="AM52" s="100">
        <f ca="1">INDEX(OFFSET('Measure Inputs'!$W$7,,,InputRows),$C52)*$L52*$N52*$O52</f>
        <v>0</v>
      </c>
      <c r="AN52" s="100">
        <f ca="1">INDEX(OFFSET('Measure Inputs'!$X$7,,,InputRows),$C52)*$L52</f>
        <v>0</v>
      </c>
      <c r="AO52" s="100"/>
      <c r="AP52" s="100">
        <f t="shared" ca="1" si="350"/>
        <v>0</v>
      </c>
      <c r="AQ52" s="37"/>
      <c r="AR52" s="100">
        <f ca="1">SUMPRODUCT(--($CX$9:$EX$9=$H52)*$AJ52,'General Inputs'!$K$40:$BK$40)+SUMPRODUCT(--($CX$9:$EX$9=$H52+$AH52)*-$AK52,'General Inputs'!$K$43:$BK$43)</f>
        <v>0</v>
      </c>
      <c r="AS52" s="100">
        <f ca="1">CONVERT(SUMPRODUCT($CX52:$EX52,'General Inputs'!$K$29:$BK$29,'General Inputs'!$K$40:$BK$40)*$M52,$Q$8,'General Inputs'!$E$17)</f>
        <v>2043.1857400691356</v>
      </c>
      <c r="AT52" s="100">
        <f ca="1">SUMPRODUCT(--($CX$9:$EX$9=$H52)*$AN52,'General Inputs'!$K$40:$BK$40)</f>
        <v>0</v>
      </c>
      <c r="AU52" s="100">
        <f>SUMPRODUCT(--($CX$9:$EX$9=$H52)*$AO52,'General Inputs'!$K$40:$BK$40)</f>
        <v>0</v>
      </c>
      <c r="AV52" s="100">
        <f ca="1">CONVERT(SUMPRODUCT($CX52:$EX52,'General Inputs'!$K$40:$BK$40,OFFSET('General Inputs'!$K$34:$BK$34,MATCH($D52,'General Inputs'!$J$34:$J$35,0)-1,)),$Q$8,'General Inputs'!$G$32)</f>
        <v>25477.547953419336</v>
      </c>
      <c r="AW52" s="100">
        <f ca="1">CONVERT(SUMPRODUCT($CX52:$EX52,'General Inputs'!$K$27:$BK$27,'General Inputs'!$K$40:$BK$40)*$M52,$Q$8,'General Inputs'!$E$17)</f>
        <v>8030.3879648111306</v>
      </c>
      <c r="AX52" s="100">
        <f ca="1">CONVERT(SUMPRODUCT($EZ52:$GZ52,'General Inputs'!$K$28:$BK$28,'General Inputs'!$K$40:$BK$40)*$M52,$Q$8,'General Inputs'!$E$17)</f>
        <v>1129.6620359539406</v>
      </c>
      <c r="AY52" s="98">
        <f ca="1">SUMPRODUCT($CX52:$EX52,'General Inputs'!$K$40:$BK$40)</f>
        <v>171181.298284919</v>
      </c>
      <c r="AZ52" s="37"/>
      <c r="BA52" s="100">
        <f t="shared" ca="1" si="351"/>
        <v>9160.0500007650717</v>
      </c>
      <c r="BB52" s="102" t="e">
        <f t="shared" ca="1" si="352"/>
        <v>#DIV/0!</v>
      </c>
      <c r="BC52" s="100">
        <f t="shared" ca="1" si="273"/>
        <v>0</v>
      </c>
      <c r="BD52" s="100">
        <f t="shared" ca="1" si="274"/>
        <v>9160.0500007650717</v>
      </c>
      <c r="BE52" s="100">
        <f t="shared" ca="1" si="275"/>
        <v>8030.3879648111306</v>
      </c>
      <c r="BF52" s="100">
        <f t="shared" ca="1" si="276"/>
        <v>1129.6620359539406</v>
      </c>
      <c r="BG52" s="100">
        <f t="shared" si="277"/>
        <v>0</v>
      </c>
      <c r="BH52" s="100">
        <f t="shared" ca="1" si="278"/>
        <v>0</v>
      </c>
      <c r="BI52" s="37"/>
      <c r="BJ52" s="100">
        <f t="shared" ca="1" si="353"/>
        <v>11203.235740834207</v>
      </c>
      <c r="BK52" s="102" t="e">
        <f t="shared" ca="1" si="354"/>
        <v>#DIV/0!</v>
      </c>
      <c r="BL52" s="100">
        <f t="shared" ca="1" si="279"/>
        <v>0</v>
      </c>
      <c r="BM52" s="100">
        <f t="shared" ca="1" si="164"/>
        <v>11203.235740834207</v>
      </c>
      <c r="BN52" s="100">
        <f t="shared" ca="1" si="280"/>
        <v>8030.3879648111306</v>
      </c>
      <c r="BO52" s="100">
        <f t="shared" ca="1" si="281"/>
        <v>1129.6620359539406</v>
      </c>
      <c r="BP52" s="100">
        <f t="shared" ca="1" si="282"/>
        <v>2043.1857400691356</v>
      </c>
      <c r="BQ52" s="100">
        <f t="shared" si="283"/>
        <v>0</v>
      </c>
      <c r="BR52" s="100">
        <f t="shared" ca="1" si="284"/>
        <v>0</v>
      </c>
      <c r="BS52" s="37"/>
      <c r="BT52" s="100">
        <f t="shared" ca="1" si="355"/>
        <v>25477.547953419336</v>
      </c>
      <c r="BU52" s="102" t="e">
        <f t="shared" ca="1" si="356"/>
        <v>#DIV/0!</v>
      </c>
      <c r="BV52" s="102">
        <f t="shared" ca="1" si="285"/>
        <v>0</v>
      </c>
      <c r="BW52" s="100">
        <f t="shared" ca="1" si="286"/>
        <v>0</v>
      </c>
      <c r="BX52" s="100">
        <f t="shared" ca="1" si="287"/>
        <v>25477.547953419336</v>
      </c>
      <c r="BY52" s="100">
        <f t="shared" ca="1" si="288"/>
        <v>25477.547953419336</v>
      </c>
      <c r="BZ52" s="100">
        <f t="shared" ca="1" si="289"/>
        <v>0</v>
      </c>
      <c r="CA52" s="100">
        <f t="shared" ca="1" si="290"/>
        <v>0</v>
      </c>
      <c r="CB52" s="37"/>
      <c r="CC52" s="100">
        <f t="shared" ca="1" si="357"/>
        <v>9160.0500007650717</v>
      </c>
      <c r="CD52" s="102" t="e">
        <f t="shared" ca="1" si="358"/>
        <v>#DIV/0!</v>
      </c>
      <c r="CE52" s="103">
        <f t="shared" ca="1" si="291"/>
        <v>0</v>
      </c>
      <c r="CF52" s="100">
        <f t="shared" ca="1" si="292"/>
        <v>0</v>
      </c>
      <c r="CG52" s="100">
        <f t="shared" ca="1" si="293"/>
        <v>9160.0500007650717</v>
      </c>
      <c r="CH52" s="100">
        <f t="shared" ca="1" si="294"/>
        <v>8030.3879648111306</v>
      </c>
      <c r="CI52" s="100">
        <f t="shared" ca="1" si="71"/>
        <v>1129.6620359539406</v>
      </c>
      <c r="CJ52" s="100">
        <f t="shared" ca="1" si="72"/>
        <v>0</v>
      </c>
      <c r="CK52" s="100">
        <f t="shared" si="295"/>
        <v>0</v>
      </c>
      <c r="CL52" s="37"/>
      <c r="CM52" s="100">
        <f t="shared" ca="1" si="359"/>
        <v>-16317.497952654265</v>
      </c>
      <c r="CN52" s="102">
        <f t="shared" ca="1" si="360"/>
        <v>0.35953420704034839</v>
      </c>
      <c r="CO52" s="128"/>
      <c r="CP52" s="100">
        <f t="shared" ca="1" si="296"/>
        <v>25477.547953419336</v>
      </c>
      <c r="CQ52" s="100">
        <f t="shared" ca="1" si="297"/>
        <v>9160.0500007650717</v>
      </c>
      <c r="CR52" s="100">
        <f t="shared" ca="1" si="298"/>
        <v>8030.3879648111306</v>
      </c>
      <c r="CS52" s="100">
        <f t="shared" ca="1" si="73"/>
        <v>1129.6620359539406</v>
      </c>
      <c r="CT52" s="100">
        <f t="shared" ca="1" si="299"/>
        <v>25477.547953419336</v>
      </c>
      <c r="CU52" s="100">
        <f t="shared" ca="1" si="300"/>
        <v>0</v>
      </c>
      <c r="CV52" s="100">
        <f t="shared" si="301"/>
        <v>0</v>
      </c>
      <c r="CW52" s="37"/>
      <c r="CX52" s="48">
        <f t="shared" ca="1" si="361"/>
        <v>20828</v>
      </c>
      <c r="CY52" s="48">
        <f t="shared" ca="1" si="361"/>
        <v>20828</v>
      </c>
      <c r="CZ52" s="48">
        <f t="shared" ca="1" si="361"/>
        <v>20828</v>
      </c>
      <c r="DA52" s="48">
        <f t="shared" ca="1" si="361"/>
        <v>20828</v>
      </c>
      <c r="DB52" s="48">
        <f t="shared" ca="1" si="361"/>
        <v>20828</v>
      </c>
      <c r="DC52" s="48">
        <f t="shared" ca="1" si="361"/>
        <v>20828</v>
      </c>
      <c r="DD52" s="48">
        <f t="shared" ca="1" si="361"/>
        <v>20828</v>
      </c>
      <c r="DE52" s="48">
        <f t="shared" ca="1" si="361"/>
        <v>20828</v>
      </c>
      <c r="DF52" s="48">
        <f t="shared" ca="1" si="361"/>
        <v>20828</v>
      </c>
      <c r="DG52" s="48">
        <f t="shared" ca="1" si="361"/>
        <v>20828</v>
      </c>
      <c r="DH52" s="48">
        <f t="shared" ca="1" si="361"/>
        <v>20828</v>
      </c>
      <c r="DI52" s="48">
        <f t="shared" ca="1" si="361"/>
        <v>20828</v>
      </c>
      <c r="DJ52" s="48">
        <f t="shared" ca="1" si="361"/>
        <v>20828</v>
      </c>
      <c r="DK52" s="48">
        <f t="shared" ca="1" si="361"/>
        <v>0</v>
      </c>
      <c r="DL52" s="48">
        <f t="shared" ca="1" si="361"/>
        <v>0</v>
      </c>
      <c r="DM52" s="48">
        <f t="shared" ca="1" si="361"/>
        <v>0</v>
      </c>
      <c r="DN52" s="48">
        <f t="shared" ca="1" si="362"/>
        <v>0</v>
      </c>
      <c r="DO52" s="48">
        <f t="shared" ca="1" si="362"/>
        <v>0</v>
      </c>
      <c r="DP52" s="48">
        <f t="shared" ca="1" si="362"/>
        <v>0</v>
      </c>
      <c r="DQ52" s="48">
        <f t="shared" ca="1" si="362"/>
        <v>0</v>
      </c>
      <c r="DR52" s="48">
        <f t="shared" ca="1" si="362"/>
        <v>0</v>
      </c>
      <c r="DS52" s="48">
        <f t="shared" ca="1" si="362"/>
        <v>0</v>
      </c>
      <c r="DT52" s="48">
        <f t="shared" ca="1" si="362"/>
        <v>0</v>
      </c>
      <c r="DU52" s="48">
        <f t="shared" ca="1" si="362"/>
        <v>0</v>
      </c>
      <c r="DV52" s="48">
        <f t="shared" ca="1" si="362"/>
        <v>0</v>
      </c>
      <c r="DW52" s="48">
        <f t="shared" ca="1" si="362"/>
        <v>0</v>
      </c>
      <c r="DX52" s="48">
        <f t="shared" ca="1" si="362"/>
        <v>0</v>
      </c>
      <c r="DY52" s="48">
        <f t="shared" ca="1" si="362"/>
        <v>0</v>
      </c>
      <c r="DZ52" s="48">
        <f t="shared" ca="1" si="362"/>
        <v>0</v>
      </c>
      <c r="EA52" s="48">
        <f t="shared" ca="1" si="362"/>
        <v>0</v>
      </c>
      <c r="EB52" s="48">
        <f t="shared" ca="1" si="362"/>
        <v>0</v>
      </c>
      <c r="EC52" s="48">
        <f t="shared" ca="1" si="362"/>
        <v>0</v>
      </c>
      <c r="ED52" s="48">
        <f t="shared" ca="1" si="363"/>
        <v>0</v>
      </c>
      <c r="EE52" s="48">
        <f t="shared" ca="1" si="363"/>
        <v>0</v>
      </c>
      <c r="EF52" s="48">
        <f t="shared" ca="1" si="363"/>
        <v>0</v>
      </c>
      <c r="EG52" s="48">
        <f t="shared" ca="1" si="363"/>
        <v>0</v>
      </c>
      <c r="EH52" s="48">
        <f t="shared" ca="1" si="363"/>
        <v>0</v>
      </c>
      <c r="EI52" s="48">
        <f t="shared" ca="1" si="363"/>
        <v>0</v>
      </c>
      <c r="EJ52" s="48">
        <f t="shared" ca="1" si="363"/>
        <v>0</v>
      </c>
      <c r="EK52" s="48">
        <f t="shared" ca="1" si="363"/>
        <v>0</v>
      </c>
      <c r="EL52" s="48">
        <f t="shared" ca="1" si="363"/>
        <v>0</v>
      </c>
      <c r="EM52" s="48">
        <f t="shared" ca="1" si="363"/>
        <v>0</v>
      </c>
      <c r="EN52" s="48">
        <f t="shared" ca="1" si="363"/>
        <v>0</v>
      </c>
      <c r="EO52" s="48">
        <f t="shared" ca="1" si="363"/>
        <v>0</v>
      </c>
      <c r="EP52" s="48">
        <f t="shared" ca="1" si="363"/>
        <v>0</v>
      </c>
      <c r="EQ52" s="48">
        <f t="shared" ca="1" si="363"/>
        <v>0</v>
      </c>
      <c r="ER52" s="48">
        <f t="shared" ca="1" si="363"/>
        <v>0</v>
      </c>
      <c r="ES52" s="48">
        <f t="shared" ca="1" si="363"/>
        <v>0</v>
      </c>
      <c r="ET52" s="48">
        <f t="shared" ca="1" si="364"/>
        <v>0</v>
      </c>
      <c r="EU52" s="48">
        <f t="shared" ca="1" si="364"/>
        <v>0</v>
      </c>
      <c r="EV52" s="48">
        <f t="shared" ca="1" si="364"/>
        <v>0</v>
      </c>
      <c r="EW52" s="48">
        <f t="shared" ca="1" si="364"/>
        <v>0</v>
      </c>
      <c r="EX52" s="48">
        <f t="shared" ca="1" si="364"/>
        <v>0</v>
      </c>
      <c r="EY52" s="69"/>
      <c r="EZ52" s="48">
        <f t="shared" ca="1" si="365"/>
        <v>7.7900000000000071</v>
      </c>
      <c r="FA52" s="48">
        <f t="shared" ca="1" si="365"/>
        <v>7.7900000000000071</v>
      </c>
      <c r="FB52" s="48">
        <f t="shared" ca="1" si="365"/>
        <v>7.7900000000000071</v>
      </c>
      <c r="FC52" s="48">
        <f t="shared" ca="1" si="365"/>
        <v>7.7900000000000071</v>
      </c>
      <c r="FD52" s="48">
        <f t="shared" ca="1" si="365"/>
        <v>7.7900000000000071</v>
      </c>
      <c r="FE52" s="48">
        <f t="shared" ca="1" si="365"/>
        <v>7.7900000000000071</v>
      </c>
      <c r="FF52" s="48">
        <f t="shared" ca="1" si="365"/>
        <v>7.7900000000000071</v>
      </c>
      <c r="FG52" s="48">
        <f t="shared" ca="1" si="365"/>
        <v>7.7900000000000071</v>
      </c>
      <c r="FH52" s="48">
        <f t="shared" ca="1" si="365"/>
        <v>7.7900000000000071</v>
      </c>
      <c r="FI52" s="48">
        <f t="shared" ca="1" si="365"/>
        <v>7.7900000000000071</v>
      </c>
      <c r="FJ52" s="48">
        <f t="shared" ca="1" si="365"/>
        <v>7.7900000000000071</v>
      </c>
      <c r="FK52" s="48">
        <f t="shared" ca="1" si="365"/>
        <v>7.7900000000000071</v>
      </c>
      <c r="FL52" s="48">
        <f t="shared" ca="1" si="365"/>
        <v>7.7900000000000071</v>
      </c>
      <c r="FM52" s="48">
        <f t="shared" ca="1" si="365"/>
        <v>0</v>
      </c>
      <c r="FN52" s="48">
        <f t="shared" ca="1" si="365"/>
        <v>0</v>
      </c>
      <c r="FO52" s="48">
        <f t="shared" ca="1" si="365"/>
        <v>0</v>
      </c>
      <c r="FP52" s="48">
        <f t="shared" ca="1" si="366"/>
        <v>0</v>
      </c>
      <c r="FQ52" s="48">
        <f t="shared" ca="1" si="366"/>
        <v>0</v>
      </c>
      <c r="FR52" s="48">
        <f t="shared" ca="1" si="366"/>
        <v>0</v>
      </c>
      <c r="FS52" s="48">
        <f t="shared" ca="1" si="366"/>
        <v>0</v>
      </c>
      <c r="FT52" s="48">
        <f t="shared" ca="1" si="366"/>
        <v>0</v>
      </c>
      <c r="FU52" s="48">
        <f t="shared" ca="1" si="366"/>
        <v>0</v>
      </c>
      <c r="FV52" s="48">
        <f t="shared" ca="1" si="366"/>
        <v>0</v>
      </c>
      <c r="FW52" s="48">
        <f t="shared" ca="1" si="366"/>
        <v>0</v>
      </c>
      <c r="FX52" s="48">
        <f t="shared" ca="1" si="366"/>
        <v>0</v>
      </c>
      <c r="FY52" s="48">
        <f t="shared" ca="1" si="366"/>
        <v>0</v>
      </c>
      <c r="FZ52" s="48">
        <f t="shared" ca="1" si="366"/>
        <v>0</v>
      </c>
      <c r="GA52" s="48">
        <f t="shared" ca="1" si="366"/>
        <v>0</v>
      </c>
      <c r="GB52" s="48">
        <f t="shared" ca="1" si="366"/>
        <v>0</v>
      </c>
      <c r="GC52" s="48">
        <f t="shared" ca="1" si="366"/>
        <v>0</v>
      </c>
      <c r="GD52" s="48">
        <f t="shared" ca="1" si="366"/>
        <v>0</v>
      </c>
      <c r="GE52" s="48">
        <f t="shared" ca="1" si="366"/>
        <v>0</v>
      </c>
      <c r="GF52" s="48">
        <f t="shared" ca="1" si="367"/>
        <v>0</v>
      </c>
      <c r="GG52" s="48">
        <f t="shared" ca="1" si="367"/>
        <v>0</v>
      </c>
      <c r="GH52" s="48">
        <f t="shared" ca="1" si="367"/>
        <v>0</v>
      </c>
      <c r="GI52" s="48">
        <f t="shared" ca="1" si="367"/>
        <v>0</v>
      </c>
      <c r="GJ52" s="48">
        <f t="shared" ca="1" si="367"/>
        <v>0</v>
      </c>
      <c r="GK52" s="48">
        <f t="shared" ca="1" si="367"/>
        <v>0</v>
      </c>
      <c r="GL52" s="48">
        <f t="shared" ca="1" si="367"/>
        <v>0</v>
      </c>
      <c r="GM52" s="48">
        <f t="shared" ca="1" si="367"/>
        <v>0</v>
      </c>
      <c r="GN52" s="48">
        <f t="shared" ca="1" si="367"/>
        <v>0</v>
      </c>
      <c r="GO52" s="48">
        <f t="shared" ca="1" si="367"/>
        <v>0</v>
      </c>
      <c r="GP52" s="48">
        <f t="shared" ca="1" si="367"/>
        <v>0</v>
      </c>
      <c r="GQ52" s="48">
        <f t="shared" ca="1" si="367"/>
        <v>0</v>
      </c>
      <c r="GR52" s="48">
        <f t="shared" ca="1" si="367"/>
        <v>0</v>
      </c>
      <c r="GS52" s="48">
        <f t="shared" ca="1" si="367"/>
        <v>0</v>
      </c>
      <c r="GT52" s="48">
        <f t="shared" ca="1" si="367"/>
        <v>0</v>
      </c>
      <c r="GU52" s="48">
        <f t="shared" ca="1" si="367"/>
        <v>0</v>
      </c>
      <c r="GV52" s="48">
        <f t="shared" ca="1" si="368"/>
        <v>0</v>
      </c>
      <c r="GW52" s="48">
        <f t="shared" ca="1" si="368"/>
        <v>0</v>
      </c>
      <c r="GX52" s="48">
        <f t="shared" ca="1" si="368"/>
        <v>0</v>
      </c>
      <c r="GY52" s="48">
        <f t="shared" ca="1" si="368"/>
        <v>0</v>
      </c>
      <c r="GZ52" s="48">
        <f t="shared" ca="1" si="368"/>
        <v>0</v>
      </c>
      <c r="HA52" s="69"/>
      <c r="HB52" s="150" t="str">
        <f t="shared" ca="1" si="74"/>
        <v>n/a</v>
      </c>
      <c r="HC52" s="150" t="str">
        <f t="shared" ca="1" si="369"/>
        <v>n/a</v>
      </c>
      <c r="HD52" s="150" t="str">
        <f t="shared" ca="1" si="76"/>
        <v>n/a</v>
      </c>
      <c r="HE52" s="150" t="str">
        <f t="shared" ca="1" si="370"/>
        <v>n/a</v>
      </c>
      <c r="HF52" s="150">
        <f t="shared" ca="1" si="371"/>
        <v>0.35953420704034839</v>
      </c>
      <c r="HG52" s="148"/>
      <c r="HH52" s="149"/>
      <c r="HI52" s="149"/>
      <c r="HJ52" s="149"/>
      <c r="HK52" s="150"/>
      <c r="HL52" s="149"/>
      <c r="HM52" s="149"/>
      <c r="HN52" s="149"/>
      <c r="HO52" s="150"/>
      <c r="HP52" s="148"/>
      <c r="HQ52" s="149"/>
      <c r="HR52" s="149"/>
      <c r="HS52" s="149"/>
      <c r="HT52" s="150"/>
      <c r="HU52" s="149"/>
      <c r="HV52" s="149"/>
      <c r="HW52" s="149"/>
      <c r="HX52" s="150"/>
      <c r="HY52" s="151"/>
      <c r="HZ52" s="150"/>
      <c r="IA52" s="150"/>
      <c r="IB52" s="152"/>
      <c r="IC52" s="150"/>
      <c r="ID52" s="152"/>
      <c r="IE52" s="150"/>
      <c r="IF52" s="153"/>
    </row>
    <row r="53" spans="1:240" s="36" customFormat="1" ht="14.4" customHeight="1">
      <c r="A53" s="39"/>
      <c r="B53" s="50" t="str">
        <f t="shared" si="340"/>
        <v>Residential_Whole House Efficiency_Various_Residential Kit_2017_Actual</v>
      </c>
      <c r="C53" s="50">
        <f>INDEX('Measure Inputs'!$D:$D,MATCH($B53,'Measure Inputs'!$B:$B,0))</f>
        <v>19</v>
      </c>
      <c r="D53" s="51" t="str">
        <f>'Measure Inputs'!G25</f>
        <v>Residential</v>
      </c>
      <c r="E53" s="51" t="str">
        <f>'Measure Inputs'!H25</f>
        <v>Whole House Efficiency</v>
      </c>
      <c r="F53" s="51" t="str">
        <f>'Measure Inputs'!I25</f>
        <v>Various</v>
      </c>
      <c r="G53" s="51" t="str">
        <f>'Measure Inputs'!J25</f>
        <v>Residential Kit</v>
      </c>
      <c r="H53" s="51">
        <f>'Measure Inputs'!K25</f>
        <v>2017</v>
      </c>
      <c r="I53" s="51" t="str">
        <f>'Measure Inputs'!L25</f>
        <v>Actual</v>
      </c>
      <c r="J53" s="37"/>
      <c r="K53" s="99" t="str">
        <f ca="1">INDEX(OFFSET('Measure Inputs'!$O$7,,,InputRows),$C53)</f>
        <v>Units</v>
      </c>
      <c r="L53" s="38">
        <f ca="1">INDEX(OFFSET('Measure Inputs'!$Q$7,,,InputRows),$C53)</f>
        <v>37</v>
      </c>
      <c r="M53" s="167">
        <f>INDEX('General Inputs'!$E$14:$E$15,MATCH(D53,'General Inputs'!$D$14:$D$15,0))</f>
        <v>1.0469999999999999</v>
      </c>
      <c r="N53" s="54">
        <f ca="1">INDEX(OFFSET('Measure Inputs'!$Y$7,,,InputRows),$C53)</f>
        <v>1</v>
      </c>
      <c r="O53" s="54">
        <f ca="1">INDEX(OFFSET('Measure Inputs'!$Z$7,,,InputRows),$C53)</f>
        <v>1</v>
      </c>
      <c r="P53" s="37"/>
      <c r="Q53" s="127">
        <f ca="1">CONVERT(INDEX(OFFSET('Measure Inputs'!$AB$7,,,InputRows),$C53),'Measure Inputs'!$AB$6,Q$8)*$L53</f>
        <v>15429</v>
      </c>
      <c r="R53" s="127">
        <f t="shared" ca="1" si="341"/>
        <v>15429</v>
      </c>
      <c r="S53" s="127">
        <f t="shared" ca="1" si="342"/>
        <v>15429</v>
      </c>
      <c r="T53" s="37"/>
      <c r="U53" s="127">
        <f ca="1">CONVERT(INDEX(OFFSET('Measure Inputs'!$AD$7,,,InputRows),$C53),'Measure Inputs'!$AD$6,U$8)*$L53</f>
        <v>0</v>
      </c>
      <c r="V53" s="127">
        <f t="shared" ca="1" si="343"/>
        <v>0</v>
      </c>
      <c r="W53" s="127">
        <f t="shared" ca="1" si="344"/>
        <v>0</v>
      </c>
      <c r="X53" s="37"/>
      <c r="Y53" s="127">
        <f ca="1">CONVERT(INDEX(OFFSET('Measure Inputs'!$AC$7,,,InputRows),$C53),'Measure Inputs'!$AC$6,Y$8)*$L53</f>
        <v>1.6280000000000008</v>
      </c>
      <c r="Z53" s="127">
        <f t="shared" ca="1" si="345"/>
        <v>1.6280000000000008</v>
      </c>
      <c r="AA53" s="127">
        <f t="shared" ca="1" si="346"/>
        <v>1.6280000000000008</v>
      </c>
      <c r="AB53" s="37"/>
      <c r="AC53" s="127">
        <f ca="1">CONVERT(INDEX(OFFSET('Measure Inputs'!$AE$7,,,InputRows),$C53),'Measure Inputs'!$AE$6,AC$8)*$L53</f>
        <v>0</v>
      </c>
      <c r="AD53" s="127">
        <f t="shared" ca="1" si="347"/>
        <v>0</v>
      </c>
      <c r="AE53" s="127">
        <f t="shared" ca="1" si="348"/>
        <v>0</v>
      </c>
      <c r="AF53" s="37"/>
      <c r="AG53" s="97">
        <f ca="1">INDEX(OFFSET('Measure Inputs'!$R$7,,,InputRows),$C53)</f>
        <v>9.7281255987255424</v>
      </c>
      <c r="AH53" s="97">
        <f ca="1">INDEX(OFFSET('Measure Inputs'!$S$7,,,InputRows),$C53)</f>
        <v>0</v>
      </c>
      <c r="AI53" s="97">
        <f t="shared" ca="1" si="349"/>
        <v>154290</v>
      </c>
      <c r="AJ53" s="100">
        <f ca="1">INDEX(OFFSET('Measure Inputs'!$T$7,,,InputRows),$C53)*$L53*$N53*$O53</f>
        <v>0</v>
      </c>
      <c r="AK53" s="100">
        <f ca="1">INDEX(OFFSET('Measure Inputs'!$U$7,,,InputRows),$C53)*$L53*$N53*$O53</f>
        <v>0</v>
      </c>
      <c r="AL53" s="100">
        <f ca="1">INDEX(OFFSET('Measure Inputs'!$V$7,,,InputRows),$C53)*$L53*$N53*$O53</f>
        <v>0</v>
      </c>
      <c r="AM53" s="100">
        <f ca="1">INDEX(OFFSET('Measure Inputs'!$W$7,,,InputRows),$C53)*$L53*$N53*$O53</f>
        <v>0</v>
      </c>
      <c r="AN53" s="100">
        <f ca="1">INDEX(OFFSET('Measure Inputs'!$X$7,,,InputRows),$C53)*$L53</f>
        <v>0</v>
      </c>
      <c r="AO53" s="100"/>
      <c r="AP53" s="100">
        <f t="shared" ca="1" si="350"/>
        <v>0</v>
      </c>
      <c r="AQ53" s="37"/>
      <c r="AR53" s="100">
        <f ca="1">SUMPRODUCT(--($CX$9:$EX$9=$H53)*$AJ53,'General Inputs'!$K$40:$BK$40)+SUMPRODUCT(--($CX$9:$EX$9=$H53+$AH53)*-$AK53,'General Inputs'!$K$43:$BK$43)</f>
        <v>0</v>
      </c>
      <c r="AS53" s="100">
        <f ca="1">CONVERT(SUMPRODUCT($CX53:$EX53,'General Inputs'!$K$29:$BK$29,'General Inputs'!$K$40:$BK$40)*$M53,$Q$8,'General Inputs'!$E$17)</f>
        <v>1295.4448480251526</v>
      </c>
      <c r="AT53" s="100">
        <f ca="1">SUMPRODUCT(--($CX$9:$EX$9=$H53)*$AN53,'General Inputs'!$K$40:$BK$40)</f>
        <v>0</v>
      </c>
      <c r="AU53" s="100">
        <f>SUMPRODUCT(--($CX$9:$EX$9=$H53)*$AO53,'General Inputs'!$K$40:$BK$40)</f>
        <v>0</v>
      </c>
      <c r="AV53" s="100">
        <f ca="1">CONVERT(SUMPRODUCT($CX53:$EX53,'General Inputs'!$K$40:$BK$40,OFFSET('General Inputs'!$K$34:$BK$34,MATCH($D53,'General Inputs'!$J$34:$J$35,0)-1,)),$Q$8,'General Inputs'!$G$32)</f>
        <v>15898.896176097898</v>
      </c>
      <c r="AW53" s="100">
        <f ca="1">CONVERT(SUMPRODUCT($CX53:$EX53,'General Inputs'!$K$27:$BK$27,'General Inputs'!$K$40:$BK$40)*$M53,$Q$8,'General Inputs'!$E$17)</f>
        <v>5011.2477362321342</v>
      </c>
      <c r="AX53" s="100">
        <f ca="1">CONVERT(SUMPRODUCT($EZ53:$GZ53,'General Inputs'!$K$28:$BK$28,'General Inputs'!$K$40:$BK$40)*$M53,$Q$8,'General Inputs'!$E$17)</f>
        <v>198.8770238912528</v>
      </c>
      <c r="AY53" s="98">
        <f ca="1">SUMPRODUCT($CX53:$EX53,'General Inputs'!$K$40:$BK$40)</f>
        <v>108534.39635593361</v>
      </c>
      <c r="AZ53" s="37"/>
      <c r="BA53" s="100">
        <f t="shared" ca="1" si="351"/>
        <v>5210.1247601233872</v>
      </c>
      <c r="BB53" s="102" t="e">
        <f t="shared" ca="1" si="352"/>
        <v>#DIV/0!</v>
      </c>
      <c r="BC53" s="100">
        <f t="shared" ca="1" si="273"/>
        <v>0</v>
      </c>
      <c r="BD53" s="100">
        <f t="shared" ca="1" si="274"/>
        <v>5210.1247601233872</v>
      </c>
      <c r="BE53" s="100">
        <f t="shared" ca="1" si="275"/>
        <v>5011.2477362321342</v>
      </c>
      <c r="BF53" s="100">
        <f t="shared" ca="1" si="276"/>
        <v>198.8770238912528</v>
      </c>
      <c r="BG53" s="100">
        <f t="shared" si="277"/>
        <v>0</v>
      </c>
      <c r="BH53" s="100">
        <f t="shared" ca="1" si="278"/>
        <v>0</v>
      </c>
      <c r="BI53" s="37"/>
      <c r="BJ53" s="100">
        <f t="shared" ca="1" si="353"/>
        <v>6505.5696081485403</v>
      </c>
      <c r="BK53" s="102" t="e">
        <f t="shared" ca="1" si="354"/>
        <v>#DIV/0!</v>
      </c>
      <c r="BL53" s="100">
        <f t="shared" ca="1" si="279"/>
        <v>0</v>
      </c>
      <c r="BM53" s="100">
        <f t="shared" ca="1" si="164"/>
        <v>6505.5696081485403</v>
      </c>
      <c r="BN53" s="100">
        <f t="shared" ca="1" si="280"/>
        <v>5011.2477362321342</v>
      </c>
      <c r="BO53" s="100">
        <f t="shared" ca="1" si="281"/>
        <v>198.8770238912528</v>
      </c>
      <c r="BP53" s="100">
        <f t="shared" ca="1" si="282"/>
        <v>1295.4448480251526</v>
      </c>
      <c r="BQ53" s="100">
        <f t="shared" si="283"/>
        <v>0</v>
      </c>
      <c r="BR53" s="100">
        <f t="shared" ca="1" si="284"/>
        <v>0</v>
      </c>
      <c r="BS53" s="37"/>
      <c r="BT53" s="100">
        <f t="shared" ca="1" si="355"/>
        <v>15898.896176097898</v>
      </c>
      <c r="BU53" s="102" t="e">
        <f t="shared" ca="1" si="356"/>
        <v>#DIV/0!</v>
      </c>
      <c r="BV53" s="102">
        <f t="shared" ca="1" si="285"/>
        <v>0</v>
      </c>
      <c r="BW53" s="100">
        <f t="shared" ca="1" si="286"/>
        <v>0</v>
      </c>
      <c r="BX53" s="100">
        <f t="shared" ca="1" si="287"/>
        <v>15898.896176097898</v>
      </c>
      <c r="BY53" s="100">
        <f t="shared" ca="1" si="288"/>
        <v>15898.896176097898</v>
      </c>
      <c r="BZ53" s="100">
        <f t="shared" ca="1" si="289"/>
        <v>0</v>
      </c>
      <c r="CA53" s="100">
        <f t="shared" ca="1" si="290"/>
        <v>0</v>
      </c>
      <c r="CB53" s="37"/>
      <c r="CC53" s="100">
        <f t="shared" ca="1" si="357"/>
        <v>5210.1247601233872</v>
      </c>
      <c r="CD53" s="102" t="e">
        <f t="shared" ca="1" si="358"/>
        <v>#DIV/0!</v>
      </c>
      <c r="CE53" s="103">
        <f t="shared" ca="1" si="291"/>
        <v>0</v>
      </c>
      <c r="CF53" s="100">
        <f t="shared" ca="1" si="292"/>
        <v>0</v>
      </c>
      <c r="CG53" s="100">
        <f t="shared" ca="1" si="293"/>
        <v>5210.1247601233872</v>
      </c>
      <c r="CH53" s="100">
        <f t="shared" ca="1" si="294"/>
        <v>5011.2477362321342</v>
      </c>
      <c r="CI53" s="100">
        <f t="shared" ca="1" si="71"/>
        <v>198.8770238912528</v>
      </c>
      <c r="CJ53" s="100">
        <f t="shared" ca="1" si="72"/>
        <v>0</v>
      </c>
      <c r="CK53" s="100">
        <f t="shared" si="295"/>
        <v>0</v>
      </c>
      <c r="CL53" s="37"/>
      <c r="CM53" s="100">
        <f t="shared" ca="1" si="359"/>
        <v>-10688.771415974512</v>
      </c>
      <c r="CN53" s="102">
        <f t="shared" ca="1" si="360"/>
        <v>0.32770355265016393</v>
      </c>
      <c r="CO53" s="128"/>
      <c r="CP53" s="100">
        <f t="shared" ca="1" si="296"/>
        <v>15898.896176097898</v>
      </c>
      <c r="CQ53" s="100">
        <f t="shared" ca="1" si="297"/>
        <v>5210.1247601233872</v>
      </c>
      <c r="CR53" s="100">
        <f t="shared" ca="1" si="298"/>
        <v>5011.2477362321342</v>
      </c>
      <c r="CS53" s="100">
        <f t="shared" ca="1" si="73"/>
        <v>198.8770238912528</v>
      </c>
      <c r="CT53" s="100">
        <f t="shared" ca="1" si="299"/>
        <v>15898.896176097898</v>
      </c>
      <c r="CU53" s="100">
        <f t="shared" ca="1" si="300"/>
        <v>0</v>
      </c>
      <c r="CV53" s="100">
        <f t="shared" si="301"/>
        <v>0</v>
      </c>
      <c r="CW53" s="37"/>
      <c r="CX53" s="48">
        <f t="shared" ca="1" si="361"/>
        <v>15429</v>
      </c>
      <c r="CY53" s="48">
        <f t="shared" ca="1" si="361"/>
        <v>15429</v>
      </c>
      <c r="CZ53" s="48">
        <f t="shared" ca="1" si="361"/>
        <v>15429</v>
      </c>
      <c r="DA53" s="48">
        <f t="shared" ca="1" si="361"/>
        <v>15429</v>
      </c>
      <c r="DB53" s="48">
        <f t="shared" ca="1" si="361"/>
        <v>15429</v>
      </c>
      <c r="DC53" s="48">
        <f t="shared" ca="1" si="361"/>
        <v>15429</v>
      </c>
      <c r="DD53" s="48">
        <f t="shared" ca="1" si="361"/>
        <v>15429</v>
      </c>
      <c r="DE53" s="48">
        <f t="shared" ca="1" si="361"/>
        <v>15429</v>
      </c>
      <c r="DF53" s="48">
        <f t="shared" ca="1" si="361"/>
        <v>15429</v>
      </c>
      <c r="DG53" s="48">
        <f t="shared" ca="1" si="361"/>
        <v>15429</v>
      </c>
      <c r="DH53" s="48">
        <f t="shared" ca="1" si="361"/>
        <v>0</v>
      </c>
      <c r="DI53" s="48">
        <f t="shared" ca="1" si="361"/>
        <v>0</v>
      </c>
      <c r="DJ53" s="48">
        <f t="shared" ca="1" si="361"/>
        <v>0</v>
      </c>
      <c r="DK53" s="48">
        <f t="shared" ca="1" si="361"/>
        <v>0</v>
      </c>
      <c r="DL53" s="48">
        <f t="shared" ca="1" si="361"/>
        <v>0</v>
      </c>
      <c r="DM53" s="48">
        <f t="shared" ca="1" si="361"/>
        <v>0</v>
      </c>
      <c r="DN53" s="48">
        <f t="shared" ca="1" si="362"/>
        <v>0</v>
      </c>
      <c r="DO53" s="48">
        <f t="shared" ca="1" si="362"/>
        <v>0</v>
      </c>
      <c r="DP53" s="48">
        <f t="shared" ca="1" si="362"/>
        <v>0</v>
      </c>
      <c r="DQ53" s="48">
        <f t="shared" ca="1" si="362"/>
        <v>0</v>
      </c>
      <c r="DR53" s="48">
        <f t="shared" ca="1" si="362"/>
        <v>0</v>
      </c>
      <c r="DS53" s="48">
        <f t="shared" ca="1" si="362"/>
        <v>0</v>
      </c>
      <c r="DT53" s="48">
        <f t="shared" ca="1" si="362"/>
        <v>0</v>
      </c>
      <c r="DU53" s="48">
        <f t="shared" ca="1" si="362"/>
        <v>0</v>
      </c>
      <c r="DV53" s="48">
        <f t="shared" ca="1" si="362"/>
        <v>0</v>
      </c>
      <c r="DW53" s="48">
        <f t="shared" ca="1" si="362"/>
        <v>0</v>
      </c>
      <c r="DX53" s="48">
        <f t="shared" ca="1" si="362"/>
        <v>0</v>
      </c>
      <c r="DY53" s="48">
        <f t="shared" ca="1" si="362"/>
        <v>0</v>
      </c>
      <c r="DZ53" s="48">
        <f t="shared" ca="1" si="362"/>
        <v>0</v>
      </c>
      <c r="EA53" s="48">
        <f t="shared" ca="1" si="362"/>
        <v>0</v>
      </c>
      <c r="EB53" s="48">
        <f t="shared" ca="1" si="362"/>
        <v>0</v>
      </c>
      <c r="EC53" s="48">
        <f t="shared" ca="1" si="362"/>
        <v>0</v>
      </c>
      <c r="ED53" s="48">
        <f t="shared" ca="1" si="363"/>
        <v>0</v>
      </c>
      <c r="EE53" s="48">
        <f t="shared" ca="1" si="363"/>
        <v>0</v>
      </c>
      <c r="EF53" s="48">
        <f t="shared" ca="1" si="363"/>
        <v>0</v>
      </c>
      <c r="EG53" s="48">
        <f t="shared" ca="1" si="363"/>
        <v>0</v>
      </c>
      <c r="EH53" s="48">
        <f t="shared" ca="1" si="363"/>
        <v>0</v>
      </c>
      <c r="EI53" s="48">
        <f t="shared" ca="1" si="363"/>
        <v>0</v>
      </c>
      <c r="EJ53" s="48">
        <f t="shared" ca="1" si="363"/>
        <v>0</v>
      </c>
      <c r="EK53" s="48">
        <f t="shared" ca="1" si="363"/>
        <v>0</v>
      </c>
      <c r="EL53" s="48">
        <f t="shared" ca="1" si="363"/>
        <v>0</v>
      </c>
      <c r="EM53" s="48">
        <f t="shared" ca="1" si="363"/>
        <v>0</v>
      </c>
      <c r="EN53" s="48">
        <f t="shared" ca="1" si="363"/>
        <v>0</v>
      </c>
      <c r="EO53" s="48">
        <f t="shared" ca="1" si="363"/>
        <v>0</v>
      </c>
      <c r="EP53" s="48">
        <f t="shared" ca="1" si="363"/>
        <v>0</v>
      </c>
      <c r="EQ53" s="48">
        <f t="shared" ca="1" si="363"/>
        <v>0</v>
      </c>
      <c r="ER53" s="48">
        <f t="shared" ca="1" si="363"/>
        <v>0</v>
      </c>
      <c r="ES53" s="48">
        <f t="shared" ca="1" si="363"/>
        <v>0</v>
      </c>
      <c r="ET53" s="48">
        <f t="shared" ca="1" si="364"/>
        <v>0</v>
      </c>
      <c r="EU53" s="48">
        <f t="shared" ca="1" si="364"/>
        <v>0</v>
      </c>
      <c r="EV53" s="48">
        <f t="shared" ca="1" si="364"/>
        <v>0</v>
      </c>
      <c r="EW53" s="48">
        <f t="shared" ca="1" si="364"/>
        <v>0</v>
      </c>
      <c r="EX53" s="48">
        <f t="shared" ca="1" si="364"/>
        <v>0</v>
      </c>
      <c r="EY53" s="69"/>
      <c r="EZ53" s="48">
        <f t="shared" ca="1" si="365"/>
        <v>1.6280000000000008</v>
      </c>
      <c r="FA53" s="48">
        <f t="shared" ca="1" si="365"/>
        <v>1.6280000000000008</v>
      </c>
      <c r="FB53" s="48">
        <f t="shared" ca="1" si="365"/>
        <v>1.6280000000000008</v>
      </c>
      <c r="FC53" s="48">
        <f t="shared" ca="1" si="365"/>
        <v>1.6280000000000008</v>
      </c>
      <c r="FD53" s="48">
        <f t="shared" ca="1" si="365"/>
        <v>1.6280000000000008</v>
      </c>
      <c r="FE53" s="48">
        <f t="shared" ca="1" si="365"/>
        <v>1.6280000000000008</v>
      </c>
      <c r="FF53" s="48">
        <f t="shared" ca="1" si="365"/>
        <v>1.6280000000000008</v>
      </c>
      <c r="FG53" s="48">
        <f t="shared" ca="1" si="365"/>
        <v>1.6280000000000008</v>
      </c>
      <c r="FH53" s="48">
        <f t="shared" ca="1" si="365"/>
        <v>1.6280000000000008</v>
      </c>
      <c r="FI53" s="48">
        <f t="shared" ca="1" si="365"/>
        <v>1.6280000000000008</v>
      </c>
      <c r="FJ53" s="48">
        <f t="shared" ca="1" si="365"/>
        <v>0</v>
      </c>
      <c r="FK53" s="48">
        <f t="shared" ca="1" si="365"/>
        <v>0</v>
      </c>
      <c r="FL53" s="48">
        <f t="shared" ca="1" si="365"/>
        <v>0</v>
      </c>
      <c r="FM53" s="48">
        <f t="shared" ca="1" si="365"/>
        <v>0</v>
      </c>
      <c r="FN53" s="48">
        <f t="shared" ca="1" si="365"/>
        <v>0</v>
      </c>
      <c r="FO53" s="48">
        <f t="shared" ca="1" si="365"/>
        <v>0</v>
      </c>
      <c r="FP53" s="48">
        <f t="shared" ca="1" si="366"/>
        <v>0</v>
      </c>
      <c r="FQ53" s="48">
        <f t="shared" ca="1" si="366"/>
        <v>0</v>
      </c>
      <c r="FR53" s="48">
        <f t="shared" ca="1" si="366"/>
        <v>0</v>
      </c>
      <c r="FS53" s="48">
        <f t="shared" ca="1" si="366"/>
        <v>0</v>
      </c>
      <c r="FT53" s="48">
        <f t="shared" ca="1" si="366"/>
        <v>0</v>
      </c>
      <c r="FU53" s="48">
        <f t="shared" ca="1" si="366"/>
        <v>0</v>
      </c>
      <c r="FV53" s="48">
        <f t="shared" ca="1" si="366"/>
        <v>0</v>
      </c>
      <c r="FW53" s="48">
        <f t="shared" ca="1" si="366"/>
        <v>0</v>
      </c>
      <c r="FX53" s="48">
        <f t="shared" ca="1" si="366"/>
        <v>0</v>
      </c>
      <c r="FY53" s="48">
        <f t="shared" ca="1" si="366"/>
        <v>0</v>
      </c>
      <c r="FZ53" s="48">
        <f t="shared" ca="1" si="366"/>
        <v>0</v>
      </c>
      <c r="GA53" s="48">
        <f t="shared" ca="1" si="366"/>
        <v>0</v>
      </c>
      <c r="GB53" s="48">
        <f t="shared" ca="1" si="366"/>
        <v>0</v>
      </c>
      <c r="GC53" s="48">
        <f t="shared" ca="1" si="366"/>
        <v>0</v>
      </c>
      <c r="GD53" s="48">
        <f t="shared" ca="1" si="366"/>
        <v>0</v>
      </c>
      <c r="GE53" s="48">
        <f t="shared" ca="1" si="366"/>
        <v>0</v>
      </c>
      <c r="GF53" s="48">
        <f t="shared" ca="1" si="367"/>
        <v>0</v>
      </c>
      <c r="GG53" s="48">
        <f t="shared" ca="1" si="367"/>
        <v>0</v>
      </c>
      <c r="GH53" s="48">
        <f t="shared" ca="1" si="367"/>
        <v>0</v>
      </c>
      <c r="GI53" s="48">
        <f t="shared" ca="1" si="367"/>
        <v>0</v>
      </c>
      <c r="GJ53" s="48">
        <f t="shared" ca="1" si="367"/>
        <v>0</v>
      </c>
      <c r="GK53" s="48">
        <f t="shared" ca="1" si="367"/>
        <v>0</v>
      </c>
      <c r="GL53" s="48">
        <f t="shared" ca="1" si="367"/>
        <v>0</v>
      </c>
      <c r="GM53" s="48">
        <f t="shared" ca="1" si="367"/>
        <v>0</v>
      </c>
      <c r="GN53" s="48">
        <f t="shared" ca="1" si="367"/>
        <v>0</v>
      </c>
      <c r="GO53" s="48">
        <f t="shared" ca="1" si="367"/>
        <v>0</v>
      </c>
      <c r="GP53" s="48">
        <f t="shared" ca="1" si="367"/>
        <v>0</v>
      </c>
      <c r="GQ53" s="48">
        <f t="shared" ca="1" si="367"/>
        <v>0</v>
      </c>
      <c r="GR53" s="48">
        <f t="shared" ca="1" si="367"/>
        <v>0</v>
      </c>
      <c r="GS53" s="48">
        <f t="shared" ca="1" si="367"/>
        <v>0</v>
      </c>
      <c r="GT53" s="48">
        <f t="shared" ca="1" si="367"/>
        <v>0</v>
      </c>
      <c r="GU53" s="48">
        <f t="shared" ca="1" si="367"/>
        <v>0</v>
      </c>
      <c r="GV53" s="48">
        <f t="shared" ca="1" si="368"/>
        <v>0</v>
      </c>
      <c r="GW53" s="48">
        <f t="shared" ca="1" si="368"/>
        <v>0</v>
      </c>
      <c r="GX53" s="48">
        <f t="shared" ca="1" si="368"/>
        <v>0</v>
      </c>
      <c r="GY53" s="48">
        <f t="shared" ca="1" si="368"/>
        <v>0</v>
      </c>
      <c r="GZ53" s="48">
        <f t="shared" ca="1" si="368"/>
        <v>0</v>
      </c>
      <c r="HA53" s="69"/>
      <c r="HB53" s="150" t="str">
        <f t="shared" ca="1" si="74"/>
        <v>n/a</v>
      </c>
      <c r="HC53" s="150" t="str">
        <f t="shared" ca="1" si="369"/>
        <v>n/a</v>
      </c>
      <c r="HD53" s="150" t="str">
        <f t="shared" ca="1" si="76"/>
        <v>n/a</v>
      </c>
      <c r="HE53" s="150" t="str">
        <f t="shared" ca="1" si="370"/>
        <v>n/a</v>
      </c>
      <c r="HF53" s="150">
        <f t="shared" ca="1" si="371"/>
        <v>0.32770355265016393</v>
      </c>
      <c r="HG53" s="148"/>
      <c r="HH53" s="149"/>
      <c r="HI53" s="149"/>
      <c r="HJ53" s="149"/>
      <c r="HK53" s="150"/>
      <c r="HL53" s="149"/>
      <c r="HM53" s="149"/>
      <c r="HN53" s="149"/>
      <c r="HO53" s="150"/>
      <c r="HP53" s="148"/>
      <c r="HQ53" s="149"/>
      <c r="HR53" s="149"/>
      <c r="HS53" s="149"/>
      <c r="HT53" s="150"/>
      <c r="HU53" s="149"/>
      <c r="HV53" s="149"/>
      <c r="HW53" s="149"/>
      <c r="HX53" s="150"/>
      <c r="HY53" s="151"/>
      <c r="HZ53" s="150"/>
      <c r="IA53" s="150"/>
      <c r="IB53" s="152"/>
      <c r="IC53" s="150"/>
      <c r="ID53" s="152"/>
      <c r="IE53" s="150"/>
      <c r="IF53" s="153"/>
    </row>
    <row r="54" spans="1:240" s="36" customFormat="1" ht="14.4" customHeight="1">
      <c r="A54" s="39"/>
      <c r="B54" s="50" t="str">
        <f t="shared" si="340"/>
        <v>Residential_Residential Audit_Various_Residential Audit_2017_Actual</v>
      </c>
      <c r="C54" s="50">
        <f>INDEX('Measure Inputs'!$D:$D,MATCH($B54,'Measure Inputs'!$B:$B,0))</f>
        <v>20</v>
      </c>
      <c r="D54" s="51" t="str">
        <f>'Measure Inputs'!G26</f>
        <v>Residential</v>
      </c>
      <c r="E54" s="51" t="str">
        <f>'Measure Inputs'!H26</f>
        <v>Residential Audit</v>
      </c>
      <c r="F54" s="51" t="str">
        <f>'Measure Inputs'!I26</f>
        <v>Various</v>
      </c>
      <c r="G54" s="51" t="str">
        <f>'Measure Inputs'!J26</f>
        <v>Residential Audit</v>
      </c>
      <c r="H54" s="51">
        <f>'Measure Inputs'!K26</f>
        <v>2017</v>
      </c>
      <c r="I54" s="51" t="str">
        <f>'Measure Inputs'!L26</f>
        <v>Actual</v>
      </c>
      <c r="J54" s="37"/>
      <c r="K54" s="99" t="str">
        <f ca="1">INDEX(OFFSET('Measure Inputs'!$O$7,,,InputRows),$C54)</f>
        <v>Units</v>
      </c>
      <c r="L54" s="38">
        <f ca="1">INDEX(OFFSET('Measure Inputs'!$Q$7,,,InputRows),$C54)</f>
        <v>225</v>
      </c>
      <c r="M54" s="167">
        <f>INDEX('General Inputs'!$E$14:$E$15,MATCH(D54,'General Inputs'!$D$14:$D$15,0))</f>
        <v>1.0469999999999999</v>
      </c>
      <c r="N54" s="54">
        <f ca="1">INDEX(OFFSET('Measure Inputs'!$Y$7,,,InputRows),$C54)</f>
        <v>1</v>
      </c>
      <c r="O54" s="54">
        <f ca="1">INDEX(OFFSET('Measure Inputs'!$Z$7,,,InputRows),$C54)</f>
        <v>1</v>
      </c>
      <c r="P54" s="37"/>
      <c r="Q54" s="127">
        <f ca="1">CONVERT(INDEX(OFFSET('Measure Inputs'!$AB$7,,,InputRows),$C54),'Measure Inputs'!$AB$6,Q$8)*$L54</f>
        <v>47025</v>
      </c>
      <c r="R54" s="127">
        <f t="shared" ca="1" si="341"/>
        <v>47025</v>
      </c>
      <c r="S54" s="127">
        <f t="shared" ca="1" si="342"/>
        <v>47025</v>
      </c>
      <c r="T54" s="37"/>
      <c r="U54" s="127">
        <f ca="1">CONVERT(INDEX(OFFSET('Measure Inputs'!$AD$7,,,InputRows),$C54),'Measure Inputs'!$AD$6,U$8)*$L54</f>
        <v>0</v>
      </c>
      <c r="V54" s="127">
        <f t="shared" ca="1" si="343"/>
        <v>0</v>
      </c>
      <c r="W54" s="127">
        <f t="shared" ca="1" si="344"/>
        <v>0</v>
      </c>
      <c r="X54" s="37"/>
      <c r="Y54" s="127">
        <f ca="1">CONVERT(INDEX(OFFSET('Measure Inputs'!$AC$7,,,InputRows),$C54),'Measure Inputs'!$AC$6,Y$8)*$L54</f>
        <v>4.9499999999999993</v>
      </c>
      <c r="Z54" s="127">
        <f t="shared" ca="1" si="345"/>
        <v>4.9499999999999993</v>
      </c>
      <c r="AA54" s="127">
        <f t="shared" ca="1" si="346"/>
        <v>4.9499999999999993</v>
      </c>
      <c r="AB54" s="37"/>
      <c r="AC54" s="127">
        <f ca="1">CONVERT(INDEX(OFFSET('Measure Inputs'!$AE$7,,,InputRows),$C54),'Measure Inputs'!$AE$6,AC$8)*$L54</f>
        <v>0</v>
      </c>
      <c r="AD54" s="127">
        <f t="shared" ca="1" si="347"/>
        <v>0</v>
      </c>
      <c r="AE54" s="127">
        <f t="shared" ca="1" si="348"/>
        <v>0</v>
      </c>
      <c r="AF54" s="37"/>
      <c r="AG54" s="97">
        <f ca="1">INDEX(OFFSET('Measure Inputs'!$R$7,,,InputRows),$C54)</f>
        <v>9.7281255987255406</v>
      </c>
      <c r="AH54" s="97">
        <f ca="1">INDEX(OFFSET('Measure Inputs'!$S$7,,,InputRows),$C54)</f>
        <v>0</v>
      </c>
      <c r="AI54" s="97">
        <f t="shared" ca="1" si="349"/>
        <v>470250</v>
      </c>
      <c r="AJ54" s="100">
        <f ca="1">INDEX(OFFSET('Measure Inputs'!$T$7,,,InputRows),$C54)*$L54*$N54*$O54</f>
        <v>0</v>
      </c>
      <c r="AK54" s="100">
        <f ca="1">INDEX(OFFSET('Measure Inputs'!$U$7,,,InputRows),$C54)*$L54*$N54*$O54</f>
        <v>0</v>
      </c>
      <c r="AL54" s="100">
        <f ca="1">INDEX(OFFSET('Measure Inputs'!$V$7,,,InputRows),$C54)*$L54*$N54*$O54</f>
        <v>0</v>
      </c>
      <c r="AM54" s="100">
        <f ca="1">INDEX(OFFSET('Measure Inputs'!$W$7,,,InputRows),$C54)*$L54*$N54*$O54</f>
        <v>0</v>
      </c>
      <c r="AN54" s="100">
        <f ca="1">INDEX(OFFSET('Measure Inputs'!$X$7,,,InputRows),$C54)*$L54</f>
        <v>0</v>
      </c>
      <c r="AO54" s="100"/>
      <c r="AP54" s="100">
        <f t="shared" ca="1" si="350"/>
        <v>0</v>
      </c>
      <c r="AQ54" s="37"/>
      <c r="AR54" s="100">
        <f ca="1">SUMPRODUCT(--($CX$9:$EX$9=$H54)*$AJ54,'General Inputs'!$K$40:$BK$40)+SUMPRODUCT(--($CX$9:$EX$9=$H54+$AH54)*-$AK54,'General Inputs'!$K$43:$BK$43)</f>
        <v>0</v>
      </c>
      <c r="AS54" s="100">
        <f ca="1">CONVERT(SUMPRODUCT($CX54:$EX54,'General Inputs'!$K$29:$BK$29,'General Inputs'!$K$40:$BK$40)*$M54,$Q$8,'General Inputs'!$E$17)</f>
        <v>3948.2982680914379</v>
      </c>
      <c r="AT54" s="100">
        <f ca="1">SUMPRODUCT(--($CX$9:$EX$9=$H54)*$AN54,'General Inputs'!$K$40:$BK$40)</f>
        <v>0</v>
      </c>
      <c r="AU54" s="100">
        <f>SUMPRODUCT(--($CX$9:$EX$9=$H54)*$AO54,'General Inputs'!$K$40:$BK$40)</f>
        <v>0</v>
      </c>
      <c r="AV54" s="100">
        <f ca="1">CONVERT(SUMPRODUCT($CX54:$EX54,'General Inputs'!$K$40:$BK$40,OFFSET('General Inputs'!$K$34:$BK$34,MATCH($D54,'General Inputs'!$J$34:$J$35,0)-1,)),$Q$8,'General Inputs'!$G$32)</f>
        <v>48457.164604381593</v>
      </c>
      <c r="AW54" s="100">
        <f ca="1">CONVERT(SUMPRODUCT($CX54:$EX54,'General Inputs'!$K$27:$BK$27,'General Inputs'!$K$40:$BK$40)*$M54,$Q$8,'General Inputs'!$E$17)</f>
        <v>15273.441233801032</v>
      </c>
      <c r="AX54" s="100">
        <f ca="1">CONVERT(SUMPRODUCT($EZ54:$GZ54,'General Inputs'!$K$28:$BK$28,'General Inputs'!$K$40:$BK$40)*$M54,$Q$8,'General Inputs'!$E$17)</f>
        <v>604.69365372340326</v>
      </c>
      <c r="AY54" s="98">
        <f ca="1">SUMPRODUCT($CX54:$EX54,'General Inputs'!$K$40:$BK$40)</f>
        <v>330794.6068207777</v>
      </c>
      <c r="AZ54" s="37"/>
      <c r="BA54" s="100">
        <f t="shared" ca="1" si="351"/>
        <v>15878.134887524435</v>
      </c>
      <c r="BB54" s="102" t="e">
        <f t="shared" ca="1" si="352"/>
        <v>#DIV/0!</v>
      </c>
      <c r="BC54" s="100">
        <f t="shared" ca="1" si="273"/>
        <v>0</v>
      </c>
      <c r="BD54" s="100">
        <f t="shared" ca="1" si="274"/>
        <v>15878.134887524435</v>
      </c>
      <c r="BE54" s="100">
        <f t="shared" ca="1" si="275"/>
        <v>15273.441233801032</v>
      </c>
      <c r="BF54" s="100">
        <f t="shared" ca="1" si="276"/>
        <v>604.69365372340326</v>
      </c>
      <c r="BG54" s="100">
        <f t="shared" si="277"/>
        <v>0</v>
      </c>
      <c r="BH54" s="100">
        <f t="shared" ca="1" si="278"/>
        <v>0</v>
      </c>
      <c r="BI54" s="37"/>
      <c r="BJ54" s="100">
        <f t="shared" ca="1" si="353"/>
        <v>19826.433155615872</v>
      </c>
      <c r="BK54" s="102" t="e">
        <f t="shared" ca="1" si="354"/>
        <v>#DIV/0!</v>
      </c>
      <c r="BL54" s="100">
        <f t="shared" ca="1" si="279"/>
        <v>0</v>
      </c>
      <c r="BM54" s="100">
        <f t="shared" ca="1" si="164"/>
        <v>19826.433155615872</v>
      </c>
      <c r="BN54" s="100">
        <f t="shared" ca="1" si="280"/>
        <v>15273.441233801032</v>
      </c>
      <c r="BO54" s="100">
        <f t="shared" ca="1" si="281"/>
        <v>604.69365372340326</v>
      </c>
      <c r="BP54" s="100">
        <f t="shared" ca="1" si="282"/>
        <v>3948.2982680914379</v>
      </c>
      <c r="BQ54" s="100">
        <f t="shared" si="283"/>
        <v>0</v>
      </c>
      <c r="BR54" s="100">
        <f t="shared" ca="1" si="284"/>
        <v>0</v>
      </c>
      <c r="BS54" s="37"/>
      <c r="BT54" s="100">
        <f t="shared" ca="1" si="355"/>
        <v>48457.164604381593</v>
      </c>
      <c r="BU54" s="102" t="e">
        <f t="shared" ca="1" si="356"/>
        <v>#DIV/0!</v>
      </c>
      <c r="BV54" s="102">
        <f t="shared" ca="1" si="285"/>
        <v>0</v>
      </c>
      <c r="BW54" s="100">
        <f t="shared" ca="1" si="286"/>
        <v>0</v>
      </c>
      <c r="BX54" s="100">
        <f t="shared" ca="1" si="287"/>
        <v>48457.164604381593</v>
      </c>
      <c r="BY54" s="100">
        <f t="shared" ca="1" si="288"/>
        <v>48457.164604381593</v>
      </c>
      <c r="BZ54" s="100">
        <f t="shared" ca="1" si="289"/>
        <v>0</v>
      </c>
      <c r="CA54" s="100">
        <f t="shared" ca="1" si="290"/>
        <v>0</v>
      </c>
      <c r="CB54" s="37"/>
      <c r="CC54" s="100">
        <f t="shared" ca="1" si="357"/>
        <v>15878.134887524435</v>
      </c>
      <c r="CD54" s="102" t="e">
        <f t="shared" ca="1" si="358"/>
        <v>#DIV/0!</v>
      </c>
      <c r="CE54" s="103">
        <f t="shared" ca="1" si="291"/>
        <v>0</v>
      </c>
      <c r="CF54" s="100">
        <f t="shared" ca="1" si="292"/>
        <v>0</v>
      </c>
      <c r="CG54" s="100">
        <f t="shared" ca="1" si="293"/>
        <v>15878.134887524435</v>
      </c>
      <c r="CH54" s="100">
        <f t="shared" ca="1" si="294"/>
        <v>15273.441233801032</v>
      </c>
      <c r="CI54" s="100">
        <f t="shared" ca="1" si="71"/>
        <v>604.69365372340326</v>
      </c>
      <c r="CJ54" s="100">
        <f t="shared" ca="1" si="72"/>
        <v>0</v>
      </c>
      <c r="CK54" s="100">
        <f t="shared" si="295"/>
        <v>0</v>
      </c>
      <c r="CL54" s="37"/>
      <c r="CM54" s="100">
        <f t="shared" ca="1" si="359"/>
        <v>-32579.029716857156</v>
      </c>
      <c r="CN54" s="102">
        <f t="shared" ca="1" si="360"/>
        <v>0.3276736271541712</v>
      </c>
      <c r="CO54" s="128"/>
      <c r="CP54" s="100">
        <f t="shared" ca="1" si="296"/>
        <v>48457.164604381593</v>
      </c>
      <c r="CQ54" s="100">
        <f t="shared" ca="1" si="297"/>
        <v>15878.134887524435</v>
      </c>
      <c r="CR54" s="100">
        <f t="shared" ca="1" si="298"/>
        <v>15273.441233801032</v>
      </c>
      <c r="CS54" s="100">
        <f t="shared" ca="1" si="73"/>
        <v>604.69365372340326</v>
      </c>
      <c r="CT54" s="100">
        <f t="shared" ca="1" si="299"/>
        <v>48457.164604381593</v>
      </c>
      <c r="CU54" s="100">
        <f t="shared" ca="1" si="300"/>
        <v>0</v>
      </c>
      <c r="CV54" s="100">
        <f t="shared" si="301"/>
        <v>0</v>
      </c>
      <c r="CW54" s="37"/>
      <c r="CX54" s="48">
        <f t="shared" ca="1" si="361"/>
        <v>47025</v>
      </c>
      <c r="CY54" s="48">
        <f t="shared" ca="1" si="361"/>
        <v>47025</v>
      </c>
      <c r="CZ54" s="48">
        <f t="shared" ca="1" si="361"/>
        <v>47025</v>
      </c>
      <c r="DA54" s="48">
        <f t="shared" ca="1" si="361"/>
        <v>47025</v>
      </c>
      <c r="DB54" s="48">
        <f t="shared" ca="1" si="361"/>
        <v>47025</v>
      </c>
      <c r="DC54" s="48">
        <f t="shared" ca="1" si="361"/>
        <v>47025</v>
      </c>
      <c r="DD54" s="48">
        <f t="shared" ca="1" si="361"/>
        <v>47025</v>
      </c>
      <c r="DE54" s="48">
        <f t="shared" ca="1" si="361"/>
        <v>47025</v>
      </c>
      <c r="DF54" s="48">
        <f t="shared" ca="1" si="361"/>
        <v>47025</v>
      </c>
      <c r="DG54" s="48">
        <f t="shared" ca="1" si="361"/>
        <v>47025</v>
      </c>
      <c r="DH54" s="48">
        <f t="shared" ca="1" si="361"/>
        <v>0</v>
      </c>
      <c r="DI54" s="48">
        <f t="shared" ca="1" si="361"/>
        <v>0</v>
      </c>
      <c r="DJ54" s="48">
        <f t="shared" ca="1" si="361"/>
        <v>0</v>
      </c>
      <c r="DK54" s="48">
        <f t="shared" ca="1" si="361"/>
        <v>0</v>
      </c>
      <c r="DL54" s="48">
        <f t="shared" ca="1" si="361"/>
        <v>0</v>
      </c>
      <c r="DM54" s="48">
        <f t="shared" ca="1" si="361"/>
        <v>0</v>
      </c>
      <c r="DN54" s="48">
        <f t="shared" ca="1" si="362"/>
        <v>0</v>
      </c>
      <c r="DO54" s="48">
        <f t="shared" ca="1" si="362"/>
        <v>0</v>
      </c>
      <c r="DP54" s="48">
        <f t="shared" ca="1" si="362"/>
        <v>0</v>
      </c>
      <c r="DQ54" s="48">
        <f t="shared" ca="1" si="362"/>
        <v>0</v>
      </c>
      <c r="DR54" s="48">
        <f t="shared" ca="1" si="362"/>
        <v>0</v>
      </c>
      <c r="DS54" s="48">
        <f t="shared" ca="1" si="362"/>
        <v>0</v>
      </c>
      <c r="DT54" s="48">
        <f t="shared" ca="1" si="362"/>
        <v>0</v>
      </c>
      <c r="DU54" s="48">
        <f t="shared" ca="1" si="362"/>
        <v>0</v>
      </c>
      <c r="DV54" s="48">
        <f t="shared" ca="1" si="362"/>
        <v>0</v>
      </c>
      <c r="DW54" s="48">
        <f t="shared" ca="1" si="362"/>
        <v>0</v>
      </c>
      <c r="DX54" s="48">
        <f t="shared" ca="1" si="362"/>
        <v>0</v>
      </c>
      <c r="DY54" s="48">
        <f t="shared" ca="1" si="362"/>
        <v>0</v>
      </c>
      <c r="DZ54" s="48">
        <f t="shared" ca="1" si="362"/>
        <v>0</v>
      </c>
      <c r="EA54" s="48">
        <f t="shared" ca="1" si="362"/>
        <v>0</v>
      </c>
      <c r="EB54" s="48">
        <f t="shared" ca="1" si="362"/>
        <v>0</v>
      </c>
      <c r="EC54" s="48">
        <f t="shared" ca="1" si="362"/>
        <v>0</v>
      </c>
      <c r="ED54" s="48">
        <f t="shared" ca="1" si="363"/>
        <v>0</v>
      </c>
      <c r="EE54" s="48">
        <f t="shared" ca="1" si="363"/>
        <v>0</v>
      </c>
      <c r="EF54" s="48">
        <f t="shared" ca="1" si="363"/>
        <v>0</v>
      </c>
      <c r="EG54" s="48">
        <f t="shared" ca="1" si="363"/>
        <v>0</v>
      </c>
      <c r="EH54" s="48">
        <f t="shared" ca="1" si="363"/>
        <v>0</v>
      </c>
      <c r="EI54" s="48">
        <f t="shared" ca="1" si="363"/>
        <v>0</v>
      </c>
      <c r="EJ54" s="48">
        <f t="shared" ca="1" si="363"/>
        <v>0</v>
      </c>
      <c r="EK54" s="48">
        <f t="shared" ca="1" si="363"/>
        <v>0</v>
      </c>
      <c r="EL54" s="48">
        <f t="shared" ca="1" si="363"/>
        <v>0</v>
      </c>
      <c r="EM54" s="48">
        <f t="shared" ca="1" si="363"/>
        <v>0</v>
      </c>
      <c r="EN54" s="48">
        <f t="shared" ca="1" si="363"/>
        <v>0</v>
      </c>
      <c r="EO54" s="48">
        <f t="shared" ca="1" si="363"/>
        <v>0</v>
      </c>
      <c r="EP54" s="48">
        <f t="shared" ca="1" si="363"/>
        <v>0</v>
      </c>
      <c r="EQ54" s="48">
        <f t="shared" ca="1" si="363"/>
        <v>0</v>
      </c>
      <c r="ER54" s="48">
        <f t="shared" ca="1" si="363"/>
        <v>0</v>
      </c>
      <c r="ES54" s="48">
        <f t="shared" ca="1" si="363"/>
        <v>0</v>
      </c>
      <c r="ET54" s="48">
        <f t="shared" ca="1" si="364"/>
        <v>0</v>
      </c>
      <c r="EU54" s="48">
        <f t="shared" ca="1" si="364"/>
        <v>0</v>
      </c>
      <c r="EV54" s="48">
        <f t="shared" ca="1" si="364"/>
        <v>0</v>
      </c>
      <c r="EW54" s="48">
        <f t="shared" ca="1" si="364"/>
        <v>0</v>
      </c>
      <c r="EX54" s="48">
        <f t="shared" ca="1" si="364"/>
        <v>0</v>
      </c>
      <c r="EY54" s="69"/>
      <c r="EZ54" s="48">
        <f t="shared" ca="1" si="365"/>
        <v>4.9499999999999993</v>
      </c>
      <c r="FA54" s="48">
        <f t="shared" ca="1" si="365"/>
        <v>4.9499999999999993</v>
      </c>
      <c r="FB54" s="48">
        <f t="shared" ca="1" si="365"/>
        <v>4.9499999999999993</v>
      </c>
      <c r="FC54" s="48">
        <f t="shared" ca="1" si="365"/>
        <v>4.9499999999999993</v>
      </c>
      <c r="FD54" s="48">
        <f t="shared" ca="1" si="365"/>
        <v>4.9499999999999993</v>
      </c>
      <c r="FE54" s="48">
        <f t="shared" ca="1" si="365"/>
        <v>4.9499999999999993</v>
      </c>
      <c r="FF54" s="48">
        <f t="shared" ca="1" si="365"/>
        <v>4.9499999999999993</v>
      </c>
      <c r="FG54" s="48">
        <f t="shared" ca="1" si="365"/>
        <v>4.9499999999999993</v>
      </c>
      <c r="FH54" s="48">
        <f t="shared" ca="1" si="365"/>
        <v>4.9499999999999993</v>
      </c>
      <c r="FI54" s="48">
        <f t="shared" ca="1" si="365"/>
        <v>4.9499999999999993</v>
      </c>
      <c r="FJ54" s="48">
        <f t="shared" ca="1" si="365"/>
        <v>0</v>
      </c>
      <c r="FK54" s="48">
        <f t="shared" ca="1" si="365"/>
        <v>0</v>
      </c>
      <c r="FL54" s="48">
        <f t="shared" ca="1" si="365"/>
        <v>0</v>
      </c>
      <c r="FM54" s="48">
        <f t="shared" ca="1" si="365"/>
        <v>0</v>
      </c>
      <c r="FN54" s="48">
        <f t="shared" ca="1" si="365"/>
        <v>0</v>
      </c>
      <c r="FO54" s="48">
        <f t="shared" ca="1" si="365"/>
        <v>0</v>
      </c>
      <c r="FP54" s="48">
        <f t="shared" ca="1" si="366"/>
        <v>0</v>
      </c>
      <c r="FQ54" s="48">
        <f t="shared" ca="1" si="366"/>
        <v>0</v>
      </c>
      <c r="FR54" s="48">
        <f t="shared" ca="1" si="366"/>
        <v>0</v>
      </c>
      <c r="FS54" s="48">
        <f t="shared" ca="1" si="366"/>
        <v>0</v>
      </c>
      <c r="FT54" s="48">
        <f t="shared" ca="1" si="366"/>
        <v>0</v>
      </c>
      <c r="FU54" s="48">
        <f t="shared" ca="1" si="366"/>
        <v>0</v>
      </c>
      <c r="FV54" s="48">
        <f t="shared" ca="1" si="366"/>
        <v>0</v>
      </c>
      <c r="FW54" s="48">
        <f t="shared" ca="1" si="366"/>
        <v>0</v>
      </c>
      <c r="FX54" s="48">
        <f t="shared" ca="1" si="366"/>
        <v>0</v>
      </c>
      <c r="FY54" s="48">
        <f t="shared" ca="1" si="366"/>
        <v>0</v>
      </c>
      <c r="FZ54" s="48">
        <f t="shared" ca="1" si="366"/>
        <v>0</v>
      </c>
      <c r="GA54" s="48">
        <f t="shared" ca="1" si="366"/>
        <v>0</v>
      </c>
      <c r="GB54" s="48">
        <f t="shared" ca="1" si="366"/>
        <v>0</v>
      </c>
      <c r="GC54" s="48">
        <f t="shared" ca="1" si="366"/>
        <v>0</v>
      </c>
      <c r="GD54" s="48">
        <f t="shared" ca="1" si="366"/>
        <v>0</v>
      </c>
      <c r="GE54" s="48">
        <f t="shared" ca="1" si="366"/>
        <v>0</v>
      </c>
      <c r="GF54" s="48">
        <f t="shared" ca="1" si="367"/>
        <v>0</v>
      </c>
      <c r="GG54" s="48">
        <f t="shared" ca="1" si="367"/>
        <v>0</v>
      </c>
      <c r="GH54" s="48">
        <f t="shared" ca="1" si="367"/>
        <v>0</v>
      </c>
      <c r="GI54" s="48">
        <f t="shared" ca="1" si="367"/>
        <v>0</v>
      </c>
      <c r="GJ54" s="48">
        <f t="shared" ca="1" si="367"/>
        <v>0</v>
      </c>
      <c r="GK54" s="48">
        <f t="shared" ca="1" si="367"/>
        <v>0</v>
      </c>
      <c r="GL54" s="48">
        <f t="shared" ca="1" si="367"/>
        <v>0</v>
      </c>
      <c r="GM54" s="48">
        <f t="shared" ca="1" si="367"/>
        <v>0</v>
      </c>
      <c r="GN54" s="48">
        <f t="shared" ca="1" si="367"/>
        <v>0</v>
      </c>
      <c r="GO54" s="48">
        <f t="shared" ca="1" si="367"/>
        <v>0</v>
      </c>
      <c r="GP54" s="48">
        <f t="shared" ca="1" si="367"/>
        <v>0</v>
      </c>
      <c r="GQ54" s="48">
        <f t="shared" ca="1" si="367"/>
        <v>0</v>
      </c>
      <c r="GR54" s="48">
        <f t="shared" ca="1" si="367"/>
        <v>0</v>
      </c>
      <c r="GS54" s="48">
        <f t="shared" ca="1" si="367"/>
        <v>0</v>
      </c>
      <c r="GT54" s="48">
        <f t="shared" ca="1" si="367"/>
        <v>0</v>
      </c>
      <c r="GU54" s="48">
        <f t="shared" ca="1" si="367"/>
        <v>0</v>
      </c>
      <c r="GV54" s="48">
        <f t="shared" ca="1" si="368"/>
        <v>0</v>
      </c>
      <c r="GW54" s="48">
        <f t="shared" ca="1" si="368"/>
        <v>0</v>
      </c>
      <c r="GX54" s="48">
        <f t="shared" ca="1" si="368"/>
        <v>0</v>
      </c>
      <c r="GY54" s="48">
        <f t="shared" ca="1" si="368"/>
        <v>0</v>
      </c>
      <c r="GZ54" s="48">
        <f t="shared" ca="1" si="368"/>
        <v>0</v>
      </c>
      <c r="HA54" s="69"/>
      <c r="HB54" s="150" t="str">
        <f t="shared" ca="1" si="74"/>
        <v>n/a</v>
      </c>
      <c r="HC54" s="150" t="str">
        <f t="shared" ca="1" si="369"/>
        <v>n/a</v>
      </c>
      <c r="HD54" s="150" t="str">
        <f t="shared" ca="1" si="76"/>
        <v>n/a</v>
      </c>
      <c r="HE54" s="150" t="str">
        <f t="shared" ca="1" si="370"/>
        <v>n/a</v>
      </c>
      <c r="HF54" s="150">
        <f t="shared" ca="1" si="371"/>
        <v>0.3276736271541712</v>
      </c>
      <c r="HG54" s="148"/>
      <c r="HH54" s="149"/>
      <c r="HI54" s="149"/>
      <c r="HJ54" s="149"/>
      <c r="HK54" s="150"/>
      <c r="HL54" s="149"/>
      <c r="HM54" s="149"/>
      <c r="HN54" s="149"/>
      <c r="HO54" s="150"/>
      <c r="HP54" s="148"/>
      <c r="HQ54" s="149"/>
      <c r="HR54" s="149"/>
      <c r="HS54" s="149"/>
      <c r="HT54" s="150"/>
      <c r="HU54" s="149"/>
      <c r="HV54" s="149"/>
      <c r="HW54" s="149"/>
      <c r="HX54" s="150"/>
      <c r="HY54" s="151"/>
      <c r="HZ54" s="150"/>
      <c r="IA54" s="150"/>
      <c r="IB54" s="152"/>
      <c r="IC54" s="150"/>
      <c r="ID54" s="152"/>
      <c r="IE54" s="150"/>
      <c r="IF54" s="153"/>
    </row>
    <row r="55" spans="1:240" s="36" customFormat="1" ht="14.4" customHeight="1">
      <c r="A55" s="39"/>
      <c r="B55" s="50" t="str">
        <f t="shared" si="340"/>
        <v>Residential_Residential Audit_Various_Residential Kit_2017_Actual</v>
      </c>
      <c r="C55" s="50">
        <f>INDEX('Measure Inputs'!$D:$D,MATCH($B55,'Measure Inputs'!$B:$B,0))</f>
        <v>21</v>
      </c>
      <c r="D55" s="51" t="str">
        <f>'Measure Inputs'!G27</f>
        <v>Residential</v>
      </c>
      <c r="E55" s="51" t="str">
        <f>'Measure Inputs'!H27</f>
        <v>Residential Audit</v>
      </c>
      <c r="F55" s="51" t="str">
        <f>'Measure Inputs'!I27</f>
        <v>Various</v>
      </c>
      <c r="G55" s="51" t="str">
        <f>'Measure Inputs'!J27</f>
        <v>Residential Kit</v>
      </c>
      <c r="H55" s="51">
        <f>'Measure Inputs'!K27</f>
        <v>2017</v>
      </c>
      <c r="I55" s="51" t="str">
        <f>'Measure Inputs'!L27</f>
        <v>Actual</v>
      </c>
      <c r="J55" s="37"/>
      <c r="K55" s="99" t="str">
        <f ca="1">INDEX(OFFSET('Measure Inputs'!$O$7,,,InputRows),$C55)</f>
        <v>Units</v>
      </c>
      <c r="L55" s="38">
        <f ca="1">INDEX(OFFSET('Measure Inputs'!$Q$7,,,InputRows),$C55)</f>
        <v>0</v>
      </c>
      <c r="M55" s="167">
        <f>INDEX('General Inputs'!$E$14:$E$15,MATCH(D55,'General Inputs'!$D$14:$D$15,0))</f>
        <v>1.0469999999999999</v>
      </c>
      <c r="N55" s="54">
        <f ca="1">INDEX(OFFSET('Measure Inputs'!$Y$7,,,InputRows),$C55)</f>
        <v>1</v>
      </c>
      <c r="O55" s="54">
        <f ca="1">INDEX(OFFSET('Measure Inputs'!$Z$7,,,InputRows),$C55)</f>
        <v>1</v>
      </c>
      <c r="P55" s="37"/>
      <c r="Q55" s="127">
        <f ca="1">CONVERT(INDEX(OFFSET('Measure Inputs'!$AB$7,,,InputRows),$C55),'Measure Inputs'!$AB$6,Q$8)*$L55</f>
        <v>0</v>
      </c>
      <c r="R55" s="127">
        <f t="shared" ca="1" si="341"/>
        <v>0</v>
      </c>
      <c r="S55" s="127">
        <f t="shared" ca="1" si="342"/>
        <v>0</v>
      </c>
      <c r="T55" s="37"/>
      <c r="U55" s="127">
        <f ca="1">CONVERT(INDEX(OFFSET('Measure Inputs'!$AD$7,,,InputRows),$C55),'Measure Inputs'!$AD$6,U$8)*$L55</f>
        <v>0</v>
      </c>
      <c r="V55" s="127">
        <f t="shared" ca="1" si="343"/>
        <v>0</v>
      </c>
      <c r="W55" s="127">
        <f t="shared" ca="1" si="344"/>
        <v>0</v>
      </c>
      <c r="X55" s="37"/>
      <c r="Y55" s="127">
        <f ca="1">CONVERT(INDEX(OFFSET('Measure Inputs'!$AC$7,,,InputRows),$C55),'Measure Inputs'!$AC$6,Y$8)*$L55</f>
        <v>0</v>
      </c>
      <c r="Z55" s="127">
        <f t="shared" ca="1" si="345"/>
        <v>0</v>
      </c>
      <c r="AA55" s="127">
        <f t="shared" ca="1" si="346"/>
        <v>0</v>
      </c>
      <c r="AB55" s="37"/>
      <c r="AC55" s="127">
        <f ca="1">CONVERT(INDEX(OFFSET('Measure Inputs'!$AE$7,,,InputRows),$C55),'Measure Inputs'!$AE$6,AC$8)*$L55</f>
        <v>0</v>
      </c>
      <c r="AD55" s="127">
        <f t="shared" ca="1" si="347"/>
        <v>0</v>
      </c>
      <c r="AE55" s="127">
        <f t="shared" ca="1" si="348"/>
        <v>0</v>
      </c>
      <c r="AF55" s="37"/>
      <c r="AG55" s="97">
        <f ca="1">INDEX(OFFSET('Measure Inputs'!$R$7,,,InputRows),$C55)</f>
        <v>9.7281255987255406</v>
      </c>
      <c r="AH55" s="97">
        <f ca="1">INDEX(OFFSET('Measure Inputs'!$S$7,,,InputRows),$C55)</f>
        <v>0</v>
      </c>
      <c r="AI55" s="97">
        <f t="shared" ca="1" si="349"/>
        <v>0</v>
      </c>
      <c r="AJ55" s="100">
        <f ca="1">INDEX(OFFSET('Measure Inputs'!$T$7,,,InputRows),$C55)*$L55*$N55*$O55</f>
        <v>0</v>
      </c>
      <c r="AK55" s="100">
        <f ca="1">INDEX(OFFSET('Measure Inputs'!$U$7,,,InputRows),$C55)*$L55*$N55*$O55</f>
        <v>0</v>
      </c>
      <c r="AL55" s="100">
        <f ca="1">INDEX(OFFSET('Measure Inputs'!$V$7,,,InputRows),$C55)*$L55*$N55*$O55</f>
        <v>0</v>
      </c>
      <c r="AM55" s="100">
        <f ca="1">INDEX(OFFSET('Measure Inputs'!$W$7,,,InputRows),$C55)*$L55*$N55*$O55</f>
        <v>0</v>
      </c>
      <c r="AN55" s="100">
        <f ca="1">INDEX(OFFSET('Measure Inputs'!$X$7,,,InputRows),$C55)*$L55</f>
        <v>0</v>
      </c>
      <c r="AO55" s="100"/>
      <c r="AP55" s="100">
        <f t="shared" ca="1" si="350"/>
        <v>0</v>
      </c>
      <c r="AQ55" s="37"/>
      <c r="AR55" s="100">
        <f ca="1">SUMPRODUCT(--($CX$9:$EX$9=$H55)*$AJ55,'General Inputs'!$K$40:$BK$40)+SUMPRODUCT(--($CX$9:$EX$9=$H55+$AH55)*-$AK55,'General Inputs'!$K$43:$BK$43)</f>
        <v>0</v>
      </c>
      <c r="AS55" s="100">
        <f ca="1">CONVERT(SUMPRODUCT($CX55:$EX55,'General Inputs'!$K$29:$BK$29,'General Inputs'!$K$40:$BK$40)*$M55,$Q$8,'General Inputs'!$E$17)</f>
        <v>0</v>
      </c>
      <c r="AT55" s="100">
        <f ca="1">SUMPRODUCT(--($CX$9:$EX$9=$H55)*$AN55,'General Inputs'!$K$40:$BK$40)</f>
        <v>0</v>
      </c>
      <c r="AU55" s="100">
        <f>SUMPRODUCT(--($CX$9:$EX$9=$H55)*$AO55,'General Inputs'!$K$40:$BK$40)</f>
        <v>0</v>
      </c>
      <c r="AV55" s="100">
        <f ca="1">CONVERT(SUMPRODUCT($CX55:$EX55,'General Inputs'!$K$40:$BK$40,OFFSET('General Inputs'!$K$34:$BK$34,MATCH($D55,'General Inputs'!$J$34:$J$35,0)-1,)),$Q$8,'General Inputs'!$G$32)</f>
        <v>0</v>
      </c>
      <c r="AW55" s="100">
        <f ca="1">CONVERT(SUMPRODUCT($CX55:$EX55,'General Inputs'!$K$27:$BK$27,'General Inputs'!$K$40:$BK$40)*$M55,$Q$8,'General Inputs'!$E$17)</f>
        <v>0</v>
      </c>
      <c r="AX55" s="100">
        <f ca="1">CONVERT(SUMPRODUCT($EZ55:$GZ55,'General Inputs'!$K$28:$BK$28,'General Inputs'!$K$40:$BK$40)*$M55,$Q$8,'General Inputs'!$E$17)</f>
        <v>0</v>
      </c>
      <c r="AY55" s="98">
        <f ca="1">SUMPRODUCT($CX55:$EX55,'General Inputs'!$K$40:$BK$40)</f>
        <v>0</v>
      </c>
      <c r="AZ55" s="37"/>
      <c r="BA55" s="100">
        <f t="shared" ca="1" si="351"/>
        <v>0</v>
      </c>
      <c r="BB55" s="102" t="e">
        <f t="shared" ca="1" si="352"/>
        <v>#DIV/0!</v>
      </c>
      <c r="BC55" s="100">
        <f t="shared" ca="1" si="273"/>
        <v>0</v>
      </c>
      <c r="BD55" s="100">
        <f t="shared" ca="1" si="274"/>
        <v>0</v>
      </c>
      <c r="BE55" s="100">
        <f t="shared" ca="1" si="275"/>
        <v>0</v>
      </c>
      <c r="BF55" s="100">
        <f t="shared" ca="1" si="276"/>
        <v>0</v>
      </c>
      <c r="BG55" s="100">
        <f t="shared" si="277"/>
        <v>0</v>
      </c>
      <c r="BH55" s="100">
        <f t="shared" ca="1" si="278"/>
        <v>0</v>
      </c>
      <c r="BI55" s="37"/>
      <c r="BJ55" s="100">
        <f t="shared" ca="1" si="353"/>
        <v>0</v>
      </c>
      <c r="BK55" s="102" t="e">
        <f t="shared" ca="1" si="354"/>
        <v>#DIV/0!</v>
      </c>
      <c r="BL55" s="100">
        <f t="shared" ca="1" si="279"/>
        <v>0</v>
      </c>
      <c r="BM55" s="100">
        <f t="shared" ca="1" si="164"/>
        <v>0</v>
      </c>
      <c r="BN55" s="100">
        <f t="shared" ca="1" si="280"/>
        <v>0</v>
      </c>
      <c r="BO55" s="100">
        <f t="shared" ca="1" si="281"/>
        <v>0</v>
      </c>
      <c r="BP55" s="100">
        <f t="shared" ca="1" si="282"/>
        <v>0</v>
      </c>
      <c r="BQ55" s="100">
        <f t="shared" si="283"/>
        <v>0</v>
      </c>
      <c r="BR55" s="100">
        <f t="shared" ca="1" si="284"/>
        <v>0</v>
      </c>
      <c r="BS55" s="37"/>
      <c r="BT55" s="100">
        <f t="shared" ca="1" si="355"/>
        <v>0</v>
      </c>
      <c r="BU55" s="102" t="e">
        <f t="shared" ca="1" si="356"/>
        <v>#DIV/0!</v>
      </c>
      <c r="BV55" s="102" t="e">
        <f t="shared" ca="1" si="285"/>
        <v>#DIV/0!</v>
      </c>
      <c r="BW55" s="100">
        <f t="shared" ca="1" si="286"/>
        <v>0</v>
      </c>
      <c r="BX55" s="100">
        <f t="shared" ca="1" si="287"/>
        <v>0</v>
      </c>
      <c r="BY55" s="100">
        <f t="shared" ca="1" si="288"/>
        <v>0</v>
      </c>
      <c r="BZ55" s="100">
        <f t="shared" ca="1" si="289"/>
        <v>0</v>
      </c>
      <c r="CA55" s="100">
        <f t="shared" ca="1" si="290"/>
        <v>0</v>
      </c>
      <c r="CB55" s="37"/>
      <c r="CC55" s="100">
        <f t="shared" ca="1" si="357"/>
        <v>0</v>
      </c>
      <c r="CD55" s="102" t="e">
        <f t="shared" ca="1" si="358"/>
        <v>#DIV/0!</v>
      </c>
      <c r="CE55" s="103" t="e">
        <f t="shared" ca="1" si="291"/>
        <v>#DIV/0!</v>
      </c>
      <c r="CF55" s="100">
        <f t="shared" ca="1" si="292"/>
        <v>0</v>
      </c>
      <c r="CG55" s="100">
        <f t="shared" ca="1" si="293"/>
        <v>0</v>
      </c>
      <c r="CH55" s="100">
        <f t="shared" ca="1" si="294"/>
        <v>0</v>
      </c>
      <c r="CI55" s="100">
        <f t="shared" ca="1" si="71"/>
        <v>0</v>
      </c>
      <c r="CJ55" s="100">
        <f t="shared" ca="1" si="72"/>
        <v>0</v>
      </c>
      <c r="CK55" s="100">
        <f t="shared" si="295"/>
        <v>0</v>
      </c>
      <c r="CL55" s="37"/>
      <c r="CM55" s="100">
        <f t="shared" ca="1" si="359"/>
        <v>0</v>
      </c>
      <c r="CN55" s="102" t="e">
        <f t="shared" ca="1" si="360"/>
        <v>#DIV/0!</v>
      </c>
      <c r="CO55" s="128"/>
      <c r="CP55" s="100">
        <f t="shared" ca="1" si="296"/>
        <v>0</v>
      </c>
      <c r="CQ55" s="100">
        <f t="shared" ca="1" si="297"/>
        <v>0</v>
      </c>
      <c r="CR55" s="100">
        <f t="shared" ca="1" si="298"/>
        <v>0</v>
      </c>
      <c r="CS55" s="100">
        <f t="shared" ca="1" si="73"/>
        <v>0</v>
      </c>
      <c r="CT55" s="100">
        <f t="shared" ca="1" si="299"/>
        <v>0</v>
      </c>
      <c r="CU55" s="100">
        <f t="shared" ca="1" si="300"/>
        <v>0</v>
      </c>
      <c r="CV55" s="100">
        <f t="shared" si="301"/>
        <v>0</v>
      </c>
      <c r="CW55" s="37"/>
      <c r="CX55" s="48">
        <f t="shared" ca="1" si="361"/>
        <v>0</v>
      </c>
      <c r="CY55" s="48">
        <f t="shared" ca="1" si="361"/>
        <v>0</v>
      </c>
      <c r="CZ55" s="48">
        <f t="shared" ca="1" si="361"/>
        <v>0</v>
      </c>
      <c r="DA55" s="48">
        <f t="shared" ca="1" si="361"/>
        <v>0</v>
      </c>
      <c r="DB55" s="48">
        <f t="shared" ca="1" si="361"/>
        <v>0</v>
      </c>
      <c r="DC55" s="48">
        <f t="shared" ca="1" si="361"/>
        <v>0</v>
      </c>
      <c r="DD55" s="48">
        <f t="shared" ca="1" si="361"/>
        <v>0</v>
      </c>
      <c r="DE55" s="48">
        <f t="shared" ca="1" si="361"/>
        <v>0</v>
      </c>
      <c r="DF55" s="48">
        <f t="shared" ca="1" si="361"/>
        <v>0</v>
      </c>
      <c r="DG55" s="48">
        <f t="shared" ca="1" si="361"/>
        <v>0</v>
      </c>
      <c r="DH55" s="48">
        <f t="shared" ca="1" si="361"/>
        <v>0</v>
      </c>
      <c r="DI55" s="48">
        <f t="shared" ca="1" si="361"/>
        <v>0</v>
      </c>
      <c r="DJ55" s="48">
        <f t="shared" ca="1" si="361"/>
        <v>0</v>
      </c>
      <c r="DK55" s="48">
        <f t="shared" ca="1" si="361"/>
        <v>0</v>
      </c>
      <c r="DL55" s="48">
        <f t="shared" ca="1" si="361"/>
        <v>0</v>
      </c>
      <c r="DM55" s="48">
        <f t="shared" ca="1" si="361"/>
        <v>0</v>
      </c>
      <c r="DN55" s="48">
        <f t="shared" ca="1" si="362"/>
        <v>0</v>
      </c>
      <c r="DO55" s="48">
        <f t="shared" ca="1" si="362"/>
        <v>0</v>
      </c>
      <c r="DP55" s="48">
        <f t="shared" ca="1" si="362"/>
        <v>0</v>
      </c>
      <c r="DQ55" s="48">
        <f t="shared" ca="1" si="362"/>
        <v>0</v>
      </c>
      <c r="DR55" s="48">
        <f t="shared" ca="1" si="362"/>
        <v>0</v>
      </c>
      <c r="DS55" s="48">
        <f t="shared" ca="1" si="362"/>
        <v>0</v>
      </c>
      <c r="DT55" s="48">
        <f t="shared" ca="1" si="362"/>
        <v>0</v>
      </c>
      <c r="DU55" s="48">
        <f t="shared" ca="1" si="362"/>
        <v>0</v>
      </c>
      <c r="DV55" s="48">
        <f t="shared" ca="1" si="362"/>
        <v>0</v>
      </c>
      <c r="DW55" s="48">
        <f t="shared" ca="1" si="362"/>
        <v>0</v>
      </c>
      <c r="DX55" s="48">
        <f t="shared" ca="1" si="362"/>
        <v>0</v>
      </c>
      <c r="DY55" s="48">
        <f t="shared" ca="1" si="362"/>
        <v>0</v>
      </c>
      <c r="DZ55" s="48">
        <f t="shared" ca="1" si="362"/>
        <v>0</v>
      </c>
      <c r="EA55" s="48">
        <f t="shared" ca="1" si="362"/>
        <v>0</v>
      </c>
      <c r="EB55" s="48">
        <f t="shared" ca="1" si="362"/>
        <v>0</v>
      </c>
      <c r="EC55" s="48">
        <f t="shared" ca="1" si="362"/>
        <v>0</v>
      </c>
      <c r="ED55" s="48">
        <f t="shared" ca="1" si="363"/>
        <v>0</v>
      </c>
      <c r="EE55" s="48">
        <f t="shared" ca="1" si="363"/>
        <v>0</v>
      </c>
      <c r="EF55" s="48">
        <f t="shared" ca="1" si="363"/>
        <v>0</v>
      </c>
      <c r="EG55" s="48">
        <f t="shared" ca="1" si="363"/>
        <v>0</v>
      </c>
      <c r="EH55" s="48">
        <f t="shared" ca="1" si="363"/>
        <v>0</v>
      </c>
      <c r="EI55" s="48">
        <f t="shared" ca="1" si="363"/>
        <v>0</v>
      </c>
      <c r="EJ55" s="48">
        <f t="shared" ca="1" si="363"/>
        <v>0</v>
      </c>
      <c r="EK55" s="48">
        <f t="shared" ca="1" si="363"/>
        <v>0</v>
      </c>
      <c r="EL55" s="48">
        <f t="shared" ca="1" si="363"/>
        <v>0</v>
      </c>
      <c r="EM55" s="48">
        <f t="shared" ca="1" si="363"/>
        <v>0</v>
      </c>
      <c r="EN55" s="48">
        <f t="shared" ca="1" si="363"/>
        <v>0</v>
      </c>
      <c r="EO55" s="48">
        <f t="shared" ca="1" si="363"/>
        <v>0</v>
      </c>
      <c r="EP55" s="48">
        <f t="shared" ca="1" si="363"/>
        <v>0</v>
      </c>
      <c r="EQ55" s="48">
        <f t="shared" ca="1" si="363"/>
        <v>0</v>
      </c>
      <c r="ER55" s="48">
        <f t="shared" ca="1" si="363"/>
        <v>0</v>
      </c>
      <c r="ES55" s="48">
        <f t="shared" ca="1" si="363"/>
        <v>0</v>
      </c>
      <c r="ET55" s="48">
        <f t="shared" ca="1" si="364"/>
        <v>0</v>
      </c>
      <c r="EU55" s="48">
        <f t="shared" ca="1" si="364"/>
        <v>0</v>
      </c>
      <c r="EV55" s="48">
        <f t="shared" ca="1" si="364"/>
        <v>0</v>
      </c>
      <c r="EW55" s="48">
        <f t="shared" ca="1" si="364"/>
        <v>0</v>
      </c>
      <c r="EX55" s="48">
        <f t="shared" ca="1" si="364"/>
        <v>0</v>
      </c>
      <c r="EY55" s="69"/>
      <c r="EZ55" s="48">
        <f t="shared" ca="1" si="365"/>
        <v>0</v>
      </c>
      <c r="FA55" s="48">
        <f t="shared" ca="1" si="365"/>
        <v>0</v>
      </c>
      <c r="FB55" s="48">
        <f t="shared" ca="1" si="365"/>
        <v>0</v>
      </c>
      <c r="FC55" s="48">
        <f t="shared" ca="1" si="365"/>
        <v>0</v>
      </c>
      <c r="FD55" s="48">
        <f t="shared" ca="1" si="365"/>
        <v>0</v>
      </c>
      <c r="FE55" s="48">
        <f t="shared" ca="1" si="365"/>
        <v>0</v>
      </c>
      <c r="FF55" s="48">
        <f t="shared" ca="1" si="365"/>
        <v>0</v>
      </c>
      <c r="FG55" s="48">
        <f t="shared" ca="1" si="365"/>
        <v>0</v>
      </c>
      <c r="FH55" s="48">
        <f t="shared" ca="1" si="365"/>
        <v>0</v>
      </c>
      <c r="FI55" s="48">
        <f t="shared" ca="1" si="365"/>
        <v>0</v>
      </c>
      <c r="FJ55" s="48">
        <f t="shared" ca="1" si="365"/>
        <v>0</v>
      </c>
      <c r="FK55" s="48">
        <f t="shared" ca="1" si="365"/>
        <v>0</v>
      </c>
      <c r="FL55" s="48">
        <f t="shared" ca="1" si="365"/>
        <v>0</v>
      </c>
      <c r="FM55" s="48">
        <f t="shared" ca="1" si="365"/>
        <v>0</v>
      </c>
      <c r="FN55" s="48">
        <f t="shared" ca="1" si="365"/>
        <v>0</v>
      </c>
      <c r="FO55" s="48">
        <f t="shared" ca="1" si="365"/>
        <v>0</v>
      </c>
      <c r="FP55" s="48">
        <f t="shared" ca="1" si="366"/>
        <v>0</v>
      </c>
      <c r="FQ55" s="48">
        <f t="shared" ca="1" si="366"/>
        <v>0</v>
      </c>
      <c r="FR55" s="48">
        <f t="shared" ca="1" si="366"/>
        <v>0</v>
      </c>
      <c r="FS55" s="48">
        <f t="shared" ca="1" si="366"/>
        <v>0</v>
      </c>
      <c r="FT55" s="48">
        <f t="shared" ca="1" si="366"/>
        <v>0</v>
      </c>
      <c r="FU55" s="48">
        <f t="shared" ca="1" si="366"/>
        <v>0</v>
      </c>
      <c r="FV55" s="48">
        <f t="shared" ca="1" si="366"/>
        <v>0</v>
      </c>
      <c r="FW55" s="48">
        <f t="shared" ca="1" si="366"/>
        <v>0</v>
      </c>
      <c r="FX55" s="48">
        <f t="shared" ca="1" si="366"/>
        <v>0</v>
      </c>
      <c r="FY55" s="48">
        <f t="shared" ca="1" si="366"/>
        <v>0</v>
      </c>
      <c r="FZ55" s="48">
        <f t="shared" ca="1" si="366"/>
        <v>0</v>
      </c>
      <c r="GA55" s="48">
        <f t="shared" ca="1" si="366"/>
        <v>0</v>
      </c>
      <c r="GB55" s="48">
        <f t="shared" ca="1" si="366"/>
        <v>0</v>
      </c>
      <c r="GC55" s="48">
        <f t="shared" ca="1" si="366"/>
        <v>0</v>
      </c>
      <c r="GD55" s="48">
        <f t="shared" ca="1" si="366"/>
        <v>0</v>
      </c>
      <c r="GE55" s="48">
        <f t="shared" ca="1" si="366"/>
        <v>0</v>
      </c>
      <c r="GF55" s="48">
        <f t="shared" ca="1" si="367"/>
        <v>0</v>
      </c>
      <c r="GG55" s="48">
        <f t="shared" ca="1" si="367"/>
        <v>0</v>
      </c>
      <c r="GH55" s="48">
        <f t="shared" ca="1" si="367"/>
        <v>0</v>
      </c>
      <c r="GI55" s="48">
        <f t="shared" ca="1" si="367"/>
        <v>0</v>
      </c>
      <c r="GJ55" s="48">
        <f t="shared" ca="1" si="367"/>
        <v>0</v>
      </c>
      <c r="GK55" s="48">
        <f t="shared" ca="1" si="367"/>
        <v>0</v>
      </c>
      <c r="GL55" s="48">
        <f t="shared" ca="1" si="367"/>
        <v>0</v>
      </c>
      <c r="GM55" s="48">
        <f t="shared" ca="1" si="367"/>
        <v>0</v>
      </c>
      <c r="GN55" s="48">
        <f t="shared" ca="1" si="367"/>
        <v>0</v>
      </c>
      <c r="GO55" s="48">
        <f t="shared" ca="1" si="367"/>
        <v>0</v>
      </c>
      <c r="GP55" s="48">
        <f t="shared" ca="1" si="367"/>
        <v>0</v>
      </c>
      <c r="GQ55" s="48">
        <f t="shared" ca="1" si="367"/>
        <v>0</v>
      </c>
      <c r="GR55" s="48">
        <f t="shared" ca="1" si="367"/>
        <v>0</v>
      </c>
      <c r="GS55" s="48">
        <f t="shared" ca="1" si="367"/>
        <v>0</v>
      </c>
      <c r="GT55" s="48">
        <f t="shared" ca="1" si="367"/>
        <v>0</v>
      </c>
      <c r="GU55" s="48">
        <f t="shared" ca="1" si="367"/>
        <v>0</v>
      </c>
      <c r="GV55" s="48">
        <f t="shared" ca="1" si="368"/>
        <v>0</v>
      </c>
      <c r="GW55" s="48">
        <f t="shared" ca="1" si="368"/>
        <v>0</v>
      </c>
      <c r="GX55" s="48">
        <f t="shared" ca="1" si="368"/>
        <v>0</v>
      </c>
      <c r="GY55" s="48">
        <f t="shared" ca="1" si="368"/>
        <v>0</v>
      </c>
      <c r="GZ55" s="48">
        <f t="shared" ca="1" si="368"/>
        <v>0</v>
      </c>
      <c r="HA55" s="69"/>
      <c r="HB55" s="150" t="str">
        <f t="shared" ca="1" si="74"/>
        <v>n/a</v>
      </c>
      <c r="HC55" s="150" t="str">
        <f t="shared" ca="1" si="369"/>
        <v>n/a</v>
      </c>
      <c r="HD55" s="150" t="str">
        <f t="shared" ca="1" si="76"/>
        <v>n/a</v>
      </c>
      <c r="HE55" s="150" t="str">
        <f t="shared" ca="1" si="370"/>
        <v>n/a</v>
      </c>
      <c r="HF55" s="150" t="str">
        <f t="shared" ca="1" si="371"/>
        <v>n/a</v>
      </c>
      <c r="HG55" s="148"/>
      <c r="HH55" s="149"/>
      <c r="HI55" s="149"/>
      <c r="HJ55" s="149"/>
      <c r="HK55" s="150"/>
      <c r="HL55" s="149"/>
      <c r="HM55" s="149"/>
      <c r="HN55" s="149"/>
      <c r="HO55" s="150"/>
      <c r="HP55" s="148"/>
      <c r="HQ55" s="149"/>
      <c r="HR55" s="149"/>
      <c r="HS55" s="149"/>
      <c r="HT55" s="150"/>
      <c r="HU55" s="149"/>
      <c r="HV55" s="149"/>
      <c r="HW55" s="149"/>
      <c r="HX55" s="150"/>
      <c r="HY55" s="151"/>
      <c r="HZ55" s="150"/>
      <c r="IA55" s="150"/>
      <c r="IB55" s="152"/>
      <c r="IC55" s="150"/>
      <c r="ID55" s="152"/>
      <c r="IE55" s="150"/>
      <c r="IF55" s="153"/>
    </row>
    <row r="56" spans="1:240" s="36" customFormat="1" ht="14.4" customHeight="1">
      <c r="A56" s="39"/>
      <c r="B56" s="50" t="str">
        <f t="shared" si="340"/>
        <v>Residential_School-Based Education_Various_EE Kit/Education Materials_2017_Actual</v>
      </c>
      <c r="C56" s="50">
        <f>INDEX('Measure Inputs'!$D:$D,MATCH($B56,'Measure Inputs'!$B:$B,0))</f>
        <v>22</v>
      </c>
      <c r="D56" s="51" t="str">
        <f>'Measure Inputs'!G28</f>
        <v>Residential</v>
      </c>
      <c r="E56" s="51" t="str">
        <f>'Measure Inputs'!H28</f>
        <v>School-Based Education</v>
      </c>
      <c r="F56" s="51" t="str">
        <f>'Measure Inputs'!I28</f>
        <v>Various</v>
      </c>
      <c r="G56" s="51" t="str">
        <f>'Measure Inputs'!J28</f>
        <v>EE Kit/Education Materials</v>
      </c>
      <c r="H56" s="51">
        <f>'Measure Inputs'!K28</f>
        <v>2017</v>
      </c>
      <c r="I56" s="51" t="str">
        <f>'Measure Inputs'!L28</f>
        <v>Actual</v>
      </c>
      <c r="J56" s="37"/>
      <c r="K56" s="99" t="str">
        <f ca="1">INDEX(OFFSET('Measure Inputs'!$O$7,,,InputRows),$C56)</f>
        <v>Units</v>
      </c>
      <c r="L56" s="38">
        <f ca="1">INDEX(OFFSET('Measure Inputs'!$Q$7,,,InputRows),$C56)</f>
        <v>1202</v>
      </c>
      <c r="M56" s="167">
        <f>INDEX('General Inputs'!$E$14:$E$15,MATCH(D56,'General Inputs'!$D$14:$D$15,0))</f>
        <v>1.0469999999999999</v>
      </c>
      <c r="N56" s="54">
        <f ca="1">INDEX(OFFSET('Measure Inputs'!$Y$7,,,InputRows),$C56)</f>
        <v>1</v>
      </c>
      <c r="O56" s="54">
        <f ca="1">INDEX(OFFSET('Measure Inputs'!$Z$7,,,InputRows),$C56)</f>
        <v>1</v>
      </c>
      <c r="P56" s="37"/>
      <c r="Q56" s="127">
        <f ca="1">CONVERT(INDEX(OFFSET('Measure Inputs'!$AB$7,,,InputRows),$C56),'Measure Inputs'!$AB$6,Q$8)*$L56</f>
        <v>477194</v>
      </c>
      <c r="R56" s="127">
        <f t="shared" ca="1" si="341"/>
        <v>477194</v>
      </c>
      <c r="S56" s="127">
        <f t="shared" ca="1" si="342"/>
        <v>477194</v>
      </c>
      <c r="T56" s="37"/>
      <c r="U56" s="127">
        <f ca="1">CONVERT(INDEX(OFFSET('Measure Inputs'!$AD$7,,,InputRows),$C56),'Measure Inputs'!$AD$6,U$8)*$L56</f>
        <v>0</v>
      </c>
      <c r="V56" s="127">
        <f t="shared" ca="1" si="343"/>
        <v>0</v>
      </c>
      <c r="W56" s="127">
        <f t="shared" ca="1" si="344"/>
        <v>0</v>
      </c>
      <c r="X56" s="37"/>
      <c r="Y56" s="127">
        <f ca="1">CONVERT(INDEX(OFFSET('Measure Inputs'!$AC$7,,,InputRows),$C56),'Measure Inputs'!$AC$6,Y$8)*$L56</f>
        <v>48.079999999999984</v>
      </c>
      <c r="Z56" s="127">
        <f t="shared" ca="1" si="345"/>
        <v>48.079999999999984</v>
      </c>
      <c r="AA56" s="127">
        <f t="shared" ca="1" si="346"/>
        <v>48.079999999999984</v>
      </c>
      <c r="AB56" s="37"/>
      <c r="AC56" s="127">
        <f ca="1">CONVERT(INDEX(OFFSET('Measure Inputs'!$AE$7,,,InputRows),$C56),'Measure Inputs'!$AE$6,AC$8)*$L56</f>
        <v>0</v>
      </c>
      <c r="AD56" s="127">
        <f t="shared" ca="1" si="347"/>
        <v>0</v>
      </c>
      <c r="AE56" s="127">
        <f t="shared" ca="1" si="348"/>
        <v>0</v>
      </c>
      <c r="AF56" s="37"/>
      <c r="AG56" s="97">
        <f ca="1">INDEX(OFFSET('Measure Inputs'!$R$7,,,InputRows),$C56)</f>
        <v>5</v>
      </c>
      <c r="AH56" s="97">
        <f ca="1">INDEX(OFFSET('Measure Inputs'!$S$7,,,InputRows),$C56)</f>
        <v>0</v>
      </c>
      <c r="AI56" s="97">
        <f t="shared" ca="1" si="349"/>
        <v>2385970</v>
      </c>
      <c r="AJ56" s="100">
        <f ca="1">INDEX(OFFSET('Measure Inputs'!$T$7,,,InputRows),$C56)*$L56*$N56*$O56</f>
        <v>0</v>
      </c>
      <c r="AK56" s="100">
        <f ca="1">INDEX(OFFSET('Measure Inputs'!$U$7,,,InputRows),$C56)*$L56*$N56*$O56</f>
        <v>0</v>
      </c>
      <c r="AL56" s="100">
        <f ca="1">INDEX(OFFSET('Measure Inputs'!$V$7,,,InputRows),$C56)*$L56*$N56*$O56</f>
        <v>0</v>
      </c>
      <c r="AM56" s="100">
        <f ca="1">INDEX(OFFSET('Measure Inputs'!$W$7,,,InputRows),$C56)*$L56*$N56*$O56</f>
        <v>0</v>
      </c>
      <c r="AN56" s="100">
        <f ca="1">INDEX(OFFSET('Measure Inputs'!$X$7,,,InputRows),$C56)*$L56</f>
        <v>0</v>
      </c>
      <c r="AO56" s="100"/>
      <c r="AP56" s="100">
        <f t="shared" ca="1" si="350"/>
        <v>0</v>
      </c>
      <c r="AQ56" s="37"/>
      <c r="AR56" s="100">
        <f ca="1">SUMPRODUCT(--($CX$9:$EX$9=$H56)*$AJ56,'General Inputs'!$K$40:$BK$40)+SUMPRODUCT(--($CX$9:$EX$9=$H56+$AH56)*-$AK56,'General Inputs'!$K$43:$BK$43)</f>
        <v>0</v>
      </c>
      <c r="AS56" s="100">
        <f ca="1">CONVERT(SUMPRODUCT($CX56:$EX56,'General Inputs'!$K$29:$BK$29,'General Inputs'!$K$40:$BK$40)*$M56,$Q$8,'General Inputs'!$E$17)</f>
        <v>24213.12946891677</v>
      </c>
      <c r="AT56" s="100">
        <f ca="1">SUMPRODUCT(--($CX$9:$EX$9=$H56)*$AN56,'General Inputs'!$K$40:$BK$40)</f>
        <v>0</v>
      </c>
      <c r="AU56" s="100">
        <f>SUMPRODUCT(--($CX$9:$EX$9=$H56)*$AO56,'General Inputs'!$K$40:$BK$40)</f>
        <v>0</v>
      </c>
      <c r="AV56" s="100">
        <f ca="1">CONVERT(SUMPRODUCT($CX56:$EX56,'General Inputs'!$K$40:$BK$40,OFFSET('General Inputs'!$K$34:$BK$34,MATCH($D56,'General Inputs'!$J$34:$J$35,0)-1,)),$Q$8,'General Inputs'!$G$32)</f>
        <v>288348.51964638784</v>
      </c>
      <c r="AW56" s="100">
        <f ca="1">CONVERT(SUMPRODUCT($CX56:$EX56,'General Inputs'!$K$27:$BK$27,'General Inputs'!$K$40:$BK$40)*$M56,$Q$8,'General Inputs'!$E$17)</f>
        <v>90885.923797415118</v>
      </c>
      <c r="AX56" s="100">
        <f ca="1">CONVERT(SUMPRODUCT($EZ56:$GZ56,'General Inputs'!$K$28:$BK$28,'General Inputs'!$K$40:$BK$40)*$M56,$Q$8,'General Inputs'!$E$17)</f>
        <v>3444.1989356875943</v>
      </c>
      <c r="AY56" s="98">
        <f ca="1">SUMPRODUCT($CX56:$EX56,'General Inputs'!$K$40:$BK$40)</f>
        <v>2028613.8732985449</v>
      </c>
      <c r="AZ56" s="37"/>
      <c r="BA56" s="100">
        <f t="shared" ca="1" si="351"/>
        <v>94330.122733102718</v>
      </c>
      <c r="BB56" s="102" t="e">
        <f t="shared" ca="1" si="352"/>
        <v>#DIV/0!</v>
      </c>
      <c r="BC56" s="100">
        <f t="shared" ca="1" si="273"/>
        <v>0</v>
      </c>
      <c r="BD56" s="100">
        <f t="shared" ca="1" si="274"/>
        <v>94330.122733102718</v>
      </c>
      <c r="BE56" s="100">
        <f t="shared" ca="1" si="275"/>
        <v>90885.923797415118</v>
      </c>
      <c r="BF56" s="100">
        <f t="shared" ca="1" si="276"/>
        <v>3444.1989356875943</v>
      </c>
      <c r="BG56" s="100">
        <f t="shared" si="277"/>
        <v>0</v>
      </c>
      <c r="BH56" s="100">
        <f t="shared" ca="1" si="278"/>
        <v>0</v>
      </c>
      <c r="BI56" s="37"/>
      <c r="BJ56" s="100">
        <f t="shared" ca="1" si="353"/>
        <v>118543.25220201949</v>
      </c>
      <c r="BK56" s="102" t="e">
        <f t="shared" ca="1" si="354"/>
        <v>#DIV/0!</v>
      </c>
      <c r="BL56" s="100">
        <f t="shared" ca="1" si="279"/>
        <v>0</v>
      </c>
      <c r="BM56" s="100">
        <f t="shared" ca="1" si="164"/>
        <v>118543.25220201949</v>
      </c>
      <c r="BN56" s="100">
        <f t="shared" ca="1" si="280"/>
        <v>90885.923797415118</v>
      </c>
      <c r="BO56" s="100">
        <f t="shared" ca="1" si="281"/>
        <v>3444.1989356875943</v>
      </c>
      <c r="BP56" s="100">
        <f t="shared" ca="1" si="282"/>
        <v>24213.12946891677</v>
      </c>
      <c r="BQ56" s="100">
        <f t="shared" si="283"/>
        <v>0</v>
      </c>
      <c r="BR56" s="100">
        <f t="shared" ca="1" si="284"/>
        <v>0</v>
      </c>
      <c r="BS56" s="37"/>
      <c r="BT56" s="100">
        <f t="shared" ca="1" si="355"/>
        <v>288348.51964638784</v>
      </c>
      <c r="BU56" s="102" t="e">
        <f t="shared" ca="1" si="356"/>
        <v>#DIV/0!</v>
      </c>
      <c r="BV56" s="102">
        <f t="shared" ca="1" si="285"/>
        <v>0</v>
      </c>
      <c r="BW56" s="100">
        <f t="shared" ca="1" si="286"/>
        <v>0</v>
      </c>
      <c r="BX56" s="100">
        <f t="shared" ca="1" si="287"/>
        <v>288348.51964638784</v>
      </c>
      <c r="BY56" s="100">
        <f t="shared" ca="1" si="288"/>
        <v>288348.51964638784</v>
      </c>
      <c r="BZ56" s="100">
        <f t="shared" ca="1" si="289"/>
        <v>0</v>
      </c>
      <c r="CA56" s="100">
        <f t="shared" ca="1" si="290"/>
        <v>0</v>
      </c>
      <c r="CB56" s="37"/>
      <c r="CC56" s="100">
        <f t="shared" ca="1" si="357"/>
        <v>94330.122733102718</v>
      </c>
      <c r="CD56" s="102" t="e">
        <f t="shared" ca="1" si="358"/>
        <v>#DIV/0!</v>
      </c>
      <c r="CE56" s="103">
        <f t="shared" ca="1" si="291"/>
        <v>0</v>
      </c>
      <c r="CF56" s="100">
        <f t="shared" ca="1" si="292"/>
        <v>0</v>
      </c>
      <c r="CG56" s="100">
        <f t="shared" ca="1" si="293"/>
        <v>94330.122733102718</v>
      </c>
      <c r="CH56" s="100">
        <f t="shared" ca="1" si="294"/>
        <v>90885.923797415118</v>
      </c>
      <c r="CI56" s="100">
        <f t="shared" ca="1" si="71"/>
        <v>3444.1989356875943</v>
      </c>
      <c r="CJ56" s="100">
        <f t="shared" ca="1" si="72"/>
        <v>0</v>
      </c>
      <c r="CK56" s="100">
        <f t="shared" si="295"/>
        <v>0</v>
      </c>
      <c r="CL56" s="37"/>
      <c r="CM56" s="100">
        <f t="shared" ca="1" si="359"/>
        <v>-194018.39691328513</v>
      </c>
      <c r="CN56" s="102">
        <f t="shared" ca="1" si="360"/>
        <v>0.32713926483403882</v>
      </c>
      <c r="CO56" s="128"/>
      <c r="CP56" s="100">
        <f t="shared" ca="1" si="296"/>
        <v>288348.51964638784</v>
      </c>
      <c r="CQ56" s="100">
        <f t="shared" ca="1" si="297"/>
        <v>94330.122733102718</v>
      </c>
      <c r="CR56" s="100">
        <f t="shared" ca="1" si="298"/>
        <v>90885.923797415118</v>
      </c>
      <c r="CS56" s="100">
        <f t="shared" ca="1" si="73"/>
        <v>3444.1989356875943</v>
      </c>
      <c r="CT56" s="100">
        <f t="shared" ca="1" si="299"/>
        <v>288348.51964638784</v>
      </c>
      <c r="CU56" s="100">
        <f t="shared" ca="1" si="300"/>
        <v>0</v>
      </c>
      <c r="CV56" s="100">
        <f t="shared" si="301"/>
        <v>0</v>
      </c>
      <c r="CW56" s="37"/>
      <c r="CX56" s="48">
        <f t="shared" ca="1" si="361"/>
        <v>477194</v>
      </c>
      <c r="CY56" s="48">
        <f t="shared" ca="1" si="361"/>
        <v>477194</v>
      </c>
      <c r="CZ56" s="48">
        <f t="shared" ca="1" si="361"/>
        <v>477194</v>
      </c>
      <c r="DA56" s="48">
        <f t="shared" ca="1" si="361"/>
        <v>477194</v>
      </c>
      <c r="DB56" s="48">
        <f t="shared" ca="1" si="361"/>
        <v>477194</v>
      </c>
      <c r="DC56" s="48">
        <f t="shared" ca="1" si="361"/>
        <v>0</v>
      </c>
      <c r="DD56" s="48">
        <f t="shared" ca="1" si="361"/>
        <v>0</v>
      </c>
      <c r="DE56" s="48">
        <f t="shared" ca="1" si="361"/>
        <v>0</v>
      </c>
      <c r="DF56" s="48">
        <f t="shared" ca="1" si="361"/>
        <v>0</v>
      </c>
      <c r="DG56" s="48">
        <f t="shared" ca="1" si="361"/>
        <v>0</v>
      </c>
      <c r="DH56" s="48">
        <f t="shared" ca="1" si="361"/>
        <v>0</v>
      </c>
      <c r="DI56" s="48">
        <f t="shared" ca="1" si="361"/>
        <v>0</v>
      </c>
      <c r="DJ56" s="48">
        <f t="shared" ca="1" si="361"/>
        <v>0</v>
      </c>
      <c r="DK56" s="48">
        <f t="shared" ca="1" si="361"/>
        <v>0</v>
      </c>
      <c r="DL56" s="48">
        <f t="shared" ca="1" si="361"/>
        <v>0</v>
      </c>
      <c r="DM56" s="48">
        <f t="shared" ca="1" si="361"/>
        <v>0</v>
      </c>
      <c r="DN56" s="48">
        <f t="shared" ca="1" si="362"/>
        <v>0</v>
      </c>
      <c r="DO56" s="48">
        <f t="shared" ca="1" si="362"/>
        <v>0</v>
      </c>
      <c r="DP56" s="48">
        <f t="shared" ca="1" si="362"/>
        <v>0</v>
      </c>
      <c r="DQ56" s="48">
        <f t="shared" ca="1" si="362"/>
        <v>0</v>
      </c>
      <c r="DR56" s="48">
        <f t="shared" ca="1" si="362"/>
        <v>0</v>
      </c>
      <c r="DS56" s="48">
        <f t="shared" ca="1" si="362"/>
        <v>0</v>
      </c>
      <c r="DT56" s="48">
        <f t="shared" ca="1" si="362"/>
        <v>0</v>
      </c>
      <c r="DU56" s="48">
        <f t="shared" ca="1" si="362"/>
        <v>0</v>
      </c>
      <c r="DV56" s="48">
        <f t="shared" ca="1" si="362"/>
        <v>0</v>
      </c>
      <c r="DW56" s="48">
        <f t="shared" ca="1" si="362"/>
        <v>0</v>
      </c>
      <c r="DX56" s="48">
        <f t="shared" ca="1" si="362"/>
        <v>0</v>
      </c>
      <c r="DY56" s="48">
        <f t="shared" ca="1" si="362"/>
        <v>0</v>
      </c>
      <c r="DZ56" s="48">
        <f t="shared" ca="1" si="362"/>
        <v>0</v>
      </c>
      <c r="EA56" s="48">
        <f t="shared" ca="1" si="362"/>
        <v>0</v>
      </c>
      <c r="EB56" s="48">
        <f t="shared" ca="1" si="362"/>
        <v>0</v>
      </c>
      <c r="EC56" s="48">
        <f t="shared" ca="1" si="362"/>
        <v>0</v>
      </c>
      <c r="ED56" s="48">
        <f t="shared" ca="1" si="363"/>
        <v>0</v>
      </c>
      <c r="EE56" s="48">
        <f t="shared" ca="1" si="363"/>
        <v>0</v>
      </c>
      <c r="EF56" s="48">
        <f t="shared" ca="1" si="363"/>
        <v>0</v>
      </c>
      <c r="EG56" s="48">
        <f t="shared" ca="1" si="363"/>
        <v>0</v>
      </c>
      <c r="EH56" s="48">
        <f t="shared" ca="1" si="363"/>
        <v>0</v>
      </c>
      <c r="EI56" s="48">
        <f t="shared" ca="1" si="363"/>
        <v>0</v>
      </c>
      <c r="EJ56" s="48">
        <f t="shared" ca="1" si="363"/>
        <v>0</v>
      </c>
      <c r="EK56" s="48">
        <f t="shared" ca="1" si="363"/>
        <v>0</v>
      </c>
      <c r="EL56" s="48">
        <f t="shared" ca="1" si="363"/>
        <v>0</v>
      </c>
      <c r="EM56" s="48">
        <f t="shared" ca="1" si="363"/>
        <v>0</v>
      </c>
      <c r="EN56" s="48">
        <f t="shared" ca="1" si="363"/>
        <v>0</v>
      </c>
      <c r="EO56" s="48">
        <f t="shared" ca="1" si="363"/>
        <v>0</v>
      </c>
      <c r="EP56" s="48">
        <f t="shared" ca="1" si="363"/>
        <v>0</v>
      </c>
      <c r="EQ56" s="48">
        <f t="shared" ca="1" si="363"/>
        <v>0</v>
      </c>
      <c r="ER56" s="48">
        <f t="shared" ca="1" si="363"/>
        <v>0</v>
      </c>
      <c r="ES56" s="48">
        <f t="shared" ca="1" si="363"/>
        <v>0</v>
      </c>
      <c r="ET56" s="48">
        <f t="shared" ca="1" si="364"/>
        <v>0</v>
      </c>
      <c r="EU56" s="48">
        <f t="shared" ca="1" si="364"/>
        <v>0</v>
      </c>
      <c r="EV56" s="48">
        <f t="shared" ca="1" si="364"/>
        <v>0</v>
      </c>
      <c r="EW56" s="48">
        <f t="shared" ca="1" si="364"/>
        <v>0</v>
      </c>
      <c r="EX56" s="48">
        <f t="shared" ca="1" si="364"/>
        <v>0</v>
      </c>
      <c r="EY56" s="69"/>
      <c r="EZ56" s="48">
        <f t="shared" ca="1" si="365"/>
        <v>48.079999999999984</v>
      </c>
      <c r="FA56" s="48">
        <f t="shared" ca="1" si="365"/>
        <v>48.079999999999984</v>
      </c>
      <c r="FB56" s="48">
        <f t="shared" ca="1" si="365"/>
        <v>48.079999999999984</v>
      </c>
      <c r="FC56" s="48">
        <f t="shared" ca="1" si="365"/>
        <v>48.079999999999984</v>
      </c>
      <c r="FD56" s="48">
        <f t="shared" ca="1" si="365"/>
        <v>48.079999999999984</v>
      </c>
      <c r="FE56" s="48">
        <f t="shared" ca="1" si="365"/>
        <v>0</v>
      </c>
      <c r="FF56" s="48">
        <f t="shared" ca="1" si="365"/>
        <v>0</v>
      </c>
      <c r="FG56" s="48">
        <f t="shared" ca="1" si="365"/>
        <v>0</v>
      </c>
      <c r="FH56" s="48">
        <f t="shared" ca="1" si="365"/>
        <v>0</v>
      </c>
      <c r="FI56" s="48">
        <f t="shared" ca="1" si="365"/>
        <v>0</v>
      </c>
      <c r="FJ56" s="48">
        <f t="shared" ca="1" si="365"/>
        <v>0</v>
      </c>
      <c r="FK56" s="48">
        <f t="shared" ca="1" si="365"/>
        <v>0</v>
      </c>
      <c r="FL56" s="48">
        <f t="shared" ca="1" si="365"/>
        <v>0</v>
      </c>
      <c r="FM56" s="48">
        <f t="shared" ca="1" si="365"/>
        <v>0</v>
      </c>
      <c r="FN56" s="48">
        <f t="shared" ca="1" si="365"/>
        <v>0</v>
      </c>
      <c r="FO56" s="48">
        <f t="shared" ca="1" si="365"/>
        <v>0</v>
      </c>
      <c r="FP56" s="48">
        <f t="shared" ca="1" si="366"/>
        <v>0</v>
      </c>
      <c r="FQ56" s="48">
        <f t="shared" ca="1" si="366"/>
        <v>0</v>
      </c>
      <c r="FR56" s="48">
        <f t="shared" ca="1" si="366"/>
        <v>0</v>
      </c>
      <c r="FS56" s="48">
        <f t="shared" ca="1" si="366"/>
        <v>0</v>
      </c>
      <c r="FT56" s="48">
        <f t="shared" ca="1" si="366"/>
        <v>0</v>
      </c>
      <c r="FU56" s="48">
        <f t="shared" ca="1" si="366"/>
        <v>0</v>
      </c>
      <c r="FV56" s="48">
        <f t="shared" ca="1" si="366"/>
        <v>0</v>
      </c>
      <c r="FW56" s="48">
        <f t="shared" ca="1" si="366"/>
        <v>0</v>
      </c>
      <c r="FX56" s="48">
        <f t="shared" ca="1" si="366"/>
        <v>0</v>
      </c>
      <c r="FY56" s="48">
        <f t="shared" ca="1" si="366"/>
        <v>0</v>
      </c>
      <c r="FZ56" s="48">
        <f t="shared" ca="1" si="366"/>
        <v>0</v>
      </c>
      <c r="GA56" s="48">
        <f t="shared" ca="1" si="366"/>
        <v>0</v>
      </c>
      <c r="GB56" s="48">
        <f t="shared" ca="1" si="366"/>
        <v>0</v>
      </c>
      <c r="GC56" s="48">
        <f t="shared" ca="1" si="366"/>
        <v>0</v>
      </c>
      <c r="GD56" s="48">
        <f t="shared" ca="1" si="366"/>
        <v>0</v>
      </c>
      <c r="GE56" s="48">
        <f t="shared" ca="1" si="366"/>
        <v>0</v>
      </c>
      <c r="GF56" s="48">
        <f t="shared" ca="1" si="367"/>
        <v>0</v>
      </c>
      <c r="GG56" s="48">
        <f t="shared" ca="1" si="367"/>
        <v>0</v>
      </c>
      <c r="GH56" s="48">
        <f t="shared" ca="1" si="367"/>
        <v>0</v>
      </c>
      <c r="GI56" s="48">
        <f t="shared" ca="1" si="367"/>
        <v>0</v>
      </c>
      <c r="GJ56" s="48">
        <f t="shared" ca="1" si="367"/>
        <v>0</v>
      </c>
      <c r="GK56" s="48">
        <f t="shared" ca="1" si="367"/>
        <v>0</v>
      </c>
      <c r="GL56" s="48">
        <f t="shared" ca="1" si="367"/>
        <v>0</v>
      </c>
      <c r="GM56" s="48">
        <f t="shared" ca="1" si="367"/>
        <v>0</v>
      </c>
      <c r="GN56" s="48">
        <f t="shared" ca="1" si="367"/>
        <v>0</v>
      </c>
      <c r="GO56" s="48">
        <f t="shared" ca="1" si="367"/>
        <v>0</v>
      </c>
      <c r="GP56" s="48">
        <f t="shared" ca="1" si="367"/>
        <v>0</v>
      </c>
      <c r="GQ56" s="48">
        <f t="shared" ca="1" si="367"/>
        <v>0</v>
      </c>
      <c r="GR56" s="48">
        <f t="shared" ca="1" si="367"/>
        <v>0</v>
      </c>
      <c r="GS56" s="48">
        <f t="shared" ca="1" si="367"/>
        <v>0</v>
      </c>
      <c r="GT56" s="48">
        <f t="shared" ca="1" si="367"/>
        <v>0</v>
      </c>
      <c r="GU56" s="48">
        <f t="shared" ca="1" si="367"/>
        <v>0</v>
      </c>
      <c r="GV56" s="48">
        <f t="shared" ca="1" si="368"/>
        <v>0</v>
      </c>
      <c r="GW56" s="48">
        <f t="shared" ca="1" si="368"/>
        <v>0</v>
      </c>
      <c r="GX56" s="48">
        <f t="shared" ca="1" si="368"/>
        <v>0</v>
      </c>
      <c r="GY56" s="48">
        <f t="shared" ca="1" si="368"/>
        <v>0</v>
      </c>
      <c r="GZ56" s="48">
        <f t="shared" ca="1" si="368"/>
        <v>0</v>
      </c>
      <c r="HA56" s="69"/>
      <c r="HB56" s="150" t="str">
        <f t="shared" ca="1" si="74"/>
        <v>n/a</v>
      </c>
      <c r="HC56" s="150" t="str">
        <f t="shared" ca="1" si="369"/>
        <v>n/a</v>
      </c>
      <c r="HD56" s="150" t="str">
        <f t="shared" ca="1" si="76"/>
        <v>n/a</v>
      </c>
      <c r="HE56" s="150" t="str">
        <f t="shared" ca="1" si="370"/>
        <v>n/a</v>
      </c>
      <c r="HF56" s="150">
        <f t="shared" ca="1" si="371"/>
        <v>0.32713926483403882</v>
      </c>
      <c r="HG56" s="148"/>
      <c r="HH56" s="149"/>
      <c r="HI56" s="149"/>
      <c r="HJ56" s="149"/>
      <c r="HK56" s="150"/>
      <c r="HL56" s="149"/>
      <c r="HM56" s="149"/>
      <c r="HN56" s="149"/>
      <c r="HO56" s="150"/>
      <c r="HP56" s="148"/>
      <c r="HQ56" s="149"/>
      <c r="HR56" s="149"/>
      <c r="HS56" s="149"/>
      <c r="HT56" s="150"/>
      <c r="HU56" s="149"/>
      <c r="HV56" s="149"/>
      <c r="HW56" s="149"/>
      <c r="HX56" s="150"/>
      <c r="HY56" s="151"/>
      <c r="HZ56" s="150"/>
      <c r="IA56" s="150"/>
      <c r="IB56" s="152"/>
      <c r="IC56" s="150"/>
      <c r="ID56" s="152"/>
      <c r="IE56" s="150"/>
      <c r="IF56" s="153"/>
    </row>
    <row r="57" spans="1:240" s="36" customFormat="1" ht="14.4" customHeight="1">
      <c r="A57" s="39"/>
      <c r="B57" s="50" t="str">
        <f t="shared" si="340"/>
        <v>Residential_Weatherization_Various_Measures_2017_Actual</v>
      </c>
      <c r="C57" s="50">
        <f>INDEX('Measure Inputs'!$D:$D,MATCH($B57,'Measure Inputs'!$B:$B,0))</f>
        <v>23</v>
      </c>
      <c r="D57" s="51" t="str">
        <f>'Measure Inputs'!G29</f>
        <v>Residential</v>
      </c>
      <c r="E57" s="51" t="str">
        <f>'Measure Inputs'!H29</f>
        <v>Weatherization</v>
      </c>
      <c r="F57" s="51" t="str">
        <f>'Measure Inputs'!I29</f>
        <v>Various</v>
      </c>
      <c r="G57" s="51" t="str">
        <f>'Measure Inputs'!J29</f>
        <v>Measures</v>
      </c>
      <c r="H57" s="51">
        <f>'Measure Inputs'!K29</f>
        <v>2017</v>
      </c>
      <c r="I57" s="51" t="str">
        <f>'Measure Inputs'!L29</f>
        <v>Actual</v>
      </c>
      <c r="J57" s="37"/>
      <c r="K57" s="99" t="str">
        <f ca="1">INDEX(OFFSET('Measure Inputs'!$O$7,,,InputRows),$C57)</f>
        <v>Units</v>
      </c>
      <c r="L57" s="38">
        <f ca="1">INDEX(OFFSET('Measure Inputs'!$Q$7,,,InputRows),$C57)</f>
        <v>6</v>
      </c>
      <c r="M57" s="167">
        <f>INDEX('General Inputs'!$E$14:$E$15,MATCH(D57,'General Inputs'!$D$14:$D$15,0))</f>
        <v>1.0469999999999999</v>
      </c>
      <c r="N57" s="54">
        <f ca="1">INDEX(OFFSET('Measure Inputs'!$Y$7,,,InputRows),$C57)</f>
        <v>1</v>
      </c>
      <c r="O57" s="54">
        <f ca="1">INDEX(OFFSET('Measure Inputs'!$Z$7,,,InputRows),$C57)</f>
        <v>1</v>
      </c>
      <c r="P57" s="37"/>
      <c r="Q57" s="127">
        <f ca="1">CONVERT(INDEX(OFFSET('Measure Inputs'!$AB$7,,,InputRows),$C57),'Measure Inputs'!$AB$6,Q$8)*$L57</f>
        <v>5190</v>
      </c>
      <c r="R57" s="127">
        <f t="shared" ca="1" si="341"/>
        <v>5190</v>
      </c>
      <c r="S57" s="127">
        <f t="shared" ca="1" si="342"/>
        <v>5190</v>
      </c>
      <c r="T57" s="37"/>
      <c r="U57" s="127">
        <f ca="1">CONVERT(INDEX(OFFSET('Measure Inputs'!$AD$7,,,InputRows),$C57),'Measure Inputs'!$AD$6,U$8)*$L57</f>
        <v>0</v>
      </c>
      <c r="V57" s="127">
        <f t="shared" ca="1" si="343"/>
        <v>0</v>
      </c>
      <c r="W57" s="127">
        <f t="shared" ca="1" si="344"/>
        <v>0</v>
      </c>
      <c r="X57" s="37"/>
      <c r="Y57" s="127">
        <f ca="1">CONVERT(INDEX(OFFSET('Measure Inputs'!$AC$7,,,InputRows),$C57),'Measure Inputs'!$AC$6,Y$8)*$L57</f>
        <v>0.92999999999999994</v>
      </c>
      <c r="Z57" s="127">
        <f t="shared" ca="1" si="345"/>
        <v>0.92999999999999994</v>
      </c>
      <c r="AA57" s="127">
        <f t="shared" ca="1" si="346"/>
        <v>0.92999999999999994</v>
      </c>
      <c r="AB57" s="37"/>
      <c r="AC57" s="127">
        <f ca="1">CONVERT(INDEX(OFFSET('Measure Inputs'!$AE$7,,,InputRows),$C57),'Measure Inputs'!$AE$6,AC$8)*$L57</f>
        <v>0</v>
      </c>
      <c r="AD57" s="127">
        <f t="shared" ca="1" si="347"/>
        <v>0</v>
      </c>
      <c r="AE57" s="127">
        <f t="shared" ca="1" si="348"/>
        <v>0</v>
      </c>
      <c r="AF57" s="37"/>
      <c r="AG57" s="97">
        <f ca="1">INDEX(OFFSET('Measure Inputs'!$R$7,,,InputRows),$C57)</f>
        <v>13.794674520911501</v>
      </c>
      <c r="AH57" s="97">
        <f ca="1">INDEX(OFFSET('Measure Inputs'!$S$7,,,InputRows),$C57)</f>
        <v>0</v>
      </c>
      <c r="AI57" s="97">
        <f t="shared" ca="1" si="349"/>
        <v>72660</v>
      </c>
      <c r="AJ57" s="100">
        <f ca="1">INDEX(OFFSET('Measure Inputs'!$T$7,,,InputRows),$C57)*$L57*$N57*$O57</f>
        <v>0</v>
      </c>
      <c r="AK57" s="100">
        <f ca="1">INDEX(OFFSET('Measure Inputs'!$U$7,,,InputRows),$C57)*$L57*$N57*$O57</f>
        <v>0</v>
      </c>
      <c r="AL57" s="100">
        <f ca="1">INDEX(OFFSET('Measure Inputs'!$V$7,,,InputRows),$C57)*$L57*$N57*$O57</f>
        <v>0</v>
      </c>
      <c r="AM57" s="100">
        <f ca="1">INDEX(OFFSET('Measure Inputs'!$W$7,,,InputRows),$C57)*$L57*$N57*$O57</f>
        <v>0</v>
      </c>
      <c r="AN57" s="100">
        <f ca="1">INDEX(OFFSET('Measure Inputs'!$X$7,,,InputRows),$C57)*$L57</f>
        <v>0</v>
      </c>
      <c r="AO57" s="100"/>
      <c r="AP57" s="100">
        <f t="shared" ca="1" si="350"/>
        <v>0</v>
      </c>
      <c r="AQ57" s="37"/>
      <c r="AR57" s="100">
        <f ca="1">SUMPRODUCT(--($CX$9:$EX$9=$H57)*$AJ57,'General Inputs'!$K$40:$BK$40)+SUMPRODUCT(--($CX$9:$EX$9=$H57+$AH57)*-$AK57,'General Inputs'!$K$43:$BK$43)</f>
        <v>0</v>
      </c>
      <c r="AS57" s="100">
        <f ca="1">CONVERT(SUMPRODUCT($CX57:$EX57,'General Inputs'!$K$29:$BK$29,'General Inputs'!$K$40:$BK$40)*$M57,$Q$8,'General Inputs'!$E$17)</f>
        <v>529.72406084855481</v>
      </c>
      <c r="AT57" s="100">
        <f ca="1">SUMPRODUCT(--($CX$9:$EX$9=$H57)*$AN57,'General Inputs'!$K$40:$BK$40)</f>
        <v>0</v>
      </c>
      <c r="AU57" s="100">
        <f>SUMPRODUCT(--($CX$9:$EX$9=$H57)*$AO57,'General Inputs'!$K$40:$BK$40)</f>
        <v>0</v>
      </c>
      <c r="AV57" s="100">
        <f ca="1">CONVERT(SUMPRODUCT($CX57:$EX57,'General Inputs'!$K$40:$BK$40,OFFSET('General Inputs'!$K$34:$BK$34,MATCH($D57,'General Inputs'!$J$34:$J$35,0)-1,)),$Q$8,'General Inputs'!$G$32)</f>
        <v>6638.1648205424099</v>
      </c>
      <c r="AW57" s="100">
        <f ca="1">CONVERT(SUMPRODUCT($CX57:$EX57,'General Inputs'!$K$27:$BK$27,'General Inputs'!$K$40:$BK$40)*$M57,$Q$8,'General Inputs'!$E$17)</f>
        <v>2092.314338129313</v>
      </c>
      <c r="AX57" s="100">
        <f ca="1">CONVERT(SUMPRODUCT($EZ57:$GZ57,'General Inputs'!$K$28:$BK$28,'General Inputs'!$K$40:$BK$40)*$M57,$Q$8,'General Inputs'!$E$17)</f>
        <v>141.01478176331233</v>
      </c>
      <c r="AY57" s="98">
        <f ca="1">SUMPRODUCT($CX57:$EX57,'General Inputs'!$K$40:$BK$40)</f>
        <v>44381.110679514975</v>
      </c>
      <c r="AZ57" s="37"/>
      <c r="BA57" s="100">
        <f t="shared" ca="1" si="351"/>
        <v>2233.3291198926254</v>
      </c>
      <c r="BB57" s="102" t="e">
        <f t="shared" ca="1" si="352"/>
        <v>#DIV/0!</v>
      </c>
      <c r="BC57" s="100">
        <f t="shared" ca="1" si="273"/>
        <v>0</v>
      </c>
      <c r="BD57" s="100">
        <f t="shared" ca="1" si="274"/>
        <v>2233.3291198926254</v>
      </c>
      <c r="BE57" s="100">
        <f t="shared" ca="1" si="275"/>
        <v>2092.314338129313</v>
      </c>
      <c r="BF57" s="100">
        <f t="shared" ca="1" si="276"/>
        <v>141.01478176331233</v>
      </c>
      <c r="BG57" s="100">
        <f t="shared" si="277"/>
        <v>0</v>
      </c>
      <c r="BH57" s="100">
        <f t="shared" ca="1" si="278"/>
        <v>0</v>
      </c>
      <c r="BI57" s="37"/>
      <c r="BJ57" s="100">
        <f t="shared" ca="1" si="353"/>
        <v>2763.0531807411803</v>
      </c>
      <c r="BK57" s="102" t="e">
        <f t="shared" ca="1" si="354"/>
        <v>#DIV/0!</v>
      </c>
      <c r="BL57" s="100">
        <f t="shared" ca="1" si="279"/>
        <v>0</v>
      </c>
      <c r="BM57" s="100">
        <f t="shared" ca="1" si="164"/>
        <v>2763.0531807411803</v>
      </c>
      <c r="BN57" s="100">
        <f t="shared" ca="1" si="280"/>
        <v>2092.314338129313</v>
      </c>
      <c r="BO57" s="100">
        <f t="shared" ca="1" si="281"/>
        <v>141.01478176331233</v>
      </c>
      <c r="BP57" s="100">
        <f t="shared" ca="1" si="282"/>
        <v>529.72406084855481</v>
      </c>
      <c r="BQ57" s="100">
        <f t="shared" si="283"/>
        <v>0</v>
      </c>
      <c r="BR57" s="100">
        <f t="shared" ca="1" si="284"/>
        <v>0</v>
      </c>
      <c r="BS57" s="37"/>
      <c r="BT57" s="100">
        <f t="shared" ca="1" si="355"/>
        <v>6638.1648205424099</v>
      </c>
      <c r="BU57" s="102" t="e">
        <f t="shared" ca="1" si="356"/>
        <v>#DIV/0!</v>
      </c>
      <c r="BV57" s="102">
        <f t="shared" ca="1" si="285"/>
        <v>0</v>
      </c>
      <c r="BW57" s="100">
        <f t="shared" ca="1" si="286"/>
        <v>0</v>
      </c>
      <c r="BX57" s="100">
        <f t="shared" ca="1" si="287"/>
        <v>6638.1648205424099</v>
      </c>
      <c r="BY57" s="100">
        <f t="shared" ca="1" si="288"/>
        <v>6638.1648205424099</v>
      </c>
      <c r="BZ57" s="100">
        <f t="shared" ca="1" si="289"/>
        <v>0</v>
      </c>
      <c r="CA57" s="100">
        <f t="shared" ca="1" si="290"/>
        <v>0</v>
      </c>
      <c r="CB57" s="37"/>
      <c r="CC57" s="100">
        <f t="shared" ca="1" si="357"/>
        <v>2233.3291198926254</v>
      </c>
      <c r="CD57" s="102" t="e">
        <f t="shared" ca="1" si="358"/>
        <v>#DIV/0!</v>
      </c>
      <c r="CE57" s="103">
        <f t="shared" ca="1" si="291"/>
        <v>0</v>
      </c>
      <c r="CF57" s="100">
        <f t="shared" ca="1" si="292"/>
        <v>0</v>
      </c>
      <c r="CG57" s="100">
        <f t="shared" ca="1" si="293"/>
        <v>2233.3291198926254</v>
      </c>
      <c r="CH57" s="100">
        <f t="shared" ca="1" si="294"/>
        <v>2092.314338129313</v>
      </c>
      <c r="CI57" s="100">
        <f t="shared" ca="1" si="71"/>
        <v>141.01478176331233</v>
      </c>
      <c r="CJ57" s="100">
        <f t="shared" ca="1" si="72"/>
        <v>0</v>
      </c>
      <c r="CK57" s="100">
        <f t="shared" si="295"/>
        <v>0</v>
      </c>
      <c r="CL57" s="37"/>
      <c r="CM57" s="100">
        <f t="shared" ca="1" si="359"/>
        <v>-4404.8357006497845</v>
      </c>
      <c r="CN57" s="102">
        <f t="shared" ca="1" si="360"/>
        <v>0.3364377324560221</v>
      </c>
      <c r="CO57" s="128"/>
      <c r="CP57" s="100">
        <f t="shared" ca="1" si="296"/>
        <v>6638.1648205424099</v>
      </c>
      <c r="CQ57" s="100">
        <f t="shared" ca="1" si="297"/>
        <v>2233.3291198926254</v>
      </c>
      <c r="CR57" s="100">
        <f t="shared" ca="1" si="298"/>
        <v>2092.314338129313</v>
      </c>
      <c r="CS57" s="100">
        <f t="shared" ca="1" si="73"/>
        <v>141.01478176331233</v>
      </c>
      <c r="CT57" s="100">
        <f t="shared" ca="1" si="299"/>
        <v>6638.1648205424099</v>
      </c>
      <c r="CU57" s="100">
        <f t="shared" ca="1" si="300"/>
        <v>0</v>
      </c>
      <c r="CV57" s="100">
        <f t="shared" si="301"/>
        <v>0</v>
      </c>
      <c r="CW57" s="37"/>
      <c r="CX57" s="48">
        <f t="shared" ca="1" si="361"/>
        <v>5190</v>
      </c>
      <c r="CY57" s="48">
        <f t="shared" ca="1" si="361"/>
        <v>5190</v>
      </c>
      <c r="CZ57" s="48">
        <f t="shared" ca="1" si="361"/>
        <v>5190</v>
      </c>
      <c r="DA57" s="48">
        <f t="shared" ca="1" si="361"/>
        <v>5190</v>
      </c>
      <c r="DB57" s="48">
        <f t="shared" ca="1" si="361"/>
        <v>5190</v>
      </c>
      <c r="DC57" s="48">
        <f t="shared" ca="1" si="361"/>
        <v>5190</v>
      </c>
      <c r="DD57" s="48">
        <f t="shared" ca="1" si="361"/>
        <v>5190</v>
      </c>
      <c r="DE57" s="48">
        <f t="shared" ca="1" si="361"/>
        <v>5190</v>
      </c>
      <c r="DF57" s="48">
        <f t="shared" ca="1" si="361"/>
        <v>5190</v>
      </c>
      <c r="DG57" s="48">
        <f t="shared" ca="1" si="361"/>
        <v>5190</v>
      </c>
      <c r="DH57" s="48">
        <f t="shared" ca="1" si="361"/>
        <v>5190</v>
      </c>
      <c r="DI57" s="48">
        <f t="shared" ca="1" si="361"/>
        <v>5190</v>
      </c>
      <c r="DJ57" s="48">
        <f t="shared" ca="1" si="361"/>
        <v>5190</v>
      </c>
      <c r="DK57" s="48">
        <f t="shared" ca="1" si="361"/>
        <v>5190</v>
      </c>
      <c r="DL57" s="48">
        <f t="shared" ca="1" si="361"/>
        <v>0</v>
      </c>
      <c r="DM57" s="48">
        <f t="shared" ref="DM57:EB73" ca="1" si="372">IF(AND($H57&lt;=DM$9,$H57+$AG57&gt;DM$9),IF(AND($H57+$AH57&lt;=DM$9,$AH57&gt;0),$W57,$S57),0)</f>
        <v>0</v>
      </c>
      <c r="DN57" s="48">
        <f t="shared" ca="1" si="362"/>
        <v>0</v>
      </c>
      <c r="DO57" s="48">
        <f t="shared" ca="1" si="362"/>
        <v>0</v>
      </c>
      <c r="DP57" s="48">
        <f t="shared" ca="1" si="362"/>
        <v>0</v>
      </c>
      <c r="DQ57" s="48">
        <f t="shared" ca="1" si="362"/>
        <v>0</v>
      </c>
      <c r="DR57" s="48">
        <f t="shared" ca="1" si="362"/>
        <v>0</v>
      </c>
      <c r="DS57" s="48">
        <f t="shared" ca="1" si="362"/>
        <v>0</v>
      </c>
      <c r="DT57" s="48">
        <f t="shared" ca="1" si="362"/>
        <v>0</v>
      </c>
      <c r="DU57" s="48">
        <f t="shared" ca="1" si="362"/>
        <v>0</v>
      </c>
      <c r="DV57" s="48">
        <f t="shared" ca="1" si="362"/>
        <v>0</v>
      </c>
      <c r="DW57" s="48">
        <f t="shared" ca="1" si="362"/>
        <v>0</v>
      </c>
      <c r="DX57" s="48">
        <f t="shared" ca="1" si="362"/>
        <v>0</v>
      </c>
      <c r="DY57" s="48">
        <f t="shared" ca="1" si="362"/>
        <v>0</v>
      </c>
      <c r="DZ57" s="48">
        <f t="shared" ca="1" si="362"/>
        <v>0</v>
      </c>
      <c r="EA57" s="48">
        <f t="shared" ca="1" si="362"/>
        <v>0</v>
      </c>
      <c r="EB57" s="48">
        <f t="shared" ca="1" si="362"/>
        <v>0</v>
      </c>
      <c r="EC57" s="48">
        <f t="shared" ref="EC57:ER73" ca="1" si="373">IF(AND($H57&lt;=EC$9,$H57+$AG57&gt;EC$9),IF(AND($H57+$AH57&lt;=EC$9,$AH57&gt;0),$W57,$S57),0)</f>
        <v>0</v>
      </c>
      <c r="ED57" s="48">
        <f t="shared" ca="1" si="363"/>
        <v>0</v>
      </c>
      <c r="EE57" s="48">
        <f t="shared" ca="1" si="363"/>
        <v>0</v>
      </c>
      <c r="EF57" s="48">
        <f t="shared" ca="1" si="363"/>
        <v>0</v>
      </c>
      <c r="EG57" s="48">
        <f t="shared" ca="1" si="363"/>
        <v>0</v>
      </c>
      <c r="EH57" s="48">
        <f t="shared" ca="1" si="363"/>
        <v>0</v>
      </c>
      <c r="EI57" s="48">
        <f t="shared" ca="1" si="363"/>
        <v>0</v>
      </c>
      <c r="EJ57" s="48">
        <f t="shared" ca="1" si="363"/>
        <v>0</v>
      </c>
      <c r="EK57" s="48">
        <f t="shared" ca="1" si="363"/>
        <v>0</v>
      </c>
      <c r="EL57" s="48">
        <f t="shared" ca="1" si="363"/>
        <v>0</v>
      </c>
      <c r="EM57" s="48">
        <f t="shared" ca="1" si="363"/>
        <v>0</v>
      </c>
      <c r="EN57" s="48">
        <f t="shared" ca="1" si="363"/>
        <v>0</v>
      </c>
      <c r="EO57" s="48">
        <f t="shared" ca="1" si="363"/>
        <v>0</v>
      </c>
      <c r="EP57" s="48">
        <f t="shared" ca="1" si="363"/>
        <v>0</v>
      </c>
      <c r="EQ57" s="48">
        <f t="shared" ca="1" si="363"/>
        <v>0</v>
      </c>
      <c r="ER57" s="48">
        <f t="shared" ca="1" si="363"/>
        <v>0</v>
      </c>
      <c r="ES57" s="48">
        <f t="shared" ref="ES57:EX97" ca="1" si="374">IF(AND($H57&lt;=ES$9,$H57+$AG57&gt;ES$9),IF(AND($H57+$AH57&lt;=ES$9,$AH57&gt;0),$W57,$S57),0)</f>
        <v>0</v>
      </c>
      <c r="ET57" s="48">
        <f t="shared" ca="1" si="364"/>
        <v>0</v>
      </c>
      <c r="EU57" s="48">
        <f t="shared" ca="1" si="364"/>
        <v>0</v>
      </c>
      <c r="EV57" s="48">
        <f t="shared" ca="1" si="364"/>
        <v>0</v>
      </c>
      <c r="EW57" s="48">
        <f t="shared" ca="1" si="364"/>
        <v>0</v>
      </c>
      <c r="EX57" s="48">
        <f t="shared" ca="1" si="364"/>
        <v>0</v>
      </c>
      <c r="EY57" s="69"/>
      <c r="EZ57" s="48">
        <f t="shared" ca="1" si="365"/>
        <v>0.92999999999999994</v>
      </c>
      <c r="FA57" s="48">
        <f t="shared" ca="1" si="365"/>
        <v>0.92999999999999994</v>
      </c>
      <c r="FB57" s="48">
        <f t="shared" ca="1" si="365"/>
        <v>0.92999999999999994</v>
      </c>
      <c r="FC57" s="48">
        <f t="shared" ca="1" si="365"/>
        <v>0.92999999999999994</v>
      </c>
      <c r="FD57" s="48">
        <f t="shared" ca="1" si="365"/>
        <v>0.92999999999999994</v>
      </c>
      <c r="FE57" s="48">
        <f t="shared" ca="1" si="365"/>
        <v>0.92999999999999994</v>
      </c>
      <c r="FF57" s="48">
        <f t="shared" ca="1" si="365"/>
        <v>0.92999999999999994</v>
      </c>
      <c r="FG57" s="48">
        <f t="shared" ca="1" si="365"/>
        <v>0.92999999999999994</v>
      </c>
      <c r="FH57" s="48">
        <f t="shared" ca="1" si="365"/>
        <v>0.92999999999999994</v>
      </c>
      <c r="FI57" s="48">
        <f t="shared" ca="1" si="365"/>
        <v>0.92999999999999994</v>
      </c>
      <c r="FJ57" s="48">
        <f t="shared" ca="1" si="365"/>
        <v>0.92999999999999994</v>
      </c>
      <c r="FK57" s="48">
        <f t="shared" ca="1" si="365"/>
        <v>0.92999999999999994</v>
      </c>
      <c r="FL57" s="48">
        <f t="shared" ca="1" si="365"/>
        <v>0.92999999999999994</v>
      </c>
      <c r="FM57" s="48">
        <f t="shared" ca="1" si="365"/>
        <v>0.92999999999999994</v>
      </c>
      <c r="FN57" s="48">
        <f t="shared" ca="1" si="365"/>
        <v>0</v>
      </c>
      <c r="FO57" s="48">
        <f t="shared" ref="FO57:GD73" ca="1" si="375">IF(AND($H57&lt;=FO$9,$H57+$AG57&gt;FO$9),IF(AND($H57+$AH57&lt;=FO$9,$AH57&gt;0),$AE57,$AA57),0)</f>
        <v>0</v>
      </c>
      <c r="FP57" s="48">
        <f t="shared" ca="1" si="366"/>
        <v>0</v>
      </c>
      <c r="FQ57" s="48">
        <f t="shared" ca="1" si="366"/>
        <v>0</v>
      </c>
      <c r="FR57" s="48">
        <f t="shared" ca="1" si="366"/>
        <v>0</v>
      </c>
      <c r="FS57" s="48">
        <f t="shared" ca="1" si="366"/>
        <v>0</v>
      </c>
      <c r="FT57" s="48">
        <f t="shared" ca="1" si="366"/>
        <v>0</v>
      </c>
      <c r="FU57" s="48">
        <f t="shared" ca="1" si="366"/>
        <v>0</v>
      </c>
      <c r="FV57" s="48">
        <f t="shared" ca="1" si="366"/>
        <v>0</v>
      </c>
      <c r="FW57" s="48">
        <f t="shared" ca="1" si="366"/>
        <v>0</v>
      </c>
      <c r="FX57" s="48">
        <f t="shared" ca="1" si="366"/>
        <v>0</v>
      </c>
      <c r="FY57" s="48">
        <f t="shared" ca="1" si="366"/>
        <v>0</v>
      </c>
      <c r="FZ57" s="48">
        <f t="shared" ca="1" si="366"/>
        <v>0</v>
      </c>
      <c r="GA57" s="48">
        <f t="shared" ca="1" si="366"/>
        <v>0</v>
      </c>
      <c r="GB57" s="48">
        <f t="shared" ca="1" si="366"/>
        <v>0</v>
      </c>
      <c r="GC57" s="48">
        <f t="shared" ca="1" si="366"/>
        <v>0</v>
      </c>
      <c r="GD57" s="48">
        <f t="shared" ca="1" si="366"/>
        <v>0</v>
      </c>
      <c r="GE57" s="48">
        <f t="shared" ref="GE57:GT73" ca="1" si="376">IF(AND($H57&lt;=GE$9,$H57+$AG57&gt;GE$9),IF(AND($H57+$AH57&lt;=GE$9,$AH57&gt;0),$AE57,$AA57),0)</f>
        <v>0</v>
      </c>
      <c r="GF57" s="48">
        <f t="shared" ca="1" si="367"/>
        <v>0</v>
      </c>
      <c r="GG57" s="48">
        <f t="shared" ca="1" si="367"/>
        <v>0</v>
      </c>
      <c r="GH57" s="48">
        <f t="shared" ca="1" si="367"/>
        <v>0</v>
      </c>
      <c r="GI57" s="48">
        <f t="shared" ca="1" si="367"/>
        <v>0</v>
      </c>
      <c r="GJ57" s="48">
        <f t="shared" ca="1" si="367"/>
        <v>0</v>
      </c>
      <c r="GK57" s="48">
        <f t="shared" ca="1" si="367"/>
        <v>0</v>
      </c>
      <c r="GL57" s="48">
        <f t="shared" ca="1" si="367"/>
        <v>0</v>
      </c>
      <c r="GM57" s="48">
        <f t="shared" ca="1" si="367"/>
        <v>0</v>
      </c>
      <c r="GN57" s="48">
        <f t="shared" ca="1" si="367"/>
        <v>0</v>
      </c>
      <c r="GO57" s="48">
        <f t="shared" ca="1" si="367"/>
        <v>0</v>
      </c>
      <c r="GP57" s="48">
        <f t="shared" ca="1" si="367"/>
        <v>0</v>
      </c>
      <c r="GQ57" s="48">
        <f t="shared" ca="1" si="367"/>
        <v>0</v>
      </c>
      <c r="GR57" s="48">
        <f t="shared" ca="1" si="367"/>
        <v>0</v>
      </c>
      <c r="GS57" s="48">
        <f t="shared" ca="1" si="367"/>
        <v>0</v>
      </c>
      <c r="GT57" s="48">
        <f t="shared" ca="1" si="367"/>
        <v>0</v>
      </c>
      <c r="GU57" s="48">
        <f t="shared" ref="GU57:GZ97" ca="1" si="377">IF(AND($H57&lt;=GU$9,$H57+$AG57&gt;GU$9),IF(AND($H57+$AH57&lt;=GU$9,$AH57&gt;0),$AE57,$AA57),0)</f>
        <v>0</v>
      </c>
      <c r="GV57" s="48">
        <f t="shared" ca="1" si="368"/>
        <v>0</v>
      </c>
      <c r="GW57" s="48">
        <f t="shared" ca="1" si="368"/>
        <v>0</v>
      </c>
      <c r="GX57" s="48">
        <f t="shared" ca="1" si="368"/>
        <v>0</v>
      </c>
      <c r="GY57" s="48">
        <f t="shared" ca="1" si="368"/>
        <v>0</v>
      </c>
      <c r="GZ57" s="48">
        <f t="shared" ca="1" si="368"/>
        <v>0</v>
      </c>
      <c r="HA57" s="69"/>
      <c r="HB57" s="150" t="str">
        <f t="shared" ca="1" si="74"/>
        <v>n/a</v>
      </c>
      <c r="HC57" s="150" t="str">
        <f t="shared" ca="1" si="369"/>
        <v>n/a</v>
      </c>
      <c r="HD57" s="150" t="str">
        <f t="shared" ca="1" si="76"/>
        <v>n/a</v>
      </c>
      <c r="HE57" s="150" t="str">
        <f t="shared" ca="1" si="370"/>
        <v>n/a</v>
      </c>
      <c r="HF57" s="150">
        <f t="shared" ca="1" si="371"/>
        <v>0.3364377324560221</v>
      </c>
      <c r="HG57" s="148"/>
      <c r="HH57" s="149"/>
      <c r="HI57" s="149"/>
      <c r="HJ57" s="149"/>
      <c r="HK57" s="150"/>
      <c r="HL57" s="149"/>
      <c r="HM57" s="149"/>
      <c r="HN57" s="149"/>
      <c r="HO57" s="150"/>
      <c r="HP57" s="148"/>
      <c r="HQ57" s="149"/>
      <c r="HR57" s="149"/>
      <c r="HS57" s="149"/>
      <c r="HT57" s="150"/>
      <c r="HU57" s="149"/>
      <c r="HV57" s="149"/>
      <c r="HW57" s="149"/>
      <c r="HX57" s="150"/>
      <c r="HY57" s="151"/>
      <c r="HZ57" s="150"/>
      <c r="IA57" s="150"/>
      <c r="IB57" s="152"/>
      <c r="IC57" s="150"/>
      <c r="ID57" s="152"/>
      <c r="IE57" s="150"/>
      <c r="IF57" s="153"/>
    </row>
    <row r="58" spans="1:240" s="36" customFormat="1" ht="14.4" customHeight="1">
      <c r="A58" s="39"/>
      <c r="B58" s="50" t="str">
        <f t="shared" si="340"/>
        <v>Residential_Weatherization_Various_Residential Kit_2017_Actual</v>
      </c>
      <c r="C58" s="50">
        <f>INDEX('Measure Inputs'!$D:$D,MATCH($B58,'Measure Inputs'!$B:$B,0))</f>
        <v>24</v>
      </c>
      <c r="D58" s="51" t="str">
        <f>'Measure Inputs'!G30</f>
        <v>Residential</v>
      </c>
      <c r="E58" s="51" t="str">
        <f>'Measure Inputs'!H30</f>
        <v>Weatherization</v>
      </c>
      <c r="F58" s="51" t="str">
        <f>'Measure Inputs'!I30</f>
        <v>Various</v>
      </c>
      <c r="G58" s="51" t="str">
        <f>'Measure Inputs'!J30</f>
        <v>Residential Kit</v>
      </c>
      <c r="H58" s="51">
        <f>'Measure Inputs'!K30</f>
        <v>2017</v>
      </c>
      <c r="I58" s="51" t="str">
        <f>'Measure Inputs'!L30</f>
        <v>Actual</v>
      </c>
      <c r="J58" s="37"/>
      <c r="K58" s="99" t="str">
        <f ca="1">INDEX(OFFSET('Measure Inputs'!$O$7,,,InputRows),$C58)</f>
        <v>Units</v>
      </c>
      <c r="L58" s="38">
        <f ca="1">INDEX(OFFSET('Measure Inputs'!$Q$7,,,InputRows),$C58)</f>
        <v>6</v>
      </c>
      <c r="M58" s="167">
        <f>INDEX('General Inputs'!$E$14:$E$15,MATCH(D58,'General Inputs'!$D$14:$D$15,0))</f>
        <v>1.0469999999999999</v>
      </c>
      <c r="N58" s="54">
        <f ca="1">INDEX(OFFSET('Measure Inputs'!$Y$7,,,InputRows),$C58)</f>
        <v>1</v>
      </c>
      <c r="O58" s="54">
        <f ca="1">INDEX(OFFSET('Measure Inputs'!$Z$7,,,InputRows),$C58)</f>
        <v>1</v>
      </c>
      <c r="P58" s="37"/>
      <c r="Q58" s="127">
        <f ca="1">CONVERT(INDEX(OFFSET('Measure Inputs'!$AB$7,,,InputRows),$C58),'Measure Inputs'!$AB$6,Q$8)*$L58</f>
        <v>2502</v>
      </c>
      <c r="R58" s="127">
        <f t="shared" ca="1" si="341"/>
        <v>2502</v>
      </c>
      <c r="S58" s="127">
        <f t="shared" ca="1" si="342"/>
        <v>2502</v>
      </c>
      <c r="T58" s="37"/>
      <c r="U58" s="127">
        <f ca="1">CONVERT(INDEX(OFFSET('Measure Inputs'!$AD$7,,,InputRows),$C58),'Measure Inputs'!$AD$6,U$8)*$L58</f>
        <v>0</v>
      </c>
      <c r="V58" s="127">
        <f t="shared" ca="1" si="343"/>
        <v>0</v>
      </c>
      <c r="W58" s="127">
        <f t="shared" ca="1" si="344"/>
        <v>0</v>
      </c>
      <c r="X58" s="37"/>
      <c r="Y58" s="127">
        <f ca="1">CONVERT(INDEX(OFFSET('Measure Inputs'!$AC$7,,,InputRows),$C58),'Measure Inputs'!$AC$6,Y$8)*$L58</f>
        <v>0.26399999999999996</v>
      </c>
      <c r="Z58" s="127">
        <f t="shared" ca="1" si="345"/>
        <v>0.26399999999999996</v>
      </c>
      <c r="AA58" s="127">
        <f t="shared" ca="1" si="346"/>
        <v>0.26399999999999996</v>
      </c>
      <c r="AB58" s="37"/>
      <c r="AC58" s="127">
        <f ca="1">CONVERT(INDEX(OFFSET('Measure Inputs'!$AE$7,,,InputRows),$C58),'Measure Inputs'!$AE$6,AC$8)*$L58</f>
        <v>0</v>
      </c>
      <c r="AD58" s="127">
        <f t="shared" ca="1" si="347"/>
        <v>0</v>
      </c>
      <c r="AE58" s="127">
        <f t="shared" ca="1" si="348"/>
        <v>0</v>
      </c>
      <c r="AF58" s="37"/>
      <c r="AG58" s="97">
        <f ca="1">INDEX(OFFSET('Measure Inputs'!$R$7,,,InputRows),$C58)</f>
        <v>9.7281255987255424</v>
      </c>
      <c r="AH58" s="97">
        <f ca="1">INDEX(OFFSET('Measure Inputs'!$S$7,,,InputRows),$C58)</f>
        <v>0</v>
      </c>
      <c r="AI58" s="97">
        <f t="shared" ca="1" si="349"/>
        <v>25020</v>
      </c>
      <c r="AJ58" s="100">
        <f ca="1">INDEX(OFFSET('Measure Inputs'!$T$7,,,InputRows),$C58)*$L58*$N58*$O58</f>
        <v>0</v>
      </c>
      <c r="AK58" s="100">
        <f ca="1">INDEX(OFFSET('Measure Inputs'!$U$7,,,InputRows),$C58)*$L58*$N58*$O58</f>
        <v>0</v>
      </c>
      <c r="AL58" s="100">
        <f ca="1">INDEX(OFFSET('Measure Inputs'!$V$7,,,InputRows),$C58)*$L58*$N58*$O58</f>
        <v>0</v>
      </c>
      <c r="AM58" s="100">
        <f ca="1">INDEX(OFFSET('Measure Inputs'!$W$7,,,InputRows),$C58)*$L58*$N58*$O58</f>
        <v>0</v>
      </c>
      <c r="AN58" s="100">
        <f ca="1">INDEX(OFFSET('Measure Inputs'!$X$7,,,InputRows),$C58)*$L58</f>
        <v>0</v>
      </c>
      <c r="AO58" s="100"/>
      <c r="AP58" s="100">
        <f t="shared" ca="1" si="350"/>
        <v>0</v>
      </c>
      <c r="AQ58" s="37"/>
      <c r="AR58" s="100">
        <f ca="1">SUMPRODUCT(--($CX$9:$EX$9=$H58)*$AJ58,'General Inputs'!$K$40:$BK$40)+SUMPRODUCT(--($CX$9:$EX$9=$H58+$AH58)*-$AK58,'General Inputs'!$K$43:$BK$43)</f>
        <v>0</v>
      </c>
      <c r="AS58" s="100">
        <f ca="1">CONVERT(SUMPRODUCT($CX58:$EX58,'General Inputs'!$K$29:$BK$29,'General Inputs'!$K$40:$BK$40)*$M58,$Q$8,'General Inputs'!$E$17)</f>
        <v>210.0721375175923</v>
      </c>
      <c r="AT58" s="100">
        <f ca="1">SUMPRODUCT(--($CX$9:$EX$9=$H58)*$AN58,'General Inputs'!$K$40:$BK$40)</f>
        <v>0</v>
      </c>
      <c r="AU58" s="100">
        <f>SUMPRODUCT(--($CX$9:$EX$9=$H58)*$AO58,'General Inputs'!$K$40:$BK$40)</f>
        <v>0</v>
      </c>
      <c r="AV58" s="100">
        <f ca="1">CONVERT(SUMPRODUCT($CX58:$EX58,'General Inputs'!$K$40:$BK$40,OFFSET('General Inputs'!$K$34:$BK$34,MATCH($D58,'General Inputs'!$J$34:$J$35,0)-1,)),$Q$8,'General Inputs'!$G$32)</f>
        <v>2578.1993799077673</v>
      </c>
      <c r="AW58" s="100">
        <f ca="1">CONVERT(SUMPRODUCT($CX58:$EX58,'General Inputs'!$K$27:$BK$27,'General Inputs'!$K$40:$BK$40)*$M58,$Q$8,'General Inputs'!$E$17)</f>
        <v>812.63476803764343</v>
      </c>
      <c r="AX58" s="100">
        <f ca="1">CONVERT(SUMPRODUCT($EZ58:$GZ58,'General Inputs'!$K$28:$BK$28,'General Inputs'!$K$40:$BK$40)*$M58,$Q$8,'General Inputs'!$E$17)</f>
        <v>32.250328198581514</v>
      </c>
      <c r="AY58" s="98">
        <f ca="1">SUMPRODUCT($CX58:$EX58,'General Inputs'!$K$40:$BK$40)</f>
        <v>17600.172382043289</v>
      </c>
      <c r="AZ58" s="37"/>
      <c r="BA58" s="100">
        <f t="shared" ca="1" si="351"/>
        <v>844.88509623622497</v>
      </c>
      <c r="BB58" s="102" t="e">
        <f t="shared" ca="1" si="352"/>
        <v>#DIV/0!</v>
      </c>
      <c r="BC58" s="100">
        <f t="shared" ca="1" si="273"/>
        <v>0</v>
      </c>
      <c r="BD58" s="100">
        <f t="shared" ca="1" si="274"/>
        <v>844.88509623622497</v>
      </c>
      <c r="BE58" s="100">
        <f t="shared" ca="1" si="275"/>
        <v>812.63476803764343</v>
      </c>
      <c r="BF58" s="100">
        <f t="shared" ca="1" si="276"/>
        <v>32.250328198581514</v>
      </c>
      <c r="BG58" s="100">
        <f t="shared" si="277"/>
        <v>0</v>
      </c>
      <c r="BH58" s="100">
        <f t="shared" ca="1" si="278"/>
        <v>0</v>
      </c>
      <c r="BI58" s="37"/>
      <c r="BJ58" s="100">
        <f t="shared" ca="1" si="353"/>
        <v>1054.9572337538173</v>
      </c>
      <c r="BK58" s="102" t="e">
        <f t="shared" ca="1" si="354"/>
        <v>#DIV/0!</v>
      </c>
      <c r="BL58" s="100">
        <f t="shared" ca="1" si="279"/>
        <v>0</v>
      </c>
      <c r="BM58" s="100">
        <f t="shared" ca="1" si="164"/>
        <v>1054.9572337538173</v>
      </c>
      <c r="BN58" s="100">
        <f t="shared" ca="1" si="280"/>
        <v>812.63476803764343</v>
      </c>
      <c r="BO58" s="100">
        <f t="shared" ca="1" si="281"/>
        <v>32.250328198581514</v>
      </c>
      <c r="BP58" s="100">
        <f t="shared" ca="1" si="282"/>
        <v>210.0721375175923</v>
      </c>
      <c r="BQ58" s="100">
        <f t="shared" si="283"/>
        <v>0</v>
      </c>
      <c r="BR58" s="100">
        <f t="shared" ca="1" si="284"/>
        <v>0</v>
      </c>
      <c r="BS58" s="37"/>
      <c r="BT58" s="100">
        <f t="shared" ca="1" si="355"/>
        <v>2578.1993799077673</v>
      </c>
      <c r="BU58" s="102" t="e">
        <f t="shared" ca="1" si="356"/>
        <v>#DIV/0!</v>
      </c>
      <c r="BV58" s="102">
        <f t="shared" ca="1" si="285"/>
        <v>0</v>
      </c>
      <c r="BW58" s="100">
        <f t="shared" ca="1" si="286"/>
        <v>0</v>
      </c>
      <c r="BX58" s="100">
        <f t="shared" ca="1" si="287"/>
        <v>2578.1993799077673</v>
      </c>
      <c r="BY58" s="100">
        <f t="shared" ca="1" si="288"/>
        <v>2578.1993799077673</v>
      </c>
      <c r="BZ58" s="100">
        <f t="shared" ca="1" si="289"/>
        <v>0</v>
      </c>
      <c r="CA58" s="100">
        <f t="shared" ca="1" si="290"/>
        <v>0</v>
      </c>
      <c r="CB58" s="37"/>
      <c r="CC58" s="100">
        <f t="shared" ca="1" si="357"/>
        <v>844.88509623622497</v>
      </c>
      <c r="CD58" s="102" t="e">
        <f t="shared" ca="1" si="358"/>
        <v>#DIV/0!</v>
      </c>
      <c r="CE58" s="103">
        <f t="shared" ca="1" si="291"/>
        <v>0</v>
      </c>
      <c r="CF58" s="100">
        <f t="shared" ca="1" si="292"/>
        <v>0</v>
      </c>
      <c r="CG58" s="100">
        <f t="shared" ca="1" si="293"/>
        <v>844.88509623622497</v>
      </c>
      <c r="CH58" s="100">
        <f t="shared" ca="1" si="294"/>
        <v>812.63476803764343</v>
      </c>
      <c r="CI58" s="100">
        <f t="shared" ca="1" si="71"/>
        <v>32.250328198581514</v>
      </c>
      <c r="CJ58" s="100">
        <f t="shared" ca="1" si="72"/>
        <v>0</v>
      </c>
      <c r="CK58" s="100">
        <f t="shared" si="295"/>
        <v>0</v>
      </c>
      <c r="CL58" s="37"/>
      <c r="CM58" s="100">
        <f t="shared" ca="1" si="359"/>
        <v>-1733.3142836715424</v>
      </c>
      <c r="CN58" s="102">
        <f t="shared" ca="1" si="360"/>
        <v>0.32770355265016393</v>
      </c>
      <c r="CO58" s="128"/>
      <c r="CP58" s="100">
        <f t="shared" ca="1" si="296"/>
        <v>2578.1993799077673</v>
      </c>
      <c r="CQ58" s="100">
        <f t="shared" ca="1" si="297"/>
        <v>844.88509623622497</v>
      </c>
      <c r="CR58" s="100">
        <f t="shared" ca="1" si="298"/>
        <v>812.63476803764343</v>
      </c>
      <c r="CS58" s="100">
        <f t="shared" ca="1" si="73"/>
        <v>32.250328198581514</v>
      </c>
      <c r="CT58" s="100">
        <f t="shared" ca="1" si="299"/>
        <v>2578.1993799077673</v>
      </c>
      <c r="CU58" s="100">
        <f t="shared" ca="1" si="300"/>
        <v>0</v>
      </c>
      <c r="CV58" s="100">
        <f t="shared" si="301"/>
        <v>0</v>
      </c>
      <c r="CW58" s="37"/>
      <c r="CX58" s="48">
        <f t="shared" ref="CX58:DL74" ca="1" si="378">IF(AND($H58&lt;=CX$9,$H58+$AG58&gt;CX$9),IF(AND($H58+$AH58&lt;=CX$9,$AH58&gt;0),$W58,$S58),0)</f>
        <v>2502</v>
      </c>
      <c r="CY58" s="48">
        <f t="shared" ca="1" si="378"/>
        <v>2502</v>
      </c>
      <c r="CZ58" s="48">
        <f t="shared" ca="1" si="378"/>
        <v>2502</v>
      </c>
      <c r="DA58" s="48">
        <f t="shared" ca="1" si="378"/>
        <v>2502</v>
      </c>
      <c r="DB58" s="48">
        <f t="shared" ca="1" si="378"/>
        <v>2502</v>
      </c>
      <c r="DC58" s="48">
        <f t="shared" ca="1" si="378"/>
        <v>2502</v>
      </c>
      <c r="DD58" s="48">
        <f t="shared" ca="1" si="378"/>
        <v>2502</v>
      </c>
      <c r="DE58" s="48">
        <f t="shared" ca="1" si="378"/>
        <v>2502</v>
      </c>
      <c r="DF58" s="48">
        <f t="shared" ca="1" si="378"/>
        <v>2502</v>
      </c>
      <c r="DG58" s="48">
        <f t="shared" ca="1" si="378"/>
        <v>2502</v>
      </c>
      <c r="DH58" s="48">
        <f t="shared" ca="1" si="378"/>
        <v>0</v>
      </c>
      <c r="DI58" s="48">
        <f t="shared" ca="1" si="378"/>
        <v>0</v>
      </c>
      <c r="DJ58" s="48">
        <f t="shared" ca="1" si="378"/>
        <v>0</v>
      </c>
      <c r="DK58" s="48">
        <f t="shared" ca="1" si="378"/>
        <v>0</v>
      </c>
      <c r="DL58" s="48">
        <f t="shared" ca="1" si="378"/>
        <v>0</v>
      </c>
      <c r="DM58" s="48">
        <f t="shared" ca="1" si="372"/>
        <v>0</v>
      </c>
      <c r="DN58" s="48">
        <f t="shared" ca="1" si="372"/>
        <v>0</v>
      </c>
      <c r="DO58" s="48">
        <f t="shared" ca="1" si="372"/>
        <v>0</v>
      </c>
      <c r="DP58" s="48">
        <f t="shared" ca="1" si="372"/>
        <v>0</v>
      </c>
      <c r="DQ58" s="48">
        <f t="shared" ca="1" si="372"/>
        <v>0</v>
      </c>
      <c r="DR58" s="48">
        <f t="shared" ca="1" si="372"/>
        <v>0</v>
      </c>
      <c r="DS58" s="48">
        <f t="shared" ca="1" si="372"/>
        <v>0</v>
      </c>
      <c r="DT58" s="48">
        <f t="shared" ca="1" si="372"/>
        <v>0</v>
      </c>
      <c r="DU58" s="48">
        <f t="shared" ca="1" si="372"/>
        <v>0</v>
      </c>
      <c r="DV58" s="48">
        <f t="shared" ca="1" si="372"/>
        <v>0</v>
      </c>
      <c r="DW58" s="48">
        <f t="shared" ca="1" si="372"/>
        <v>0</v>
      </c>
      <c r="DX58" s="48">
        <f t="shared" ca="1" si="372"/>
        <v>0</v>
      </c>
      <c r="DY58" s="48">
        <f t="shared" ca="1" si="372"/>
        <v>0</v>
      </c>
      <c r="DZ58" s="48">
        <f t="shared" ca="1" si="372"/>
        <v>0</v>
      </c>
      <c r="EA58" s="48">
        <f t="shared" ca="1" si="372"/>
        <v>0</v>
      </c>
      <c r="EB58" s="48">
        <f t="shared" ca="1" si="372"/>
        <v>0</v>
      </c>
      <c r="EC58" s="48">
        <f t="shared" ca="1" si="373"/>
        <v>0</v>
      </c>
      <c r="ED58" s="48">
        <f t="shared" ca="1" si="373"/>
        <v>0</v>
      </c>
      <c r="EE58" s="48">
        <f t="shared" ca="1" si="373"/>
        <v>0</v>
      </c>
      <c r="EF58" s="48">
        <f t="shared" ca="1" si="373"/>
        <v>0</v>
      </c>
      <c r="EG58" s="48">
        <f t="shared" ca="1" si="373"/>
        <v>0</v>
      </c>
      <c r="EH58" s="48">
        <f t="shared" ca="1" si="373"/>
        <v>0</v>
      </c>
      <c r="EI58" s="48">
        <f t="shared" ca="1" si="373"/>
        <v>0</v>
      </c>
      <c r="EJ58" s="48">
        <f t="shared" ca="1" si="373"/>
        <v>0</v>
      </c>
      <c r="EK58" s="48">
        <f t="shared" ca="1" si="373"/>
        <v>0</v>
      </c>
      <c r="EL58" s="48">
        <f t="shared" ca="1" si="373"/>
        <v>0</v>
      </c>
      <c r="EM58" s="48">
        <f t="shared" ca="1" si="373"/>
        <v>0</v>
      </c>
      <c r="EN58" s="48">
        <f t="shared" ca="1" si="373"/>
        <v>0</v>
      </c>
      <c r="EO58" s="48">
        <f t="shared" ca="1" si="373"/>
        <v>0</v>
      </c>
      <c r="EP58" s="48">
        <f t="shared" ca="1" si="373"/>
        <v>0</v>
      </c>
      <c r="EQ58" s="48">
        <f t="shared" ca="1" si="373"/>
        <v>0</v>
      </c>
      <c r="ER58" s="48">
        <f t="shared" ca="1" si="373"/>
        <v>0</v>
      </c>
      <c r="ES58" s="48">
        <f t="shared" ca="1" si="374"/>
        <v>0</v>
      </c>
      <c r="ET58" s="48">
        <f t="shared" ca="1" si="364"/>
        <v>0</v>
      </c>
      <c r="EU58" s="48">
        <f t="shared" ca="1" si="364"/>
        <v>0</v>
      </c>
      <c r="EV58" s="48">
        <f t="shared" ca="1" si="364"/>
        <v>0</v>
      </c>
      <c r="EW58" s="48">
        <f t="shared" ca="1" si="364"/>
        <v>0</v>
      </c>
      <c r="EX58" s="48">
        <f t="shared" ca="1" si="364"/>
        <v>0</v>
      </c>
      <c r="EY58" s="69"/>
      <c r="EZ58" s="48">
        <f t="shared" ref="EZ58:FN74" ca="1" si="379">IF(AND($H58&lt;=EZ$9,$H58+$AG58&gt;EZ$9),IF(AND($H58+$AH58&lt;=EZ$9,$AH58&gt;0),$AE58,$AA58),0)</f>
        <v>0.26399999999999996</v>
      </c>
      <c r="FA58" s="48">
        <f t="shared" ca="1" si="379"/>
        <v>0.26399999999999996</v>
      </c>
      <c r="FB58" s="48">
        <f t="shared" ca="1" si="379"/>
        <v>0.26399999999999996</v>
      </c>
      <c r="FC58" s="48">
        <f t="shared" ca="1" si="379"/>
        <v>0.26399999999999996</v>
      </c>
      <c r="FD58" s="48">
        <f t="shared" ca="1" si="379"/>
        <v>0.26399999999999996</v>
      </c>
      <c r="FE58" s="48">
        <f t="shared" ca="1" si="379"/>
        <v>0.26399999999999996</v>
      </c>
      <c r="FF58" s="48">
        <f t="shared" ca="1" si="379"/>
        <v>0.26399999999999996</v>
      </c>
      <c r="FG58" s="48">
        <f t="shared" ca="1" si="379"/>
        <v>0.26399999999999996</v>
      </c>
      <c r="FH58" s="48">
        <f t="shared" ca="1" si="379"/>
        <v>0.26399999999999996</v>
      </c>
      <c r="FI58" s="48">
        <f t="shared" ca="1" si="379"/>
        <v>0.26399999999999996</v>
      </c>
      <c r="FJ58" s="48">
        <f t="shared" ca="1" si="379"/>
        <v>0</v>
      </c>
      <c r="FK58" s="48">
        <f t="shared" ca="1" si="379"/>
        <v>0</v>
      </c>
      <c r="FL58" s="48">
        <f t="shared" ca="1" si="379"/>
        <v>0</v>
      </c>
      <c r="FM58" s="48">
        <f t="shared" ca="1" si="379"/>
        <v>0</v>
      </c>
      <c r="FN58" s="48">
        <f t="shared" ca="1" si="379"/>
        <v>0</v>
      </c>
      <c r="FO58" s="48">
        <f t="shared" ca="1" si="375"/>
        <v>0</v>
      </c>
      <c r="FP58" s="48">
        <f t="shared" ca="1" si="375"/>
        <v>0</v>
      </c>
      <c r="FQ58" s="48">
        <f t="shared" ca="1" si="375"/>
        <v>0</v>
      </c>
      <c r="FR58" s="48">
        <f t="shared" ca="1" si="375"/>
        <v>0</v>
      </c>
      <c r="FS58" s="48">
        <f t="shared" ca="1" si="375"/>
        <v>0</v>
      </c>
      <c r="FT58" s="48">
        <f t="shared" ca="1" si="375"/>
        <v>0</v>
      </c>
      <c r="FU58" s="48">
        <f t="shared" ca="1" si="375"/>
        <v>0</v>
      </c>
      <c r="FV58" s="48">
        <f t="shared" ca="1" si="375"/>
        <v>0</v>
      </c>
      <c r="FW58" s="48">
        <f t="shared" ca="1" si="375"/>
        <v>0</v>
      </c>
      <c r="FX58" s="48">
        <f t="shared" ca="1" si="375"/>
        <v>0</v>
      </c>
      <c r="FY58" s="48">
        <f t="shared" ca="1" si="375"/>
        <v>0</v>
      </c>
      <c r="FZ58" s="48">
        <f t="shared" ca="1" si="375"/>
        <v>0</v>
      </c>
      <c r="GA58" s="48">
        <f t="shared" ca="1" si="375"/>
        <v>0</v>
      </c>
      <c r="GB58" s="48">
        <f t="shared" ca="1" si="375"/>
        <v>0</v>
      </c>
      <c r="GC58" s="48">
        <f t="shared" ca="1" si="375"/>
        <v>0</v>
      </c>
      <c r="GD58" s="48">
        <f t="shared" ca="1" si="375"/>
        <v>0</v>
      </c>
      <c r="GE58" s="48">
        <f t="shared" ca="1" si="376"/>
        <v>0</v>
      </c>
      <c r="GF58" s="48">
        <f t="shared" ca="1" si="376"/>
        <v>0</v>
      </c>
      <c r="GG58" s="48">
        <f t="shared" ca="1" si="376"/>
        <v>0</v>
      </c>
      <c r="GH58" s="48">
        <f t="shared" ca="1" si="376"/>
        <v>0</v>
      </c>
      <c r="GI58" s="48">
        <f t="shared" ca="1" si="376"/>
        <v>0</v>
      </c>
      <c r="GJ58" s="48">
        <f t="shared" ca="1" si="376"/>
        <v>0</v>
      </c>
      <c r="GK58" s="48">
        <f t="shared" ca="1" si="376"/>
        <v>0</v>
      </c>
      <c r="GL58" s="48">
        <f t="shared" ca="1" si="376"/>
        <v>0</v>
      </c>
      <c r="GM58" s="48">
        <f t="shared" ca="1" si="376"/>
        <v>0</v>
      </c>
      <c r="GN58" s="48">
        <f t="shared" ca="1" si="376"/>
        <v>0</v>
      </c>
      <c r="GO58" s="48">
        <f t="shared" ca="1" si="376"/>
        <v>0</v>
      </c>
      <c r="GP58" s="48">
        <f t="shared" ca="1" si="376"/>
        <v>0</v>
      </c>
      <c r="GQ58" s="48">
        <f t="shared" ca="1" si="376"/>
        <v>0</v>
      </c>
      <c r="GR58" s="48">
        <f t="shared" ca="1" si="376"/>
        <v>0</v>
      </c>
      <c r="GS58" s="48">
        <f t="shared" ca="1" si="376"/>
        <v>0</v>
      </c>
      <c r="GT58" s="48">
        <f t="shared" ca="1" si="376"/>
        <v>0</v>
      </c>
      <c r="GU58" s="48">
        <f t="shared" ca="1" si="377"/>
        <v>0</v>
      </c>
      <c r="GV58" s="48">
        <f t="shared" ca="1" si="368"/>
        <v>0</v>
      </c>
      <c r="GW58" s="48">
        <f t="shared" ca="1" si="368"/>
        <v>0</v>
      </c>
      <c r="GX58" s="48">
        <f t="shared" ca="1" si="368"/>
        <v>0</v>
      </c>
      <c r="GY58" s="48">
        <f t="shared" ca="1" si="368"/>
        <v>0</v>
      </c>
      <c r="GZ58" s="48">
        <f t="shared" ca="1" si="368"/>
        <v>0</v>
      </c>
      <c r="HA58" s="69"/>
      <c r="HB58" s="150" t="str">
        <f t="shared" ca="1" si="74"/>
        <v>n/a</v>
      </c>
      <c r="HC58" s="150" t="str">
        <f t="shared" ca="1" si="369"/>
        <v>n/a</v>
      </c>
      <c r="HD58" s="150" t="str">
        <f t="shared" ca="1" si="76"/>
        <v>n/a</v>
      </c>
      <c r="HE58" s="150" t="str">
        <f t="shared" ca="1" si="370"/>
        <v>n/a</v>
      </c>
      <c r="HF58" s="150">
        <f t="shared" ca="1" si="371"/>
        <v>0.32770355265016393</v>
      </c>
      <c r="HG58" s="148"/>
      <c r="HH58" s="149"/>
      <c r="HI58" s="149"/>
      <c r="HJ58" s="149"/>
      <c r="HK58" s="150"/>
      <c r="HL58" s="149"/>
      <c r="HM58" s="149"/>
      <c r="HN58" s="149"/>
      <c r="HO58" s="150"/>
      <c r="HP58" s="148"/>
      <c r="HQ58" s="149"/>
      <c r="HR58" s="149"/>
      <c r="HS58" s="149"/>
      <c r="HT58" s="150"/>
      <c r="HU58" s="149"/>
      <c r="HV58" s="149"/>
      <c r="HW58" s="149"/>
      <c r="HX58" s="150"/>
      <c r="HY58" s="151"/>
      <c r="HZ58" s="150"/>
      <c r="IA58" s="150"/>
      <c r="IB58" s="152"/>
      <c r="IC58" s="150"/>
      <c r="ID58" s="152"/>
      <c r="IE58" s="150"/>
      <c r="IF58" s="153"/>
    </row>
    <row r="59" spans="1:240" s="36" customFormat="1" ht="14.4" customHeight="1">
      <c r="A59" s="39"/>
      <c r="B59" s="50" t="str">
        <f t="shared" si="340"/>
        <v>C&amp;I_C&amp;I Prescriptive_Lighting_High Bay Fluorescent Fixture w/ HE Electronic Ballast (T5 4-6 lamp)_2017_Actual</v>
      </c>
      <c r="C59" s="50">
        <f>INDEX('Measure Inputs'!$D:$D,MATCH($B59,'Measure Inputs'!$B:$B,0))</f>
        <v>25</v>
      </c>
      <c r="D59" s="51" t="str">
        <f>'Measure Inputs'!G31</f>
        <v>C&amp;I</v>
      </c>
      <c r="E59" s="51" t="str">
        <f>'Measure Inputs'!H31</f>
        <v>C&amp;I Prescriptive</v>
      </c>
      <c r="F59" s="51" t="str">
        <f>'Measure Inputs'!I31</f>
        <v>Lighting</v>
      </c>
      <c r="G59" s="51" t="str">
        <f>'Measure Inputs'!J31</f>
        <v>High Bay Fluorescent Fixture w/ HE Electronic Ballast (T5 4-6 lamp)</v>
      </c>
      <c r="H59" s="51">
        <f>'Measure Inputs'!K31</f>
        <v>2017</v>
      </c>
      <c r="I59" s="51" t="str">
        <f>'Measure Inputs'!L31</f>
        <v>Actual</v>
      </c>
      <c r="J59" s="37"/>
      <c r="K59" s="99" t="str">
        <f ca="1">INDEX(OFFSET('Measure Inputs'!$O$7,,,InputRows),$C59)</f>
        <v>Units</v>
      </c>
      <c r="L59" s="38">
        <f ca="1">INDEX(OFFSET('Measure Inputs'!$Q$7,,,InputRows),$C59)</f>
        <v>0</v>
      </c>
      <c r="M59" s="167">
        <f>INDEX('General Inputs'!$E$14:$E$15,MATCH(D59,'General Inputs'!$D$14:$D$15,0))</f>
        <v>1.0469999999999999</v>
      </c>
      <c r="N59" s="54">
        <f ca="1">INDEX(OFFSET('Measure Inputs'!$Y$7,,,InputRows),$C59)</f>
        <v>1</v>
      </c>
      <c r="O59" s="54">
        <f ca="1">INDEX(OFFSET('Measure Inputs'!$Z$7,,,InputRows),$C59)</f>
        <v>1</v>
      </c>
      <c r="P59" s="37"/>
      <c r="Q59" s="127">
        <f ca="1">CONVERT(INDEX(OFFSET('Measure Inputs'!$AB$7,,,InputRows),$C59),'Measure Inputs'!$AB$6,Q$8)*$L59</f>
        <v>0</v>
      </c>
      <c r="R59" s="127">
        <f t="shared" ca="1" si="341"/>
        <v>0</v>
      </c>
      <c r="S59" s="127">
        <f t="shared" ca="1" si="342"/>
        <v>0</v>
      </c>
      <c r="T59" s="37"/>
      <c r="U59" s="127">
        <f ca="1">CONVERT(INDEX(OFFSET('Measure Inputs'!$AD$7,,,InputRows),$C59),'Measure Inputs'!$AD$6,U$8)*$L59</f>
        <v>0</v>
      </c>
      <c r="V59" s="127">
        <f t="shared" ca="1" si="343"/>
        <v>0</v>
      </c>
      <c r="W59" s="127">
        <f t="shared" ca="1" si="344"/>
        <v>0</v>
      </c>
      <c r="X59" s="37"/>
      <c r="Y59" s="127">
        <f ca="1">CONVERT(INDEX(OFFSET('Measure Inputs'!$AC$7,,,InputRows),$C59),'Measure Inputs'!$AC$6,Y$8)*$L59</f>
        <v>0</v>
      </c>
      <c r="Z59" s="127">
        <f t="shared" ca="1" si="345"/>
        <v>0</v>
      </c>
      <c r="AA59" s="127">
        <f t="shared" ca="1" si="346"/>
        <v>0</v>
      </c>
      <c r="AB59" s="37"/>
      <c r="AC59" s="127">
        <f ca="1">CONVERT(INDEX(OFFSET('Measure Inputs'!$AE$7,,,InputRows),$C59),'Measure Inputs'!$AE$6,AC$8)*$L59</f>
        <v>0</v>
      </c>
      <c r="AD59" s="127">
        <f t="shared" ca="1" si="347"/>
        <v>0</v>
      </c>
      <c r="AE59" s="127">
        <f t="shared" ca="1" si="348"/>
        <v>0</v>
      </c>
      <c r="AF59" s="37"/>
      <c r="AG59" s="97">
        <f ca="1">INDEX(OFFSET('Measure Inputs'!$R$7,,,InputRows),$C59)</f>
        <v>15</v>
      </c>
      <c r="AH59" s="97">
        <f ca="1">INDEX(OFFSET('Measure Inputs'!$S$7,,,InputRows),$C59)</f>
        <v>0</v>
      </c>
      <c r="AI59" s="97">
        <f t="shared" ca="1" si="349"/>
        <v>0</v>
      </c>
      <c r="AJ59" s="100">
        <f ca="1">INDEX(OFFSET('Measure Inputs'!$T$7,,,InputRows),$C59)*$L59*$N59*$O59</f>
        <v>0</v>
      </c>
      <c r="AK59" s="100">
        <f ca="1">INDEX(OFFSET('Measure Inputs'!$U$7,,,InputRows),$C59)*$L59*$N59*$O59</f>
        <v>0</v>
      </c>
      <c r="AL59" s="100">
        <f ca="1">INDEX(OFFSET('Measure Inputs'!$V$7,,,InputRows),$C59)*$L59*$N59*$O59</f>
        <v>0</v>
      </c>
      <c r="AM59" s="100">
        <f ca="1">INDEX(OFFSET('Measure Inputs'!$W$7,,,InputRows),$C59)*$L59*$N59*$O59</f>
        <v>0</v>
      </c>
      <c r="AN59" s="100">
        <f ca="1">INDEX(OFFSET('Measure Inputs'!$X$7,,,InputRows),$C59)*$L59</f>
        <v>0</v>
      </c>
      <c r="AO59" s="100"/>
      <c r="AP59" s="100">
        <f t="shared" ca="1" si="350"/>
        <v>0</v>
      </c>
      <c r="AQ59" s="37"/>
      <c r="AR59" s="100">
        <f ca="1">SUMPRODUCT(--($CX$9:$EX$9=$H59)*$AJ59,'General Inputs'!$K$40:$BK$40)+SUMPRODUCT(--($CX$9:$EX$9=$H59+$AH59)*-$AK59,'General Inputs'!$K$43:$BK$43)</f>
        <v>0</v>
      </c>
      <c r="AS59" s="100">
        <f ca="1">CONVERT(SUMPRODUCT($CX59:$EX59,'General Inputs'!$K$29:$BK$29,'General Inputs'!$K$40:$BK$40)*$M59,$Q$8,'General Inputs'!$E$17)</f>
        <v>0</v>
      </c>
      <c r="AT59" s="100">
        <f ca="1">SUMPRODUCT(--($CX$9:$EX$9=$H59)*$AN59,'General Inputs'!$K$40:$BK$40)</f>
        <v>0</v>
      </c>
      <c r="AU59" s="100">
        <f>SUMPRODUCT(--($CX$9:$EX$9=$H59)*$AO59,'General Inputs'!$K$40:$BK$40)</f>
        <v>0</v>
      </c>
      <c r="AV59" s="100">
        <f ca="1">CONVERT(SUMPRODUCT($CX59:$EX59,'General Inputs'!$K$40:$BK$40,OFFSET('General Inputs'!$K$34:$BK$34,MATCH($D59,'General Inputs'!$J$34:$J$35,0)-1,)),$Q$8,'General Inputs'!$G$32)</f>
        <v>0</v>
      </c>
      <c r="AW59" s="100">
        <f ca="1">CONVERT(SUMPRODUCT($CX59:$EX59,'General Inputs'!$K$27:$BK$27,'General Inputs'!$K$40:$BK$40)*$M59,$Q$8,'General Inputs'!$E$17)</f>
        <v>0</v>
      </c>
      <c r="AX59" s="100">
        <f ca="1">CONVERT(SUMPRODUCT($EZ59:$GZ59,'General Inputs'!$K$28:$BK$28,'General Inputs'!$K$40:$BK$40)*$M59,$Q$8,'General Inputs'!$E$17)</f>
        <v>0</v>
      </c>
      <c r="AY59" s="98">
        <f ca="1">SUMPRODUCT($CX59:$EX59,'General Inputs'!$K$40:$BK$40)</f>
        <v>0</v>
      </c>
      <c r="AZ59" s="37"/>
      <c r="BA59" s="100">
        <f t="shared" ca="1" si="351"/>
        <v>0</v>
      </c>
      <c r="BB59" s="102" t="e">
        <f t="shared" ca="1" si="352"/>
        <v>#DIV/0!</v>
      </c>
      <c r="BC59" s="100">
        <f t="shared" ca="1" si="273"/>
        <v>0</v>
      </c>
      <c r="BD59" s="100">
        <f t="shared" ca="1" si="274"/>
        <v>0</v>
      </c>
      <c r="BE59" s="100">
        <f t="shared" ca="1" si="275"/>
        <v>0</v>
      </c>
      <c r="BF59" s="100">
        <f t="shared" ca="1" si="276"/>
        <v>0</v>
      </c>
      <c r="BG59" s="100">
        <f t="shared" si="277"/>
        <v>0</v>
      </c>
      <c r="BH59" s="100">
        <f t="shared" ca="1" si="278"/>
        <v>0</v>
      </c>
      <c r="BI59" s="37"/>
      <c r="BJ59" s="100">
        <f t="shared" ca="1" si="353"/>
        <v>0</v>
      </c>
      <c r="BK59" s="102" t="e">
        <f t="shared" ca="1" si="354"/>
        <v>#DIV/0!</v>
      </c>
      <c r="BL59" s="100">
        <f t="shared" ca="1" si="279"/>
        <v>0</v>
      </c>
      <c r="BM59" s="100">
        <f t="shared" ca="1" si="164"/>
        <v>0</v>
      </c>
      <c r="BN59" s="100">
        <f t="shared" ca="1" si="280"/>
        <v>0</v>
      </c>
      <c r="BO59" s="100">
        <f t="shared" ca="1" si="281"/>
        <v>0</v>
      </c>
      <c r="BP59" s="100">
        <f t="shared" ca="1" si="282"/>
        <v>0</v>
      </c>
      <c r="BQ59" s="100">
        <f t="shared" si="283"/>
        <v>0</v>
      </c>
      <c r="BR59" s="100">
        <f t="shared" ca="1" si="284"/>
        <v>0</v>
      </c>
      <c r="BS59" s="37"/>
      <c r="BT59" s="100">
        <f t="shared" ca="1" si="355"/>
        <v>0</v>
      </c>
      <c r="BU59" s="102" t="e">
        <f t="shared" ca="1" si="356"/>
        <v>#DIV/0!</v>
      </c>
      <c r="BV59" s="102" t="e">
        <f t="shared" ca="1" si="285"/>
        <v>#DIV/0!</v>
      </c>
      <c r="BW59" s="100">
        <f t="shared" ca="1" si="286"/>
        <v>0</v>
      </c>
      <c r="BX59" s="100">
        <f t="shared" ca="1" si="287"/>
        <v>0</v>
      </c>
      <c r="BY59" s="100">
        <f t="shared" ca="1" si="288"/>
        <v>0</v>
      </c>
      <c r="BZ59" s="100">
        <f t="shared" ca="1" si="289"/>
        <v>0</v>
      </c>
      <c r="CA59" s="100">
        <f t="shared" ca="1" si="290"/>
        <v>0</v>
      </c>
      <c r="CB59" s="37"/>
      <c r="CC59" s="100">
        <f t="shared" ca="1" si="357"/>
        <v>0</v>
      </c>
      <c r="CD59" s="102" t="e">
        <f t="shared" ca="1" si="358"/>
        <v>#DIV/0!</v>
      </c>
      <c r="CE59" s="103" t="e">
        <f t="shared" ca="1" si="291"/>
        <v>#DIV/0!</v>
      </c>
      <c r="CF59" s="100">
        <f t="shared" ca="1" si="292"/>
        <v>0</v>
      </c>
      <c r="CG59" s="100">
        <f t="shared" ca="1" si="293"/>
        <v>0</v>
      </c>
      <c r="CH59" s="100">
        <f t="shared" ca="1" si="294"/>
        <v>0</v>
      </c>
      <c r="CI59" s="100">
        <f t="shared" ca="1" si="71"/>
        <v>0</v>
      </c>
      <c r="CJ59" s="100">
        <f t="shared" ca="1" si="72"/>
        <v>0</v>
      </c>
      <c r="CK59" s="100">
        <f t="shared" si="295"/>
        <v>0</v>
      </c>
      <c r="CL59" s="37"/>
      <c r="CM59" s="100">
        <f t="shared" ca="1" si="359"/>
        <v>0</v>
      </c>
      <c r="CN59" s="102" t="e">
        <f t="shared" ca="1" si="360"/>
        <v>#DIV/0!</v>
      </c>
      <c r="CO59" s="128"/>
      <c r="CP59" s="100">
        <f t="shared" ca="1" si="296"/>
        <v>0</v>
      </c>
      <c r="CQ59" s="100">
        <f t="shared" ca="1" si="297"/>
        <v>0</v>
      </c>
      <c r="CR59" s="100">
        <f t="shared" ca="1" si="298"/>
        <v>0</v>
      </c>
      <c r="CS59" s="100">
        <f t="shared" ca="1" si="73"/>
        <v>0</v>
      </c>
      <c r="CT59" s="100">
        <f t="shared" ca="1" si="299"/>
        <v>0</v>
      </c>
      <c r="CU59" s="100">
        <f t="shared" ca="1" si="300"/>
        <v>0</v>
      </c>
      <c r="CV59" s="100">
        <f t="shared" si="301"/>
        <v>0</v>
      </c>
      <c r="CW59" s="37"/>
      <c r="CX59" s="48">
        <f t="shared" ca="1" si="378"/>
        <v>0</v>
      </c>
      <c r="CY59" s="48">
        <f t="shared" ca="1" si="378"/>
        <v>0</v>
      </c>
      <c r="CZ59" s="48">
        <f t="shared" ca="1" si="378"/>
        <v>0</v>
      </c>
      <c r="DA59" s="48">
        <f t="shared" ca="1" si="378"/>
        <v>0</v>
      </c>
      <c r="DB59" s="48">
        <f t="shared" ca="1" si="378"/>
        <v>0</v>
      </c>
      <c r="DC59" s="48">
        <f t="shared" ca="1" si="378"/>
        <v>0</v>
      </c>
      <c r="DD59" s="48">
        <f t="shared" ca="1" si="378"/>
        <v>0</v>
      </c>
      <c r="DE59" s="48">
        <f t="shared" ca="1" si="378"/>
        <v>0</v>
      </c>
      <c r="DF59" s="48">
        <f t="shared" ca="1" si="378"/>
        <v>0</v>
      </c>
      <c r="DG59" s="48">
        <f t="shared" ca="1" si="378"/>
        <v>0</v>
      </c>
      <c r="DH59" s="48">
        <f t="shared" ca="1" si="378"/>
        <v>0</v>
      </c>
      <c r="DI59" s="48">
        <f t="shared" ca="1" si="378"/>
        <v>0</v>
      </c>
      <c r="DJ59" s="48">
        <f t="shared" ca="1" si="378"/>
        <v>0</v>
      </c>
      <c r="DK59" s="48">
        <f t="shared" ca="1" si="378"/>
        <v>0</v>
      </c>
      <c r="DL59" s="48">
        <f t="shared" ca="1" si="378"/>
        <v>0</v>
      </c>
      <c r="DM59" s="48">
        <f t="shared" ca="1" si="372"/>
        <v>0</v>
      </c>
      <c r="DN59" s="48">
        <f t="shared" ca="1" si="372"/>
        <v>0</v>
      </c>
      <c r="DO59" s="48">
        <f t="shared" ca="1" si="372"/>
        <v>0</v>
      </c>
      <c r="DP59" s="48">
        <f t="shared" ca="1" si="372"/>
        <v>0</v>
      </c>
      <c r="DQ59" s="48">
        <f t="shared" ca="1" si="372"/>
        <v>0</v>
      </c>
      <c r="DR59" s="48">
        <f t="shared" ca="1" si="372"/>
        <v>0</v>
      </c>
      <c r="DS59" s="48">
        <f t="shared" ca="1" si="372"/>
        <v>0</v>
      </c>
      <c r="DT59" s="48">
        <f t="shared" ca="1" si="372"/>
        <v>0</v>
      </c>
      <c r="DU59" s="48">
        <f t="shared" ca="1" si="372"/>
        <v>0</v>
      </c>
      <c r="DV59" s="48">
        <f t="shared" ca="1" si="372"/>
        <v>0</v>
      </c>
      <c r="DW59" s="48">
        <f t="shared" ca="1" si="372"/>
        <v>0</v>
      </c>
      <c r="DX59" s="48">
        <f t="shared" ca="1" si="372"/>
        <v>0</v>
      </c>
      <c r="DY59" s="48">
        <f t="shared" ca="1" si="372"/>
        <v>0</v>
      </c>
      <c r="DZ59" s="48">
        <f t="shared" ca="1" si="372"/>
        <v>0</v>
      </c>
      <c r="EA59" s="48">
        <f t="shared" ca="1" si="372"/>
        <v>0</v>
      </c>
      <c r="EB59" s="48">
        <f t="shared" ca="1" si="372"/>
        <v>0</v>
      </c>
      <c r="EC59" s="48">
        <f t="shared" ca="1" si="373"/>
        <v>0</v>
      </c>
      <c r="ED59" s="48">
        <f t="shared" ca="1" si="373"/>
        <v>0</v>
      </c>
      <c r="EE59" s="48">
        <f t="shared" ca="1" si="373"/>
        <v>0</v>
      </c>
      <c r="EF59" s="48">
        <f t="shared" ca="1" si="373"/>
        <v>0</v>
      </c>
      <c r="EG59" s="48">
        <f t="shared" ca="1" si="373"/>
        <v>0</v>
      </c>
      <c r="EH59" s="48">
        <f t="shared" ca="1" si="373"/>
        <v>0</v>
      </c>
      <c r="EI59" s="48">
        <f t="shared" ca="1" si="373"/>
        <v>0</v>
      </c>
      <c r="EJ59" s="48">
        <f t="shared" ca="1" si="373"/>
        <v>0</v>
      </c>
      <c r="EK59" s="48">
        <f t="shared" ca="1" si="373"/>
        <v>0</v>
      </c>
      <c r="EL59" s="48">
        <f t="shared" ca="1" si="373"/>
        <v>0</v>
      </c>
      <c r="EM59" s="48">
        <f t="shared" ca="1" si="373"/>
        <v>0</v>
      </c>
      <c r="EN59" s="48">
        <f t="shared" ca="1" si="373"/>
        <v>0</v>
      </c>
      <c r="EO59" s="48">
        <f t="shared" ca="1" si="373"/>
        <v>0</v>
      </c>
      <c r="EP59" s="48">
        <f t="shared" ca="1" si="373"/>
        <v>0</v>
      </c>
      <c r="EQ59" s="48">
        <f t="shared" ca="1" si="373"/>
        <v>0</v>
      </c>
      <c r="ER59" s="48">
        <f t="shared" ca="1" si="373"/>
        <v>0</v>
      </c>
      <c r="ES59" s="48">
        <f t="shared" ca="1" si="374"/>
        <v>0</v>
      </c>
      <c r="ET59" s="48">
        <f t="shared" ca="1" si="364"/>
        <v>0</v>
      </c>
      <c r="EU59" s="48">
        <f t="shared" ca="1" si="364"/>
        <v>0</v>
      </c>
      <c r="EV59" s="48">
        <f t="shared" ca="1" si="364"/>
        <v>0</v>
      </c>
      <c r="EW59" s="48">
        <f t="shared" ca="1" si="364"/>
        <v>0</v>
      </c>
      <c r="EX59" s="48">
        <f t="shared" ca="1" si="364"/>
        <v>0</v>
      </c>
      <c r="EY59" s="69"/>
      <c r="EZ59" s="48">
        <f t="shared" ca="1" si="379"/>
        <v>0</v>
      </c>
      <c r="FA59" s="48">
        <f t="shared" ca="1" si="379"/>
        <v>0</v>
      </c>
      <c r="FB59" s="48">
        <f t="shared" ca="1" si="379"/>
        <v>0</v>
      </c>
      <c r="FC59" s="48">
        <f t="shared" ca="1" si="379"/>
        <v>0</v>
      </c>
      <c r="FD59" s="48">
        <f t="shared" ca="1" si="379"/>
        <v>0</v>
      </c>
      <c r="FE59" s="48">
        <f t="shared" ca="1" si="379"/>
        <v>0</v>
      </c>
      <c r="FF59" s="48">
        <f t="shared" ca="1" si="379"/>
        <v>0</v>
      </c>
      <c r="FG59" s="48">
        <f t="shared" ca="1" si="379"/>
        <v>0</v>
      </c>
      <c r="FH59" s="48">
        <f t="shared" ca="1" si="379"/>
        <v>0</v>
      </c>
      <c r="FI59" s="48">
        <f t="shared" ca="1" si="379"/>
        <v>0</v>
      </c>
      <c r="FJ59" s="48">
        <f t="shared" ca="1" si="379"/>
        <v>0</v>
      </c>
      <c r="FK59" s="48">
        <f t="shared" ca="1" si="379"/>
        <v>0</v>
      </c>
      <c r="FL59" s="48">
        <f t="shared" ca="1" si="379"/>
        <v>0</v>
      </c>
      <c r="FM59" s="48">
        <f t="shared" ca="1" si="379"/>
        <v>0</v>
      </c>
      <c r="FN59" s="48">
        <f t="shared" ca="1" si="379"/>
        <v>0</v>
      </c>
      <c r="FO59" s="48">
        <f t="shared" ca="1" si="375"/>
        <v>0</v>
      </c>
      <c r="FP59" s="48">
        <f t="shared" ca="1" si="375"/>
        <v>0</v>
      </c>
      <c r="FQ59" s="48">
        <f t="shared" ca="1" si="375"/>
        <v>0</v>
      </c>
      <c r="FR59" s="48">
        <f t="shared" ca="1" si="375"/>
        <v>0</v>
      </c>
      <c r="FS59" s="48">
        <f t="shared" ca="1" si="375"/>
        <v>0</v>
      </c>
      <c r="FT59" s="48">
        <f t="shared" ca="1" si="375"/>
        <v>0</v>
      </c>
      <c r="FU59" s="48">
        <f t="shared" ca="1" si="375"/>
        <v>0</v>
      </c>
      <c r="FV59" s="48">
        <f t="shared" ca="1" si="375"/>
        <v>0</v>
      </c>
      <c r="FW59" s="48">
        <f t="shared" ca="1" si="375"/>
        <v>0</v>
      </c>
      <c r="FX59" s="48">
        <f t="shared" ca="1" si="375"/>
        <v>0</v>
      </c>
      <c r="FY59" s="48">
        <f t="shared" ca="1" si="375"/>
        <v>0</v>
      </c>
      <c r="FZ59" s="48">
        <f t="shared" ca="1" si="375"/>
        <v>0</v>
      </c>
      <c r="GA59" s="48">
        <f t="shared" ca="1" si="375"/>
        <v>0</v>
      </c>
      <c r="GB59" s="48">
        <f t="shared" ca="1" si="375"/>
        <v>0</v>
      </c>
      <c r="GC59" s="48">
        <f t="shared" ca="1" si="375"/>
        <v>0</v>
      </c>
      <c r="GD59" s="48">
        <f t="shared" ca="1" si="375"/>
        <v>0</v>
      </c>
      <c r="GE59" s="48">
        <f t="shared" ca="1" si="376"/>
        <v>0</v>
      </c>
      <c r="GF59" s="48">
        <f t="shared" ca="1" si="376"/>
        <v>0</v>
      </c>
      <c r="GG59" s="48">
        <f t="shared" ca="1" si="376"/>
        <v>0</v>
      </c>
      <c r="GH59" s="48">
        <f t="shared" ca="1" si="376"/>
        <v>0</v>
      </c>
      <c r="GI59" s="48">
        <f t="shared" ca="1" si="376"/>
        <v>0</v>
      </c>
      <c r="GJ59" s="48">
        <f t="shared" ca="1" si="376"/>
        <v>0</v>
      </c>
      <c r="GK59" s="48">
        <f t="shared" ca="1" si="376"/>
        <v>0</v>
      </c>
      <c r="GL59" s="48">
        <f t="shared" ca="1" si="376"/>
        <v>0</v>
      </c>
      <c r="GM59" s="48">
        <f t="shared" ca="1" si="376"/>
        <v>0</v>
      </c>
      <c r="GN59" s="48">
        <f t="shared" ca="1" si="376"/>
        <v>0</v>
      </c>
      <c r="GO59" s="48">
        <f t="shared" ca="1" si="376"/>
        <v>0</v>
      </c>
      <c r="GP59" s="48">
        <f t="shared" ca="1" si="376"/>
        <v>0</v>
      </c>
      <c r="GQ59" s="48">
        <f t="shared" ca="1" si="376"/>
        <v>0</v>
      </c>
      <c r="GR59" s="48">
        <f t="shared" ca="1" si="376"/>
        <v>0</v>
      </c>
      <c r="GS59" s="48">
        <f t="shared" ca="1" si="376"/>
        <v>0</v>
      </c>
      <c r="GT59" s="48">
        <f t="shared" ca="1" si="376"/>
        <v>0</v>
      </c>
      <c r="GU59" s="48">
        <f t="shared" ca="1" si="377"/>
        <v>0</v>
      </c>
      <c r="GV59" s="48">
        <f t="shared" ca="1" si="368"/>
        <v>0</v>
      </c>
      <c r="GW59" s="48">
        <f t="shared" ca="1" si="368"/>
        <v>0</v>
      </c>
      <c r="GX59" s="48">
        <f t="shared" ca="1" si="368"/>
        <v>0</v>
      </c>
      <c r="GY59" s="48">
        <f t="shared" ca="1" si="368"/>
        <v>0</v>
      </c>
      <c r="GZ59" s="48">
        <f t="shared" ca="1" si="368"/>
        <v>0</v>
      </c>
      <c r="HA59" s="69"/>
      <c r="HB59" s="150" t="str">
        <f t="shared" ca="1" si="74"/>
        <v>n/a</v>
      </c>
      <c r="HC59" s="150" t="str">
        <f t="shared" ca="1" si="369"/>
        <v>n/a</v>
      </c>
      <c r="HD59" s="150" t="str">
        <f t="shared" ca="1" si="76"/>
        <v>n/a</v>
      </c>
      <c r="HE59" s="150" t="str">
        <f t="shared" ca="1" si="370"/>
        <v>n/a</v>
      </c>
      <c r="HF59" s="150" t="str">
        <f t="shared" ca="1" si="371"/>
        <v>n/a</v>
      </c>
      <c r="HG59" s="148"/>
      <c r="HH59" s="149"/>
      <c r="HI59" s="149"/>
      <c r="HJ59" s="149"/>
      <c r="HK59" s="150"/>
      <c r="HL59" s="149"/>
      <c r="HM59" s="149"/>
      <c r="HN59" s="149"/>
      <c r="HO59" s="150"/>
      <c r="HP59" s="148"/>
      <c r="HQ59" s="149"/>
      <c r="HR59" s="149"/>
      <c r="HS59" s="149"/>
      <c r="HT59" s="150"/>
      <c r="HU59" s="149"/>
      <c r="HV59" s="149"/>
      <c r="HW59" s="149"/>
      <c r="HX59" s="150"/>
      <c r="HY59" s="151"/>
      <c r="HZ59" s="150"/>
      <c r="IA59" s="150"/>
      <c r="IB59" s="152"/>
      <c r="IC59" s="150"/>
      <c r="ID59" s="152"/>
      <c r="IE59" s="150"/>
      <c r="IF59" s="153"/>
    </row>
    <row r="60" spans="1:240" s="36" customFormat="1" ht="14.4" customHeight="1">
      <c r="A60" s="39"/>
      <c r="B60" s="50" t="str">
        <f t="shared" si="340"/>
        <v>C&amp;I_C&amp;I Prescriptive_Lighting_High Bay Fluorescent Fixture w/ HE Electronic Ballast (T5 8-lamp)_2017_Actual</v>
      </c>
      <c r="C60" s="50">
        <f>INDEX('Measure Inputs'!$D:$D,MATCH($B60,'Measure Inputs'!$B:$B,0))</f>
        <v>26</v>
      </c>
      <c r="D60" s="51" t="str">
        <f>'Measure Inputs'!G32</f>
        <v>C&amp;I</v>
      </c>
      <c r="E60" s="51" t="str">
        <f>'Measure Inputs'!H32</f>
        <v>C&amp;I Prescriptive</v>
      </c>
      <c r="F60" s="51" t="str">
        <f>'Measure Inputs'!I32</f>
        <v>Lighting</v>
      </c>
      <c r="G60" s="51" t="str">
        <f>'Measure Inputs'!J32</f>
        <v>High Bay Fluorescent Fixture w/ HE Electronic Ballast (T5 8-lamp)</v>
      </c>
      <c r="H60" s="51">
        <f>'Measure Inputs'!K32</f>
        <v>2017</v>
      </c>
      <c r="I60" s="51" t="str">
        <f>'Measure Inputs'!L32</f>
        <v>Actual</v>
      </c>
      <c r="J60" s="37"/>
      <c r="K60" s="99" t="str">
        <f ca="1">INDEX(OFFSET('Measure Inputs'!$O$7,,,InputRows),$C60)</f>
        <v>Units</v>
      </c>
      <c r="L60" s="38">
        <f ca="1">INDEX(OFFSET('Measure Inputs'!$Q$7,,,InputRows),$C60)</f>
        <v>0</v>
      </c>
      <c r="M60" s="167">
        <f>INDEX('General Inputs'!$E$14:$E$15,MATCH(D60,'General Inputs'!$D$14:$D$15,0))</f>
        <v>1.0469999999999999</v>
      </c>
      <c r="N60" s="54">
        <f ca="1">INDEX(OFFSET('Measure Inputs'!$Y$7,,,InputRows),$C60)</f>
        <v>1</v>
      </c>
      <c r="O60" s="54">
        <f ca="1">INDEX(OFFSET('Measure Inputs'!$Z$7,,,InputRows),$C60)</f>
        <v>1</v>
      </c>
      <c r="P60" s="37"/>
      <c r="Q60" s="127">
        <f ca="1">CONVERT(INDEX(OFFSET('Measure Inputs'!$AB$7,,,InputRows),$C60),'Measure Inputs'!$AB$6,Q$8)*$L60</f>
        <v>0</v>
      </c>
      <c r="R60" s="127">
        <f t="shared" ca="1" si="341"/>
        <v>0</v>
      </c>
      <c r="S60" s="127">
        <f t="shared" ca="1" si="342"/>
        <v>0</v>
      </c>
      <c r="T60" s="37"/>
      <c r="U60" s="127">
        <f ca="1">CONVERT(INDEX(OFFSET('Measure Inputs'!$AD$7,,,InputRows),$C60),'Measure Inputs'!$AD$6,U$8)*$L60</f>
        <v>0</v>
      </c>
      <c r="V60" s="127">
        <f t="shared" ca="1" si="343"/>
        <v>0</v>
      </c>
      <c r="W60" s="127">
        <f t="shared" ca="1" si="344"/>
        <v>0</v>
      </c>
      <c r="X60" s="37"/>
      <c r="Y60" s="127">
        <f ca="1">CONVERT(INDEX(OFFSET('Measure Inputs'!$AC$7,,,InputRows),$C60),'Measure Inputs'!$AC$6,Y$8)*$L60</f>
        <v>0</v>
      </c>
      <c r="Z60" s="127">
        <f t="shared" ca="1" si="345"/>
        <v>0</v>
      </c>
      <c r="AA60" s="127">
        <f t="shared" ca="1" si="346"/>
        <v>0</v>
      </c>
      <c r="AB60" s="37"/>
      <c r="AC60" s="127">
        <f ca="1">CONVERT(INDEX(OFFSET('Measure Inputs'!$AE$7,,,InputRows),$C60),'Measure Inputs'!$AE$6,AC$8)*$L60</f>
        <v>0</v>
      </c>
      <c r="AD60" s="127">
        <f t="shared" ca="1" si="347"/>
        <v>0</v>
      </c>
      <c r="AE60" s="127">
        <f t="shared" ca="1" si="348"/>
        <v>0</v>
      </c>
      <c r="AF60" s="37"/>
      <c r="AG60" s="97">
        <f ca="1">INDEX(OFFSET('Measure Inputs'!$R$7,,,InputRows),$C60)</f>
        <v>15</v>
      </c>
      <c r="AH60" s="97">
        <f ca="1">INDEX(OFFSET('Measure Inputs'!$S$7,,,InputRows),$C60)</f>
        <v>0</v>
      </c>
      <c r="AI60" s="97">
        <f t="shared" ca="1" si="349"/>
        <v>0</v>
      </c>
      <c r="AJ60" s="100">
        <f ca="1">INDEX(OFFSET('Measure Inputs'!$T$7,,,InputRows),$C60)*$L60*$N60*$O60</f>
        <v>0</v>
      </c>
      <c r="AK60" s="100">
        <f ca="1">INDEX(OFFSET('Measure Inputs'!$U$7,,,InputRows),$C60)*$L60*$N60*$O60</f>
        <v>0</v>
      </c>
      <c r="AL60" s="100">
        <f ca="1">INDEX(OFFSET('Measure Inputs'!$V$7,,,InputRows),$C60)*$L60*$N60*$O60</f>
        <v>0</v>
      </c>
      <c r="AM60" s="100">
        <f ca="1">INDEX(OFFSET('Measure Inputs'!$W$7,,,InputRows),$C60)*$L60*$N60*$O60</f>
        <v>0</v>
      </c>
      <c r="AN60" s="100">
        <f ca="1">INDEX(OFFSET('Measure Inputs'!$X$7,,,InputRows),$C60)*$L60</f>
        <v>0</v>
      </c>
      <c r="AO60" s="100"/>
      <c r="AP60" s="100">
        <f t="shared" ca="1" si="350"/>
        <v>0</v>
      </c>
      <c r="AQ60" s="37"/>
      <c r="AR60" s="100">
        <f ca="1">SUMPRODUCT(--($CX$9:$EX$9=$H60)*$AJ60,'General Inputs'!$K$40:$BK$40)+SUMPRODUCT(--($CX$9:$EX$9=$H60+$AH60)*-$AK60,'General Inputs'!$K$43:$BK$43)</f>
        <v>0</v>
      </c>
      <c r="AS60" s="100">
        <f ca="1">CONVERT(SUMPRODUCT($CX60:$EX60,'General Inputs'!$K$29:$BK$29,'General Inputs'!$K$40:$BK$40)*$M60,$Q$8,'General Inputs'!$E$17)</f>
        <v>0</v>
      </c>
      <c r="AT60" s="100">
        <f ca="1">SUMPRODUCT(--($CX$9:$EX$9=$H60)*$AN60,'General Inputs'!$K$40:$BK$40)</f>
        <v>0</v>
      </c>
      <c r="AU60" s="100">
        <f>SUMPRODUCT(--($CX$9:$EX$9=$H60)*$AO60,'General Inputs'!$K$40:$BK$40)</f>
        <v>0</v>
      </c>
      <c r="AV60" s="100">
        <f ca="1">CONVERT(SUMPRODUCT($CX60:$EX60,'General Inputs'!$K$40:$BK$40,OFFSET('General Inputs'!$K$34:$BK$34,MATCH($D60,'General Inputs'!$J$34:$J$35,0)-1,)),$Q$8,'General Inputs'!$G$32)</f>
        <v>0</v>
      </c>
      <c r="AW60" s="100">
        <f ca="1">CONVERT(SUMPRODUCT($CX60:$EX60,'General Inputs'!$K$27:$BK$27,'General Inputs'!$K$40:$BK$40)*$M60,$Q$8,'General Inputs'!$E$17)</f>
        <v>0</v>
      </c>
      <c r="AX60" s="100">
        <f ca="1">CONVERT(SUMPRODUCT($EZ60:$GZ60,'General Inputs'!$K$28:$BK$28,'General Inputs'!$K$40:$BK$40)*$M60,$Q$8,'General Inputs'!$E$17)</f>
        <v>0</v>
      </c>
      <c r="AY60" s="98">
        <f ca="1">SUMPRODUCT($CX60:$EX60,'General Inputs'!$K$40:$BK$40)</f>
        <v>0</v>
      </c>
      <c r="AZ60" s="37"/>
      <c r="BA60" s="100">
        <f t="shared" ca="1" si="351"/>
        <v>0</v>
      </c>
      <c r="BB60" s="102" t="e">
        <f t="shared" ca="1" si="352"/>
        <v>#DIV/0!</v>
      </c>
      <c r="BC60" s="100">
        <f t="shared" ca="1" si="273"/>
        <v>0</v>
      </c>
      <c r="BD60" s="100">
        <f t="shared" ca="1" si="274"/>
        <v>0</v>
      </c>
      <c r="BE60" s="100">
        <f t="shared" ca="1" si="275"/>
        <v>0</v>
      </c>
      <c r="BF60" s="100">
        <f t="shared" ca="1" si="276"/>
        <v>0</v>
      </c>
      <c r="BG60" s="100">
        <f t="shared" si="277"/>
        <v>0</v>
      </c>
      <c r="BH60" s="100">
        <f t="shared" ca="1" si="278"/>
        <v>0</v>
      </c>
      <c r="BI60" s="37"/>
      <c r="BJ60" s="100">
        <f t="shared" ca="1" si="353"/>
        <v>0</v>
      </c>
      <c r="BK60" s="102" t="e">
        <f t="shared" ca="1" si="354"/>
        <v>#DIV/0!</v>
      </c>
      <c r="BL60" s="100">
        <f t="shared" ca="1" si="279"/>
        <v>0</v>
      </c>
      <c r="BM60" s="100">
        <f t="shared" ca="1" si="164"/>
        <v>0</v>
      </c>
      <c r="BN60" s="100">
        <f t="shared" ca="1" si="280"/>
        <v>0</v>
      </c>
      <c r="BO60" s="100">
        <f t="shared" ca="1" si="281"/>
        <v>0</v>
      </c>
      <c r="BP60" s="100">
        <f t="shared" ca="1" si="282"/>
        <v>0</v>
      </c>
      <c r="BQ60" s="100">
        <f t="shared" si="283"/>
        <v>0</v>
      </c>
      <c r="BR60" s="100">
        <f t="shared" ca="1" si="284"/>
        <v>0</v>
      </c>
      <c r="BS60" s="37"/>
      <c r="BT60" s="100">
        <f t="shared" ca="1" si="355"/>
        <v>0</v>
      </c>
      <c r="BU60" s="102" t="e">
        <f t="shared" ca="1" si="356"/>
        <v>#DIV/0!</v>
      </c>
      <c r="BV60" s="102" t="e">
        <f t="shared" ca="1" si="285"/>
        <v>#DIV/0!</v>
      </c>
      <c r="BW60" s="100">
        <f t="shared" ca="1" si="286"/>
        <v>0</v>
      </c>
      <c r="BX60" s="100">
        <f t="shared" ca="1" si="287"/>
        <v>0</v>
      </c>
      <c r="BY60" s="100">
        <f t="shared" ca="1" si="288"/>
        <v>0</v>
      </c>
      <c r="BZ60" s="100">
        <f t="shared" ca="1" si="289"/>
        <v>0</v>
      </c>
      <c r="CA60" s="100">
        <f t="shared" ca="1" si="290"/>
        <v>0</v>
      </c>
      <c r="CB60" s="37"/>
      <c r="CC60" s="100">
        <f t="shared" ca="1" si="357"/>
        <v>0</v>
      </c>
      <c r="CD60" s="102" t="e">
        <f t="shared" ca="1" si="358"/>
        <v>#DIV/0!</v>
      </c>
      <c r="CE60" s="103" t="e">
        <f t="shared" ca="1" si="291"/>
        <v>#DIV/0!</v>
      </c>
      <c r="CF60" s="100">
        <f t="shared" ca="1" si="292"/>
        <v>0</v>
      </c>
      <c r="CG60" s="100">
        <f t="shared" ca="1" si="293"/>
        <v>0</v>
      </c>
      <c r="CH60" s="100">
        <f t="shared" ca="1" si="294"/>
        <v>0</v>
      </c>
      <c r="CI60" s="100">
        <f t="shared" ca="1" si="71"/>
        <v>0</v>
      </c>
      <c r="CJ60" s="100">
        <f t="shared" ca="1" si="72"/>
        <v>0</v>
      </c>
      <c r="CK60" s="100">
        <f t="shared" si="295"/>
        <v>0</v>
      </c>
      <c r="CL60" s="37"/>
      <c r="CM60" s="100">
        <f t="shared" ca="1" si="359"/>
        <v>0</v>
      </c>
      <c r="CN60" s="102" t="e">
        <f t="shared" ca="1" si="360"/>
        <v>#DIV/0!</v>
      </c>
      <c r="CO60" s="128"/>
      <c r="CP60" s="100">
        <f t="shared" ca="1" si="296"/>
        <v>0</v>
      </c>
      <c r="CQ60" s="100">
        <f t="shared" ca="1" si="297"/>
        <v>0</v>
      </c>
      <c r="CR60" s="100">
        <f t="shared" ca="1" si="298"/>
        <v>0</v>
      </c>
      <c r="CS60" s="100">
        <f t="shared" ca="1" si="73"/>
        <v>0</v>
      </c>
      <c r="CT60" s="100">
        <f t="shared" ca="1" si="299"/>
        <v>0</v>
      </c>
      <c r="CU60" s="100">
        <f t="shared" ca="1" si="300"/>
        <v>0</v>
      </c>
      <c r="CV60" s="100">
        <f t="shared" si="301"/>
        <v>0</v>
      </c>
      <c r="CW60" s="37"/>
      <c r="CX60" s="48">
        <f t="shared" ca="1" si="378"/>
        <v>0</v>
      </c>
      <c r="CY60" s="48">
        <f t="shared" ca="1" si="378"/>
        <v>0</v>
      </c>
      <c r="CZ60" s="48">
        <f t="shared" ca="1" si="378"/>
        <v>0</v>
      </c>
      <c r="DA60" s="48">
        <f t="shared" ca="1" si="378"/>
        <v>0</v>
      </c>
      <c r="DB60" s="48">
        <f t="shared" ca="1" si="378"/>
        <v>0</v>
      </c>
      <c r="DC60" s="48">
        <f t="shared" ca="1" si="378"/>
        <v>0</v>
      </c>
      <c r="DD60" s="48">
        <f t="shared" ca="1" si="378"/>
        <v>0</v>
      </c>
      <c r="DE60" s="48">
        <f t="shared" ca="1" si="378"/>
        <v>0</v>
      </c>
      <c r="DF60" s="48">
        <f t="shared" ca="1" si="378"/>
        <v>0</v>
      </c>
      <c r="DG60" s="48">
        <f t="shared" ca="1" si="378"/>
        <v>0</v>
      </c>
      <c r="DH60" s="48">
        <f t="shared" ca="1" si="378"/>
        <v>0</v>
      </c>
      <c r="DI60" s="48">
        <f t="shared" ca="1" si="378"/>
        <v>0</v>
      </c>
      <c r="DJ60" s="48">
        <f t="shared" ca="1" si="378"/>
        <v>0</v>
      </c>
      <c r="DK60" s="48">
        <f t="shared" ca="1" si="378"/>
        <v>0</v>
      </c>
      <c r="DL60" s="48">
        <f t="shared" ca="1" si="378"/>
        <v>0</v>
      </c>
      <c r="DM60" s="48">
        <f t="shared" ca="1" si="372"/>
        <v>0</v>
      </c>
      <c r="DN60" s="48">
        <f t="shared" ca="1" si="372"/>
        <v>0</v>
      </c>
      <c r="DO60" s="48">
        <f t="shared" ca="1" si="372"/>
        <v>0</v>
      </c>
      <c r="DP60" s="48">
        <f t="shared" ca="1" si="372"/>
        <v>0</v>
      </c>
      <c r="DQ60" s="48">
        <f t="shared" ca="1" si="372"/>
        <v>0</v>
      </c>
      <c r="DR60" s="48">
        <f t="shared" ca="1" si="372"/>
        <v>0</v>
      </c>
      <c r="DS60" s="48">
        <f t="shared" ca="1" si="372"/>
        <v>0</v>
      </c>
      <c r="DT60" s="48">
        <f t="shared" ca="1" si="372"/>
        <v>0</v>
      </c>
      <c r="DU60" s="48">
        <f t="shared" ca="1" si="372"/>
        <v>0</v>
      </c>
      <c r="DV60" s="48">
        <f t="shared" ca="1" si="372"/>
        <v>0</v>
      </c>
      <c r="DW60" s="48">
        <f t="shared" ca="1" si="372"/>
        <v>0</v>
      </c>
      <c r="DX60" s="48">
        <f t="shared" ca="1" si="372"/>
        <v>0</v>
      </c>
      <c r="DY60" s="48">
        <f t="shared" ca="1" si="372"/>
        <v>0</v>
      </c>
      <c r="DZ60" s="48">
        <f t="shared" ca="1" si="372"/>
        <v>0</v>
      </c>
      <c r="EA60" s="48">
        <f t="shared" ca="1" si="372"/>
        <v>0</v>
      </c>
      <c r="EB60" s="48">
        <f t="shared" ca="1" si="372"/>
        <v>0</v>
      </c>
      <c r="EC60" s="48">
        <f t="shared" ca="1" si="373"/>
        <v>0</v>
      </c>
      <c r="ED60" s="48">
        <f t="shared" ca="1" si="373"/>
        <v>0</v>
      </c>
      <c r="EE60" s="48">
        <f t="shared" ca="1" si="373"/>
        <v>0</v>
      </c>
      <c r="EF60" s="48">
        <f t="shared" ca="1" si="373"/>
        <v>0</v>
      </c>
      <c r="EG60" s="48">
        <f t="shared" ca="1" si="373"/>
        <v>0</v>
      </c>
      <c r="EH60" s="48">
        <f t="shared" ca="1" si="373"/>
        <v>0</v>
      </c>
      <c r="EI60" s="48">
        <f t="shared" ca="1" si="373"/>
        <v>0</v>
      </c>
      <c r="EJ60" s="48">
        <f t="shared" ca="1" si="373"/>
        <v>0</v>
      </c>
      <c r="EK60" s="48">
        <f t="shared" ca="1" si="373"/>
        <v>0</v>
      </c>
      <c r="EL60" s="48">
        <f t="shared" ca="1" si="373"/>
        <v>0</v>
      </c>
      <c r="EM60" s="48">
        <f t="shared" ca="1" si="373"/>
        <v>0</v>
      </c>
      <c r="EN60" s="48">
        <f t="shared" ca="1" si="373"/>
        <v>0</v>
      </c>
      <c r="EO60" s="48">
        <f t="shared" ca="1" si="373"/>
        <v>0</v>
      </c>
      <c r="EP60" s="48">
        <f t="shared" ca="1" si="373"/>
        <v>0</v>
      </c>
      <c r="EQ60" s="48">
        <f t="shared" ca="1" si="373"/>
        <v>0</v>
      </c>
      <c r="ER60" s="48">
        <f t="shared" ca="1" si="373"/>
        <v>0</v>
      </c>
      <c r="ES60" s="48">
        <f t="shared" ca="1" si="374"/>
        <v>0</v>
      </c>
      <c r="ET60" s="48">
        <f t="shared" ca="1" si="364"/>
        <v>0</v>
      </c>
      <c r="EU60" s="48">
        <f t="shared" ca="1" si="364"/>
        <v>0</v>
      </c>
      <c r="EV60" s="48">
        <f t="shared" ca="1" si="364"/>
        <v>0</v>
      </c>
      <c r="EW60" s="48">
        <f t="shared" ca="1" si="364"/>
        <v>0</v>
      </c>
      <c r="EX60" s="48">
        <f t="shared" ca="1" si="364"/>
        <v>0</v>
      </c>
      <c r="EY60" s="69"/>
      <c r="EZ60" s="48">
        <f t="shared" ca="1" si="379"/>
        <v>0</v>
      </c>
      <c r="FA60" s="48">
        <f t="shared" ca="1" si="379"/>
        <v>0</v>
      </c>
      <c r="FB60" s="48">
        <f t="shared" ca="1" si="379"/>
        <v>0</v>
      </c>
      <c r="FC60" s="48">
        <f t="shared" ca="1" si="379"/>
        <v>0</v>
      </c>
      <c r="FD60" s="48">
        <f t="shared" ca="1" si="379"/>
        <v>0</v>
      </c>
      <c r="FE60" s="48">
        <f t="shared" ca="1" si="379"/>
        <v>0</v>
      </c>
      <c r="FF60" s="48">
        <f t="shared" ca="1" si="379"/>
        <v>0</v>
      </c>
      <c r="FG60" s="48">
        <f t="shared" ca="1" si="379"/>
        <v>0</v>
      </c>
      <c r="FH60" s="48">
        <f t="shared" ca="1" si="379"/>
        <v>0</v>
      </c>
      <c r="FI60" s="48">
        <f t="shared" ca="1" si="379"/>
        <v>0</v>
      </c>
      <c r="FJ60" s="48">
        <f t="shared" ca="1" si="379"/>
        <v>0</v>
      </c>
      <c r="FK60" s="48">
        <f t="shared" ca="1" si="379"/>
        <v>0</v>
      </c>
      <c r="FL60" s="48">
        <f t="shared" ca="1" si="379"/>
        <v>0</v>
      </c>
      <c r="FM60" s="48">
        <f t="shared" ca="1" si="379"/>
        <v>0</v>
      </c>
      <c r="FN60" s="48">
        <f t="shared" ca="1" si="379"/>
        <v>0</v>
      </c>
      <c r="FO60" s="48">
        <f t="shared" ca="1" si="375"/>
        <v>0</v>
      </c>
      <c r="FP60" s="48">
        <f t="shared" ca="1" si="375"/>
        <v>0</v>
      </c>
      <c r="FQ60" s="48">
        <f t="shared" ca="1" si="375"/>
        <v>0</v>
      </c>
      <c r="FR60" s="48">
        <f t="shared" ca="1" si="375"/>
        <v>0</v>
      </c>
      <c r="FS60" s="48">
        <f t="shared" ca="1" si="375"/>
        <v>0</v>
      </c>
      <c r="FT60" s="48">
        <f t="shared" ca="1" si="375"/>
        <v>0</v>
      </c>
      <c r="FU60" s="48">
        <f t="shared" ca="1" si="375"/>
        <v>0</v>
      </c>
      <c r="FV60" s="48">
        <f t="shared" ca="1" si="375"/>
        <v>0</v>
      </c>
      <c r="FW60" s="48">
        <f t="shared" ca="1" si="375"/>
        <v>0</v>
      </c>
      <c r="FX60" s="48">
        <f t="shared" ca="1" si="375"/>
        <v>0</v>
      </c>
      <c r="FY60" s="48">
        <f t="shared" ca="1" si="375"/>
        <v>0</v>
      </c>
      <c r="FZ60" s="48">
        <f t="shared" ca="1" si="375"/>
        <v>0</v>
      </c>
      <c r="GA60" s="48">
        <f t="shared" ca="1" si="375"/>
        <v>0</v>
      </c>
      <c r="GB60" s="48">
        <f t="shared" ca="1" si="375"/>
        <v>0</v>
      </c>
      <c r="GC60" s="48">
        <f t="shared" ca="1" si="375"/>
        <v>0</v>
      </c>
      <c r="GD60" s="48">
        <f t="shared" ca="1" si="375"/>
        <v>0</v>
      </c>
      <c r="GE60" s="48">
        <f t="shared" ca="1" si="376"/>
        <v>0</v>
      </c>
      <c r="GF60" s="48">
        <f t="shared" ca="1" si="376"/>
        <v>0</v>
      </c>
      <c r="GG60" s="48">
        <f t="shared" ca="1" si="376"/>
        <v>0</v>
      </c>
      <c r="GH60" s="48">
        <f t="shared" ca="1" si="376"/>
        <v>0</v>
      </c>
      <c r="GI60" s="48">
        <f t="shared" ca="1" si="376"/>
        <v>0</v>
      </c>
      <c r="GJ60" s="48">
        <f t="shared" ca="1" si="376"/>
        <v>0</v>
      </c>
      <c r="GK60" s="48">
        <f t="shared" ca="1" si="376"/>
        <v>0</v>
      </c>
      <c r="GL60" s="48">
        <f t="shared" ca="1" si="376"/>
        <v>0</v>
      </c>
      <c r="GM60" s="48">
        <f t="shared" ca="1" si="376"/>
        <v>0</v>
      </c>
      <c r="GN60" s="48">
        <f t="shared" ca="1" si="376"/>
        <v>0</v>
      </c>
      <c r="GO60" s="48">
        <f t="shared" ca="1" si="376"/>
        <v>0</v>
      </c>
      <c r="GP60" s="48">
        <f t="shared" ca="1" si="376"/>
        <v>0</v>
      </c>
      <c r="GQ60" s="48">
        <f t="shared" ca="1" si="376"/>
        <v>0</v>
      </c>
      <c r="GR60" s="48">
        <f t="shared" ca="1" si="376"/>
        <v>0</v>
      </c>
      <c r="GS60" s="48">
        <f t="shared" ca="1" si="376"/>
        <v>0</v>
      </c>
      <c r="GT60" s="48">
        <f t="shared" ca="1" si="376"/>
        <v>0</v>
      </c>
      <c r="GU60" s="48">
        <f t="shared" ca="1" si="377"/>
        <v>0</v>
      </c>
      <c r="GV60" s="48">
        <f t="shared" ca="1" si="368"/>
        <v>0</v>
      </c>
      <c r="GW60" s="48">
        <f t="shared" ca="1" si="368"/>
        <v>0</v>
      </c>
      <c r="GX60" s="48">
        <f t="shared" ca="1" si="368"/>
        <v>0</v>
      </c>
      <c r="GY60" s="48">
        <f t="shared" ca="1" si="368"/>
        <v>0</v>
      </c>
      <c r="GZ60" s="48">
        <f t="shared" ca="1" si="368"/>
        <v>0</v>
      </c>
      <c r="HA60" s="69"/>
      <c r="HB60" s="150" t="str">
        <f t="shared" ca="1" si="74"/>
        <v>n/a</v>
      </c>
      <c r="HC60" s="150" t="str">
        <f t="shared" ca="1" si="369"/>
        <v>n/a</v>
      </c>
      <c r="HD60" s="150" t="str">
        <f t="shared" ca="1" si="76"/>
        <v>n/a</v>
      </c>
      <c r="HE60" s="150" t="str">
        <f t="shared" ca="1" si="370"/>
        <v>n/a</v>
      </c>
      <c r="HF60" s="150" t="str">
        <f t="shared" ca="1" si="371"/>
        <v>n/a</v>
      </c>
      <c r="HG60" s="148"/>
      <c r="HH60" s="149"/>
      <c r="HI60" s="149"/>
      <c r="HJ60" s="149"/>
      <c r="HK60" s="150"/>
      <c r="HL60" s="149"/>
      <c r="HM60" s="149"/>
      <c r="HN60" s="149"/>
      <c r="HO60" s="150"/>
      <c r="HP60" s="148"/>
      <c r="HQ60" s="149"/>
      <c r="HR60" s="149"/>
      <c r="HS60" s="149"/>
      <c r="HT60" s="150"/>
      <c r="HU60" s="149"/>
      <c r="HV60" s="149"/>
      <c r="HW60" s="149"/>
      <c r="HX60" s="150"/>
      <c r="HY60" s="151"/>
      <c r="HZ60" s="150"/>
      <c r="IA60" s="150"/>
      <c r="IB60" s="152"/>
      <c r="IC60" s="150"/>
      <c r="ID60" s="152"/>
      <c r="IE60" s="150"/>
      <c r="IF60" s="153"/>
    </row>
    <row r="61" spans="1:240" s="36" customFormat="1" ht="14.4" customHeight="1">
      <c r="A61" s="39"/>
      <c r="B61" s="50" t="str">
        <f t="shared" si="340"/>
        <v>C&amp;I_C&amp;I Prescriptive_Lighting_High Bay Fluorescent Fixture w/ HE Electronic Ballast (T5 10-lamp)_2017_Actual</v>
      </c>
      <c r="C61" s="50">
        <f>INDEX('Measure Inputs'!$D:$D,MATCH($B61,'Measure Inputs'!$B:$B,0))</f>
        <v>27</v>
      </c>
      <c r="D61" s="51" t="str">
        <f>'Measure Inputs'!G33</f>
        <v>C&amp;I</v>
      </c>
      <c r="E61" s="51" t="str">
        <f>'Measure Inputs'!H33</f>
        <v>C&amp;I Prescriptive</v>
      </c>
      <c r="F61" s="51" t="str">
        <f>'Measure Inputs'!I33</f>
        <v>Lighting</v>
      </c>
      <c r="G61" s="51" t="str">
        <f>'Measure Inputs'!J33</f>
        <v>High Bay Fluorescent Fixture w/ HE Electronic Ballast (T5 10-lamp)</v>
      </c>
      <c r="H61" s="51">
        <f>'Measure Inputs'!K33</f>
        <v>2017</v>
      </c>
      <c r="I61" s="51" t="str">
        <f>'Measure Inputs'!L33</f>
        <v>Actual</v>
      </c>
      <c r="J61" s="37"/>
      <c r="K61" s="99" t="str">
        <f ca="1">INDEX(OFFSET('Measure Inputs'!$O$7,,,InputRows),$C61)</f>
        <v>Units</v>
      </c>
      <c r="L61" s="38">
        <f ca="1">INDEX(OFFSET('Measure Inputs'!$Q$7,,,InputRows),$C61)</f>
        <v>0</v>
      </c>
      <c r="M61" s="167">
        <f>INDEX('General Inputs'!$E$14:$E$15,MATCH(D61,'General Inputs'!$D$14:$D$15,0))</f>
        <v>1.0469999999999999</v>
      </c>
      <c r="N61" s="54">
        <f ca="1">INDEX(OFFSET('Measure Inputs'!$Y$7,,,InputRows),$C61)</f>
        <v>1</v>
      </c>
      <c r="O61" s="54">
        <f ca="1">INDEX(OFFSET('Measure Inputs'!$Z$7,,,InputRows),$C61)</f>
        <v>1</v>
      </c>
      <c r="P61" s="37"/>
      <c r="Q61" s="127">
        <f ca="1">CONVERT(INDEX(OFFSET('Measure Inputs'!$AB$7,,,InputRows),$C61),'Measure Inputs'!$AB$6,Q$8)*$L61</f>
        <v>0</v>
      </c>
      <c r="R61" s="127">
        <f t="shared" ca="1" si="341"/>
        <v>0</v>
      </c>
      <c r="S61" s="127">
        <f t="shared" ca="1" si="342"/>
        <v>0</v>
      </c>
      <c r="T61" s="37"/>
      <c r="U61" s="127">
        <f ca="1">CONVERT(INDEX(OFFSET('Measure Inputs'!$AD$7,,,InputRows),$C61),'Measure Inputs'!$AD$6,U$8)*$L61</f>
        <v>0</v>
      </c>
      <c r="V61" s="127">
        <f t="shared" ca="1" si="343"/>
        <v>0</v>
      </c>
      <c r="W61" s="127">
        <f t="shared" ca="1" si="344"/>
        <v>0</v>
      </c>
      <c r="X61" s="37"/>
      <c r="Y61" s="127">
        <f ca="1">CONVERT(INDEX(OFFSET('Measure Inputs'!$AC$7,,,InputRows),$C61),'Measure Inputs'!$AC$6,Y$8)*$L61</f>
        <v>0</v>
      </c>
      <c r="Z61" s="127">
        <f t="shared" ca="1" si="345"/>
        <v>0</v>
      </c>
      <c r="AA61" s="127">
        <f t="shared" ca="1" si="346"/>
        <v>0</v>
      </c>
      <c r="AB61" s="37"/>
      <c r="AC61" s="127">
        <f ca="1">CONVERT(INDEX(OFFSET('Measure Inputs'!$AE$7,,,InputRows),$C61),'Measure Inputs'!$AE$6,AC$8)*$L61</f>
        <v>0</v>
      </c>
      <c r="AD61" s="127">
        <f t="shared" ca="1" si="347"/>
        <v>0</v>
      </c>
      <c r="AE61" s="127">
        <f t="shared" ca="1" si="348"/>
        <v>0</v>
      </c>
      <c r="AF61" s="37"/>
      <c r="AG61" s="97">
        <f ca="1">INDEX(OFFSET('Measure Inputs'!$R$7,,,InputRows),$C61)</f>
        <v>15</v>
      </c>
      <c r="AH61" s="97">
        <f ca="1">INDEX(OFFSET('Measure Inputs'!$S$7,,,InputRows),$C61)</f>
        <v>0</v>
      </c>
      <c r="AI61" s="97">
        <f t="shared" ca="1" si="349"/>
        <v>0</v>
      </c>
      <c r="AJ61" s="100">
        <f ca="1">INDEX(OFFSET('Measure Inputs'!$T$7,,,InputRows),$C61)*$L61*$N61*$O61</f>
        <v>0</v>
      </c>
      <c r="AK61" s="100">
        <f ca="1">INDEX(OFFSET('Measure Inputs'!$U$7,,,InputRows),$C61)*$L61*$N61*$O61</f>
        <v>0</v>
      </c>
      <c r="AL61" s="100">
        <f ca="1">INDEX(OFFSET('Measure Inputs'!$V$7,,,InputRows),$C61)*$L61*$N61*$O61</f>
        <v>0</v>
      </c>
      <c r="AM61" s="100">
        <f ca="1">INDEX(OFFSET('Measure Inputs'!$W$7,,,InputRows),$C61)*$L61*$N61*$O61</f>
        <v>0</v>
      </c>
      <c r="AN61" s="100">
        <f ca="1">INDEX(OFFSET('Measure Inputs'!$X$7,,,InputRows),$C61)*$L61</f>
        <v>0</v>
      </c>
      <c r="AO61" s="100"/>
      <c r="AP61" s="100">
        <f t="shared" ca="1" si="350"/>
        <v>0</v>
      </c>
      <c r="AQ61" s="37"/>
      <c r="AR61" s="100">
        <f ca="1">SUMPRODUCT(--($CX$9:$EX$9=$H61)*$AJ61,'General Inputs'!$K$40:$BK$40)+SUMPRODUCT(--($CX$9:$EX$9=$H61+$AH61)*-$AK61,'General Inputs'!$K$43:$BK$43)</f>
        <v>0</v>
      </c>
      <c r="AS61" s="100">
        <f ca="1">CONVERT(SUMPRODUCT($CX61:$EX61,'General Inputs'!$K$29:$BK$29,'General Inputs'!$K$40:$BK$40)*$M61,$Q$8,'General Inputs'!$E$17)</f>
        <v>0</v>
      </c>
      <c r="AT61" s="100">
        <f ca="1">SUMPRODUCT(--($CX$9:$EX$9=$H61)*$AN61,'General Inputs'!$K$40:$BK$40)</f>
        <v>0</v>
      </c>
      <c r="AU61" s="100">
        <f>SUMPRODUCT(--($CX$9:$EX$9=$H61)*$AO61,'General Inputs'!$K$40:$BK$40)</f>
        <v>0</v>
      </c>
      <c r="AV61" s="100">
        <f ca="1">CONVERT(SUMPRODUCT($CX61:$EX61,'General Inputs'!$K$40:$BK$40,OFFSET('General Inputs'!$K$34:$BK$34,MATCH($D61,'General Inputs'!$J$34:$J$35,0)-1,)),$Q$8,'General Inputs'!$G$32)</f>
        <v>0</v>
      </c>
      <c r="AW61" s="100">
        <f ca="1">CONVERT(SUMPRODUCT($CX61:$EX61,'General Inputs'!$K$27:$BK$27,'General Inputs'!$K$40:$BK$40)*$M61,$Q$8,'General Inputs'!$E$17)</f>
        <v>0</v>
      </c>
      <c r="AX61" s="100">
        <f ca="1">CONVERT(SUMPRODUCT($EZ61:$GZ61,'General Inputs'!$K$28:$BK$28,'General Inputs'!$K$40:$BK$40)*$M61,$Q$8,'General Inputs'!$E$17)</f>
        <v>0</v>
      </c>
      <c r="AY61" s="98">
        <f ca="1">SUMPRODUCT($CX61:$EX61,'General Inputs'!$K$40:$BK$40)</f>
        <v>0</v>
      </c>
      <c r="AZ61" s="37"/>
      <c r="BA61" s="100">
        <f t="shared" ca="1" si="351"/>
        <v>0</v>
      </c>
      <c r="BB61" s="102" t="e">
        <f t="shared" ca="1" si="352"/>
        <v>#DIV/0!</v>
      </c>
      <c r="BC61" s="100">
        <f t="shared" ca="1" si="273"/>
        <v>0</v>
      </c>
      <c r="BD61" s="100">
        <f t="shared" ca="1" si="274"/>
        <v>0</v>
      </c>
      <c r="BE61" s="100">
        <f t="shared" ca="1" si="275"/>
        <v>0</v>
      </c>
      <c r="BF61" s="100">
        <f t="shared" ca="1" si="276"/>
        <v>0</v>
      </c>
      <c r="BG61" s="100">
        <f t="shared" si="277"/>
        <v>0</v>
      </c>
      <c r="BH61" s="100">
        <f t="shared" ca="1" si="278"/>
        <v>0</v>
      </c>
      <c r="BI61" s="37"/>
      <c r="BJ61" s="100">
        <f t="shared" ca="1" si="353"/>
        <v>0</v>
      </c>
      <c r="BK61" s="102" t="e">
        <f t="shared" ca="1" si="354"/>
        <v>#DIV/0!</v>
      </c>
      <c r="BL61" s="100">
        <f t="shared" ca="1" si="279"/>
        <v>0</v>
      </c>
      <c r="BM61" s="100">
        <f t="shared" ca="1" si="164"/>
        <v>0</v>
      </c>
      <c r="BN61" s="100">
        <f t="shared" ca="1" si="280"/>
        <v>0</v>
      </c>
      <c r="BO61" s="100">
        <f t="shared" ca="1" si="281"/>
        <v>0</v>
      </c>
      <c r="BP61" s="100">
        <f t="shared" ca="1" si="282"/>
        <v>0</v>
      </c>
      <c r="BQ61" s="100">
        <f t="shared" si="283"/>
        <v>0</v>
      </c>
      <c r="BR61" s="100">
        <f t="shared" ca="1" si="284"/>
        <v>0</v>
      </c>
      <c r="BS61" s="37"/>
      <c r="BT61" s="100">
        <f t="shared" ca="1" si="355"/>
        <v>0</v>
      </c>
      <c r="BU61" s="102" t="e">
        <f t="shared" ca="1" si="356"/>
        <v>#DIV/0!</v>
      </c>
      <c r="BV61" s="102" t="e">
        <f t="shared" ca="1" si="285"/>
        <v>#DIV/0!</v>
      </c>
      <c r="BW61" s="100">
        <f t="shared" ca="1" si="286"/>
        <v>0</v>
      </c>
      <c r="BX61" s="100">
        <f t="shared" ca="1" si="287"/>
        <v>0</v>
      </c>
      <c r="BY61" s="100">
        <f t="shared" ca="1" si="288"/>
        <v>0</v>
      </c>
      <c r="BZ61" s="100">
        <f t="shared" ca="1" si="289"/>
        <v>0</v>
      </c>
      <c r="CA61" s="100">
        <f t="shared" ca="1" si="290"/>
        <v>0</v>
      </c>
      <c r="CB61" s="37"/>
      <c r="CC61" s="100">
        <f t="shared" ca="1" si="357"/>
        <v>0</v>
      </c>
      <c r="CD61" s="102" t="e">
        <f t="shared" ca="1" si="358"/>
        <v>#DIV/0!</v>
      </c>
      <c r="CE61" s="103" t="e">
        <f t="shared" ca="1" si="291"/>
        <v>#DIV/0!</v>
      </c>
      <c r="CF61" s="100">
        <f t="shared" ca="1" si="292"/>
        <v>0</v>
      </c>
      <c r="CG61" s="100">
        <f t="shared" ca="1" si="293"/>
        <v>0</v>
      </c>
      <c r="CH61" s="100">
        <f t="shared" ca="1" si="294"/>
        <v>0</v>
      </c>
      <c r="CI61" s="100">
        <f t="shared" ca="1" si="71"/>
        <v>0</v>
      </c>
      <c r="CJ61" s="100">
        <f t="shared" ca="1" si="72"/>
        <v>0</v>
      </c>
      <c r="CK61" s="100">
        <f t="shared" si="295"/>
        <v>0</v>
      </c>
      <c r="CL61" s="37"/>
      <c r="CM61" s="100">
        <f t="shared" ca="1" si="359"/>
        <v>0</v>
      </c>
      <c r="CN61" s="102" t="e">
        <f t="shared" ca="1" si="360"/>
        <v>#DIV/0!</v>
      </c>
      <c r="CO61" s="128"/>
      <c r="CP61" s="100">
        <f t="shared" ca="1" si="296"/>
        <v>0</v>
      </c>
      <c r="CQ61" s="100">
        <f t="shared" ca="1" si="297"/>
        <v>0</v>
      </c>
      <c r="CR61" s="100">
        <f t="shared" ca="1" si="298"/>
        <v>0</v>
      </c>
      <c r="CS61" s="100">
        <f t="shared" ca="1" si="73"/>
        <v>0</v>
      </c>
      <c r="CT61" s="100">
        <f t="shared" ca="1" si="299"/>
        <v>0</v>
      </c>
      <c r="CU61" s="100">
        <f t="shared" ca="1" si="300"/>
        <v>0</v>
      </c>
      <c r="CV61" s="100">
        <f t="shared" si="301"/>
        <v>0</v>
      </c>
      <c r="CW61" s="37"/>
      <c r="CX61" s="48">
        <f t="shared" ca="1" si="378"/>
        <v>0</v>
      </c>
      <c r="CY61" s="48">
        <f t="shared" ca="1" si="378"/>
        <v>0</v>
      </c>
      <c r="CZ61" s="48">
        <f t="shared" ca="1" si="378"/>
        <v>0</v>
      </c>
      <c r="DA61" s="48">
        <f t="shared" ca="1" si="378"/>
        <v>0</v>
      </c>
      <c r="DB61" s="48">
        <f t="shared" ca="1" si="378"/>
        <v>0</v>
      </c>
      <c r="DC61" s="48">
        <f t="shared" ca="1" si="378"/>
        <v>0</v>
      </c>
      <c r="DD61" s="48">
        <f t="shared" ca="1" si="378"/>
        <v>0</v>
      </c>
      <c r="DE61" s="48">
        <f t="shared" ca="1" si="378"/>
        <v>0</v>
      </c>
      <c r="DF61" s="48">
        <f t="shared" ca="1" si="378"/>
        <v>0</v>
      </c>
      <c r="DG61" s="48">
        <f t="shared" ca="1" si="378"/>
        <v>0</v>
      </c>
      <c r="DH61" s="48">
        <f t="shared" ca="1" si="378"/>
        <v>0</v>
      </c>
      <c r="DI61" s="48">
        <f t="shared" ca="1" si="378"/>
        <v>0</v>
      </c>
      <c r="DJ61" s="48">
        <f t="shared" ca="1" si="378"/>
        <v>0</v>
      </c>
      <c r="DK61" s="48">
        <f t="shared" ca="1" si="378"/>
        <v>0</v>
      </c>
      <c r="DL61" s="48">
        <f t="shared" ca="1" si="378"/>
        <v>0</v>
      </c>
      <c r="DM61" s="48">
        <f t="shared" ca="1" si="372"/>
        <v>0</v>
      </c>
      <c r="DN61" s="48">
        <f t="shared" ca="1" si="372"/>
        <v>0</v>
      </c>
      <c r="DO61" s="48">
        <f t="shared" ca="1" si="372"/>
        <v>0</v>
      </c>
      <c r="DP61" s="48">
        <f t="shared" ca="1" si="372"/>
        <v>0</v>
      </c>
      <c r="DQ61" s="48">
        <f t="shared" ca="1" si="372"/>
        <v>0</v>
      </c>
      <c r="DR61" s="48">
        <f t="shared" ca="1" si="372"/>
        <v>0</v>
      </c>
      <c r="DS61" s="48">
        <f t="shared" ca="1" si="372"/>
        <v>0</v>
      </c>
      <c r="DT61" s="48">
        <f t="shared" ca="1" si="372"/>
        <v>0</v>
      </c>
      <c r="DU61" s="48">
        <f t="shared" ca="1" si="372"/>
        <v>0</v>
      </c>
      <c r="DV61" s="48">
        <f t="shared" ca="1" si="372"/>
        <v>0</v>
      </c>
      <c r="DW61" s="48">
        <f t="shared" ca="1" si="372"/>
        <v>0</v>
      </c>
      <c r="DX61" s="48">
        <f t="shared" ca="1" si="372"/>
        <v>0</v>
      </c>
      <c r="DY61" s="48">
        <f t="shared" ca="1" si="372"/>
        <v>0</v>
      </c>
      <c r="DZ61" s="48">
        <f t="shared" ca="1" si="372"/>
        <v>0</v>
      </c>
      <c r="EA61" s="48">
        <f t="shared" ca="1" si="372"/>
        <v>0</v>
      </c>
      <c r="EB61" s="48">
        <f t="shared" ca="1" si="372"/>
        <v>0</v>
      </c>
      <c r="EC61" s="48">
        <f t="shared" ca="1" si="373"/>
        <v>0</v>
      </c>
      <c r="ED61" s="48">
        <f t="shared" ca="1" si="373"/>
        <v>0</v>
      </c>
      <c r="EE61" s="48">
        <f t="shared" ca="1" si="373"/>
        <v>0</v>
      </c>
      <c r="EF61" s="48">
        <f t="shared" ca="1" si="373"/>
        <v>0</v>
      </c>
      <c r="EG61" s="48">
        <f t="shared" ca="1" si="373"/>
        <v>0</v>
      </c>
      <c r="EH61" s="48">
        <f t="shared" ca="1" si="373"/>
        <v>0</v>
      </c>
      <c r="EI61" s="48">
        <f t="shared" ca="1" si="373"/>
        <v>0</v>
      </c>
      <c r="EJ61" s="48">
        <f t="shared" ca="1" si="373"/>
        <v>0</v>
      </c>
      <c r="EK61" s="48">
        <f t="shared" ca="1" si="373"/>
        <v>0</v>
      </c>
      <c r="EL61" s="48">
        <f t="shared" ca="1" si="373"/>
        <v>0</v>
      </c>
      <c r="EM61" s="48">
        <f t="shared" ca="1" si="373"/>
        <v>0</v>
      </c>
      <c r="EN61" s="48">
        <f t="shared" ca="1" si="373"/>
        <v>0</v>
      </c>
      <c r="EO61" s="48">
        <f t="shared" ca="1" si="373"/>
        <v>0</v>
      </c>
      <c r="EP61" s="48">
        <f t="shared" ca="1" si="373"/>
        <v>0</v>
      </c>
      <c r="EQ61" s="48">
        <f t="shared" ca="1" si="373"/>
        <v>0</v>
      </c>
      <c r="ER61" s="48">
        <f t="shared" ca="1" si="373"/>
        <v>0</v>
      </c>
      <c r="ES61" s="48">
        <f t="shared" ca="1" si="374"/>
        <v>0</v>
      </c>
      <c r="ET61" s="48">
        <f t="shared" ca="1" si="364"/>
        <v>0</v>
      </c>
      <c r="EU61" s="48">
        <f t="shared" ca="1" si="364"/>
        <v>0</v>
      </c>
      <c r="EV61" s="48">
        <f t="shared" ca="1" si="364"/>
        <v>0</v>
      </c>
      <c r="EW61" s="48">
        <f t="shared" ca="1" si="364"/>
        <v>0</v>
      </c>
      <c r="EX61" s="48">
        <f t="shared" ca="1" si="364"/>
        <v>0</v>
      </c>
      <c r="EY61" s="69"/>
      <c r="EZ61" s="48">
        <f t="shared" ca="1" si="379"/>
        <v>0</v>
      </c>
      <c r="FA61" s="48">
        <f t="shared" ca="1" si="379"/>
        <v>0</v>
      </c>
      <c r="FB61" s="48">
        <f t="shared" ca="1" si="379"/>
        <v>0</v>
      </c>
      <c r="FC61" s="48">
        <f t="shared" ca="1" si="379"/>
        <v>0</v>
      </c>
      <c r="FD61" s="48">
        <f t="shared" ca="1" si="379"/>
        <v>0</v>
      </c>
      <c r="FE61" s="48">
        <f t="shared" ca="1" si="379"/>
        <v>0</v>
      </c>
      <c r="FF61" s="48">
        <f t="shared" ca="1" si="379"/>
        <v>0</v>
      </c>
      <c r="FG61" s="48">
        <f t="shared" ca="1" si="379"/>
        <v>0</v>
      </c>
      <c r="FH61" s="48">
        <f t="shared" ca="1" si="379"/>
        <v>0</v>
      </c>
      <c r="FI61" s="48">
        <f t="shared" ca="1" si="379"/>
        <v>0</v>
      </c>
      <c r="FJ61" s="48">
        <f t="shared" ca="1" si="379"/>
        <v>0</v>
      </c>
      <c r="FK61" s="48">
        <f t="shared" ca="1" si="379"/>
        <v>0</v>
      </c>
      <c r="FL61" s="48">
        <f t="shared" ca="1" si="379"/>
        <v>0</v>
      </c>
      <c r="FM61" s="48">
        <f t="shared" ca="1" si="379"/>
        <v>0</v>
      </c>
      <c r="FN61" s="48">
        <f t="shared" ca="1" si="379"/>
        <v>0</v>
      </c>
      <c r="FO61" s="48">
        <f t="shared" ca="1" si="375"/>
        <v>0</v>
      </c>
      <c r="FP61" s="48">
        <f t="shared" ca="1" si="375"/>
        <v>0</v>
      </c>
      <c r="FQ61" s="48">
        <f t="shared" ca="1" si="375"/>
        <v>0</v>
      </c>
      <c r="FR61" s="48">
        <f t="shared" ca="1" si="375"/>
        <v>0</v>
      </c>
      <c r="FS61" s="48">
        <f t="shared" ca="1" si="375"/>
        <v>0</v>
      </c>
      <c r="FT61" s="48">
        <f t="shared" ca="1" si="375"/>
        <v>0</v>
      </c>
      <c r="FU61" s="48">
        <f t="shared" ca="1" si="375"/>
        <v>0</v>
      </c>
      <c r="FV61" s="48">
        <f t="shared" ca="1" si="375"/>
        <v>0</v>
      </c>
      <c r="FW61" s="48">
        <f t="shared" ca="1" si="375"/>
        <v>0</v>
      </c>
      <c r="FX61" s="48">
        <f t="shared" ca="1" si="375"/>
        <v>0</v>
      </c>
      <c r="FY61" s="48">
        <f t="shared" ca="1" si="375"/>
        <v>0</v>
      </c>
      <c r="FZ61" s="48">
        <f t="shared" ca="1" si="375"/>
        <v>0</v>
      </c>
      <c r="GA61" s="48">
        <f t="shared" ca="1" si="375"/>
        <v>0</v>
      </c>
      <c r="GB61" s="48">
        <f t="shared" ca="1" si="375"/>
        <v>0</v>
      </c>
      <c r="GC61" s="48">
        <f t="shared" ca="1" si="375"/>
        <v>0</v>
      </c>
      <c r="GD61" s="48">
        <f t="shared" ca="1" si="375"/>
        <v>0</v>
      </c>
      <c r="GE61" s="48">
        <f t="shared" ca="1" si="376"/>
        <v>0</v>
      </c>
      <c r="GF61" s="48">
        <f t="shared" ca="1" si="376"/>
        <v>0</v>
      </c>
      <c r="GG61" s="48">
        <f t="shared" ca="1" si="376"/>
        <v>0</v>
      </c>
      <c r="GH61" s="48">
        <f t="shared" ca="1" si="376"/>
        <v>0</v>
      </c>
      <c r="GI61" s="48">
        <f t="shared" ca="1" si="376"/>
        <v>0</v>
      </c>
      <c r="GJ61" s="48">
        <f t="shared" ca="1" si="376"/>
        <v>0</v>
      </c>
      <c r="GK61" s="48">
        <f t="shared" ca="1" si="376"/>
        <v>0</v>
      </c>
      <c r="GL61" s="48">
        <f t="shared" ca="1" si="376"/>
        <v>0</v>
      </c>
      <c r="GM61" s="48">
        <f t="shared" ca="1" si="376"/>
        <v>0</v>
      </c>
      <c r="GN61" s="48">
        <f t="shared" ca="1" si="376"/>
        <v>0</v>
      </c>
      <c r="GO61" s="48">
        <f t="shared" ca="1" si="376"/>
        <v>0</v>
      </c>
      <c r="GP61" s="48">
        <f t="shared" ca="1" si="376"/>
        <v>0</v>
      </c>
      <c r="GQ61" s="48">
        <f t="shared" ca="1" si="376"/>
        <v>0</v>
      </c>
      <c r="GR61" s="48">
        <f t="shared" ca="1" si="376"/>
        <v>0</v>
      </c>
      <c r="GS61" s="48">
        <f t="shared" ca="1" si="376"/>
        <v>0</v>
      </c>
      <c r="GT61" s="48">
        <f t="shared" ca="1" si="376"/>
        <v>0</v>
      </c>
      <c r="GU61" s="48">
        <f t="shared" ca="1" si="377"/>
        <v>0</v>
      </c>
      <c r="GV61" s="48">
        <f t="shared" ca="1" si="368"/>
        <v>0</v>
      </c>
      <c r="GW61" s="48">
        <f t="shared" ca="1" si="368"/>
        <v>0</v>
      </c>
      <c r="GX61" s="48">
        <f t="shared" ca="1" si="368"/>
        <v>0</v>
      </c>
      <c r="GY61" s="48">
        <f t="shared" ca="1" si="368"/>
        <v>0</v>
      </c>
      <c r="GZ61" s="48">
        <f t="shared" ca="1" si="368"/>
        <v>0</v>
      </c>
      <c r="HA61" s="69"/>
      <c r="HB61" s="150" t="str">
        <f t="shared" ca="1" si="74"/>
        <v>n/a</v>
      </c>
      <c r="HC61" s="150" t="str">
        <f t="shared" ca="1" si="369"/>
        <v>n/a</v>
      </c>
      <c r="HD61" s="150" t="str">
        <f t="shared" ca="1" si="76"/>
        <v>n/a</v>
      </c>
      <c r="HE61" s="150" t="str">
        <f t="shared" ca="1" si="370"/>
        <v>n/a</v>
      </c>
      <c r="HF61" s="150" t="str">
        <f t="shared" ca="1" si="371"/>
        <v>n/a</v>
      </c>
      <c r="HG61" s="148"/>
      <c r="HH61" s="149"/>
      <c r="HI61" s="149"/>
      <c r="HJ61" s="149"/>
      <c r="HK61" s="150"/>
      <c r="HL61" s="149"/>
      <c r="HM61" s="149"/>
      <c r="HN61" s="149"/>
      <c r="HO61" s="150"/>
      <c r="HP61" s="148"/>
      <c r="HQ61" s="149"/>
      <c r="HR61" s="149"/>
      <c r="HS61" s="149"/>
      <c r="HT61" s="150"/>
      <c r="HU61" s="149"/>
      <c r="HV61" s="149"/>
      <c r="HW61" s="149"/>
      <c r="HX61" s="150"/>
      <c r="HY61" s="151"/>
      <c r="HZ61" s="150"/>
      <c r="IA61" s="150"/>
      <c r="IB61" s="152"/>
      <c r="IC61" s="150"/>
      <c r="ID61" s="152"/>
      <c r="IE61" s="150"/>
      <c r="IF61" s="153"/>
    </row>
    <row r="62" spans="1:240" s="36" customFormat="1" ht="14.4" customHeight="1">
      <c r="A62" s="39"/>
      <c r="B62" s="50" t="str">
        <f t="shared" si="340"/>
        <v>C&amp;I_C&amp;I Prescriptive_Lighting_High Bay Fluorescent Fixture w/ HE Electronic Ballast (T8 6-8 lamp)_2017_Actual</v>
      </c>
      <c r="C62" s="50">
        <f>INDEX('Measure Inputs'!$D:$D,MATCH($B62,'Measure Inputs'!$B:$B,0))</f>
        <v>28</v>
      </c>
      <c r="D62" s="51" t="str">
        <f>'Measure Inputs'!G34</f>
        <v>C&amp;I</v>
      </c>
      <c r="E62" s="51" t="str">
        <f>'Measure Inputs'!H34</f>
        <v>C&amp;I Prescriptive</v>
      </c>
      <c r="F62" s="51" t="str">
        <f>'Measure Inputs'!I34</f>
        <v>Lighting</v>
      </c>
      <c r="G62" s="51" t="str">
        <f>'Measure Inputs'!J34</f>
        <v>High Bay Fluorescent Fixture w/ HE Electronic Ballast (T8 6-8 lamp)</v>
      </c>
      <c r="H62" s="51">
        <f>'Measure Inputs'!K34</f>
        <v>2017</v>
      </c>
      <c r="I62" s="51" t="str">
        <f>'Measure Inputs'!L34</f>
        <v>Actual</v>
      </c>
      <c r="J62" s="37"/>
      <c r="K62" s="99" t="str">
        <f ca="1">INDEX(OFFSET('Measure Inputs'!$O$7,,,InputRows),$C62)</f>
        <v>Units</v>
      </c>
      <c r="L62" s="38">
        <f ca="1">INDEX(OFFSET('Measure Inputs'!$Q$7,,,InputRows),$C62)</f>
        <v>0</v>
      </c>
      <c r="M62" s="167">
        <f>INDEX('General Inputs'!$E$14:$E$15,MATCH(D62,'General Inputs'!$D$14:$D$15,0))</f>
        <v>1.0469999999999999</v>
      </c>
      <c r="N62" s="54">
        <f ca="1">INDEX(OFFSET('Measure Inputs'!$Y$7,,,InputRows),$C62)</f>
        <v>1</v>
      </c>
      <c r="O62" s="54">
        <f ca="1">INDEX(OFFSET('Measure Inputs'!$Z$7,,,InputRows),$C62)</f>
        <v>1</v>
      </c>
      <c r="P62" s="37"/>
      <c r="Q62" s="127">
        <f ca="1">CONVERT(INDEX(OFFSET('Measure Inputs'!$AB$7,,,InputRows),$C62),'Measure Inputs'!$AB$6,Q$8)*$L62</f>
        <v>0</v>
      </c>
      <c r="R62" s="127">
        <f t="shared" ca="1" si="341"/>
        <v>0</v>
      </c>
      <c r="S62" s="127">
        <f t="shared" ca="1" si="342"/>
        <v>0</v>
      </c>
      <c r="T62" s="37"/>
      <c r="U62" s="127">
        <f ca="1">CONVERT(INDEX(OFFSET('Measure Inputs'!$AD$7,,,InputRows),$C62),'Measure Inputs'!$AD$6,U$8)*$L62</f>
        <v>0</v>
      </c>
      <c r="V62" s="127">
        <f t="shared" ca="1" si="343"/>
        <v>0</v>
      </c>
      <c r="W62" s="127">
        <f t="shared" ca="1" si="344"/>
        <v>0</v>
      </c>
      <c r="X62" s="37"/>
      <c r="Y62" s="127">
        <f ca="1">CONVERT(INDEX(OFFSET('Measure Inputs'!$AC$7,,,InputRows),$C62),'Measure Inputs'!$AC$6,Y$8)*$L62</f>
        <v>0</v>
      </c>
      <c r="Z62" s="127">
        <f t="shared" ca="1" si="345"/>
        <v>0</v>
      </c>
      <c r="AA62" s="127">
        <f t="shared" ca="1" si="346"/>
        <v>0</v>
      </c>
      <c r="AB62" s="37"/>
      <c r="AC62" s="127">
        <f ca="1">CONVERT(INDEX(OFFSET('Measure Inputs'!$AE$7,,,InputRows),$C62),'Measure Inputs'!$AE$6,AC$8)*$L62</f>
        <v>0</v>
      </c>
      <c r="AD62" s="127">
        <f t="shared" ca="1" si="347"/>
        <v>0</v>
      </c>
      <c r="AE62" s="127">
        <f t="shared" ca="1" si="348"/>
        <v>0</v>
      </c>
      <c r="AF62" s="37"/>
      <c r="AG62" s="97">
        <f ca="1">INDEX(OFFSET('Measure Inputs'!$R$7,,,InputRows),$C62)</f>
        <v>15</v>
      </c>
      <c r="AH62" s="97">
        <f ca="1">INDEX(OFFSET('Measure Inputs'!$S$7,,,InputRows),$C62)</f>
        <v>0</v>
      </c>
      <c r="AI62" s="97">
        <f t="shared" ca="1" si="349"/>
        <v>0</v>
      </c>
      <c r="AJ62" s="100">
        <f ca="1">INDEX(OFFSET('Measure Inputs'!$T$7,,,InputRows),$C62)*$L62*$N62*$O62</f>
        <v>0</v>
      </c>
      <c r="AK62" s="100">
        <f ca="1">INDEX(OFFSET('Measure Inputs'!$U$7,,,InputRows),$C62)*$L62*$N62*$O62</f>
        <v>0</v>
      </c>
      <c r="AL62" s="100">
        <f ca="1">INDEX(OFFSET('Measure Inputs'!$V$7,,,InputRows),$C62)*$L62*$N62*$O62</f>
        <v>0</v>
      </c>
      <c r="AM62" s="100">
        <f ca="1">INDEX(OFFSET('Measure Inputs'!$W$7,,,InputRows),$C62)*$L62*$N62*$O62</f>
        <v>0</v>
      </c>
      <c r="AN62" s="100">
        <f ca="1">INDEX(OFFSET('Measure Inputs'!$X$7,,,InputRows),$C62)*$L62</f>
        <v>0</v>
      </c>
      <c r="AO62" s="100"/>
      <c r="AP62" s="100">
        <f t="shared" ca="1" si="350"/>
        <v>0</v>
      </c>
      <c r="AQ62" s="37"/>
      <c r="AR62" s="100">
        <f ca="1">SUMPRODUCT(--($CX$9:$EX$9=$H62)*$AJ62,'General Inputs'!$K$40:$BK$40)+SUMPRODUCT(--($CX$9:$EX$9=$H62+$AH62)*-$AK62,'General Inputs'!$K$43:$BK$43)</f>
        <v>0</v>
      </c>
      <c r="AS62" s="100">
        <f ca="1">CONVERT(SUMPRODUCT($CX62:$EX62,'General Inputs'!$K$29:$BK$29,'General Inputs'!$K$40:$BK$40)*$M62,$Q$8,'General Inputs'!$E$17)</f>
        <v>0</v>
      </c>
      <c r="AT62" s="100">
        <f ca="1">SUMPRODUCT(--($CX$9:$EX$9=$H62)*$AN62,'General Inputs'!$K$40:$BK$40)</f>
        <v>0</v>
      </c>
      <c r="AU62" s="100">
        <f>SUMPRODUCT(--($CX$9:$EX$9=$H62)*$AO62,'General Inputs'!$K$40:$BK$40)</f>
        <v>0</v>
      </c>
      <c r="AV62" s="100">
        <f ca="1">CONVERT(SUMPRODUCT($CX62:$EX62,'General Inputs'!$K$40:$BK$40,OFFSET('General Inputs'!$K$34:$BK$34,MATCH($D62,'General Inputs'!$J$34:$J$35,0)-1,)),$Q$8,'General Inputs'!$G$32)</f>
        <v>0</v>
      </c>
      <c r="AW62" s="100">
        <f ca="1">CONVERT(SUMPRODUCT($CX62:$EX62,'General Inputs'!$K$27:$BK$27,'General Inputs'!$K$40:$BK$40)*$M62,$Q$8,'General Inputs'!$E$17)</f>
        <v>0</v>
      </c>
      <c r="AX62" s="100">
        <f ca="1">CONVERT(SUMPRODUCT($EZ62:$GZ62,'General Inputs'!$K$28:$BK$28,'General Inputs'!$K$40:$BK$40)*$M62,$Q$8,'General Inputs'!$E$17)</f>
        <v>0</v>
      </c>
      <c r="AY62" s="98">
        <f ca="1">SUMPRODUCT($CX62:$EX62,'General Inputs'!$K$40:$BK$40)</f>
        <v>0</v>
      </c>
      <c r="AZ62" s="37"/>
      <c r="BA62" s="100">
        <f t="shared" ca="1" si="351"/>
        <v>0</v>
      </c>
      <c r="BB62" s="102" t="e">
        <f t="shared" ca="1" si="352"/>
        <v>#DIV/0!</v>
      </c>
      <c r="BC62" s="100">
        <f t="shared" ca="1" si="273"/>
        <v>0</v>
      </c>
      <c r="BD62" s="100">
        <f t="shared" ca="1" si="274"/>
        <v>0</v>
      </c>
      <c r="BE62" s="100">
        <f t="shared" ca="1" si="275"/>
        <v>0</v>
      </c>
      <c r="BF62" s="100">
        <f t="shared" ca="1" si="276"/>
        <v>0</v>
      </c>
      <c r="BG62" s="100">
        <f t="shared" si="277"/>
        <v>0</v>
      </c>
      <c r="BH62" s="100">
        <f t="shared" ca="1" si="278"/>
        <v>0</v>
      </c>
      <c r="BI62" s="37"/>
      <c r="BJ62" s="100">
        <f t="shared" ca="1" si="353"/>
        <v>0</v>
      </c>
      <c r="BK62" s="102" t="e">
        <f t="shared" ca="1" si="354"/>
        <v>#DIV/0!</v>
      </c>
      <c r="BL62" s="100">
        <f t="shared" ca="1" si="279"/>
        <v>0</v>
      </c>
      <c r="BM62" s="100">
        <f t="shared" ca="1" si="164"/>
        <v>0</v>
      </c>
      <c r="BN62" s="100">
        <f t="shared" ca="1" si="280"/>
        <v>0</v>
      </c>
      <c r="BO62" s="100">
        <f t="shared" ca="1" si="281"/>
        <v>0</v>
      </c>
      <c r="BP62" s="100">
        <f t="shared" ca="1" si="282"/>
        <v>0</v>
      </c>
      <c r="BQ62" s="100">
        <f t="shared" si="283"/>
        <v>0</v>
      </c>
      <c r="BR62" s="100">
        <f t="shared" ca="1" si="284"/>
        <v>0</v>
      </c>
      <c r="BS62" s="37"/>
      <c r="BT62" s="100">
        <f t="shared" ca="1" si="355"/>
        <v>0</v>
      </c>
      <c r="BU62" s="102" t="e">
        <f t="shared" ca="1" si="356"/>
        <v>#DIV/0!</v>
      </c>
      <c r="BV62" s="102" t="e">
        <f t="shared" ca="1" si="285"/>
        <v>#DIV/0!</v>
      </c>
      <c r="BW62" s="100">
        <f t="shared" ca="1" si="286"/>
        <v>0</v>
      </c>
      <c r="BX62" s="100">
        <f t="shared" ca="1" si="287"/>
        <v>0</v>
      </c>
      <c r="BY62" s="100">
        <f t="shared" ca="1" si="288"/>
        <v>0</v>
      </c>
      <c r="BZ62" s="100">
        <f t="shared" ca="1" si="289"/>
        <v>0</v>
      </c>
      <c r="CA62" s="100">
        <f t="shared" ca="1" si="290"/>
        <v>0</v>
      </c>
      <c r="CB62" s="37"/>
      <c r="CC62" s="100">
        <f t="shared" ca="1" si="357"/>
        <v>0</v>
      </c>
      <c r="CD62" s="102" t="e">
        <f t="shared" ca="1" si="358"/>
        <v>#DIV/0!</v>
      </c>
      <c r="CE62" s="103" t="e">
        <f t="shared" ca="1" si="291"/>
        <v>#DIV/0!</v>
      </c>
      <c r="CF62" s="100">
        <f t="shared" ca="1" si="292"/>
        <v>0</v>
      </c>
      <c r="CG62" s="100">
        <f t="shared" ca="1" si="293"/>
        <v>0</v>
      </c>
      <c r="CH62" s="100">
        <f t="shared" ca="1" si="294"/>
        <v>0</v>
      </c>
      <c r="CI62" s="100">
        <f t="shared" ca="1" si="71"/>
        <v>0</v>
      </c>
      <c r="CJ62" s="100">
        <f t="shared" ca="1" si="72"/>
        <v>0</v>
      </c>
      <c r="CK62" s="100">
        <f t="shared" si="295"/>
        <v>0</v>
      </c>
      <c r="CL62" s="37"/>
      <c r="CM62" s="100">
        <f t="shared" ca="1" si="359"/>
        <v>0</v>
      </c>
      <c r="CN62" s="102" t="e">
        <f t="shared" ca="1" si="360"/>
        <v>#DIV/0!</v>
      </c>
      <c r="CO62" s="128"/>
      <c r="CP62" s="100">
        <f t="shared" ca="1" si="296"/>
        <v>0</v>
      </c>
      <c r="CQ62" s="100">
        <f t="shared" ca="1" si="297"/>
        <v>0</v>
      </c>
      <c r="CR62" s="100">
        <f t="shared" ca="1" si="298"/>
        <v>0</v>
      </c>
      <c r="CS62" s="100">
        <f t="shared" ca="1" si="73"/>
        <v>0</v>
      </c>
      <c r="CT62" s="100">
        <f t="shared" ca="1" si="299"/>
        <v>0</v>
      </c>
      <c r="CU62" s="100">
        <f t="shared" ca="1" si="300"/>
        <v>0</v>
      </c>
      <c r="CV62" s="100">
        <f t="shared" si="301"/>
        <v>0</v>
      </c>
      <c r="CW62" s="37"/>
      <c r="CX62" s="48">
        <f t="shared" ca="1" si="378"/>
        <v>0</v>
      </c>
      <c r="CY62" s="48">
        <f t="shared" ca="1" si="378"/>
        <v>0</v>
      </c>
      <c r="CZ62" s="48">
        <f t="shared" ca="1" si="378"/>
        <v>0</v>
      </c>
      <c r="DA62" s="48">
        <f t="shared" ca="1" si="378"/>
        <v>0</v>
      </c>
      <c r="DB62" s="48">
        <f t="shared" ca="1" si="378"/>
        <v>0</v>
      </c>
      <c r="DC62" s="48">
        <f t="shared" ca="1" si="378"/>
        <v>0</v>
      </c>
      <c r="DD62" s="48">
        <f t="shared" ca="1" si="378"/>
        <v>0</v>
      </c>
      <c r="DE62" s="48">
        <f t="shared" ca="1" si="378"/>
        <v>0</v>
      </c>
      <c r="DF62" s="48">
        <f t="shared" ca="1" si="378"/>
        <v>0</v>
      </c>
      <c r="DG62" s="48">
        <f t="shared" ca="1" si="378"/>
        <v>0</v>
      </c>
      <c r="DH62" s="48">
        <f t="shared" ca="1" si="378"/>
        <v>0</v>
      </c>
      <c r="DI62" s="48">
        <f t="shared" ca="1" si="378"/>
        <v>0</v>
      </c>
      <c r="DJ62" s="48">
        <f t="shared" ca="1" si="378"/>
        <v>0</v>
      </c>
      <c r="DK62" s="48">
        <f t="shared" ca="1" si="378"/>
        <v>0</v>
      </c>
      <c r="DL62" s="48">
        <f t="shared" ca="1" si="378"/>
        <v>0</v>
      </c>
      <c r="DM62" s="48">
        <f t="shared" ca="1" si="372"/>
        <v>0</v>
      </c>
      <c r="DN62" s="48">
        <f t="shared" ca="1" si="372"/>
        <v>0</v>
      </c>
      <c r="DO62" s="48">
        <f t="shared" ca="1" si="372"/>
        <v>0</v>
      </c>
      <c r="DP62" s="48">
        <f t="shared" ca="1" si="372"/>
        <v>0</v>
      </c>
      <c r="DQ62" s="48">
        <f t="shared" ca="1" si="372"/>
        <v>0</v>
      </c>
      <c r="DR62" s="48">
        <f t="shared" ca="1" si="372"/>
        <v>0</v>
      </c>
      <c r="DS62" s="48">
        <f t="shared" ca="1" si="372"/>
        <v>0</v>
      </c>
      <c r="DT62" s="48">
        <f t="shared" ca="1" si="372"/>
        <v>0</v>
      </c>
      <c r="DU62" s="48">
        <f t="shared" ca="1" si="372"/>
        <v>0</v>
      </c>
      <c r="DV62" s="48">
        <f t="shared" ca="1" si="372"/>
        <v>0</v>
      </c>
      <c r="DW62" s="48">
        <f t="shared" ca="1" si="372"/>
        <v>0</v>
      </c>
      <c r="DX62" s="48">
        <f t="shared" ca="1" si="372"/>
        <v>0</v>
      </c>
      <c r="DY62" s="48">
        <f t="shared" ca="1" si="372"/>
        <v>0</v>
      </c>
      <c r="DZ62" s="48">
        <f t="shared" ca="1" si="372"/>
        <v>0</v>
      </c>
      <c r="EA62" s="48">
        <f t="shared" ca="1" si="372"/>
        <v>0</v>
      </c>
      <c r="EB62" s="48">
        <f t="shared" ca="1" si="372"/>
        <v>0</v>
      </c>
      <c r="EC62" s="48">
        <f t="shared" ca="1" si="373"/>
        <v>0</v>
      </c>
      <c r="ED62" s="48">
        <f t="shared" ca="1" si="373"/>
        <v>0</v>
      </c>
      <c r="EE62" s="48">
        <f t="shared" ca="1" si="373"/>
        <v>0</v>
      </c>
      <c r="EF62" s="48">
        <f t="shared" ca="1" si="373"/>
        <v>0</v>
      </c>
      <c r="EG62" s="48">
        <f t="shared" ca="1" si="373"/>
        <v>0</v>
      </c>
      <c r="EH62" s="48">
        <f t="shared" ca="1" si="373"/>
        <v>0</v>
      </c>
      <c r="EI62" s="48">
        <f t="shared" ca="1" si="373"/>
        <v>0</v>
      </c>
      <c r="EJ62" s="48">
        <f t="shared" ca="1" si="373"/>
        <v>0</v>
      </c>
      <c r="EK62" s="48">
        <f t="shared" ca="1" si="373"/>
        <v>0</v>
      </c>
      <c r="EL62" s="48">
        <f t="shared" ca="1" si="373"/>
        <v>0</v>
      </c>
      <c r="EM62" s="48">
        <f t="shared" ca="1" si="373"/>
        <v>0</v>
      </c>
      <c r="EN62" s="48">
        <f t="shared" ca="1" si="373"/>
        <v>0</v>
      </c>
      <c r="EO62" s="48">
        <f t="shared" ca="1" si="373"/>
        <v>0</v>
      </c>
      <c r="EP62" s="48">
        <f t="shared" ca="1" si="373"/>
        <v>0</v>
      </c>
      <c r="EQ62" s="48">
        <f t="shared" ca="1" si="373"/>
        <v>0</v>
      </c>
      <c r="ER62" s="48">
        <f t="shared" ca="1" si="373"/>
        <v>0</v>
      </c>
      <c r="ES62" s="48">
        <f t="shared" ca="1" si="374"/>
        <v>0</v>
      </c>
      <c r="ET62" s="48">
        <f t="shared" ca="1" si="364"/>
        <v>0</v>
      </c>
      <c r="EU62" s="48">
        <f t="shared" ca="1" si="364"/>
        <v>0</v>
      </c>
      <c r="EV62" s="48">
        <f t="shared" ca="1" si="364"/>
        <v>0</v>
      </c>
      <c r="EW62" s="48">
        <f t="shared" ca="1" si="364"/>
        <v>0</v>
      </c>
      <c r="EX62" s="48">
        <f t="shared" ca="1" si="364"/>
        <v>0</v>
      </c>
      <c r="EY62" s="69"/>
      <c r="EZ62" s="48">
        <f t="shared" ca="1" si="379"/>
        <v>0</v>
      </c>
      <c r="FA62" s="48">
        <f t="shared" ca="1" si="379"/>
        <v>0</v>
      </c>
      <c r="FB62" s="48">
        <f t="shared" ca="1" si="379"/>
        <v>0</v>
      </c>
      <c r="FC62" s="48">
        <f t="shared" ca="1" si="379"/>
        <v>0</v>
      </c>
      <c r="FD62" s="48">
        <f t="shared" ca="1" si="379"/>
        <v>0</v>
      </c>
      <c r="FE62" s="48">
        <f t="shared" ca="1" si="379"/>
        <v>0</v>
      </c>
      <c r="FF62" s="48">
        <f t="shared" ca="1" si="379"/>
        <v>0</v>
      </c>
      <c r="FG62" s="48">
        <f t="shared" ca="1" si="379"/>
        <v>0</v>
      </c>
      <c r="FH62" s="48">
        <f t="shared" ca="1" si="379"/>
        <v>0</v>
      </c>
      <c r="FI62" s="48">
        <f t="shared" ca="1" si="379"/>
        <v>0</v>
      </c>
      <c r="FJ62" s="48">
        <f t="shared" ca="1" si="379"/>
        <v>0</v>
      </c>
      <c r="FK62" s="48">
        <f t="shared" ca="1" si="379"/>
        <v>0</v>
      </c>
      <c r="FL62" s="48">
        <f t="shared" ca="1" si="379"/>
        <v>0</v>
      </c>
      <c r="FM62" s="48">
        <f t="shared" ca="1" si="379"/>
        <v>0</v>
      </c>
      <c r="FN62" s="48">
        <f t="shared" ca="1" si="379"/>
        <v>0</v>
      </c>
      <c r="FO62" s="48">
        <f t="shared" ca="1" si="375"/>
        <v>0</v>
      </c>
      <c r="FP62" s="48">
        <f t="shared" ca="1" si="375"/>
        <v>0</v>
      </c>
      <c r="FQ62" s="48">
        <f t="shared" ca="1" si="375"/>
        <v>0</v>
      </c>
      <c r="FR62" s="48">
        <f t="shared" ca="1" si="375"/>
        <v>0</v>
      </c>
      <c r="FS62" s="48">
        <f t="shared" ca="1" si="375"/>
        <v>0</v>
      </c>
      <c r="FT62" s="48">
        <f t="shared" ca="1" si="375"/>
        <v>0</v>
      </c>
      <c r="FU62" s="48">
        <f t="shared" ca="1" si="375"/>
        <v>0</v>
      </c>
      <c r="FV62" s="48">
        <f t="shared" ca="1" si="375"/>
        <v>0</v>
      </c>
      <c r="FW62" s="48">
        <f t="shared" ca="1" si="375"/>
        <v>0</v>
      </c>
      <c r="FX62" s="48">
        <f t="shared" ca="1" si="375"/>
        <v>0</v>
      </c>
      <c r="FY62" s="48">
        <f t="shared" ca="1" si="375"/>
        <v>0</v>
      </c>
      <c r="FZ62" s="48">
        <f t="shared" ca="1" si="375"/>
        <v>0</v>
      </c>
      <c r="GA62" s="48">
        <f t="shared" ca="1" si="375"/>
        <v>0</v>
      </c>
      <c r="GB62" s="48">
        <f t="shared" ca="1" si="375"/>
        <v>0</v>
      </c>
      <c r="GC62" s="48">
        <f t="shared" ca="1" si="375"/>
        <v>0</v>
      </c>
      <c r="GD62" s="48">
        <f t="shared" ca="1" si="375"/>
        <v>0</v>
      </c>
      <c r="GE62" s="48">
        <f t="shared" ca="1" si="376"/>
        <v>0</v>
      </c>
      <c r="GF62" s="48">
        <f t="shared" ca="1" si="376"/>
        <v>0</v>
      </c>
      <c r="GG62" s="48">
        <f t="shared" ca="1" si="376"/>
        <v>0</v>
      </c>
      <c r="GH62" s="48">
        <f t="shared" ca="1" si="376"/>
        <v>0</v>
      </c>
      <c r="GI62" s="48">
        <f t="shared" ca="1" si="376"/>
        <v>0</v>
      </c>
      <c r="GJ62" s="48">
        <f t="shared" ca="1" si="376"/>
        <v>0</v>
      </c>
      <c r="GK62" s="48">
        <f t="shared" ca="1" si="376"/>
        <v>0</v>
      </c>
      <c r="GL62" s="48">
        <f t="shared" ca="1" si="376"/>
        <v>0</v>
      </c>
      <c r="GM62" s="48">
        <f t="shared" ca="1" si="376"/>
        <v>0</v>
      </c>
      <c r="GN62" s="48">
        <f t="shared" ca="1" si="376"/>
        <v>0</v>
      </c>
      <c r="GO62" s="48">
        <f t="shared" ca="1" si="376"/>
        <v>0</v>
      </c>
      <c r="GP62" s="48">
        <f t="shared" ca="1" si="376"/>
        <v>0</v>
      </c>
      <c r="GQ62" s="48">
        <f t="shared" ca="1" si="376"/>
        <v>0</v>
      </c>
      <c r="GR62" s="48">
        <f t="shared" ca="1" si="376"/>
        <v>0</v>
      </c>
      <c r="GS62" s="48">
        <f t="shared" ca="1" si="376"/>
        <v>0</v>
      </c>
      <c r="GT62" s="48">
        <f t="shared" ca="1" si="376"/>
        <v>0</v>
      </c>
      <c r="GU62" s="48">
        <f t="shared" ca="1" si="377"/>
        <v>0</v>
      </c>
      <c r="GV62" s="48">
        <f t="shared" ca="1" si="368"/>
        <v>0</v>
      </c>
      <c r="GW62" s="48">
        <f t="shared" ca="1" si="368"/>
        <v>0</v>
      </c>
      <c r="GX62" s="48">
        <f t="shared" ca="1" si="368"/>
        <v>0</v>
      </c>
      <c r="GY62" s="48">
        <f t="shared" ca="1" si="368"/>
        <v>0</v>
      </c>
      <c r="GZ62" s="48">
        <f t="shared" ca="1" si="368"/>
        <v>0</v>
      </c>
      <c r="HA62" s="69"/>
      <c r="HB62" s="150" t="str">
        <f t="shared" ca="1" si="74"/>
        <v>n/a</v>
      </c>
      <c r="HC62" s="150" t="str">
        <f t="shared" ca="1" si="369"/>
        <v>n/a</v>
      </c>
      <c r="HD62" s="150" t="str">
        <f t="shared" ca="1" si="76"/>
        <v>n/a</v>
      </c>
      <c r="HE62" s="150" t="str">
        <f t="shared" ca="1" si="370"/>
        <v>n/a</v>
      </c>
      <c r="HF62" s="150" t="str">
        <f t="shared" ca="1" si="371"/>
        <v>n/a</v>
      </c>
      <c r="HG62" s="148"/>
      <c r="HH62" s="149"/>
      <c r="HI62" s="149"/>
      <c r="HJ62" s="149"/>
      <c r="HK62" s="150"/>
      <c r="HL62" s="149"/>
      <c r="HM62" s="149"/>
      <c r="HN62" s="149"/>
      <c r="HO62" s="150"/>
      <c r="HP62" s="148"/>
      <c r="HQ62" s="149"/>
      <c r="HR62" s="149"/>
      <c r="HS62" s="149"/>
      <c r="HT62" s="150"/>
      <c r="HU62" s="149"/>
      <c r="HV62" s="149"/>
      <c r="HW62" s="149"/>
      <c r="HX62" s="150"/>
      <c r="HY62" s="151"/>
      <c r="HZ62" s="150"/>
      <c r="IA62" s="150"/>
      <c r="IB62" s="152"/>
      <c r="IC62" s="150"/>
      <c r="ID62" s="152"/>
      <c r="IE62" s="150"/>
      <c r="IF62" s="153"/>
    </row>
    <row r="63" spans="1:240" s="36" customFormat="1" ht="14.4" customHeight="1">
      <c r="A63" s="39"/>
      <c r="B63" s="50" t="str">
        <f t="shared" si="340"/>
        <v>C&amp;I_C&amp;I Prescriptive_Lighting_High Bay Fluorescent Fixture w/ HE Electronic Ballast (T8 12-16 lamp)_2017_Actual</v>
      </c>
      <c r="C63" s="50">
        <f>INDEX('Measure Inputs'!$D:$D,MATCH($B63,'Measure Inputs'!$B:$B,0))</f>
        <v>29</v>
      </c>
      <c r="D63" s="51" t="str">
        <f>'Measure Inputs'!G35</f>
        <v>C&amp;I</v>
      </c>
      <c r="E63" s="51" t="str">
        <f>'Measure Inputs'!H35</f>
        <v>C&amp;I Prescriptive</v>
      </c>
      <c r="F63" s="51" t="str">
        <f>'Measure Inputs'!I35</f>
        <v>Lighting</v>
      </c>
      <c r="G63" s="51" t="str">
        <f>'Measure Inputs'!J35</f>
        <v>High Bay Fluorescent Fixture w/ HE Electronic Ballast (T8 12-16 lamp)</v>
      </c>
      <c r="H63" s="51">
        <f>'Measure Inputs'!K35</f>
        <v>2017</v>
      </c>
      <c r="I63" s="51" t="str">
        <f>'Measure Inputs'!L35</f>
        <v>Actual</v>
      </c>
      <c r="J63" s="37"/>
      <c r="K63" s="99" t="str">
        <f ca="1">INDEX(OFFSET('Measure Inputs'!$O$7,,,InputRows),$C63)</f>
        <v>Units</v>
      </c>
      <c r="L63" s="38">
        <f ca="1">INDEX(OFFSET('Measure Inputs'!$Q$7,,,InputRows),$C63)</f>
        <v>0</v>
      </c>
      <c r="M63" s="167">
        <f>INDEX('General Inputs'!$E$14:$E$15,MATCH(D63,'General Inputs'!$D$14:$D$15,0))</f>
        <v>1.0469999999999999</v>
      </c>
      <c r="N63" s="54">
        <f ca="1">INDEX(OFFSET('Measure Inputs'!$Y$7,,,InputRows),$C63)</f>
        <v>1</v>
      </c>
      <c r="O63" s="54">
        <f ca="1">INDEX(OFFSET('Measure Inputs'!$Z$7,,,InputRows),$C63)</f>
        <v>1</v>
      </c>
      <c r="P63" s="37"/>
      <c r="Q63" s="127">
        <f ca="1">CONVERT(INDEX(OFFSET('Measure Inputs'!$AB$7,,,InputRows),$C63),'Measure Inputs'!$AB$6,Q$8)*$L63</f>
        <v>0</v>
      </c>
      <c r="R63" s="127">
        <f t="shared" ca="1" si="341"/>
        <v>0</v>
      </c>
      <c r="S63" s="127">
        <f t="shared" ca="1" si="342"/>
        <v>0</v>
      </c>
      <c r="T63" s="37"/>
      <c r="U63" s="127">
        <f ca="1">CONVERT(INDEX(OFFSET('Measure Inputs'!$AD$7,,,InputRows),$C63),'Measure Inputs'!$AD$6,U$8)*$L63</f>
        <v>0</v>
      </c>
      <c r="V63" s="127">
        <f t="shared" ca="1" si="343"/>
        <v>0</v>
      </c>
      <c r="W63" s="127">
        <f t="shared" ca="1" si="344"/>
        <v>0</v>
      </c>
      <c r="X63" s="37"/>
      <c r="Y63" s="127">
        <f ca="1">CONVERT(INDEX(OFFSET('Measure Inputs'!$AC$7,,,InputRows),$C63),'Measure Inputs'!$AC$6,Y$8)*$L63</f>
        <v>0</v>
      </c>
      <c r="Z63" s="127">
        <f t="shared" ca="1" si="345"/>
        <v>0</v>
      </c>
      <c r="AA63" s="127">
        <f t="shared" ca="1" si="346"/>
        <v>0</v>
      </c>
      <c r="AB63" s="37"/>
      <c r="AC63" s="127">
        <f ca="1">CONVERT(INDEX(OFFSET('Measure Inputs'!$AE$7,,,InputRows),$C63),'Measure Inputs'!$AE$6,AC$8)*$L63</f>
        <v>0</v>
      </c>
      <c r="AD63" s="127">
        <f t="shared" ca="1" si="347"/>
        <v>0</v>
      </c>
      <c r="AE63" s="127">
        <f t="shared" ca="1" si="348"/>
        <v>0</v>
      </c>
      <c r="AF63" s="37"/>
      <c r="AG63" s="97">
        <f ca="1">INDEX(OFFSET('Measure Inputs'!$R$7,,,InputRows),$C63)</f>
        <v>15</v>
      </c>
      <c r="AH63" s="97">
        <f ca="1">INDEX(OFFSET('Measure Inputs'!$S$7,,,InputRows),$C63)</f>
        <v>0</v>
      </c>
      <c r="AI63" s="97">
        <f t="shared" ca="1" si="349"/>
        <v>0</v>
      </c>
      <c r="AJ63" s="100">
        <f ca="1">INDEX(OFFSET('Measure Inputs'!$T$7,,,InputRows),$C63)*$L63*$N63*$O63</f>
        <v>0</v>
      </c>
      <c r="AK63" s="100">
        <f ca="1">INDEX(OFFSET('Measure Inputs'!$U$7,,,InputRows),$C63)*$L63*$N63*$O63</f>
        <v>0</v>
      </c>
      <c r="AL63" s="100">
        <f ca="1">INDEX(OFFSET('Measure Inputs'!$V$7,,,InputRows),$C63)*$L63*$N63*$O63</f>
        <v>0</v>
      </c>
      <c r="AM63" s="100">
        <f ca="1">INDEX(OFFSET('Measure Inputs'!$W$7,,,InputRows),$C63)*$L63*$N63*$O63</f>
        <v>0</v>
      </c>
      <c r="AN63" s="100">
        <f ca="1">INDEX(OFFSET('Measure Inputs'!$X$7,,,InputRows),$C63)*$L63</f>
        <v>0</v>
      </c>
      <c r="AO63" s="100"/>
      <c r="AP63" s="100">
        <f t="shared" ca="1" si="350"/>
        <v>0</v>
      </c>
      <c r="AQ63" s="37"/>
      <c r="AR63" s="100">
        <f ca="1">SUMPRODUCT(--($CX$9:$EX$9=$H63)*$AJ63,'General Inputs'!$K$40:$BK$40)+SUMPRODUCT(--($CX$9:$EX$9=$H63+$AH63)*-$AK63,'General Inputs'!$K$43:$BK$43)</f>
        <v>0</v>
      </c>
      <c r="AS63" s="100">
        <f ca="1">CONVERT(SUMPRODUCT($CX63:$EX63,'General Inputs'!$K$29:$BK$29,'General Inputs'!$K$40:$BK$40)*$M63,$Q$8,'General Inputs'!$E$17)</f>
        <v>0</v>
      </c>
      <c r="AT63" s="100">
        <f ca="1">SUMPRODUCT(--($CX$9:$EX$9=$H63)*$AN63,'General Inputs'!$K$40:$BK$40)</f>
        <v>0</v>
      </c>
      <c r="AU63" s="100">
        <f>SUMPRODUCT(--($CX$9:$EX$9=$H63)*$AO63,'General Inputs'!$K$40:$BK$40)</f>
        <v>0</v>
      </c>
      <c r="AV63" s="100">
        <f ca="1">CONVERT(SUMPRODUCT($CX63:$EX63,'General Inputs'!$K$40:$BK$40,OFFSET('General Inputs'!$K$34:$BK$34,MATCH($D63,'General Inputs'!$J$34:$J$35,0)-1,)),$Q$8,'General Inputs'!$G$32)</f>
        <v>0</v>
      </c>
      <c r="AW63" s="100">
        <f ca="1">CONVERT(SUMPRODUCT($CX63:$EX63,'General Inputs'!$K$27:$BK$27,'General Inputs'!$K$40:$BK$40)*$M63,$Q$8,'General Inputs'!$E$17)</f>
        <v>0</v>
      </c>
      <c r="AX63" s="100">
        <f ca="1">CONVERT(SUMPRODUCT($EZ63:$GZ63,'General Inputs'!$K$28:$BK$28,'General Inputs'!$K$40:$BK$40)*$M63,$Q$8,'General Inputs'!$E$17)</f>
        <v>0</v>
      </c>
      <c r="AY63" s="98">
        <f ca="1">SUMPRODUCT($CX63:$EX63,'General Inputs'!$K$40:$BK$40)</f>
        <v>0</v>
      </c>
      <c r="AZ63" s="37"/>
      <c r="BA63" s="100">
        <f t="shared" ca="1" si="351"/>
        <v>0</v>
      </c>
      <c r="BB63" s="102" t="e">
        <f t="shared" ca="1" si="352"/>
        <v>#DIV/0!</v>
      </c>
      <c r="BC63" s="100">
        <f t="shared" ca="1" si="273"/>
        <v>0</v>
      </c>
      <c r="BD63" s="100">
        <f t="shared" ca="1" si="274"/>
        <v>0</v>
      </c>
      <c r="BE63" s="100">
        <f t="shared" ca="1" si="275"/>
        <v>0</v>
      </c>
      <c r="BF63" s="100">
        <f t="shared" ca="1" si="276"/>
        <v>0</v>
      </c>
      <c r="BG63" s="100">
        <f t="shared" si="277"/>
        <v>0</v>
      </c>
      <c r="BH63" s="100">
        <f t="shared" ca="1" si="278"/>
        <v>0</v>
      </c>
      <c r="BI63" s="37"/>
      <c r="BJ63" s="100">
        <f t="shared" ca="1" si="353"/>
        <v>0</v>
      </c>
      <c r="BK63" s="102" t="e">
        <f t="shared" ca="1" si="354"/>
        <v>#DIV/0!</v>
      </c>
      <c r="BL63" s="100">
        <f t="shared" ca="1" si="279"/>
        <v>0</v>
      </c>
      <c r="BM63" s="100">
        <f t="shared" ca="1" si="164"/>
        <v>0</v>
      </c>
      <c r="BN63" s="100">
        <f t="shared" ca="1" si="280"/>
        <v>0</v>
      </c>
      <c r="BO63" s="100">
        <f t="shared" ca="1" si="281"/>
        <v>0</v>
      </c>
      <c r="BP63" s="100">
        <f t="shared" ca="1" si="282"/>
        <v>0</v>
      </c>
      <c r="BQ63" s="100">
        <f t="shared" si="283"/>
        <v>0</v>
      </c>
      <c r="BR63" s="100">
        <f t="shared" ca="1" si="284"/>
        <v>0</v>
      </c>
      <c r="BS63" s="37"/>
      <c r="BT63" s="100">
        <f t="shared" ca="1" si="355"/>
        <v>0</v>
      </c>
      <c r="BU63" s="102" t="e">
        <f t="shared" ca="1" si="356"/>
        <v>#DIV/0!</v>
      </c>
      <c r="BV63" s="102" t="e">
        <f t="shared" ca="1" si="285"/>
        <v>#DIV/0!</v>
      </c>
      <c r="BW63" s="100">
        <f t="shared" ca="1" si="286"/>
        <v>0</v>
      </c>
      <c r="BX63" s="100">
        <f t="shared" ca="1" si="287"/>
        <v>0</v>
      </c>
      <c r="BY63" s="100">
        <f t="shared" ca="1" si="288"/>
        <v>0</v>
      </c>
      <c r="BZ63" s="100">
        <f t="shared" ca="1" si="289"/>
        <v>0</v>
      </c>
      <c r="CA63" s="100">
        <f t="shared" ca="1" si="290"/>
        <v>0</v>
      </c>
      <c r="CB63" s="37"/>
      <c r="CC63" s="100">
        <f t="shared" ca="1" si="357"/>
        <v>0</v>
      </c>
      <c r="CD63" s="102" t="e">
        <f t="shared" ca="1" si="358"/>
        <v>#DIV/0!</v>
      </c>
      <c r="CE63" s="103" t="e">
        <f t="shared" ca="1" si="291"/>
        <v>#DIV/0!</v>
      </c>
      <c r="CF63" s="100">
        <f t="shared" ca="1" si="292"/>
        <v>0</v>
      </c>
      <c r="CG63" s="100">
        <f t="shared" ca="1" si="293"/>
        <v>0</v>
      </c>
      <c r="CH63" s="100">
        <f t="shared" ca="1" si="294"/>
        <v>0</v>
      </c>
      <c r="CI63" s="100">
        <f t="shared" ca="1" si="71"/>
        <v>0</v>
      </c>
      <c r="CJ63" s="100">
        <f t="shared" ca="1" si="72"/>
        <v>0</v>
      </c>
      <c r="CK63" s="100">
        <f t="shared" si="295"/>
        <v>0</v>
      </c>
      <c r="CL63" s="37"/>
      <c r="CM63" s="100">
        <f t="shared" ca="1" si="359"/>
        <v>0</v>
      </c>
      <c r="CN63" s="102" t="e">
        <f t="shared" ca="1" si="360"/>
        <v>#DIV/0!</v>
      </c>
      <c r="CO63" s="128"/>
      <c r="CP63" s="100">
        <f t="shared" ca="1" si="296"/>
        <v>0</v>
      </c>
      <c r="CQ63" s="100">
        <f t="shared" ca="1" si="297"/>
        <v>0</v>
      </c>
      <c r="CR63" s="100">
        <f t="shared" ca="1" si="298"/>
        <v>0</v>
      </c>
      <c r="CS63" s="100">
        <f t="shared" ca="1" si="73"/>
        <v>0</v>
      </c>
      <c r="CT63" s="100">
        <f t="shared" ca="1" si="299"/>
        <v>0</v>
      </c>
      <c r="CU63" s="100">
        <f t="shared" ca="1" si="300"/>
        <v>0</v>
      </c>
      <c r="CV63" s="100">
        <f t="shared" si="301"/>
        <v>0</v>
      </c>
      <c r="CW63" s="37"/>
      <c r="CX63" s="48">
        <f t="shared" ca="1" si="378"/>
        <v>0</v>
      </c>
      <c r="CY63" s="48">
        <f t="shared" ca="1" si="378"/>
        <v>0</v>
      </c>
      <c r="CZ63" s="48">
        <f t="shared" ca="1" si="378"/>
        <v>0</v>
      </c>
      <c r="DA63" s="48">
        <f t="shared" ca="1" si="378"/>
        <v>0</v>
      </c>
      <c r="DB63" s="48">
        <f t="shared" ca="1" si="378"/>
        <v>0</v>
      </c>
      <c r="DC63" s="48">
        <f t="shared" ca="1" si="378"/>
        <v>0</v>
      </c>
      <c r="DD63" s="48">
        <f t="shared" ca="1" si="378"/>
        <v>0</v>
      </c>
      <c r="DE63" s="48">
        <f t="shared" ca="1" si="378"/>
        <v>0</v>
      </c>
      <c r="DF63" s="48">
        <f t="shared" ca="1" si="378"/>
        <v>0</v>
      </c>
      <c r="DG63" s="48">
        <f t="shared" ca="1" si="378"/>
        <v>0</v>
      </c>
      <c r="DH63" s="48">
        <f t="shared" ca="1" si="378"/>
        <v>0</v>
      </c>
      <c r="DI63" s="48">
        <f t="shared" ca="1" si="378"/>
        <v>0</v>
      </c>
      <c r="DJ63" s="48">
        <f t="shared" ca="1" si="378"/>
        <v>0</v>
      </c>
      <c r="DK63" s="48">
        <f t="shared" ca="1" si="378"/>
        <v>0</v>
      </c>
      <c r="DL63" s="48">
        <f t="shared" ca="1" si="378"/>
        <v>0</v>
      </c>
      <c r="DM63" s="48">
        <f t="shared" ca="1" si="372"/>
        <v>0</v>
      </c>
      <c r="DN63" s="48">
        <f t="shared" ca="1" si="372"/>
        <v>0</v>
      </c>
      <c r="DO63" s="48">
        <f t="shared" ca="1" si="372"/>
        <v>0</v>
      </c>
      <c r="DP63" s="48">
        <f t="shared" ca="1" si="372"/>
        <v>0</v>
      </c>
      <c r="DQ63" s="48">
        <f t="shared" ca="1" si="372"/>
        <v>0</v>
      </c>
      <c r="DR63" s="48">
        <f t="shared" ca="1" si="372"/>
        <v>0</v>
      </c>
      <c r="DS63" s="48">
        <f t="shared" ca="1" si="372"/>
        <v>0</v>
      </c>
      <c r="DT63" s="48">
        <f t="shared" ca="1" si="372"/>
        <v>0</v>
      </c>
      <c r="DU63" s="48">
        <f t="shared" ca="1" si="372"/>
        <v>0</v>
      </c>
      <c r="DV63" s="48">
        <f t="shared" ca="1" si="372"/>
        <v>0</v>
      </c>
      <c r="DW63" s="48">
        <f t="shared" ca="1" si="372"/>
        <v>0</v>
      </c>
      <c r="DX63" s="48">
        <f t="shared" ca="1" si="372"/>
        <v>0</v>
      </c>
      <c r="DY63" s="48">
        <f t="shared" ca="1" si="372"/>
        <v>0</v>
      </c>
      <c r="DZ63" s="48">
        <f t="shared" ca="1" si="372"/>
        <v>0</v>
      </c>
      <c r="EA63" s="48">
        <f t="shared" ca="1" si="372"/>
        <v>0</v>
      </c>
      <c r="EB63" s="48">
        <f t="shared" ca="1" si="372"/>
        <v>0</v>
      </c>
      <c r="EC63" s="48">
        <f t="shared" ca="1" si="373"/>
        <v>0</v>
      </c>
      <c r="ED63" s="48">
        <f t="shared" ca="1" si="373"/>
        <v>0</v>
      </c>
      <c r="EE63" s="48">
        <f t="shared" ca="1" si="373"/>
        <v>0</v>
      </c>
      <c r="EF63" s="48">
        <f t="shared" ca="1" si="373"/>
        <v>0</v>
      </c>
      <c r="EG63" s="48">
        <f t="shared" ca="1" si="373"/>
        <v>0</v>
      </c>
      <c r="EH63" s="48">
        <f t="shared" ca="1" si="373"/>
        <v>0</v>
      </c>
      <c r="EI63" s="48">
        <f t="shared" ca="1" si="373"/>
        <v>0</v>
      </c>
      <c r="EJ63" s="48">
        <f t="shared" ca="1" si="373"/>
        <v>0</v>
      </c>
      <c r="EK63" s="48">
        <f t="shared" ca="1" si="373"/>
        <v>0</v>
      </c>
      <c r="EL63" s="48">
        <f t="shared" ca="1" si="373"/>
        <v>0</v>
      </c>
      <c r="EM63" s="48">
        <f t="shared" ca="1" si="373"/>
        <v>0</v>
      </c>
      <c r="EN63" s="48">
        <f t="shared" ca="1" si="373"/>
        <v>0</v>
      </c>
      <c r="EO63" s="48">
        <f t="shared" ca="1" si="373"/>
        <v>0</v>
      </c>
      <c r="EP63" s="48">
        <f t="shared" ca="1" si="373"/>
        <v>0</v>
      </c>
      <c r="EQ63" s="48">
        <f t="shared" ca="1" si="373"/>
        <v>0</v>
      </c>
      <c r="ER63" s="48">
        <f t="shared" ca="1" si="373"/>
        <v>0</v>
      </c>
      <c r="ES63" s="48">
        <f t="shared" ca="1" si="374"/>
        <v>0</v>
      </c>
      <c r="ET63" s="48">
        <f t="shared" ca="1" si="364"/>
        <v>0</v>
      </c>
      <c r="EU63" s="48">
        <f t="shared" ca="1" si="364"/>
        <v>0</v>
      </c>
      <c r="EV63" s="48">
        <f t="shared" ca="1" si="364"/>
        <v>0</v>
      </c>
      <c r="EW63" s="48">
        <f t="shared" ca="1" si="364"/>
        <v>0</v>
      </c>
      <c r="EX63" s="48">
        <f t="shared" ca="1" si="364"/>
        <v>0</v>
      </c>
      <c r="EY63" s="69"/>
      <c r="EZ63" s="48">
        <f t="shared" ca="1" si="379"/>
        <v>0</v>
      </c>
      <c r="FA63" s="48">
        <f t="shared" ca="1" si="379"/>
        <v>0</v>
      </c>
      <c r="FB63" s="48">
        <f t="shared" ca="1" si="379"/>
        <v>0</v>
      </c>
      <c r="FC63" s="48">
        <f t="shared" ca="1" si="379"/>
        <v>0</v>
      </c>
      <c r="FD63" s="48">
        <f t="shared" ca="1" si="379"/>
        <v>0</v>
      </c>
      <c r="FE63" s="48">
        <f t="shared" ca="1" si="379"/>
        <v>0</v>
      </c>
      <c r="FF63" s="48">
        <f t="shared" ca="1" si="379"/>
        <v>0</v>
      </c>
      <c r="FG63" s="48">
        <f t="shared" ca="1" si="379"/>
        <v>0</v>
      </c>
      <c r="FH63" s="48">
        <f t="shared" ca="1" si="379"/>
        <v>0</v>
      </c>
      <c r="FI63" s="48">
        <f t="shared" ca="1" si="379"/>
        <v>0</v>
      </c>
      <c r="FJ63" s="48">
        <f t="shared" ca="1" si="379"/>
        <v>0</v>
      </c>
      <c r="FK63" s="48">
        <f t="shared" ca="1" si="379"/>
        <v>0</v>
      </c>
      <c r="FL63" s="48">
        <f t="shared" ca="1" si="379"/>
        <v>0</v>
      </c>
      <c r="FM63" s="48">
        <f t="shared" ca="1" si="379"/>
        <v>0</v>
      </c>
      <c r="FN63" s="48">
        <f t="shared" ca="1" si="379"/>
        <v>0</v>
      </c>
      <c r="FO63" s="48">
        <f t="shared" ca="1" si="375"/>
        <v>0</v>
      </c>
      <c r="FP63" s="48">
        <f t="shared" ca="1" si="375"/>
        <v>0</v>
      </c>
      <c r="FQ63" s="48">
        <f t="shared" ca="1" si="375"/>
        <v>0</v>
      </c>
      <c r="FR63" s="48">
        <f t="shared" ca="1" si="375"/>
        <v>0</v>
      </c>
      <c r="FS63" s="48">
        <f t="shared" ca="1" si="375"/>
        <v>0</v>
      </c>
      <c r="FT63" s="48">
        <f t="shared" ca="1" si="375"/>
        <v>0</v>
      </c>
      <c r="FU63" s="48">
        <f t="shared" ca="1" si="375"/>
        <v>0</v>
      </c>
      <c r="FV63" s="48">
        <f t="shared" ca="1" si="375"/>
        <v>0</v>
      </c>
      <c r="FW63" s="48">
        <f t="shared" ca="1" si="375"/>
        <v>0</v>
      </c>
      <c r="FX63" s="48">
        <f t="shared" ca="1" si="375"/>
        <v>0</v>
      </c>
      <c r="FY63" s="48">
        <f t="shared" ca="1" si="375"/>
        <v>0</v>
      </c>
      <c r="FZ63" s="48">
        <f t="shared" ca="1" si="375"/>
        <v>0</v>
      </c>
      <c r="GA63" s="48">
        <f t="shared" ca="1" si="375"/>
        <v>0</v>
      </c>
      <c r="GB63" s="48">
        <f t="shared" ca="1" si="375"/>
        <v>0</v>
      </c>
      <c r="GC63" s="48">
        <f t="shared" ca="1" si="375"/>
        <v>0</v>
      </c>
      <c r="GD63" s="48">
        <f t="shared" ca="1" si="375"/>
        <v>0</v>
      </c>
      <c r="GE63" s="48">
        <f t="shared" ca="1" si="376"/>
        <v>0</v>
      </c>
      <c r="GF63" s="48">
        <f t="shared" ca="1" si="376"/>
        <v>0</v>
      </c>
      <c r="GG63" s="48">
        <f t="shared" ca="1" si="376"/>
        <v>0</v>
      </c>
      <c r="GH63" s="48">
        <f t="shared" ca="1" si="376"/>
        <v>0</v>
      </c>
      <c r="GI63" s="48">
        <f t="shared" ca="1" si="376"/>
        <v>0</v>
      </c>
      <c r="GJ63" s="48">
        <f t="shared" ca="1" si="376"/>
        <v>0</v>
      </c>
      <c r="GK63" s="48">
        <f t="shared" ca="1" si="376"/>
        <v>0</v>
      </c>
      <c r="GL63" s="48">
        <f t="shared" ca="1" si="376"/>
        <v>0</v>
      </c>
      <c r="GM63" s="48">
        <f t="shared" ca="1" si="376"/>
        <v>0</v>
      </c>
      <c r="GN63" s="48">
        <f t="shared" ca="1" si="376"/>
        <v>0</v>
      </c>
      <c r="GO63" s="48">
        <f t="shared" ca="1" si="376"/>
        <v>0</v>
      </c>
      <c r="GP63" s="48">
        <f t="shared" ca="1" si="376"/>
        <v>0</v>
      </c>
      <c r="GQ63" s="48">
        <f t="shared" ca="1" si="376"/>
        <v>0</v>
      </c>
      <c r="GR63" s="48">
        <f t="shared" ca="1" si="376"/>
        <v>0</v>
      </c>
      <c r="GS63" s="48">
        <f t="shared" ca="1" si="376"/>
        <v>0</v>
      </c>
      <c r="GT63" s="48">
        <f t="shared" ca="1" si="376"/>
        <v>0</v>
      </c>
      <c r="GU63" s="48">
        <f t="shared" ca="1" si="377"/>
        <v>0</v>
      </c>
      <c r="GV63" s="48">
        <f t="shared" ca="1" si="368"/>
        <v>0</v>
      </c>
      <c r="GW63" s="48">
        <f t="shared" ca="1" si="368"/>
        <v>0</v>
      </c>
      <c r="GX63" s="48">
        <f t="shared" ca="1" si="368"/>
        <v>0</v>
      </c>
      <c r="GY63" s="48">
        <f t="shared" ca="1" si="368"/>
        <v>0</v>
      </c>
      <c r="GZ63" s="48">
        <f t="shared" ca="1" si="368"/>
        <v>0</v>
      </c>
      <c r="HA63" s="69"/>
      <c r="HB63" s="150" t="str">
        <f t="shared" ca="1" si="74"/>
        <v>n/a</v>
      </c>
      <c r="HC63" s="150" t="str">
        <f t="shared" ca="1" si="369"/>
        <v>n/a</v>
      </c>
      <c r="HD63" s="150" t="str">
        <f t="shared" ca="1" si="76"/>
        <v>n/a</v>
      </c>
      <c r="HE63" s="150" t="str">
        <f t="shared" ca="1" si="370"/>
        <v>n/a</v>
      </c>
      <c r="HF63" s="150" t="str">
        <f t="shared" ca="1" si="371"/>
        <v>n/a</v>
      </c>
      <c r="HG63" s="148"/>
      <c r="HH63" s="149"/>
      <c r="HI63" s="149"/>
      <c r="HJ63" s="149"/>
      <c r="HK63" s="150"/>
      <c r="HL63" s="149"/>
      <c r="HM63" s="149"/>
      <c r="HN63" s="149"/>
      <c r="HO63" s="150"/>
      <c r="HP63" s="148"/>
      <c r="HQ63" s="149"/>
      <c r="HR63" s="149"/>
      <c r="HS63" s="149"/>
      <c r="HT63" s="150"/>
      <c r="HU63" s="149"/>
      <c r="HV63" s="149"/>
      <c r="HW63" s="149"/>
      <c r="HX63" s="150"/>
      <c r="HY63" s="151"/>
      <c r="HZ63" s="150"/>
      <c r="IA63" s="150"/>
      <c r="IB63" s="152"/>
      <c r="IC63" s="150"/>
      <c r="ID63" s="152"/>
      <c r="IE63" s="150"/>
      <c r="IF63" s="153"/>
    </row>
    <row r="64" spans="1:240" s="36" customFormat="1" ht="14.4" customHeight="1">
      <c r="A64" s="39"/>
      <c r="B64" s="50" t="str">
        <f t="shared" si="340"/>
        <v>C&amp;I_C&amp;I Prescriptive_Lighting_Low-Wattage T8 _2017_Actual</v>
      </c>
      <c r="C64" s="50">
        <f>INDEX('Measure Inputs'!$D:$D,MATCH($B64,'Measure Inputs'!$B:$B,0))</f>
        <v>30</v>
      </c>
      <c r="D64" s="51" t="str">
        <f>'Measure Inputs'!G36</f>
        <v>C&amp;I</v>
      </c>
      <c r="E64" s="51" t="str">
        <f>'Measure Inputs'!H36</f>
        <v>C&amp;I Prescriptive</v>
      </c>
      <c r="F64" s="51" t="str">
        <f>'Measure Inputs'!I36</f>
        <v>Lighting</v>
      </c>
      <c r="G64" s="51" t="str">
        <f>'Measure Inputs'!J36</f>
        <v xml:space="preserve">Low-Wattage T8 </v>
      </c>
      <c r="H64" s="51">
        <f>'Measure Inputs'!K36</f>
        <v>2017</v>
      </c>
      <c r="I64" s="51" t="str">
        <f>'Measure Inputs'!L36</f>
        <v>Actual</v>
      </c>
      <c r="J64" s="37"/>
      <c r="K64" s="99" t="str">
        <f ca="1">INDEX(OFFSET('Measure Inputs'!$O$7,,,InputRows),$C64)</f>
        <v>Units</v>
      </c>
      <c r="L64" s="38">
        <f ca="1">INDEX(OFFSET('Measure Inputs'!$Q$7,,,InputRows),$C64)</f>
        <v>0</v>
      </c>
      <c r="M64" s="167">
        <f>INDEX('General Inputs'!$E$14:$E$15,MATCH(D64,'General Inputs'!$D$14:$D$15,0))</f>
        <v>1.0469999999999999</v>
      </c>
      <c r="N64" s="54">
        <f ca="1">INDEX(OFFSET('Measure Inputs'!$Y$7,,,InputRows),$C64)</f>
        <v>1</v>
      </c>
      <c r="O64" s="54">
        <f ca="1">INDEX(OFFSET('Measure Inputs'!$Z$7,,,InputRows),$C64)</f>
        <v>1</v>
      </c>
      <c r="P64" s="37"/>
      <c r="Q64" s="127">
        <f ca="1">CONVERT(INDEX(OFFSET('Measure Inputs'!$AB$7,,,InputRows),$C64),'Measure Inputs'!$AB$6,Q$8)*$L64</f>
        <v>0</v>
      </c>
      <c r="R64" s="127">
        <f t="shared" ca="1" si="341"/>
        <v>0</v>
      </c>
      <c r="S64" s="127">
        <f t="shared" ca="1" si="342"/>
        <v>0</v>
      </c>
      <c r="T64" s="37"/>
      <c r="U64" s="127">
        <f ca="1">CONVERT(INDEX(OFFSET('Measure Inputs'!$AD$7,,,InputRows),$C64),'Measure Inputs'!$AD$6,U$8)*$L64</f>
        <v>0</v>
      </c>
      <c r="V64" s="127">
        <f t="shared" ca="1" si="343"/>
        <v>0</v>
      </c>
      <c r="W64" s="127">
        <f t="shared" ca="1" si="344"/>
        <v>0</v>
      </c>
      <c r="X64" s="37"/>
      <c r="Y64" s="127">
        <f ca="1">CONVERT(INDEX(OFFSET('Measure Inputs'!$AC$7,,,InputRows),$C64),'Measure Inputs'!$AC$6,Y$8)*$L64</f>
        <v>0</v>
      </c>
      <c r="Z64" s="127">
        <f t="shared" ca="1" si="345"/>
        <v>0</v>
      </c>
      <c r="AA64" s="127">
        <f t="shared" ca="1" si="346"/>
        <v>0</v>
      </c>
      <c r="AB64" s="37"/>
      <c r="AC64" s="127">
        <f ca="1">CONVERT(INDEX(OFFSET('Measure Inputs'!$AE$7,,,InputRows),$C64),'Measure Inputs'!$AE$6,AC$8)*$L64</f>
        <v>0</v>
      </c>
      <c r="AD64" s="127">
        <f t="shared" ca="1" si="347"/>
        <v>0</v>
      </c>
      <c r="AE64" s="127">
        <f t="shared" ca="1" si="348"/>
        <v>0</v>
      </c>
      <c r="AF64" s="37"/>
      <c r="AG64" s="97">
        <f ca="1">INDEX(OFFSET('Measure Inputs'!$R$7,,,InputRows),$C64)</f>
        <v>8</v>
      </c>
      <c r="AH64" s="97">
        <f ca="1">INDEX(OFFSET('Measure Inputs'!$S$7,,,InputRows),$C64)</f>
        <v>0</v>
      </c>
      <c r="AI64" s="97">
        <f t="shared" ca="1" si="349"/>
        <v>0</v>
      </c>
      <c r="AJ64" s="100">
        <f ca="1">INDEX(OFFSET('Measure Inputs'!$T$7,,,InputRows),$C64)*$L64*$N64*$O64</f>
        <v>0</v>
      </c>
      <c r="AK64" s="100">
        <f ca="1">INDEX(OFFSET('Measure Inputs'!$U$7,,,InputRows),$C64)*$L64*$N64*$O64</f>
        <v>0</v>
      </c>
      <c r="AL64" s="100">
        <f ca="1">INDEX(OFFSET('Measure Inputs'!$V$7,,,InputRows),$C64)*$L64*$N64*$O64</f>
        <v>0</v>
      </c>
      <c r="AM64" s="100">
        <f ca="1">INDEX(OFFSET('Measure Inputs'!$W$7,,,InputRows),$C64)*$L64*$N64*$O64</f>
        <v>0</v>
      </c>
      <c r="AN64" s="100">
        <f ca="1">INDEX(OFFSET('Measure Inputs'!$X$7,,,InputRows),$C64)*$L64</f>
        <v>0</v>
      </c>
      <c r="AO64" s="100"/>
      <c r="AP64" s="100">
        <f t="shared" ca="1" si="350"/>
        <v>0</v>
      </c>
      <c r="AQ64" s="37"/>
      <c r="AR64" s="100">
        <f ca="1">SUMPRODUCT(--($CX$9:$EX$9=$H64)*$AJ64,'General Inputs'!$K$40:$BK$40)+SUMPRODUCT(--($CX$9:$EX$9=$H64+$AH64)*-$AK64,'General Inputs'!$K$43:$BK$43)</f>
        <v>0</v>
      </c>
      <c r="AS64" s="100">
        <f ca="1">CONVERT(SUMPRODUCT($CX64:$EX64,'General Inputs'!$K$29:$BK$29,'General Inputs'!$K$40:$BK$40)*$M64,$Q$8,'General Inputs'!$E$17)</f>
        <v>0</v>
      </c>
      <c r="AT64" s="100">
        <f ca="1">SUMPRODUCT(--($CX$9:$EX$9=$H64)*$AN64,'General Inputs'!$K$40:$BK$40)</f>
        <v>0</v>
      </c>
      <c r="AU64" s="100">
        <f>SUMPRODUCT(--($CX$9:$EX$9=$H64)*$AO64,'General Inputs'!$K$40:$BK$40)</f>
        <v>0</v>
      </c>
      <c r="AV64" s="100">
        <f ca="1">CONVERT(SUMPRODUCT($CX64:$EX64,'General Inputs'!$K$40:$BK$40,OFFSET('General Inputs'!$K$34:$BK$34,MATCH($D64,'General Inputs'!$J$34:$J$35,0)-1,)),$Q$8,'General Inputs'!$G$32)</f>
        <v>0</v>
      </c>
      <c r="AW64" s="100">
        <f ca="1">CONVERT(SUMPRODUCT($CX64:$EX64,'General Inputs'!$K$27:$BK$27,'General Inputs'!$K$40:$BK$40)*$M64,$Q$8,'General Inputs'!$E$17)</f>
        <v>0</v>
      </c>
      <c r="AX64" s="100">
        <f ca="1">CONVERT(SUMPRODUCT($EZ64:$GZ64,'General Inputs'!$K$28:$BK$28,'General Inputs'!$K$40:$BK$40)*$M64,$Q$8,'General Inputs'!$E$17)</f>
        <v>0</v>
      </c>
      <c r="AY64" s="98">
        <f ca="1">SUMPRODUCT($CX64:$EX64,'General Inputs'!$K$40:$BK$40)</f>
        <v>0</v>
      </c>
      <c r="AZ64" s="37"/>
      <c r="BA64" s="100">
        <f t="shared" ca="1" si="351"/>
        <v>0</v>
      </c>
      <c r="BB64" s="102" t="e">
        <f t="shared" ca="1" si="352"/>
        <v>#DIV/0!</v>
      </c>
      <c r="BC64" s="100">
        <f t="shared" ca="1" si="273"/>
        <v>0</v>
      </c>
      <c r="BD64" s="100">
        <f t="shared" ca="1" si="274"/>
        <v>0</v>
      </c>
      <c r="BE64" s="100">
        <f t="shared" ca="1" si="275"/>
        <v>0</v>
      </c>
      <c r="BF64" s="100">
        <f t="shared" ca="1" si="276"/>
        <v>0</v>
      </c>
      <c r="BG64" s="100">
        <f t="shared" si="277"/>
        <v>0</v>
      </c>
      <c r="BH64" s="100">
        <f t="shared" ca="1" si="278"/>
        <v>0</v>
      </c>
      <c r="BI64" s="37"/>
      <c r="BJ64" s="100">
        <f t="shared" ca="1" si="353"/>
        <v>0</v>
      </c>
      <c r="BK64" s="102" t="e">
        <f t="shared" ca="1" si="354"/>
        <v>#DIV/0!</v>
      </c>
      <c r="BL64" s="100">
        <f t="shared" ca="1" si="279"/>
        <v>0</v>
      </c>
      <c r="BM64" s="100">
        <f t="shared" ca="1" si="164"/>
        <v>0</v>
      </c>
      <c r="BN64" s="100">
        <f t="shared" ca="1" si="280"/>
        <v>0</v>
      </c>
      <c r="BO64" s="100">
        <f t="shared" ca="1" si="281"/>
        <v>0</v>
      </c>
      <c r="BP64" s="100">
        <f t="shared" ca="1" si="282"/>
        <v>0</v>
      </c>
      <c r="BQ64" s="100">
        <f t="shared" si="283"/>
        <v>0</v>
      </c>
      <c r="BR64" s="100">
        <f t="shared" ca="1" si="284"/>
        <v>0</v>
      </c>
      <c r="BS64" s="37"/>
      <c r="BT64" s="100">
        <f t="shared" ca="1" si="355"/>
        <v>0</v>
      </c>
      <c r="BU64" s="102" t="e">
        <f t="shared" ca="1" si="356"/>
        <v>#DIV/0!</v>
      </c>
      <c r="BV64" s="102" t="e">
        <f t="shared" ca="1" si="285"/>
        <v>#DIV/0!</v>
      </c>
      <c r="BW64" s="100">
        <f t="shared" ca="1" si="286"/>
        <v>0</v>
      </c>
      <c r="BX64" s="100">
        <f t="shared" ca="1" si="287"/>
        <v>0</v>
      </c>
      <c r="BY64" s="100">
        <f t="shared" ca="1" si="288"/>
        <v>0</v>
      </c>
      <c r="BZ64" s="100">
        <f t="shared" ca="1" si="289"/>
        <v>0</v>
      </c>
      <c r="CA64" s="100">
        <f t="shared" ca="1" si="290"/>
        <v>0</v>
      </c>
      <c r="CB64" s="37"/>
      <c r="CC64" s="100">
        <f t="shared" ca="1" si="357"/>
        <v>0</v>
      </c>
      <c r="CD64" s="102" t="e">
        <f t="shared" ca="1" si="358"/>
        <v>#DIV/0!</v>
      </c>
      <c r="CE64" s="103" t="e">
        <f t="shared" ca="1" si="291"/>
        <v>#DIV/0!</v>
      </c>
      <c r="CF64" s="100">
        <f t="shared" ca="1" si="292"/>
        <v>0</v>
      </c>
      <c r="CG64" s="100">
        <f t="shared" ca="1" si="293"/>
        <v>0</v>
      </c>
      <c r="CH64" s="100">
        <f t="shared" ca="1" si="294"/>
        <v>0</v>
      </c>
      <c r="CI64" s="100">
        <f t="shared" ca="1" si="71"/>
        <v>0</v>
      </c>
      <c r="CJ64" s="100">
        <f t="shared" ca="1" si="72"/>
        <v>0</v>
      </c>
      <c r="CK64" s="100">
        <f t="shared" si="295"/>
        <v>0</v>
      </c>
      <c r="CL64" s="37"/>
      <c r="CM64" s="100">
        <f t="shared" ca="1" si="359"/>
        <v>0</v>
      </c>
      <c r="CN64" s="102" t="e">
        <f t="shared" ca="1" si="360"/>
        <v>#DIV/0!</v>
      </c>
      <c r="CO64" s="128"/>
      <c r="CP64" s="100">
        <f t="shared" ca="1" si="296"/>
        <v>0</v>
      </c>
      <c r="CQ64" s="100">
        <f t="shared" ca="1" si="297"/>
        <v>0</v>
      </c>
      <c r="CR64" s="100">
        <f t="shared" ca="1" si="298"/>
        <v>0</v>
      </c>
      <c r="CS64" s="100">
        <f t="shared" ca="1" si="73"/>
        <v>0</v>
      </c>
      <c r="CT64" s="100">
        <f t="shared" ca="1" si="299"/>
        <v>0</v>
      </c>
      <c r="CU64" s="100">
        <f t="shared" ca="1" si="300"/>
        <v>0</v>
      </c>
      <c r="CV64" s="100">
        <f t="shared" si="301"/>
        <v>0</v>
      </c>
      <c r="CW64" s="37"/>
      <c r="CX64" s="48">
        <f t="shared" ca="1" si="378"/>
        <v>0</v>
      </c>
      <c r="CY64" s="48">
        <f t="shared" ca="1" si="378"/>
        <v>0</v>
      </c>
      <c r="CZ64" s="48">
        <f t="shared" ca="1" si="378"/>
        <v>0</v>
      </c>
      <c r="DA64" s="48">
        <f t="shared" ca="1" si="378"/>
        <v>0</v>
      </c>
      <c r="DB64" s="48">
        <f t="shared" ca="1" si="378"/>
        <v>0</v>
      </c>
      <c r="DC64" s="48">
        <f t="shared" ca="1" si="378"/>
        <v>0</v>
      </c>
      <c r="DD64" s="48">
        <f t="shared" ca="1" si="378"/>
        <v>0</v>
      </c>
      <c r="DE64" s="48">
        <f t="shared" ca="1" si="378"/>
        <v>0</v>
      </c>
      <c r="DF64" s="48">
        <f t="shared" ca="1" si="378"/>
        <v>0</v>
      </c>
      <c r="DG64" s="48">
        <f t="shared" ca="1" si="378"/>
        <v>0</v>
      </c>
      <c r="DH64" s="48">
        <f t="shared" ca="1" si="378"/>
        <v>0</v>
      </c>
      <c r="DI64" s="48">
        <f t="shared" ca="1" si="378"/>
        <v>0</v>
      </c>
      <c r="DJ64" s="48">
        <f t="shared" ca="1" si="378"/>
        <v>0</v>
      </c>
      <c r="DK64" s="48">
        <f t="shared" ca="1" si="378"/>
        <v>0</v>
      </c>
      <c r="DL64" s="48">
        <f t="shared" ca="1" si="378"/>
        <v>0</v>
      </c>
      <c r="DM64" s="48">
        <f t="shared" ca="1" si="372"/>
        <v>0</v>
      </c>
      <c r="DN64" s="48">
        <f t="shared" ca="1" si="372"/>
        <v>0</v>
      </c>
      <c r="DO64" s="48">
        <f t="shared" ca="1" si="372"/>
        <v>0</v>
      </c>
      <c r="DP64" s="48">
        <f t="shared" ca="1" si="372"/>
        <v>0</v>
      </c>
      <c r="DQ64" s="48">
        <f t="shared" ca="1" si="372"/>
        <v>0</v>
      </c>
      <c r="DR64" s="48">
        <f t="shared" ca="1" si="372"/>
        <v>0</v>
      </c>
      <c r="DS64" s="48">
        <f t="shared" ca="1" si="372"/>
        <v>0</v>
      </c>
      <c r="DT64" s="48">
        <f t="shared" ca="1" si="372"/>
        <v>0</v>
      </c>
      <c r="DU64" s="48">
        <f t="shared" ca="1" si="372"/>
        <v>0</v>
      </c>
      <c r="DV64" s="48">
        <f t="shared" ca="1" si="372"/>
        <v>0</v>
      </c>
      <c r="DW64" s="48">
        <f t="shared" ca="1" si="372"/>
        <v>0</v>
      </c>
      <c r="DX64" s="48">
        <f t="shared" ca="1" si="372"/>
        <v>0</v>
      </c>
      <c r="DY64" s="48">
        <f t="shared" ca="1" si="372"/>
        <v>0</v>
      </c>
      <c r="DZ64" s="48">
        <f t="shared" ca="1" si="372"/>
        <v>0</v>
      </c>
      <c r="EA64" s="48">
        <f t="shared" ca="1" si="372"/>
        <v>0</v>
      </c>
      <c r="EB64" s="48">
        <f t="shared" ca="1" si="372"/>
        <v>0</v>
      </c>
      <c r="EC64" s="48">
        <f t="shared" ca="1" si="373"/>
        <v>0</v>
      </c>
      <c r="ED64" s="48">
        <f t="shared" ca="1" si="373"/>
        <v>0</v>
      </c>
      <c r="EE64" s="48">
        <f t="shared" ca="1" si="373"/>
        <v>0</v>
      </c>
      <c r="EF64" s="48">
        <f t="shared" ca="1" si="373"/>
        <v>0</v>
      </c>
      <c r="EG64" s="48">
        <f t="shared" ca="1" si="373"/>
        <v>0</v>
      </c>
      <c r="EH64" s="48">
        <f t="shared" ca="1" si="373"/>
        <v>0</v>
      </c>
      <c r="EI64" s="48">
        <f t="shared" ca="1" si="373"/>
        <v>0</v>
      </c>
      <c r="EJ64" s="48">
        <f t="shared" ca="1" si="373"/>
        <v>0</v>
      </c>
      <c r="EK64" s="48">
        <f t="shared" ca="1" si="373"/>
        <v>0</v>
      </c>
      <c r="EL64" s="48">
        <f t="shared" ca="1" si="373"/>
        <v>0</v>
      </c>
      <c r="EM64" s="48">
        <f t="shared" ca="1" si="373"/>
        <v>0</v>
      </c>
      <c r="EN64" s="48">
        <f t="shared" ca="1" si="373"/>
        <v>0</v>
      </c>
      <c r="EO64" s="48">
        <f t="shared" ca="1" si="373"/>
        <v>0</v>
      </c>
      <c r="EP64" s="48">
        <f t="shared" ca="1" si="373"/>
        <v>0</v>
      </c>
      <c r="EQ64" s="48">
        <f t="shared" ca="1" si="373"/>
        <v>0</v>
      </c>
      <c r="ER64" s="48">
        <f t="shared" ca="1" si="373"/>
        <v>0</v>
      </c>
      <c r="ES64" s="48">
        <f t="shared" ca="1" si="374"/>
        <v>0</v>
      </c>
      <c r="ET64" s="48">
        <f t="shared" ca="1" si="364"/>
        <v>0</v>
      </c>
      <c r="EU64" s="48">
        <f t="shared" ca="1" si="364"/>
        <v>0</v>
      </c>
      <c r="EV64" s="48">
        <f t="shared" ca="1" si="364"/>
        <v>0</v>
      </c>
      <c r="EW64" s="48">
        <f t="shared" ca="1" si="364"/>
        <v>0</v>
      </c>
      <c r="EX64" s="48">
        <f t="shared" ca="1" si="364"/>
        <v>0</v>
      </c>
      <c r="EY64" s="69"/>
      <c r="EZ64" s="48">
        <f t="shared" ca="1" si="379"/>
        <v>0</v>
      </c>
      <c r="FA64" s="48">
        <f t="shared" ca="1" si="379"/>
        <v>0</v>
      </c>
      <c r="FB64" s="48">
        <f t="shared" ca="1" si="379"/>
        <v>0</v>
      </c>
      <c r="FC64" s="48">
        <f t="shared" ca="1" si="379"/>
        <v>0</v>
      </c>
      <c r="FD64" s="48">
        <f t="shared" ca="1" si="379"/>
        <v>0</v>
      </c>
      <c r="FE64" s="48">
        <f t="shared" ca="1" si="379"/>
        <v>0</v>
      </c>
      <c r="FF64" s="48">
        <f t="shared" ca="1" si="379"/>
        <v>0</v>
      </c>
      <c r="FG64" s="48">
        <f t="shared" ca="1" si="379"/>
        <v>0</v>
      </c>
      <c r="FH64" s="48">
        <f t="shared" ca="1" si="379"/>
        <v>0</v>
      </c>
      <c r="FI64" s="48">
        <f t="shared" ca="1" si="379"/>
        <v>0</v>
      </c>
      <c r="FJ64" s="48">
        <f t="shared" ca="1" si="379"/>
        <v>0</v>
      </c>
      <c r="FK64" s="48">
        <f t="shared" ca="1" si="379"/>
        <v>0</v>
      </c>
      <c r="FL64" s="48">
        <f t="shared" ca="1" si="379"/>
        <v>0</v>
      </c>
      <c r="FM64" s="48">
        <f t="shared" ca="1" si="379"/>
        <v>0</v>
      </c>
      <c r="FN64" s="48">
        <f t="shared" ca="1" si="379"/>
        <v>0</v>
      </c>
      <c r="FO64" s="48">
        <f t="shared" ca="1" si="375"/>
        <v>0</v>
      </c>
      <c r="FP64" s="48">
        <f t="shared" ca="1" si="375"/>
        <v>0</v>
      </c>
      <c r="FQ64" s="48">
        <f t="shared" ca="1" si="375"/>
        <v>0</v>
      </c>
      <c r="FR64" s="48">
        <f t="shared" ca="1" si="375"/>
        <v>0</v>
      </c>
      <c r="FS64" s="48">
        <f t="shared" ca="1" si="375"/>
        <v>0</v>
      </c>
      <c r="FT64" s="48">
        <f t="shared" ca="1" si="375"/>
        <v>0</v>
      </c>
      <c r="FU64" s="48">
        <f t="shared" ca="1" si="375"/>
        <v>0</v>
      </c>
      <c r="FV64" s="48">
        <f t="shared" ca="1" si="375"/>
        <v>0</v>
      </c>
      <c r="FW64" s="48">
        <f t="shared" ca="1" si="375"/>
        <v>0</v>
      </c>
      <c r="FX64" s="48">
        <f t="shared" ca="1" si="375"/>
        <v>0</v>
      </c>
      <c r="FY64" s="48">
        <f t="shared" ca="1" si="375"/>
        <v>0</v>
      </c>
      <c r="FZ64" s="48">
        <f t="shared" ca="1" si="375"/>
        <v>0</v>
      </c>
      <c r="GA64" s="48">
        <f t="shared" ca="1" si="375"/>
        <v>0</v>
      </c>
      <c r="GB64" s="48">
        <f t="shared" ca="1" si="375"/>
        <v>0</v>
      </c>
      <c r="GC64" s="48">
        <f t="shared" ca="1" si="375"/>
        <v>0</v>
      </c>
      <c r="GD64" s="48">
        <f t="shared" ca="1" si="375"/>
        <v>0</v>
      </c>
      <c r="GE64" s="48">
        <f t="shared" ca="1" si="376"/>
        <v>0</v>
      </c>
      <c r="GF64" s="48">
        <f t="shared" ca="1" si="376"/>
        <v>0</v>
      </c>
      <c r="GG64" s="48">
        <f t="shared" ca="1" si="376"/>
        <v>0</v>
      </c>
      <c r="GH64" s="48">
        <f t="shared" ca="1" si="376"/>
        <v>0</v>
      </c>
      <c r="GI64" s="48">
        <f t="shared" ca="1" si="376"/>
        <v>0</v>
      </c>
      <c r="GJ64" s="48">
        <f t="shared" ca="1" si="376"/>
        <v>0</v>
      </c>
      <c r="GK64" s="48">
        <f t="shared" ca="1" si="376"/>
        <v>0</v>
      </c>
      <c r="GL64" s="48">
        <f t="shared" ca="1" si="376"/>
        <v>0</v>
      </c>
      <c r="GM64" s="48">
        <f t="shared" ca="1" si="376"/>
        <v>0</v>
      </c>
      <c r="GN64" s="48">
        <f t="shared" ca="1" si="376"/>
        <v>0</v>
      </c>
      <c r="GO64" s="48">
        <f t="shared" ca="1" si="376"/>
        <v>0</v>
      </c>
      <c r="GP64" s="48">
        <f t="shared" ca="1" si="376"/>
        <v>0</v>
      </c>
      <c r="GQ64" s="48">
        <f t="shared" ca="1" si="376"/>
        <v>0</v>
      </c>
      <c r="GR64" s="48">
        <f t="shared" ca="1" si="376"/>
        <v>0</v>
      </c>
      <c r="GS64" s="48">
        <f t="shared" ca="1" si="376"/>
        <v>0</v>
      </c>
      <c r="GT64" s="48">
        <f t="shared" ca="1" si="376"/>
        <v>0</v>
      </c>
      <c r="GU64" s="48">
        <f t="shared" ca="1" si="377"/>
        <v>0</v>
      </c>
      <c r="GV64" s="48">
        <f t="shared" ca="1" si="368"/>
        <v>0</v>
      </c>
      <c r="GW64" s="48">
        <f t="shared" ca="1" si="368"/>
        <v>0</v>
      </c>
      <c r="GX64" s="48">
        <f t="shared" ca="1" si="368"/>
        <v>0</v>
      </c>
      <c r="GY64" s="48">
        <f t="shared" ca="1" si="368"/>
        <v>0</v>
      </c>
      <c r="GZ64" s="48">
        <f t="shared" ca="1" si="368"/>
        <v>0</v>
      </c>
      <c r="HA64" s="69"/>
      <c r="HB64" s="150" t="str">
        <f t="shared" ca="1" si="74"/>
        <v>n/a</v>
      </c>
      <c r="HC64" s="150" t="str">
        <f t="shared" ca="1" si="369"/>
        <v>n/a</v>
      </c>
      <c r="HD64" s="150" t="str">
        <f t="shared" ca="1" si="76"/>
        <v>n/a</v>
      </c>
      <c r="HE64" s="150" t="str">
        <f t="shared" ca="1" si="370"/>
        <v>n/a</v>
      </c>
      <c r="HF64" s="150" t="str">
        <f t="shared" ca="1" si="371"/>
        <v>n/a</v>
      </c>
      <c r="HG64" s="148"/>
      <c r="HH64" s="149"/>
      <c r="HI64" s="149"/>
      <c r="HJ64" s="149"/>
      <c r="HK64" s="150"/>
      <c r="HL64" s="149"/>
      <c r="HM64" s="149"/>
      <c r="HN64" s="149"/>
      <c r="HO64" s="150"/>
      <c r="HP64" s="148"/>
      <c r="HQ64" s="149"/>
      <c r="HR64" s="149"/>
      <c r="HS64" s="149"/>
      <c r="HT64" s="150"/>
      <c r="HU64" s="149"/>
      <c r="HV64" s="149"/>
      <c r="HW64" s="149"/>
      <c r="HX64" s="150"/>
      <c r="HY64" s="151"/>
      <c r="HZ64" s="150"/>
      <c r="IA64" s="150"/>
      <c r="IB64" s="152"/>
      <c r="IC64" s="150"/>
      <c r="ID64" s="152"/>
      <c r="IE64" s="150"/>
      <c r="IF64" s="153"/>
    </row>
    <row r="65" spans="1:240" s="36" customFormat="1" ht="14.4" customHeight="1">
      <c r="A65" s="39"/>
      <c r="B65" s="50" t="str">
        <f t="shared" si="340"/>
        <v>C&amp;I_C&amp;I Prescriptive_Lighting_Ceramic Metal Halide Fixture (≤150W)_2017_Actual</v>
      </c>
      <c r="C65" s="50">
        <f>INDEX('Measure Inputs'!$D:$D,MATCH($B65,'Measure Inputs'!$B:$B,0))</f>
        <v>31</v>
      </c>
      <c r="D65" s="51" t="str">
        <f>'Measure Inputs'!G37</f>
        <v>C&amp;I</v>
      </c>
      <c r="E65" s="51" t="str">
        <f>'Measure Inputs'!H37</f>
        <v>C&amp;I Prescriptive</v>
      </c>
      <c r="F65" s="51" t="str">
        <f>'Measure Inputs'!I37</f>
        <v>Lighting</v>
      </c>
      <c r="G65" s="51" t="str">
        <f>'Measure Inputs'!J37</f>
        <v>Ceramic Metal Halide Fixture (≤150W)</v>
      </c>
      <c r="H65" s="51">
        <f>'Measure Inputs'!K37</f>
        <v>2017</v>
      </c>
      <c r="I65" s="51" t="str">
        <f>'Measure Inputs'!L37</f>
        <v>Actual</v>
      </c>
      <c r="J65" s="37"/>
      <c r="K65" s="99" t="str">
        <f ca="1">INDEX(OFFSET('Measure Inputs'!$O$7,,,InputRows),$C65)</f>
        <v>Units</v>
      </c>
      <c r="L65" s="38">
        <f ca="1">INDEX(OFFSET('Measure Inputs'!$Q$7,,,InputRows),$C65)</f>
        <v>0</v>
      </c>
      <c r="M65" s="167">
        <f>INDEX('General Inputs'!$E$14:$E$15,MATCH(D65,'General Inputs'!$D$14:$D$15,0))</f>
        <v>1.0469999999999999</v>
      </c>
      <c r="N65" s="54">
        <f ca="1">INDEX(OFFSET('Measure Inputs'!$Y$7,,,InputRows),$C65)</f>
        <v>1</v>
      </c>
      <c r="O65" s="54">
        <f ca="1">INDEX(OFFSET('Measure Inputs'!$Z$7,,,InputRows),$C65)</f>
        <v>1</v>
      </c>
      <c r="P65" s="37"/>
      <c r="Q65" s="127">
        <f ca="1">CONVERT(INDEX(OFFSET('Measure Inputs'!$AB$7,,,InputRows),$C65),'Measure Inputs'!$AB$6,Q$8)*$L65</f>
        <v>0</v>
      </c>
      <c r="R65" s="127">
        <f t="shared" ca="1" si="341"/>
        <v>0</v>
      </c>
      <c r="S65" s="127">
        <f t="shared" ca="1" si="342"/>
        <v>0</v>
      </c>
      <c r="T65" s="37"/>
      <c r="U65" s="127">
        <f ca="1">CONVERT(INDEX(OFFSET('Measure Inputs'!$AD$7,,,InputRows),$C65),'Measure Inputs'!$AD$6,U$8)*$L65</f>
        <v>0</v>
      </c>
      <c r="V65" s="127">
        <f t="shared" ca="1" si="343"/>
        <v>0</v>
      </c>
      <c r="W65" s="127">
        <f t="shared" ca="1" si="344"/>
        <v>0</v>
      </c>
      <c r="X65" s="37"/>
      <c r="Y65" s="127">
        <f ca="1">CONVERT(INDEX(OFFSET('Measure Inputs'!$AC$7,,,InputRows),$C65),'Measure Inputs'!$AC$6,Y$8)*$L65</f>
        <v>0</v>
      </c>
      <c r="Z65" s="127">
        <f t="shared" ca="1" si="345"/>
        <v>0</v>
      </c>
      <c r="AA65" s="127">
        <f t="shared" ca="1" si="346"/>
        <v>0</v>
      </c>
      <c r="AB65" s="37"/>
      <c r="AC65" s="127">
        <f ca="1">CONVERT(INDEX(OFFSET('Measure Inputs'!$AE$7,,,InputRows),$C65),'Measure Inputs'!$AE$6,AC$8)*$L65</f>
        <v>0</v>
      </c>
      <c r="AD65" s="127">
        <f t="shared" ca="1" si="347"/>
        <v>0</v>
      </c>
      <c r="AE65" s="127">
        <f t="shared" ca="1" si="348"/>
        <v>0</v>
      </c>
      <c r="AF65" s="37"/>
      <c r="AG65" s="97">
        <f ca="1">INDEX(OFFSET('Measure Inputs'!$R$7,,,InputRows),$C65)</f>
        <v>13</v>
      </c>
      <c r="AH65" s="97">
        <f ca="1">INDEX(OFFSET('Measure Inputs'!$S$7,,,InputRows),$C65)</f>
        <v>0</v>
      </c>
      <c r="AI65" s="97">
        <f t="shared" ca="1" si="349"/>
        <v>0</v>
      </c>
      <c r="AJ65" s="100">
        <f ca="1">INDEX(OFFSET('Measure Inputs'!$T$7,,,InputRows),$C65)*$L65*$N65*$O65</f>
        <v>0</v>
      </c>
      <c r="AK65" s="100">
        <f ca="1">INDEX(OFFSET('Measure Inputs'!$U$7,,,InputRows),$C65)*$L65*$N65*$O65</f>
        <v>0</v>
      </c>
      <c r="AL65" s="100">
        <f ca="1">INDEX(OFFSET('Measure Inputs'!$V$7,,,InputRows),$C65)*$L65*$N65*$O65</f>
        <v>0</v>
      </c>
      <c r="AM65" s="100">
        <f ca="1">INDEX(OFFSET('Measure Inputs'!$W$7,,,InputRows),$C65)*$L65*$N65*$O65</f>
        <v>0</v>
      </c>
      <c r="AN65" s="100">
        <f ca="1">INDEX(OFFSET('Measure Inputs'!$X$7,,,InputRows),$C65)*$L65</f>
        <v>0</v>
      </c>
      <c r="AO65" s="100"/>
      <c r="AP65" s="100">
        <f t="shared" ca="1" si="350"/>
        <v>0</v>
      </c>
      <c r="AQ65" s="37"/>
      <c r="AR65" s="100">
        <f ca="1">SUMPRODUCT(--($CX$9:$EX$9=$H65)*$AJ65,'General Inputs'!$K$40:$BK$40)+SUMPRODUCT(--($CX$9:$EX$9=$H65+$AH65)*-$AK65,'General Inputs'!$K$43:$BK$43)</f>
        <v>0</v>
      </c>
      <c r="AS65" s="100">
        <f ca="1">CONVERT(SUMPRODUCT($CX65:$EX65,'General Inputs'!$K$29:$BK$29,'General Inputs'!$K$40:$BK$40)*$M65,$Q$8,'General Inputs'!$E$17)</f>
        <v>0</v>
      </c>
      <c r="AT65" s="100">
        <f ca="1">SUMPRODUCT(--($CX$9:$EX$9=$H65)*$AN65,'General Inputs'!$K$40:$BK$40)</f>
        <v>0</v>
      </c>
      <c r="AU65" s="100">
        <f>SUMPRODUCT(--($CX$9:$EX$9=$H65)*$AO65,'General Inputs'!$K$40:$BK$40)</f>
        <v>0</v>
      </c>
      <c r="AV65" s="100">
        <f ca="1">CONVERT(SUMPRODUCT($CX65:$EX65,'General Inputs'!$K$40:$BK$40,OFFSET('General Inputs'!$K$34:$BK$34,MATCH($D65,'General Inputs'!$J$34:$J$35,0)-1,)),$Q$8,'General Inputs'!$G$32)</f>
        <v>0</v>
      </c>
      <c r="AW65" s="100">
        <f ca="1">CONVERT(SUMPRODUCT($CX65:$EX65,'General Inputs'!$K$27:$BK$27,'General Inputs'!$K$40:$BK$40)*$M65,$Q$8,'General Inputs'!$E$17)</f>
        <v>0</v>
      </c>
      <c r="AX65" s="100">
        <f ca="1">CONVERT(SUMPRODUCT($EZ65:$GZ65,'General Inputs'!$K$28:$BK$28,'General Inputs'!$K$40:$BK$40)*$M65,$Q$8,'General Inputs'!$E$17)</f>
        <v>0</v>
      </c>
      <c r="AY65" s="98">
        <f ca="1">SUMPRODUCT($CX65:$EX65,'General Inputs'!$K$40:$BK$40)</f>
        <v>0</v>
      </c>
      <c r="AZ65" s="37"/>
      <c r="BA65" s="100">
        <f t="shared" ca="1" si="351"/>
        <v>0</v>
      </c>
      <c r="BB65" s="102" t="e">
        <f t="shared" ca="1" si="352"/>
        <v>#DIV/0!</v>
      </c>
      <c r="BC65" s="100">
        <f t="shared" ca="1" si="273"/>
        <v>0</v>
      </c>
      <c r="BD65" s="100">
        <f t="shared" ca="1" si="274"/>
        <v>0</v>
      </c>
      <c r="BE65" s="100">
        <f t="shared" ca="1" si="275"/>
        <v>0</v>
      </c>
      <c r="BF65" s="100">
        <f t="shared" ca="1" si="276"/>
        <v>0</v>
      </c>
      <c r="BG65" s="100">
        <f t="shared" si="277"/>
        <v>0</v>
      </c>
      <c r="BH65" s="100">
        <f t="shared" ca="1" si="278"/>
        <v>0</v>
      </c>
      <c r="BI65" s="37"/>
      <c r="BJ65" s="100">
        <f t="shared" ca="1" si="353"/>
        <v>0</v>
      </c>
      <c r="BK65" s="102" t="e">
        <f t="shared" ca="1" si="354"/>
        <v>#DIV/0!</v>
      </c>
      <c r="BL65" s="100">
        <f t="shared" ca="1" si="279"/>
        <v>0</v>
      </c>
      <c r="BM65" s="100">
        <f t="shared" ca="1" si="164"/>
        <v>0</v>
      </c>
      <c r="BN65" s="100">
        <f t="shared" ca="1" si="280"/>
        <v>0</v>
      </c>
      <c r="BO65" s="100">
        <f t="shared" ca="1" si="281"/>
        <v>0</v>
      </c>
      <c r="BP65" s="100">
        <f t="shared" ca="1" si="282"/>
        <v>0</v>
      </c>
      <c r="BQ65" s="100">
        <f t="shared" si="283"/>
        <v>0</v>
      </c>
      <c r="BR65" s="100">
        <f t="shared" ca="1" si="284"/>
        <v>0</v>
      </c>
      <c r="BS65" s="37"/>
      <c r="BT65" s="100">
        <f t="shared" ca="1" si="355"/>
        <v>0</v>
      </c>
      <c r="BU65" s="102" t="e">
        <f t="shared" ca="1" si="356"/>
        <v>#DIV/0!</v>
      </c>
      <c r="BV65" s="102" t="e">
        <f t="shared" ca="1" si="285"/>
        <v>#DIV/0!</v>
      </c>
      <c r="BW65" s="100">
        <f t="shared" ca="1" si="286"/>
        <v>0</v>
      </c>
      <c r="BX65" s="100">
        <f t="shared" ca="1" si="287"/>
        <v>0</v>
      </c>
      <c r="BY65" s="100">
        <f t="shared" ca="1" si="288"/>
        <v>0</v>
      </c>
      <c r="BZ65" s="100">
        <f t="shared" ca="1" si="289"/>
        <v>0</v>
      </c>
      <c r="CA65" s="100">
        <f t="shared" ca="1" si="290"/>
        <v>0</v>
      </c>
      <c r="CB65" s="37"/>
      <c r="CC65" s="100">
        <f t="shared" ca="1" si="357"/>
        <v>0</v>
      </c>
      <c r="CD65" s="102" t="e">
        <f t="shared" ca="1" si="358"/>
        <v>#DIV/0!</v>
      </c>
      <c r="CE65" s="103" t="e">
        <f t="shared" ca="1" si="291"/>
        <v>#DIV/0!</v>
      </c>
      <c r="CF65" s="100">
        <f t="shared" ca="1" si="292"/>
        <v>0</v>
      </c>
      <c r="CG65" s="100">
        <f t="shared" ca="1" si="293"/>
        <v>0</v>
      </c>
      <c r="CH65" s="100">
        <f t="shared" ca="1" si="294"/>
        <v>0</v>
      </c>
      <c r="CI65" s="100">
        <f t="shared" ca="1" si="71"/>
        <v>0</v>
      </c>
      <c r="CJ65" s="100">
        <f t="shared" ca="1" si="72"/>
        <v>0</v>
      </c>
      <c r="CK65" s="100">
        <f t="shared" si="295"/>
        <v>0</v>
      </c>
      <c r="CL65" s="37"/>
      <c r="CM65" s="100">
        <f t="shared" ca="1" si="359"/>
        <v>0</v>
      </c>
      <c r="CN65" s="102" t="e">
        <f t="shared" ca="1" si="360"/>
        <v>#DIV/0!</v>
      </c>
      <c r="CO65" s="128"/>
      <c r="CP65" s="100">
        <f t="shared" ca="1" si="296"/>
        <v>0</v>
      </c>
      <c r="CQ65" s="100">
        <f t="shared" ca="1" si="297"/>
        <v>0</v>
      </c>
      <c r="CR65" s="100">
        <f t="shared" ca="1" si="298"/>
        <v>0</v>
      </c>
      <c r="CS65" s="100">
        <f t="shared" ca="1" si="73"/>
        <v>0</v>
      </c>
      <c r="CT65" s="100">
        <f t="shared" ca="1" si="299"/>
        <v>0</v>
      </c>
      <c r="CU65" s="100">
        <f t="shared" ca="1" si="300"/>
        <v>0</v>
      </c>
      <c r="CV65" s="100">
        <f t="shared" si="301"/>
        <v>0</v>
      </c>
      <c r="CW65" s="37"/>
      <c r="CX65" s="48">
        <f t="shared" ca="1" si="378"/>
        <v>0</v>
      </c>
      <c r="CY65" s="48">
        <f t="shared" ca="1" si="378"/>
        <v>0</v>
      </c>
      <c r="CZ65" s="48">
        <f t="shared" ca="1" si="378"/>
        <v>0</v>
      </c>
      <c r="DA65" s="48">
        <f t="shared" ca="1" si="378"/>
        <v>0</v>
      </c>
      <c r="DB65" s="48">
        <f t="shared" ca="1" si="378"/>
        <v>0</v>
      </c>
      <c r="DC65" s="48">
        <f t="shared" ca="1" si="378"/>
        <v>0</v>
      </c>
      <c r="DD65" s="48">
        <f t="shared" ca="1" si="378"/>
        <v>0</v>
      </c>
      <c r="DE65" s="48">
        <f t="shared" ca="1" si="378"/>
        <v>0</v>
      </c>
      <c r="DF65" s="48">
        <f t="shared" ca="1" si="378"/>
        <v>0</v>
      </c>
      <c r="DG65" s="48">
        <f t="shared" ca="1" si="378"/>
        <v>0</v>
      </c>
      <c r="DH65" s="48">
        <f t="shared" ca="1" si="378"/>
        <v>0</v>
      </c>
      <c r="DI65" s="48">
        <f t="shared" ca="1" si="378"/>
        <v>0</v>
      </c>
      <c r="DJ65" s="48">
        <f t="shared" ca="1" si="378"/>
        <v>0</v>
      </c>
      <c r="DK65" s="48">
        <f t="shared" ca="1" si="378"/>
        <v>0</v>
      </c>
      <c r="DL65" s="48">
        <f t="shared" ca="1" si="378"/>
        <v>0</v>
      </c>
      <c r="DM65" s="48">
        <f t="shared" ca="1" si="372"/>
        <v>0</v>
      </c>
      <c r="DN65" s="48">
        <f t="shared" ca="1" si="372"/>
        <v>0</v>
      </c>
      <c r="DO65" s="48">
        <f t="shared" ca="1" si="372"/>
        <v>0</v>
      </c>
      <c r="DP65" s="48">
        <f t="shared" ca="1" si="372"/>
        <v>0</v>
      </c>
      <c r="DQ65" s="48">
        <f t="shared" ca="1" si="372"/>
        <v>0</v>
      </c>
      <c r="DR65" s="48">
        <f t="shared" ca="1" si="372"/>
        <v>0</v>
      </c>
      <c r="DS65" s="48">
        <f t="shared" ca="1" si="372"/>
        <v>0</v>
      </c>
      <c r="DT65" s="48">
        <f t="shared" ca="1" si="372"/>
        <v>0</v>
      </c>
      <c r="DU65" s="48">
        <f t="shared" ca="1" si="372"/>
        <v>0</v>
      </c>
      <c r="DV65" s="48">
        <f t="shared" ca="1" si="372"/>
        <v>0</v>
      </c>
      <c r="DW65" s="48">
        <f t="shared" ca="1" si="372"/>
        <v>0</v>
      </c>
      <c r="DX65" s="48">
        <f t="shared" ca="1" si="372"/>
        <v>0</v>
      </c>
      <c r="DY65" s="48">
        <f t="shared" ca="1" si="372"/>
        <v>0</v>
      </c>
      <c r="DZ65" s="48">
        <f t="shared" ca="1" si="372"/>
        <v>0</v>
      </c>
      <c r="EA65" s="48">
        <f t="shared" ca="1" si="372"/>
        <v>0</v>
      </c>
      <c r="EB65" s="48">
        <f t="shared" ca="1" si="372"/>
        <v>0</v>
      </c>
      <c r="EC65" s="48">
        <f t="shared" ca="1" si="373"/>
        <v>0</v>
      </c>
      <c r="ED65" s="48">
        <f t="shared" ca="1" si="373"/>
        <v>0</v>
      </c>
      <c r="EE65" s="48">
        <f t="shared" ca="1" si="373"/>
        <v>0</v>
      </c>
      <c r="EF65" s="48">
        <f t="shared" ca="1" si="373"/>
        <v>0</v>
      </c>
      <c r="EG65" s="48">
        <f t="shared" ca="1" si="373"/>
        <v>0</v>
      </c>
      <c r="EH65" s="48">
        <f t="shared" ca="1" si="373"/>
        <v>0</v>
      </c>
      <c r="EI65" s="48">
        <f t="shared" ca="1" si="373"/>
        <v>0</v>
      </c>
      <c r="EJ65" s="48">
        <f t="shared" ca="1" si="373"/>
        <v>0</v>
      </c>
      <c r="EK65" s="48">
        <f t="shared" ca="1" si="373"/>
        <v>0</v>
      </c>
      <c r="EL65" s="48">
        <f t="shared" ca="1" si="373"/>
        <v>0</v>
      </c>
      <c r="EM65" s="48">
        <f t="shared" ca="1" si="373"/>
        <v>0</v>
      </c>
      <c r="EN65" s="48">
        <f t="shared" ca="1" si="373"/>
        <v>0</v>
      </c>
      <c r="EO65" s="48">
        <f t="shared" ca="1" si="373"/>
        <v>0</v>
      </c>
      <c r="EP65" s="48">
        <f t="shared" ca="1" si="373"/>
        <v>0</v>
      </c>
      <c r="EQ65" s="48">
        <f t="shared" ca="1" si="373"/>
        <v>0</v>
      </c>
      <c r="ER65" s="48">
        <f t="shared" ca="1" si="373"/>
        <v>0</v>
      </c>
      <c r="ES65" s="48">
        <f t="shared" ca="1" si="374"/>
        <v>0</v>
      </c>
      <c r="ET65" s="48">
        <f t="shared" ca="1" si="364"/>
        <v>0</v>
      </c>
      <c r="EU65" s="48">
        <f t="shared" ca="1" si="364"/>
        <v>0</v>
      </c>
      <c r="EV65" s="48">
        <f t="shared" ca="1" si="364"/>
        <v>0</v>
      </c>
      <c r="EW65" s="48">
        <f t="shared" ca="1" si="364"/>
        <v>0</v>
      </c>
      <c r="EX65" s="48">
        <f t="shared" ca="1" si="364"/>
        <v>0</v>
      </c>
      <c r="EY65" s="69"/>
      <c r="EZ65" s="48">
        <f t="shared" ca="1" si="379"/>
        <v>0</v>
      </c>
      <c r="FA65" s="48">
        <f t="shared" ca="1" si="379"/>
        <v>0</v>
      </c>
      <c r="FB65" s="48">
        <f t="shared" ca="1" si="379"/>
        <v>0</v>
      </c>
      <c r="FC65" s="48">
        <f t="shared" ca="1" si="379"/>
        <v>0</v>
      </c>
      <c r="FD65" s="48">
        <f t="shared" ca="1" si="379"/>
        <v>0</v>
      </c>
      <c r="FE65" s="48">
        <f t="shared" ca="1" si="379"/>
        <v>0</v>
      </c>
      <c r="FF65" s="48">
        <f t="shared" ca="1" si="379"/>
        <v>0</v>
      </c>
      <c r="FG65" s="48">
        <f t="shared" ca="1" si="379"/>
        <v>0</v>
      </c>
      <c r="FH65" s="48">
        <f t="shared" ca="1" si="379"/>
        <v>0</v>
      </c>
      <c r="FI65" s="48">
        <f t="shared" ca="1" si="379"/>
        <v>0</v>
      </c>
      <c r="FJ65" s="48">
        <f t="shared" ca="1" si="379"/>
        <v>0</v>
      </c>
      <c r="FK65" s="48">
        <f t="shared" ca="1" si="379"/>
        <v>0</v>
      </c>
      <c r="FL65" s="48">
        <f t="shared" ca="1" si="379"/>
        <v>0</v>
      </c>
      <c r="FM65" s="48">
        <f t="shared" ca="1" si="379"/>
        <v>0</v>
      </c>
      <c r="FN65" s="48">
        <f t="shared" ca="1" si="379"/>
        <v>0</v>
      </c>
      <c r="FO65" s="48">
        <f t="shared" ca="1" si="375"/>
        <v>0</v>
      </c>
      <c r="FP65" s="48">
        <f t="shared" ca="1" si="375"/>
        <v>0</v>
      </c>
      <c r="FQ65" s="48">
        <f t="shared" ca="1" si="375"/>
        <v>0</v>
      </c>
      <c r="FR65" s="48">
        <f t="shared" ca="1" si="375"/>
        <v>0</v>
      </c>
      <c r="FS65" s="48">
        <f t="shared" ca="1" si="375"/>
        <v>0</v>
      </c>
      <c r="FT65" s="48">
        <f t="shared" ca="1" si="375"/>
        <v>0</v>
      </c>
      <c r="FU65" s="48">
        <f t="shared" ca="1" si="375"/>
        <v>0</v>
      </c>
      <c r="FV65" s="48">
        <f t="shared" ca="1" si="375"/>
        <v>0</v>
      </c>
      <c r="FW65" s="48">
        <f t="shared" ca="1" si="375"/>
        <v>0</v>
      </c>
      <c r="FX65" s="48">
        <f t="shared" ca="1" si="375"/>
        <v>0</v>
      </c>
      <c r="FY65" s="48">
        <f t="shared" ca="1" si="375"/>
        <v>0</v>
      </c>
      <c r="FZ65" s="48">
        <f t="shared" ca="1" si="375"/>
        <v>0</v>
      </c>
      <c r="GA65" s="48">
        <f t="shared" ca="1" si="375"/>
        <v>0</v>
      </c>
      <c r="GB65" s="48">
        <f t="shared" ca="1" si="375"/>
        <v>0</v>
      </c>
      <c r="GC65" s="48">
        <f t="shared" ca="1" si="375"/>
        <v>0</v>
      </c>
      <c r="GD65" s="48">
        <f t="shared" ca="1" si="375"/>
        <v>0</v>
      </c>
      <c r="GE65" s="48">
        <f t="shared" ca="1" si="376"/>
        <v>0</v>
      </c>
      <c r="GF65" s="48">
        <f t="shared" ca="1" si="376"/>
        <v>0</v>
      </c>
      <c r="GG65" s="48">
        <f t="shared" ca="1" si="376"/>
        <v>0</v>
      </c>
      <c r="GH65" s="48">
        <f t="shared" ca="1" si="376"/>
        <v>0</v>
      </c>
      <c r="GI65" s="48">
        <f t="shared" ca="1" si="376"/>
        <v>0</v>
      </c>
      <c r="GJ65" s="48">
        <f t="shared" ca="1" si="376"/>
        <v>0</v>
      </c>
      <c r="GK65" s="48">
        <f t="shared" ca="1" si="376"/>
        <v>0</v>
      </c>
      <c r="GL65" s="48">
        <f t="shared" ca="1" si="376"/>
        <v>0</v>
      </c>
      <c r="GM65" s="48">
        <f t="shared" ca="1" si="376"/>
        <v>0</v>
      </c>
      <c r="GN65" s="48">
        <f t="shared" ca="1" si="376"/>
        <v>0</v>
      </c>
      <c r="GO65" s="48">
        <f t="shared" ca="1" si="376"/>
        <v>0</v>
      </c>
      <c r="GP65" s="48">
        <f t="shared" ca="1" si="376"/>
        <v>0</v>
      </c>
      <c r="GQ65" s="48">
        <f t="shared" ca="1" si="376"/>
        <v>0</v>
      </c>
      <c r="GR65" s="48">
        <f t="shared" ca="1" si="376"/>
        <v>0</v>
      </c>
      <c r="GS65" s="48">
        <f t="shared" ca="1" si="376"/>
        <v>0</v>
      </c>
      <c r="GT65" s="48">
        <f t="shared" ca="1" si="376"/>
        <v>0</v>
      </c>
      <c r="GU65" s="48">
        <f t="shared" ca="1" si="377"/>
        <v>0</v>
      </c>
      <c r="GV65" s="48">
        <f t="shared" ca="1" si="368"/>
        <v>0</v>
      </c>
      <c r="GW65" s="48">
        <f t="shared" ca="1" si="368"/>
        <v>0</v>
      </c>
      <c r="GX65" s="48">
        <f t="shared" ca="1" si="368"/>
        <v>0</v>
      </c>
      <c r="GY65" s="48">
        <f t="shared" ca="1" si="368"/>
        <v>0</v>
      </c>
      <c r="GZ65" s="48">
        <f t="shared" ca="1" si="368"/>
        <v>0</v>
      </c>
      <c r="HA65" s="69"/>
      <c r="HB65" s="150" t="str">
        <f t="shared" ca="1" si="74"/>
        <v>n/a</v>
      </c>
      <c r="HC65" s="150" t="str">
        <f t="shared" ca="1" si="369"/>
        <v>n/a</v>
      </c>
      <c r="HD65" s="150" t="str">
        <f t="shared" ca="1" si="76"/>
        <v>n/a</v>
      </c>
      <c r="HE65" s="150" t="str">
        <f t="shared" ca="1" si="370"/>
        <v>n/a</v>
      </c>
      <c r="HF65" s="150" t="str">
        <f t="shared" ca="1" si="371"/>
        <v>n/a</v>
      </c>
      <c r="HG65" s="148"/>
      <c r="HH65" s="149"/>
      <c r="HI65" s="149"/>
      <c r="HJ65" s="149"/>
      <c r="HK65" s="150"/>
      <c r="HL65" s="149"/>
      <c r="HM65" s="149"/>
      <c r="HN65" s="149"/>
      <c r="HO65" s="150"/>
      <c r="HP65" s="148"/>
      <c r="HQ65" s="149"/>
      <c r="HR65" s="149"/>
      <c r="HS65" s="149"/>
      <c r="HT65" s="150"/>
      <c r="HU65" s="149"/>
      <c r="HV65" s="149"/>
      <c r="HW65" s="149"/>
      <c r="HX65" s="150"/>
      <c r="HY65" s="151"/>
      <c r="HZ65" s="150"/>
      <c r="IA65" s="150"/>
      <c r="IB65" s="152"/>
      <c r="IC65" s="150"/>
      <c r="ID65" s="152"/>
      <c r="IE65" s="150"/>
      <c r="IF65" s="153"/>
    </row>
    <row r="66" spans="1:240" s="36" customFormat="1" ht="14.4" customHeight="1">
      <c r="A66" s="39"/>
      <c r="B66" s="50" t="str">
        <f t="shared" si="340"/>
        <v>C&amp;I_C&amp;I Prescriptive_Lighting_Ceramic Metal Halide Fixture (150-250W)_2017_Actual</v>
      </c>
      <c r="C66" s="50">
        <f>INDEX('Measure Inputs'!$D:$D,MATCH($B66,'Measure Inputs'!$B:$B,0))</f>
        <v>32</v>
      </c>
      <c r="D66" s="51" t="str">
        <f>'Measure Inputs'!G38</f>
        <v>C&amp;I</v>
      </c>
      <c r="E66" s="51" t="str">
        <f>'Measure Inputs'!H38</f>
        <v>C&amp;I Prescriptive</v>
      </c>
      <c r="F66" s="51" t="str">
        <f>'Measure Inputs'!I38</f>
        <v>Lighting</v>
      </c>
      <c r="G66" s="51" t="str">
        <f>'Measure Inputs'!J38</f>
        <v>Ceramic Metal Halide Fixture (150-250W)</v>
      </c>
      <c r="H66" s="51">
        <f>'Measure Inputs'!K38</f>
        <v>2017</v>
      </c>
      <c r="I66" s="51" t="str">
        <f>'Measure Inputs'!L38</f>
        <v>Actual</v>
      </c>
      <c r="J66" s="37"/>
      <c r="K66" s="99" t="str">
        <f ca="1">INDEX(OFFSET('Measure Inputs'!$O$7,,,InputRows),$C66)</f>
        <v>Units</v>
      </c>
      <c r="L66" s="38">
        <f ca="1">INDEX(OFFSET('Measure Inputs'!$Q$7,,,InputRows),$C66)</f>
        <v>0</v>
      </c>
      <c r="M66" s="167">
        <f>INDEX('General Inputs'!$E$14:$E$15,MATCH(D66,'General Inputs'!$D$14:$D$15,0))</f>
        <v>1.0469999999999999</v>
      </c>
      <c r="N66" s="54">
        <f ca="1">INDEX(OFFSET('Measure Inputs'!$Y$7,,,InputRows),$C66)</f>
        <v>1</v>
      </c>
      <c r="O66" s="54">
        <f ca="1">INDEX(OFFSET('Measure Inputs'!$Z$7,,,InputRows),$C66)</f>
        <v>1</v>
      </c>
      <c r="P66" s="37"/>
      <c r="Q66" s="127">
        <f ca="1">CONVERT(INDEX(OFFSET('Measure Inputs'!$AB$7,,,InputRows),$C66),'Measure Inputs'!$AB$6,Q$8)*$L66</f>
        <v>0</v>
      </c>
      <c r="R66" s="127">
        <f t="shared" ca="1" si="341"/>
        <v>0</v>
      </c>
      <c r="S66" s="127">
        <f t="shared" ca="1" si="342"/>
        <v>0</v>
      </c>
      <c r="T66" s="37"/>
      <c r="U66" s="127">
        <f ca="1">CONVERT(INDEX(OFFSET('Measure Inputs'!$AD$7,,,InputRows),$C66),'Measure Inputs'!$AD$6,U$8)*$L66</f>
        <v>0</v>
      </c>
      <c r="V66" s="127">
        <f t="shared" ca="1" si="343"/>
        <v>0</v>
      </c>
      <c r="W66" s="127">
        <f t="shared" ca="1" si="344"/>
        <v>0</v>
      </c>
      <c r="X66" s="37"/>
      <c r="Y66" s="127">
        <f ca="1">CONVERT(INDEX(OFFSET('Measure Inputs'!$AC$7,,,InputRows),$C66),'Measure Inputs'!$AC$6,Y$8)*$L66</f>
        <v>0</v>
      </c>
      <c r="Z66" s="127">
        <f t="shared" ca="1" si="345"/>
        <v>0</v>
      </c>
      <c r="AA66" s="127">
        <f t="shared" ca="1" si="346"/>
        <v>0</v>
      </c>
      <c r="AB66" s="37"/>
      <c r="AC66" s="127">
        <f ca="1">CONVERT(INDEX(OFFSET('Measure Inputs'!$AE$7,,,InputRows),$C66),'Measure Inputs'!$AE$6,AC$8)*$L66</f>
        <v>0</v>
      </c>
      <c r="AD66" s="127">
        <f t="shared" ca="1" si="347"/>
        <v>0</v>
      </c>
      <c r="AE66" s="127">
        <f t="shared" ca="1" si="348"/>
        <v>0</v>
      </c>
      <c r="AF66" s="37"/>
      <c r="AG66" s="97">
        <f ca="1">INDEX(OFFSET('Measure Inputs'!$R$7,,,InputRows),$C66)</f>
        <v>13</v>
      </c>
      <c r="AH66" s="97">
        <f ca="1">INDEX(OFFSET('Measure Inputs'!$S$7,,,InputRows),$C66)</f>
        <v>0</v>
      </c>
      <c r="AI66" s="97">
        <f t="shared" ca="1" si="349"/>
        <v>0</v>
      </c>
      <c r="AJ66" s="100">
        <f ca="1">INDEX(OFFSET('Measure Inputs'!$T$7,,,InputRows),$C66)*$L66*$N66*$O66</f>
        <v>0</v>
      </c>
      <c r="AK66" s="100">
        <f ca="1">INDEX(OFFSET('Measure Inputs'!$U$7,,,InputRows),$C66)*$L66*$N66*$O66</f>
        <v>0</v>
      </c>
      <c r="AL66" s="100">
        <f ca="1">INDEX(OFFSET('Measure Inputs'!$V$7,,,InputRows),$C66)*$L66*$N66*$O66</f>
        <v>0</v>
      </c>
      <c r="AM66" s="100">
        <f ca="1">INDEX(OFFSET('Measure Inputs'!$W$7,,,InputRows),$C66)*$L66*$N66*$O66</f>
        <v>0</v>
      </c>
      <c r="AN66" s="100">
        <f ca="1">INDEX(OFFSET('Measure Inputs'!$X$7,,,InputRows),$C66)*$L66</f>
        <v>0</v>
      </c>
      <c r="AO66" s="100"/>
      <c r="AP66" s="100">
        <f t="shared" ca="1" si="350"/>
        <v>0</v>
      </c>
      <c r="AQ66" s="37"/>
      <c r="AR66" s="100">
        <f ca="1">SUMPRODUCT(--($CX$9:$EX$9=$H66)*$AJ66,'General Inputs'!$K$40:$BK$40)+SUMPRODUCT(--($CX$9:$EX$9=$H66+$AH66)*-$AK66,'General Inputs'!$K$43:$BK$43)</f>
        <v>0</v>
      </c>
      <c r="AS66" s="100">
        <f ca="1">CONVERT(SUMPRODUCT($CX66:$EX66,'General Inputs'!$K$29:$BK$29,'General Inputs'!$K$40:$BK$40)*$M66,$Q$8,'General Inputs'!$E$17)</f>
        <v>0</v>
      </c>
      <c r="AT66" s="100">
        <f ca="1">SUMPRODUCT(--($CX$9:$EX$9=$H66)*$AN66,'General Inputs'!$K$40:$BK$40)</f>
        <v>0</v>
      </c>
      <c r="AU66" s="100">
        <f>SUMPRODUCT(--($CX$9:$EX$9=$H66)*$AO66,'General Inputs'!$K$40:$BK$40)</f>
        <v>0</v>
      </c>
      <c r="AV66" s="100">
        <f ca="1">CONVERT(SUMPRODUCT($CX66:$EX66,'General Inputs'!$K$40:$BK$40,OFFSET('General Inputs'!$K$34:$BK$34,MATCH($D66,'General Inputs'!$J$34:$J$35,0)-1,)),$Q$8,'General Inputs'!$G$32)</f>
        <v>0</v>
      </c>
      <c r="AW66" s="100">
        <f ca="1">CONVERT(SUMPRODUCT($CX66:$EX66,'General Inputs'!$K$27:$BK$27,'General Inputs'!$K$40:$BK$40)*$M66,$Q$8,'General Inputs'!$E$17)</f>
        <v>0</v>
      </c>
      <c r="AX66" s="100">
        <f ca="1">CONVERT(SUMPRODUCT($EZ66:$GZ66,'General Inputs'!$K$28:$BK$28,'General Inputs'!$K$40:$BK$40)*$M66,$Q$8,'General Inputs'!$E$17)</f>
        <v>0</v>
      </c>
      <c r="AY66" s="98">
        <f ca="1">SUMPRODUCT($CX66:$EX66,'General Inputs'!$K$40:$BK$40)</f>
        <v>0</v>
      </c>
      <c r="AZ66" s="37"/>
      <c r="BA66" s="100">
        <f t="shared" ca="1" si="351"/>
        <v>0</v>
      </c>
      <c r="BB66" s="102" t="e">
        <f t="shared" ca="1" si="352"/>
        <v>#DIV/0!</v>
      </c>
      <c r="BC66" s="100">
        <f t="shared" ca="1" si="273"/>
        <v>0</v>
      </c>
      <c r="BD66" s="100">
        <f t="shared" ca="1" si="274"/>
        <v>0</v>
      </c>
      <c r="BE66" s="100">
        <f t="shared" ca="1" si="275"/>
        <v>0</v>
      </c>
      <c r="BF66" s="100">
        <f t="shared" ca="1" si="276"/>
        <v>0</v>
      </c>
      <c r="BG66" s="100">
        <f t="shared" si="277"/>
        <v>0</v>
      </c>
      <c r="BH66" s="100">
        <f t="shared" ca="1" si="278"/>
        <v>0</v>
      </c>
      <c r="BI66" s="37"/>
      <c r="BJ66" s="100">
        <f t="shared" ca="1" si="353"/>
        <v>0</v>
      </c>
      <c r="BK66" s="102" t="e">
        <f t="shared" ca="1" si="354"/>
        <v>#DIV/0!</v>
      </c>
      <c r="BL66" s="100">
        <f t="shared" ca="1" si="279"/>
        <v>0</v>
      </c>
      <c r="BM66" s="100">
        <f t="shared" ca="1" si="164"/>
        <v>0</v>
      </c>
      <c r="BN66" s="100">
        <f t="shared" ca="1" si="280"/>
        <v>0</v>
      </c>
      <c r="BO66" s="100">
        <f t="shared" ca="1" si="281"/>
        <v>0</v>
      </c>
      <c r="BP66" s="100">
        <f t="shared" ca="1" si="282"/>
        <v>0</v>
      </c>
      <c r="BQ66" s="100">
        <f t="shared" si="283"/>
        <v>0</v>
      </c>
      <c r="BR66" s="100">
        <f t="shared" ca="1" si="284"/>
        <v>0</v>
      </c>
      <c r="BS66" s="37"/>
      <c r="BT66" s="100">
        <f t="shared" ca="1" si="355"/>
        <v>0</v>
      </c>
      <c r="BU66" s="102" t="e">
        <f t="shared" ca="1" si="356"/>
        <v>#DIV/0!</v>
      </c>
      <c r="BV66" s="102" t="e">
        <f t="shared" ca="1" si="285"/>
        <v>#DIV/0!</v>
      </c>
      <c r="BW66" s="100">
        <f t="shared" ca="1" si="286"/>
        <v>0</v>
      </c>
      <c r="BX66" s="100">
        <f t="shared" ca="1" si="287"/>
        <v>0</v>
      </c>
      <c r="BY66" s="100">
        <f t="shared" ca="1" si="288"/>
        <v>0</v>
      </c>
      <c r="BZ66" s="100">
        <f t="shared" ca="1" si="289"/>
        <v>0</v>
      </c>
      <c r="CA66" s="100">
        <f t="shared" ca="1" si="290"/>
        <v>0</v>
      </c>
      <c r="CB66" s="37"/>
      <c r="CC66" s="100">
        <f t="shared" ca="1" si="357"/>
        <v>0</v>
      </c>
      <c r="CD66" s="102" t="e">
        <f t="shared" ca="1" si="358"/>
        <v>#DIV/0!</v>
      </c>
      <c r="CE66" s="103" t="e">
        <f t="shared" ca="1" si="291"/>
        <v>#DIV/0!</v>
      </c>
      <c r="CF66" s="100">
        <f t="shared" ca="1" si="292"/>
        <v>0</v>
      </c>
      <c r="CG66" s="100">
        <f t="shared" ca="1" si="293"/>
        <v>0</v>
      </c>
      <c r="CH66" s="100">
        <f t="shared" ca="1" si="294"/>
        <v>0</v>
      </c>
      <c r="CI66" s="100">
        <f t="shared" ca="1" si="71"/>
        <v>0</v>
      </c>
      <c r="CJ66" s="100">
        <f t="shared" ca="1" si="72"/>
        <v>0</v>
      </c>
      <c r="CK66" s="100">
        <f t="shared" si="295"/>
        <v>0</v>
      </c>
      <c r="CL66" s="37"/>
      <c r="CM66" s="100">
        <f t="shared" ca="1" si="359"/>
        <v>0</v>
      </c>
      <c r="CN66" s="102" t="e">
        <f t="shared" ca="1" si="360"/>
        <v>#DIV/0!</v>
      </c>
      <c r="CO66" s="128"/>
      <c r="CP66" s="100">
        <f t="shared" ca="1" si="296"/>
        <v>0</v>
      </c>
      <c r="CQ66" s="100">
        <f t="shared" ca="1" si="297"/>
        <v>0</v>
      </c>
      <c r="CR66" s="100">
        <f t="shared" ca="1" si="298"/>
        <v>0</v>
      </c>
      <c r="CS66" s="100">
        <f t="shared" ca="1" si="73"/>
        <v>0</v>
      </c>
      <c r="CT66" s="100">
        <f t="shared" ca="1" si="299"/>
        <v>0</v>
      </c>
      <c r="CU66" s="100">
        <f t="shared" ca="1" si="300"/>
        <v>0</v>
      </c>
      <c r="CV66" s="100">
        <f t="shared" si="301"/>
        <v>0</v>
      </c>
      <c r="CW66" s="37"/>
      <c r="CX66" s="48">
        <f t="shared" ca="1" si="378"/>
        <v>0</v>
      </c>
      <c r="CY66" s="48">
        <f t="shared" ca="1" si="378"/>
        <v>0</v>
      </c>
      <c r="CZ66" s="48">
        <f t="shared" ca="1" si="378"/>
        <v>0</v>
      </c>
      <c r="DA66" s="48">
        <f t="shared" ca="1" si="378"/>
        <v>0</v>
      </c>
      <c r="DB66" s="48">
        <f t="shared" ca="1" si="378"/>
        <v>0</v>
      </c>
      <c r="DC66" s="48">
        <f t="shared" ca="1" si="378"/>
        <v>0</v>
      </c>
      <c r="DD66" s="48">
        <f t="shared" ca="1" si="378"/>
        <v>0</v>
      </c>
      <c r="DE66" s="48">
        <f t="shared" ca="1" si="378"/>
        <v>0</v>
      </c>
      <c r="DF66" s="48">
        <f t="shared" ca="1" si="378"/>
        <v>0</v>
      </c>
      <c r="DG66" s="48">
        <f t="shared" ca="1" si="378"/>
        <v>0</v>
      </c>
      <c r="DH66" s="48">
        <f t="shared" ca="1" si="378"/>
        <v>0</v>
      </c>
      <c r="DI66" s="48">
        <f t="shared" ca="1" si="378"/>
        <v>0</v>
      </c>
      <c r="DJ66" s="48">
        <f t="shared" ca="1" si="378"/>
        <v>0</v>
      </c>
      <c r="DK66" s="48">
        <f t="shared" ca="1" si="378"/>
        <v>0</v>
      </c>
      <c r="DL66" s="48">
        <f t="shared" ca="1" si="378"/>
        <v>0</v>
      </c>
      <c r="DM66" s="48">
        <f t="shared" ca="1" si="372"/>
        <v>0</v>
      </c>
      <c r="DN66" s="48">
        <f t="shared" ca="1" si="372"/>
        <v>0</v>
      </c>
      <c r="DO66" s="48">
        <f t="shared" ca="1" si="372"/>
        <v>0</v>
      </c>
      <c r="DP66" s="48">
        <f t="shared" ca="1" si="372"/>
        <v>0</v>
      </c>
      <c r="DQ66" s="48">
        <f t="shared" ca="1" si="372"/>
        <v>0</v>
      </c>
      <c r="DR66" s="48">
        <f t="shared" ca="1" si="372"/>
        <v>0</v>
      </c>
      <c r="DS66" s="48">
        <f t="shared" ca="1" si="372"/>
        <v>0</v>
      </c>
      <c r="DT66" s="48">
        <f t="shared" ca="1" si="372"/>
        <v>0</v>
      </c>
      <c r="DU66" s="48">
        <f t="shared" ca="1" si="372"/>
        <v>0</v>
      </c>
      <c r="DV66" s="48">
        <f t="shared" ca="1" si="372"/>
        <v>0</v>
      </c>
      <c r="DW66" s="48">
        <f t="shared" ca="1" si="372"/>
        <v>0</v>
      </c>
      <c r="DX66" s="48">
        <f t="shared" ca="1" si="372"/>
        <v>0</v>
      </c>
      <c r="DY66" s="48">
        <f t="shared" ca="1" si="372"/>
        <v>0</v>
      </c>
      <c r="DZ66" s="48">
        <f t="shared" ca="1" si="372"/>
        <v>0</v>
      </c>
      <c r="EA66" s="48">
        <f t="shared" ca="1" si="372"/>
        <v>0</v>
      </c>
      <c r="EB66" s="48">
        <f t="shared" ca="1" si="372"/>
        <v>0</v>
      </c>
      <c r="EC66" s="48">
        <f t="shared" ca="1" si="373"/>
        <v>0</v>
      </c>
      <c r="ED66" s="48">
        <f t="shared" ca="1" si="373"/>
        <v>0</v>
      </c>
      <c r="EE66" s="48">
        <f t="shared" ca="1" si="373"/>
        <v>0</v>
      </c>
      <c r="EF66" s="48">
        <f t="shared" ca="1" si="373"/>
        <v>0</v>
      </c>
      <c r="EG66" s="48">
        <f t="shared" ca="1" si="373"/>
        <v>0</v>
      </c>
      <c r="EH66" s="48">
        <f t="shared" ca="1" si="373"/>
        <v>0</v>
      </c>
      <c r="EI66" s="48">
        <f t="shared" ca="1" si="373"/>
        <v>0</v>
      </c>
      <c r="EJ66" s="48">
        <f t="shared" ca="1" si="373"/>
        <v>0</v>
      </c>
      <c r="EK66" s="48">
        <f t="shared" ca="1" si="373"/>
        <v>0</v>
      </c>
      <c r="EL66" s="48">
        <f t="shared" ca="1" si="373"/>
        <v>0</v>
      </c>
      <c r="EM66" s="48">
        <f t="shared" ca="1" si="373"/>
        <v>0</v>
      </c>
      <c r="EN66" s="48">
        <f t="shared" ca="1" si="373"/>
        <v>0</v>
      </c>
      <c r="EO66" s="48">
        <f t="shared" ca="1" si="373"/>
        <v>0</v>
      </c>
      <c r="EP66" s="48">
        <f t="shared" ca="1" si="373"/>
        <v>0</v>
      </c>
      <c r="EQ66" s="48">
        <f t="shared" ca="1" si="373"/>
        <v>0</v>
      </c>
      <c r="ER66" s="48">
        <f t="shared" ca="1" si="373"/>
        <v>0</v>
      </c>
      <c r="ES66" s="48">
        <f t="shared" ca="1" si="374"/>
        <v>0</v>
      </c>
      <c r="ET66" s="48">
        <f t="shared" ca="1" si="364"/>
        <v>0</v>
      </c>
      <c r="EU66" s="48">
        <f t="shared" ca="1" si="364"/>
        <v>0</v>
      </c>
      <c r="EV66" s="48">
        <f t="shared" ca="1" si="364"/>
        <v>0</v>
      </c>
      <c r="EW66" s="48">
        <f t="shared" ca="1" si="364"/>
        <v>0</v>
      </c>
      <c r="EX66" s="48">
        <f t="shared" ca="1" si="364"/>
        <v>0</v>
      </c>
      <c r="EY66" s="69"/>
      <c r="EZ66" s="48">
        <f t="shared" ca="1" si="379"/>
        <v>0</v>
      </c>
      <c r="FA66" s="48">
        <f t="shared" ca="1" si="379"/>
        <v>0</v>
      </c>
      <c r="FB66" s="48">
        <f t="shared" ca="1" si="379"/>
        <v>0</v>
      </c>
      <c r="FC66" s="48">
        <f t="shared" ca="1" si="379"/>
        <v>0</v>
      </c>
      <c r="FD66" s="48">
        <f t="shared" ca="1" si="379"/>
        <v>0</v>
      </c>
      <c r="FE66" s="48">
        <f t="shared" ca="1" si="379"/>
        <v>0</v>
      </c>
      <c r="FF66" s="48">
        <f t="shared" ca="1" si="379"/>
        <v>0</v>
      </c>
      <c r="FG66" s="48">
        <f t="shared" ca="1" si="379"/>
        <v>0</v>
      </c>
      <c r="FH66" s="48">
        <f t="shared" ca="1" si="379"/>
        <v>0</v>
      </c>
      <c r="FI66" s="48">
        <f t="shared" ca="1" si="379"/>
        <v>0</v>
      </c>
      <c r="FJ66" s="48">
        <f t="shared" ca="1" si="379"/>
        <v>0</v>
      </c>
      <c r="FK66" s="48">
        <f t="shared" ca="1" si="379"/>
        <v>0</v>
      </c>
      <c r="FL66" s="48">
        <f t="shared" ca="1" si="379"/>
        <v>0</v>
      </c>
      <c r="FM66" s="48">
        <f t="shared" ca="1" si="379"/>
        <v>0</v>
      </c>
      <c r="FN66" s="48">
        <f t="shared" ca="1" si="379"/>
        <v>0</v>
      </c>
      <c r="FO66" s="48">
        <f t="shared" ca="1" si="375"/>
        <v>0</v>
      </c>
      <c r="FP66" s="48">
        <f t="shared" ca="1" si="375"/>
        <v>0</v>
      </c>
      <c r="FQ66" s="48">
        <f t="shared" ca="1" si="375"/>
        <v>0</v>
      </c>
      <c r="FR66" s="48">
        <f t="shared" ca="1" si="375"/>
        <v>0</v>
      </c>
      <c r="FS66" s="48">
        <f t="shared" ca="1" si="375"/>
        <v>0</v>
      </c>
      <c r="FT66" s="48">
        <f t="shared" ca="1" si="375"/>
        <v>0</v>
      </c>
      <c r="FU66" s="48">
        <f t="shared" ca="1" si="375"/>
        <v>0</v>
      </c>
      <c r="FV66" s="48">
        <f t="shared" ca="1" si="375"/>
        <v>0</v>
      </c>
      <c r="FW66" s="48">
        <f t="shared" ca="1" si="375"/>
        <v>0</v>
      </c>
      <c r="FX66" s="48">
        <f t="shared" ca="1" si="375"/>
        <v>0</v>
      </c>
      <c r="FY66" s="48">
        <f t="shared" ca="1" si="375"/>
        <v>0</v>
      </c>
      <c r="FZ66" s="48">
        <f t="shared" ca="1" si="375"/>
        <v>0</v>
      </c>
      <c r="GA66" s="48">
        <f t="shared" ca="1" si="375"/>
        <v>0</v>
      </c>
      <c r="GB66" s="48">
        <f t="shared" ca="1" si="375"/>
        <v>0</v>
      </c>
      <c r="GC66" s="48">
        <f t="shared" ca="1" si="375"/>
        <v>0</v>
      </c>
      <c r="GD66" s="48">
        <f t="shared" ca="1" si="375"/>
        <v>0</v>
      </c>
      <c r="GE66" s="48">
        <f t="shared" ca="1" si="376"/>
        <v>0</v>
      </c>
      <c r="GF66" s="48">
        <f t="shared" ca="1" si="376"/>
        <v>0</v>
      </c>
      <c r="GG66" s="48">
        <f t="shared" ca="1" si="376"/>
        <v>0</v>
      </c>
      <c r="GH66" s="48">
        <f t="shared" ca="1" si="376"/>
        <v>0</v>
      </c>
      <c r="GI66" s="48">
        <f t="shared" ca="1" si="376"/>
        <v>0</v>
      </c>
      <c r="GJ66" s="48">
        <f t="shared" ca="1" si="376"/>
        <v>0</v>
      </c>
      <c r="GK66" s="48">
        <f t="shared" ca="1" si="376"/>
        <v>0</v>
      </c>
      <c r="GL66" s="48">
        <f t="shared" ca="1" si="376"/>
        <v>0</v>
      </c>
      <c r="GM66" s="48">
        <f t="shared" ca="1" si="376"/>
        <v>0</v>
      </c>
      <c r="GN66" s="48">
        <f t="shared" ca="1" si="376"/>
        <v>0</v>
      </c>
      <c r="GO66" s="48">
        <f t="shared" ca="1" si="376"/>
        <v>0</v>
      </c>
      <c r="GP66" s="48">
        <f t="shared" ca="1" si="376"/>
        <v>0</v>
      </c>
      <c r="GQ66" s="48">
        <f t="shared" ca="1" si="376"/>
        <v>0</v>
      </c>
      <c r="GR66" s="48">
        <f t="shared" ca="1" si="376"/>
        <v>0</v>
      </c>
      <c r="GS66" s="48">
        <f t="shared" ca="1" si="376"/>
        <v>0</v>
      </c>
      <c r="GT66" s="48">
        <f t="shared" ca="1" si="376"/>
        <v>0</v>
      </c>
      <c r="GU66" s="48">
        <f t="shared" ca="1" si="377"/>
        <v>0</v>
      </c>
      <c r="GV66" s="48">
        <f t="shared" ca="1" si="368"/>
        <v>0</v>
      </c>
      <c r="GW66" s="48">
        <f t="shared" ca="1" si="368"/>
        <v>0</v>
      </c>
      <c r="GX66" s="48">
        <f t="shared" ca="1" si="368"/>
        <v>0</v>
      </c>
      <c r="GY66" s="48">
        <f t="shared" ca="1" si="368"/>
        <v>0</v>
      </c>
      <c r="GZ66" s="48">
        <f t="shared" ca="1" si="368"/>
        <v>0</v>
      </c>
      <c r="HA66" s="69"/>
      <c r="HB66" s="150" t="str">
        <f t="shared" ref="HB66:HB97" ca="1" si="380">IFERROR(BB66,"n/a")</f>
        <v>n/a</v>
      </c>
      <c r="HC66" s="150" t="str">
        <f t="shared" ca="1" si="369"/>
        <v>n/a</v>
      </c>
      <c r="HD66" s="150" t="str">
        <f t="shared" ref="HD66:HD97" ca="1" si="381">IFERROR(BK66,"n/a")</f>
        <v>n/a</v>
      </c>
      <c r="HE66" s="150" t="str">
        <f t="shared" ca="1" si="370"/>
        <v>n/a</v>
      </c>
      <c r="HF66" s="150" t="str">
        <f t="shared" ca="1" si="371"/>
        <v>n/a</v>
      </c>
      <c r="HG66" s="148"/>
      <c r="HH66" s="149"/>
      <c r="HI66" s="149"/>
      <c r="HJ66" s="149"/>
      <c r="HK66" s="150"/>
      <c r="HL66" s="149"/>
      <c r="HM66" s="149"/>
      <c r="HN66" s="149"/>
      <c r="HO66" s="150"/>
      <c r="HP66" s="148"/>
      <c r="HQ66" s="149"/>
      <c r="HR66" s="149"/>
      <c r="HS66" s="149"/>
      <c r="HT66" s="150"/>
      <c r="HU66" s="149"/>
      <c r="HV66" s="149"/>
      <c r="HW66" s="149"/>
      <c r="HX66" s="150"/>
      <c r="HY66" s="151"/>
      <c r="HZ66" s="150"/>
      <c r="IA66" s="150"/>
      <c r="IB66" s="152"/>
      <c r="IC66" s="150"/>
      <c r="ID66" s="152"/>
      <c r="IE66" s="150"/>
      <c r="IF66" s="153"/>
    </row>
    <row r="67" spans="1:240" s="36" customFormat="1" ht="14.4" customHeight="1">
      <c r="A67" s="39"/>
      <c r="B67" s="50" t="str">
        <f t="shared" si="340"/>
        <v>C&amp;I_C&amp;I Prescriptive_Lighting_Ceramic Metal Halide Fixture (≥250W)_2017_Actual</v>
      </c>
      <c r="C67" s="50">
        <f>INDEX('Measure Inputs'!$D:$D,MATCH($B67,'Measure Inputs'!$B:$B,0))</f>
        <v>33</v>
      </c>
      <c r="D67" s="51" t="str">
        <f>'Measure Inputs'!G39</f>
        <v>C&amp;I</v>
      </c>
      <c r="E67" s="51" t="str">
        <f>'Measure Inputs'!H39</f>
        <v>C&amp;I Prescriptive</v>
      </c>
      <c r="F67" s="51" t="str">
        <f>'Measure Inputs'!I39</f>
        <v>Lighting</v>
      </c>
      <c r="G67" s="51" t="str">
        <f>'Measure Inputs'!J39</f>
        <v>Ceramic Metal Halide Fixture (≥250W)</v>
      </c>
      <c r="H67" s="51">
        <f>'Measure Inputs'!K39</f>
        <v>2017</v>
      </c>
      <c r="I67" s="51" t="str">
        <f>'Measure Inputs'!L39</f>
        <v>Actual</v>
      </c>
      <c r="J67" s="37"/>
      <c r="K67" s="99" t="str">
        <f ca="1">INDEX(OFFSET('Measure Inputs'!$O$7,,,InputRows),$C67)</f>
        <v>Units</v>
      </c>
      <c r="L67" s="38">
        <f ca="1">INDEX(OFFSET('Measure Inputs'!$Q$7,,,InputRows),$C67)</f>
        <v>0</v>
      </c>
      <c r="M67" s="167">
        <f>INDEX('General Inputs'!$E$14:$E$15,MATCH(D67,'General Inputs'!$D$14:$D$15,0))</f>
        <v>1.0469999999999999</v>
      </c>
      <c r="N67" s="54">
        <f ca="1">INDEX(OFFSET('Measure Inputs'!$Y$7,,,InputRows),$C67)</f>
        <v>1</v>
      </c>
      <c r="O67" s="54">
        <f ca="1">INDEX(OFFSET('Measure Inputs'!$Z$7,,,InputRows),$C67)</f>
        <v>1</v>
      </c>
      <c r="P67" s="37"/>
      <c r="Q67" s="127">
        <f ca="1">CONVERT(INDEX(OFFSET('Measure Inputs'!$AB$7,,,InputRows),$C67),'Measure Inputs'!$AB$6,Q$8)*$L67</f>
        <v>0</v>
      </c>
      <c r="R67" s="127">
        <f t="shared" ca="1" si="341"/>
        <v>0</v>
      </c>
      <c r="S67" s="127">
        <f t="shared" ca="1" si="342"/>
        <v>0</v>
      </c>
      <c r="T67" s="37"/>
      <c r="U67" s="127">
        <f ca="1">CONVERT(INDEX(OFFSET('Measure Inputs'!$AD$7,,,InputRows),$C67),'Measure Inputs'!$AD$6,U$8)*$L67</f>
        <v>0</v>
      </c>
      <c r="V67" s="127">
        <f t="shared" ca="1" si="343"/>
        <v>0</v>
      </c>
      <c r="W67" s="127">
        <f t="shared" ca="1" si="344"/>
        <v>0</v>
      </c>
      <c r="X67" s="37"/>
      <c r="Y67" s="127">
        <f ca="1">CONVERT(INDEX(OFFSET('Measure Inputs'!$AC$7,,,InputRows),$C67),'Measure Inputs'!$AC$6,Y$8)*$L67</f>
        <v>0</v>
      </c>
      <c r="Z67" s="127">
        <f t="shared" ca="1" si="345"/>
        <v>0</v>
      </c>
      <c r="AA67" s="127">
        <f t="shared" ca="1" si="346"/>
        <v>0</v>
      </c>
      <c r="AB67" s="37"/>
      <c r="AC67" s="127">
        <f ca="1">CONVERT(INDEX(OFFSET('Measure Inputs'!$AE$7,,,InputRows),$C67),'Measure Inputs'!$AE$6,AC$8)*$L67</f>
        <v>0</v>
      </c>
      <c r="AD67" s="127">
        <f t="shared" ca="1" si="347"/>
        <v>0</v>
      </c>
      <c r="AE67" s="127">
        <f t="shared" ca="1" si="348"/>
        <v>0</v>
      </c>
      <c r="AF67" s="37"/>
      <c r="AG67" s="97">
        <f ca="1">INDEX(OFFSET('Measure Inputs'!$R$7,,,InputRows),$C67)</f>
        <v>13</v>
      </c>
      <c r="AH67" s="97">
        <f ca="1">INDEX(OFFSET('Measure Inputs'!$S$7,,,InputRows),$C67)</f>
        <v>0</v>
      </c>
      <c r="AI67" s="97">
        <f t="shared" ca="1" si="349"/>
        <v>0</v>
      </c>
      <c r="AJ67" s="100">
        <f ca="1">INDEX(OFFSET('Measure Inputs'!$T$7,,,InputRows),$C67)*$L67*$N67*$O67</f>
        <v>0</v>
      </c>
      <c r="AK67" s="100">
        <f ca="1">INDEX(OFFSET('Measure Inputs'!$U$7,,,InputRows),$C67)*$L67*$N67*$O67</f>
        <v>0</v>
      </c>
      <c r="AL67" s="100">
        <f ca="1">INDEX(OFFSET('Measure Inputs'!$V$7,,,InputRows),$C67)*$L67*$N67*$O67</f>
        <v>0</v>
      </c>
      <c r="AM67" s="100">
        <f ca="1">INDEX(OFFSET('Measure Inputs'!$W$7,,,InputRows),$C67)*$L67*$N67*$O67</f>
        <v>0</v>
      </c>
      <c r="AN67" s="100">
        <f ca="1">INDEX(OFFSET('Measure Inputs'!$X$7,,,InputRows),$C67)*$L67</f>
        <v>0</v>
      </c>
      <c r="AO67" s="100"/>
      <c r="AP67" s="100">
        <f t="shared" ca="1" si="350"/>
        <v>0</v>
      </c>
      <c r="AQ67" s="37"/>
      <c r="AR67" s="100">
        <f ca="1">SUMPRODUCT(--($CX$9:$EX$9=$H67)*$AJ67,'General Inputs'!$K$40:$BK$40)+SUMPRODUCT(--($CX$9:$EX$9=$H67+$AH67)*-$AK67,'General Inputs'!$K$43:$BK$43)</f>
        <v>0</v>
      </c>
      <c r="AS67" s="100">
        <f ca="1">CONVERT(SUMPRODUCT($CX67:$EX67,'General Inputs'!$K$29:$BK$29,'General Inputs'!$K$40:$BK$40)*$M67,$Q$8,'General Inputs'!$E$17)</f>
        <v>0</v>
      </c>
      <c r="AT67" s="100">
        <f ca="1">SUMPRODUCT(--($CX$9:$EX$9=$H67)*$AN67,'General Inputs'!$K$40:$BK$40)</f>
        <v>0</v>
      </c>
      <c r="AU67" s="100">
        <f>SUMPRODUCT(--($CX$9:$EX$9=$H67)*$AO67,'General Inputs'!$K$40:$BK$40)</f>
        <v>0</v>
      </c>
      <c r="AV67" s="100">
        <f ca="1">CONVERT(SUMPRODUCT($CX67:$EX67,'General Inputs'!$K$40:$BK$40,OFFSET('General Inputs'!$K$34:$BK$34,MATCH($D67,'General Inputs'!$J$34:$J$35,0)-1,)),$Q$8,'General Inputs'!$G$32)</f>
        <v>0</v>
      </c>
      <c r="AW67" s="100">
        <f ca="1">CONVERT(SUMPRODUCT($CX67:$EX67,'General Inputs'!$K$27:$BK$27,'General Inputs'!$K$40:$BK$40)*$M67,$Q$8,'General Inputs'!$E$17)</f>
        <v>0</v>
      </c>
      <c r="AX67" s="100">
        <f ca="1">CONVERT(SUMPRODUCT($EZ67:$GZ67,'General Inputs'!$K$28:$BK$28,'General Inputs'!$K$40:$BK$40)*$M67,$Q$8,'General Inputs'!$E$17)</f>
        <v>0</v>
      </c>
      <c r="AY67" s="98">
        <f ca="1">SUMPRODUCT($CX67:$EX67,'General Inputs'!$K$40:$BK$40)</f>
        <v>0</v>
      </c>
      <c r="AZ67" s="37"/>
      <c r="BA67" s="100">
        <f t="shared" ca="1" si="351"/>
        <v>0</v>
      </c>
      <c r="BB67" s="102" t="e">
        <f t="shared" ca="1" si="352"/>
        <v>#DIV/0!</v>
      </c>
      <c r="BC67" s="100">
        <f t="shared" ca="1" si="273"/>
        <v>0</v>
      </c>
      <c r="BD67" s="100">
        <f t="shared" ca="1" si="274"/>
        <v>0</v>
      </c>
      <c r="BE67" s="100">
        <f t="shared" ca="1" si="275"/>
        <v>0</v>
      </c>
      <c r="BF67" s="100">
        <f t="shared" ca="1" si="276"/>
        <v>0</v>
      </c>
      <c r="BG67" s="100">
        <f t="shared" si="277"/>
        <v>0</v>
      </c>
      <c r="BH67" s="100">
        <f t="shared" ca="1" si="278"/>
        <v>0</v>
      </c>
      <c r="BI67" s="37"/>
      <c r="BJ67" s="100">
        <f t="shared" ca="1" si="353"/>
        <v>0</v>
      </c>
      <c r="BK67" s="102" t="e">
        <f t="shared" ca="1" si="354"/>
        <v>#DIV/0!</v>
      </c>
      <c r="BL67" s="100">
        <f t="shared" ca="1" si="279"/>
        <v>0</v>
      </c>
      <c r="BM67" s="100">
        <f t="shared" ca="1" si="164"/>
        <v>0</v>
      </c>
      <c r="BN67" s="100">
        <f t="shared" ca="1" si="280"/>
        <v>0</v>
      </c>
      <c r="BO67" s="100">
        <f t="shared" ca="1" si="281"/>
        <v>0</v>
      </c>
      <c r="BP67" s="100">
        <f t="shared" ca="1" si="282"/>
        <v>0</v>
      </c>
      <c r="BQ67" s="100">
        <f t="shared" si="283"/>
        <v>0</v>
      </c>
      <c r="BR67" s="100">
        <f t="shared" ca="1" si="284"/>
        <v>0</v>
      </c>
      <c r="BS67" s="37"/>
      <c r="BT67" s="100">
        <f t="shared" ca="1" si="355"/>
        <v>0</v>
      </c>
      <c r="BU67" s="102" t="e">
        <f t="shared" ca="1" si="356"/>
        <v>#DIV/0!</v>
      </c>
      <c r="BV67" s="102" t="e">
        <f t="shared" ca="1" si="285"/>
        <v>#DIV/0!</v>
      </c>
      <c r="BW67" s="100">
        <f t="shared" ca="1" si="286"/>
        <v>0</v>
      </c>
      <c r="BX67" s="100">
        <f t="shared" ca="1" si="287"/>
        <v>0</v>
      </c>
      <c r="BY67" s="100">
        <f t="shared" ca="1" si="288"/>
        <v>0</v>
      </c>
      <c r="BZ67" s="100">
        <f t="shared" ca="1" si="289"/>
        <v>0</v>
      </c>
      <c r="CA67" s="100">
        <f t="shared" ca="1" si="290"/>
        <v>0</v>
      </c>
      <c r="CB67" s="37"/>
      <c r="CC67" s="100">
        <f t="shared" ca="1" si="357"/>
        <v>0</v>
      </c>
      <c r="CD67" s="102" t="e">
        <f t="shared" ca="1" si="358"/>
        <v>#DIV/0!</v>
      </c>
      <c r="CE67" s="103" t="e">
        <f t="shared" ca="1" si="291"/>
        <v>#DIV/0!</v>
      </c>
      <c r="CF67" s="100">
        <f t="shared" ca="1" si="292"/>
        <v>0</v>
      </c>
      <c r="CG67" s="100">
        <f t="shared" ca="1" si="293"/>
        <v>0</v>
      </c>
      <c r="CH67" s="100">
        <f t="shared" ca="1" si="294"/>
        <v>0</v>
      </c>
      <c r="CI67" s="100">
        <f t="shared" ca="1" si="71"/>
        <v>0</v>
      </c>
      <c r="CJ67" s="100">
        <f t="shared" ca="1" si="72"/>
        <v>0</v>
      </c>
      <c r="CK67" s="100">
        <f t="shared" si="295"/>
        <v>0</v>
      </c>
      <c r="CL67" s="37"/>
      <c r="CM67" s="100">
        <f t="shared" ca="1" si="359"/>
        <v>0</v>
      </c>
      <c r="CN67" s="102" t="e">
        <f t="shared" ca="1" si="360"/>
        <v>#DIV/0!</v>
      </c>
      <c r="CO67" s="128"/>
      <c r="CP67" s="100">
        <f t="shared" ca="1" si="296"/>
        <v>0</v>
      </c>
      <c r="CQ67" s="100">
        <f t="shared" ca="1" si="297"/>
        <v>0</v>
      </c>
      <c r="CR67" s="100">
        <f t="shared" ca="1" si="298"/>
        <v>0</v>
      </c>
      <c r="CS67" s="100">
        <f t="shared" ca="1" si="73"/>
        <v>0</v>
      </c>
      <c r="CT67" s="100">
        <f t="shared" ca="1" si="299"/>
        <v>0</v>
      </c>
      <c r="CU67" s="100">
        <f t="shared" ca="1" si="300"/>
        <v>0</v>
      </c>
      <c r="CV67" s="100">
        <f t="shared" si="301"/>
        <v>0</v>
      </c>
      <c r="CW67" s="37"/>
      <c r="CX67" s="48">
        <f t="shared" ca="1" si="378"/>
        <v>0</v>
      </c>
      <c r="CY67" s="48">
        <f t="shared" ca="1" si="378"/>
        <v>0</v>
      </c>
      <c r="CZ67" s="48">
        <f t="shared" ca="1" si="378"/>
        <v>0</v>
      </c>
      <c r="DA67" s="48">
        <f t="shared" ca="1" si="378"/>
        <v>0</v>
      </c>
      <c r="DB67" s="48">
        <f t="shared" ca="1" si="378"/>
        <v>0</v>
      </c>
      <c r="DC67" s="48">
        <f t="shared" ca="1" si="378"/>
        <v>0</v>
      </c>
      <c r="DD67" s="48">
        <f t="shared" ca="1" si="378"/>
        <v>0</v>
      </c>
      <c r="DE67" s="48">
        <f t="shared" ca="1" si="378"/>
        <v>0</v>
      </c>
      <c r="DF67" s="48">
        <f t="shared" ca="1" si="378"/>
        <v>0</v>
      </c>
      <c r="DG67" s="48">
        <f t="shared" ca="1" si="378"/>
        <v>0</v>
      </c>
      <c r="DH67" s="48">
        <f t="shared" ca="1" si="378"/>
        <v>0</v>
      </c>
      <c r="DI67" s="48">
        <f t="shared" ca="1" si="378"/>
        <v>0</v>
      </c>
      <c r="DJ67" s="48">
        <f t="shared" ca="1" si="378"/>
        <v>0</v>
      </c>
      <c r="DK67" s="48">
        <f t="shared" ca="1" si="378"/>
        <v>0</v>
      </c>
      <c r="DL67" s="48">
        <f t="shared" ca="1" si="378"/>
        <v>0</v>
      </c>
      <c r="DM67" s="48">
        <f t="shared" ca="1" si="372"/>
        <v>0</v>
      </c>
      <c r="DN67" s="48">
        <f t="shared" ca="1" si="372"/>
        <v>0</v>
      </c>
      <c r="DO67" s="48">
        <f t="shared" ca="1" si="372"/>
        <v>0</v>
      </c>
      <c r="DP67" s="48">
        <f t="shared" ca="1" si="372"/>
        <v>0</v>
      </c>
      <c r="DQ67" s="48">
        <f t="shared" ca="1" si="372"/>
        <v>0</v>
      </c>
      <c r="DR67" s="48">
        <f t="shared" ca="1" si="372"/>
        <v>0</v>
      </c>
      <c r="DS67" s="48">
        <f t="shared" ca="1" si="372"/>
        <v>0</v>
      </c>
      <c r="DT67" s="48">
        <f t="shared" ca="1" si="372"/>
        <v>0</v>
      </c>
      <c r="DU67" s="48">
        <f t="shared" ca="1" si="372"/>
        <v>0</v>
      </c>
      <c r="DV67" s="48">
        <f t="shared" ca="1" si="372"/>
        <v>0</v>
      </c>
      <c r="DW67" s="48">
        <f t="shared" ca="1" si="372"/>
        <v>0</v>
      </c>
      <c r="DX67" s="48">
        <f t="shared" ca="1" si="372"/>
        <v>0</v>
      </c>
      <c r="DY67" s="48">
        <f t="shared" ca="1" si="372"/>
        <v>0</v>
      </c>
      <c r="DZ67" s="48">
        <f t="shared" ca="1" si="372"/>
        <v>0</v>
      </c>
      <c r="EA67" s="48">
        <f t="shared" ca="1" si="372"/>
        <v>0</v>
      </c>
      <c r="EB67" s="48">
        <f t="shared" ca="1" si="372"/>
        <v>0</v>
      </c>
      <c r="EC67" s="48">
        <f t="shared" ca="1" si="373"/>
        <v>0</v>
      </c>
      <c r="ED67" s="48">
        <f t="shared" ca="1" si="373"/>
        <v>0</v>
      </c>
      <c r="EE67" s="48">
        <f t="shared" ca="1" si="373"/>
        <v>0</v>
      </c>
      <c r="EF67" s="48">
        <f t="shared" ca="1" si="373"/>
        <v>0</v>
      </c>
      <c r="EG67" s="48">
        <f t="shared" ca="1" si="373"/>
        <v>0</v>
      </c>
      <c r="EH67" s="48">
        <f t="shared" ca="1" si="373"/>
        <v>0</v>
      </c>
      <c r="EI67" s="48">
        <f t="shared" ca="1" si="373"/>
        <v>0</v>
      </c>
      <c r="EJ67" s="48">
        <f t="shared" ca="1" si="373"/>
        <v>0</v>
      </c>
      <c r="EK67" s="48">
        <f t="shared" ca="1" si="373"/>
        <v>0</v>
      </c>
      <c r="EL67" s="48">
        <f t="shared" ca="1" si="373"/>
        <v>0</v>
      </c>
      <c r="EM67" s="48">
        <f t="shared" ca="1" si="373"/>
        <v>0</v>
      </c>
      <c r="EN67" s="48">
        <f t="shared" ca="1" si="373"/>
        <v>0</v>
      </c>
      <c r="EO67" s="48">
        <f t="shared" ca="1" si="373"/>
        <v>0</v>
      </c>
      <c r="EP67" s="48">
        <f t="shared" ca="1" si="373"/>
        <v>0</v>
      </c>
      <c r="EQ67" s="48">
        <f t="shared" ca="1" si="373"/>
        <v>0</v>
      </c>
      <c r="ER67" s="48">
        <f t="shared" ca="1" si="373"/>
        <v>0</v>
      </c>
      <c r="ES67" s="48">
        <f t="shared" ca="1" si="374"/>
        <v>0</v>
      </c>
      <c r="ET67" s="48">
        <f t="shared" ca="1" si="364"/>
        <v>0</v>
      </c>
      <c r="EU67" s="48">
        <f t="shared" ca="1" si="364"/>
        <v>0</v>
      </c>
      <c r="EV67" s="48">
        <f t="shared" ca="1" si="364"/>
        <v>0</v>
      </c>
      <c r="EW67" s="48">
        <f t="shared" ca="1" si="364"/>
        <v>0</v>
      </c>
      <c r="EX67" s="48">
        <f t="shared" ca="1" si="364"/>
        <v>0</v>
      </c>
      <c r="EY67" s="69"/>
      <c r="EZ67" s="48">
        <f t="shared" ca="1" si="379"/>
        <v>0</v>
      </c>
      <c r="FA67" s="48">
        <f t="shared" ca="1" si="379"/>
        <v>0</v>
      </c>
      <c r="FB67" s="48">
        <f t="shared" ca="1" si="379"/>
        <v>0</v>
      </c>
      <c r="FC67" s="48">
        <f t="shared" ca="1" si="379"/>
        <v>0</v>
      </c>
      <c r="FD67" s="48">
        <f t="shared" ca="1" si="379"/>
        <v>0</v>
      </c>
      <c r="FE67" s="48">
        <f t="shared" ca="1" si="379"/>
        <v>0</v>
      </c>
      <c r="FF67" s="48">
        <f t="shared" ca="1" si="379"/>
        <v>0</v>
      </c>
      <c r="FG67" s="48">
        <f t="shared" ca="1" si="379"/>
        <v>0</v>
      </c>
      <c r="FH67" s="48">
        <f t="shared" ca="1" si="379"/>
        <v>0</v>
      </c>
      <c r="FI67" s="48">
        <f t="shared" ca="1" si="379"/>
        <v>0</v>
      </c>
      <c r="FJ67" s="48">
        <f t="shared" ca="1" si="379"/>
        <v>0</v>
      </c>
      <c r="FK67" s="48">
        <f t="shared" ca="1" si="379"/>
        <v>0</v>
      </c>
      <c r="FL67" s="48">
        <f t="shared" ca="1" si="379"/>
        <v>0</v>
      </c>
      <c r="FM67" s="48">
        <f t="shared" ca="1" si="379"/>
        <v>0</v>
      </c>
      <c r="FN67" s="48">
        <f t="shared" ca="1" si="379"/>
        <v>0</v>
      </c>
      <c r="FO67" s="48">
        <f t="shared" ca="1" si="375"/>
        <v>0</v>
      </c>
      <c r="FP67" s="48">
        <f t="shared" ca="1" si="375"/>
        <v>0</v>
      </c>
      <c r="FQ67" s="48">
        <f t="shared" ca="1" si="375"/>
        <v>0</v>
      </c>
      <c r="FR67" s="48">
        <f t="shared" ca="1" si="375"/>
        <v>0</v>
      </c>
      <c r="FS67" s="48">
        <f t="shared" ca="1" si="375"/>
        <v>0</v>
      </c>
      <c r="FT67" s="48">
        <f t="shared" ca="1" si="375"/>
        <v>0</v>
      </c>
      <c r="FU67" s="48">
        <f t="shared" ca="1" si="375"/>
        <v>0</v>
      </c>
      <c r="FV67" s="48">
        <f t="shared" ca="1" si="375"/>
        <v>0</v>
      </c>
      <c r="FW67" s="48">
        <f t="shared" ca="1" si="375"/>
        <v>0</v>
      </c>
      <c r="FX67" s="48">
        <f t="shared" ca="1" si="375"/>
        <v>0</v>
      </c>
      <c r="FY67" s="48">
        <f t="shared" ca="1" si="375"/>
        <v>0</v>
      </c>
      <c r="FZ67" s="48">
        <f t="shared" ca="1" si="375"/>
        <v>0</v>
      </c>
      <c r="GA67" s="48">
        <f t="shared" ca="1" si="375"/>
        <v>0</v>
      </c>
      <c r="GB67" s="48">
        <f t="shared" ca="1" si="375"/>
        <v>0</v>
      </c>
      <c r="GC67" s="48">
        <f t="shared" ca="1" si="375"/>
        <v>0</v>
      </c>
      <c r="GD67" s="48">
        <f t="shared" ca="1" si="375"/>
        <v>0</v>
      </c>
      <c r="GE67" s="48">
        <f t="shared" ca="1" si="376"/>
        <v>0</v>
      </c>
      <c r="GF67" s="48">
        <f t="shared" ca="1" si="376"/>
        <v>0</v>
      </c>
      <c r="GG67" s="48">
        <f t="shared" ca="1" si="376"/>
        <v>0</v>
      </c>
      <c r="GH67" s="48">
        <f t="shared" ca="1" si="376"/>
        <v>0</v>
      </c>
      <c r="GI67" s="48">
        <f t="shared" ca="1" si="376"/>
        <v>0</v>
      </c>
      <c r="GJ67" s="48">
        <f t="shared" ca="1" si="376"/>
        <v>0</v>
      </c>
      <c r="GK67" s="48">
        <f t="shared" ca="1" si="376"/>
        <v>0</v>
      </c>
      <c r="GL67" s="48">
        <f t="shared" ca="1" si="376"/>
        <v>0</v>
      </c>
      <c r="GM67" s="48">
        <f t="shared" ca="1" si="376"/>
        <v>0</v>
      </c>
      <c r="GN67" s="48">
        <f t="shared" ca="1" si="376"/>
        <v>0</v>
      </c>
      <c r="GO67" s="48">
        <f t="shared" ca="1" si="376"/>
        <v>0</v>
      </c>
      <c r="GP67" s="48">
        <f t="shared" ca="1" si="376"/>
        <v>0</v>
      </c>
      <c r="GQ67" s="48">
        <f t="shared" ca="1" si="376"/>
        <v>0</v>
      </c>
      <c r="GR67" s="48">
        <f t="shared" ca="1" si="376"/>
        <v>0</v>
      </c>
      <c r="GS67" s="48">
        <f t="shared" ca="1" si="376"/>
        <v>0</v>
      </c>
      <c r="GT67" s="48">
        <f t="shared" ca="1" si="376"/>
        <v>0</v>
      </c>
      <c r="GU67" s="48">
        <f t="shared" ca="1" si="377"/>
        <v>0</v>
      </c>
      <c r="GV67" s="48">
        <f t="shared" ca="1" si="368"/>
        <v>0</v>
      </c>
      <c r="GW67" s="48">
        <f t="shared" ca="1" si="368"/>
        <v>0</v>
      </c>
      <c r="GX67" s="48">
        <f t="shared" ca="1" si="368"/>
        <v>0</v>
      </c>
      <c r="GY67" s="48">
        <f t="shared" ca="1" si="368"/>
        <v>0</v>
      </c>
      <c r="GZ67" s="48">
        <f t="shared" ca="1" si="368"/>
        <v>0</v>
      </c>
      <c r="HA67" s="69"/>
      <c r="HB67" s="150" t="str">
        <f t="shared" ca="1" si="380"/>
        <v>n/a</v>
      </c>
      <c r="HC67" s="150" t="str">
        <f t="shared" ca="1" si="369"/>
        <v>n/a</v>
      </c>
      <c r="HD67" s="150" t="str">
        <f t="shared" ca="1" si="381"/>
        <v>n/a</v>
      </c>
      <c r="HE67" s="150" t="str">
        <f t="shared" ca="1" si="370"/>
        <v>n/a</v>
      </c>
      <c r="HF67" s="150" t="str">
        <f t="shared" ca="1" si="371"/>
        <v>n/a</v>
      </c>
      <c r="HG67" s="148"/>
      <c r="HH67" s="149"/>
      <c r="HI67" s="149"/>
      <c r="HJ67" s="149"/>
      <c r="HK67" s="150"/>
      <c r="HL67" s="149"/>
      <c r="HM67" s="149"/>
      <c r="HN67" s="149"/>
      <c r="HO67" s="150"/>
      <c r="HP67" s="148"/>
      <c r="HQ67" s="149"/>
      <c r="HR67" s="149"/>
      <c r="HS67" s="149"/>
      <c r="HT67" s="150"/>
      <c r="HU67" s="149"/>
      <c r="HV67" s="149"/>
      <c r="HW67" s="149"/>
      <c r="HX67" s="150"/>
      <c r="HY67" s="151"/>
      <c r="HZ67" s="150"/>
      <c r="IA67" s="150"/>
      <c r="IB67" s="152"/>
      <c r="IC67" s="150"/>
      <c r="ID67" s="152"/>
      <c r="IE67" s="150"/>
      <c r="IF67" s="153"/>
    </row>
    <row r="68" spans="1:240" s="36" customFormat="1" ht="14.4" customHeight="1">
      <c r="A68" s="39"/>
      <c r="B68" s="50" t="str">
        <f t="shared" si="340"/>
        <v>C&amp;I_C&amp;I Prescriptive_Lighting_Pulse Start Metal Halide Fixture (≤175W)_2017_Actual</v>
      </c>
      <c r="C68" s="50">
        <f>INDEX('Measure Inputs'!$D:$D,MATCH($B68,'Measure Inputs'!$B:$B,0))</f>
        <v>34</v>
      </c>
      <c r="D68" s="51" t="str">
        <f>'Measure Inputs'!G40</f>
        <v>C&amp;I</v>
      </c>
      <c r="E68" s="51" t="str">
        <f>'Measure Inputs'!H40</f>
        <v>C&amp;I Prescriptive</v>
      </c>
      <c r="F68" s="51" t="str">
        <f>'Measure Inputs'!I40</f>
        <v>Lighting</v>
      </c>
      <c r="G68" s="51" t="str">
        <f>'Measure Inputs'!J40</f>
        <v>Pulse Start Metal Halide Fixture (≤175W)</v>
      </c>
      <c r="H68" s="51">
        <f>'Measure Inputs'!K40</f>
        <v>2017</v>
      </c>
      <c r="I68" s="51" t="str">
        <f>'Measure Inputs'!L40</f>
        <v>Actual</v>
      </c>
      <c r="J68" s="37"/>
      <c r="K68" s="99" t="str">
        <f ca="1">INDEX(OFFSET('Measure Inputs'!$O$7,,,InputRows),$C68)</f>
        <v>Units</v>
      </c>
      <c r="L68" s="38">
        <f ca="1">INDEX(OFFSET('Measure Inputs'!$Q$7,,,InputRows),$C68)</f>
        <v>0</v>
      </c>
      <c r="M68" s="167">
        <f>INDEX('General Inputs'!$E$14:$E$15,MATCH(D68,'General Inputs'!$D$14:$D$15,0))</f>
        <v>1.0469999999999999</v>
      </c>
      <c r="N68" s="54">
        <f ca="1">INDEX(OFFSET('Measure Inputs'!$Y$7,,,InputRows),$C68)</f>
        <v>1</v>
      </c>
      <c r="O68" s="54">
        <f ca="1">INDEX(OFFSET('Measure Inputs'!$Z$7,,,InputRows),$C68)</f>
        <v>1</v>
      </c>
      <c r="P68" s="37"/>
      <c r="Q68" s="127">
        <f ca="1">CONVERT(INDEX(OFFSET('Measure Inputs'!$AB$7,,,InputRows),$C68),'Measure Inputs'!$AB$6,Q$8)*$L68</f>
        <v>0</v>
      </c>
      <c r="R68" s="127">
        <f t="shared" ca="1" si="341"/>
        <v>0</v>
      </c>
      <c r="S68" s="127">
        <f t="shared" ca="1" si="342"/>
        <v>0</v>
      </c>
      <c r="T68" s="37"/>
      <c r="U68" s="127">
        <f ca="1">CONVERT(INDEX(OFFSET('Measure Inputs'!$AD$7,,,InputRows),$C68),'Measure Inputs'!$AD$6,U$8)*$L68</f>
        <v>0</v>
      </c>
      <c r="V68" s="127">
        <f t="shared" ca="1" si="343"/>
        <v>0</v>
      </c>
      <c r="W68" s="127">
        <f t="shared" ca="1" si="344"/>
        <v>0</v>
      </c>
      <c r="X68" s="37"/>
      <c r="Y68" s="127">
        <f ca="1">CONVERT(INDEX(OFFSET('Measure Inputs'!$AC$7,,,InputRows),$C68),'Measure Inputs'!$AC$6,Y$8)*$L68</f>
        <v>0</v>
      </c>
      <c r="Z68" s="127">
        <f t="shared" ca="1" si="345"/>
        <v>0</v>
      </c>
      <c r="AA68" s="127">
        <f t="shared" ca="1" si="346"/>
        <v>0</v>
      </c>
      <c r="AB68" s="37"/>
      <c r="AC68" s="127">
        <f ca="1">CONVERT(INDEX(OFFSET('Measure Inputs'!$AE$7,,,InputRows),$C68),'Measure Inputs'!$AE$6,AC$8)*$L68</f>
        <v>0</v>
      </c>
      <c r="AD68" s="127">
        <f t="shared" ca="1" si="347"/>
        <v>0</v>
      </c>
      <c r="AE68" s="127">
        <f t="shared" ca="1" si="348"/>
        <v>0</v>
      </c>
      <c r="AF68" s="37"/>
      <c r="AG68" s="97">
        <f ca="1">INDEX(OFFSET('Measure Inputs'!$R$7,,,InputRows),$C68)</f>
        <v>15</v>
      </c>
      <c r="AH68" s="97">
        <f ca="1">INDEX(OFFSET('Measure Inputs'!$S$7,,,InputRows),$C68)</f>
        <v>0</v>
      </c>
      <c r="AI68" s="97">
        <f t="shared" ca="1" si="349"/>
        <v>0</v>
      </c>
      <c r="AJ68" s="100">
        <f ca="1">INDEX(OFFSET('Measure Inputs'!$T$7,,,InputRows),$C68)*$L68*$N68*$O68</f>
        <v>0</v>
      </c>
      <c r="AK68" s="100">
        <f ca="1">INDEX(OFFSET('Measure Inputs'!$U$7,,,InputRows),$C68)*$L68*$N68*$O68</f>
        <v>0</v>
      </c>
      <c r="AL68" s="100">
        <f ca="1">INDEX(OFFSET('Measure Inputs'!$V$7,,,InputRows),$C68)*$L68*$N68*$O68</f>
        <v>0</v>
      </c>
      <c r="AM68" s="100">
        <f ca="1">INDEX(OFFSET('Measure Inputs'!$W$7,,,InputRows),$C68)*$L68*$N68*$O68</f>
        <v>0</v>
      </c>
      <c r="AN68" s="100">
        <f ca="1">INDEX(OFFSET('Measure Inputs'!$X$7,,,InputRows),$C68)*$L68</f>
        <v>0</v>
      </c>
      <c r="AO68" s="100"/>
      <c r="AP68" s="100">
        <f t="shared" ca="1" si="350"/>
        <v>0</v>
      </c>
      <c r="AQ68" s="37"/>
      <c r="AR68" s="100">
        <f ca="1">SUMPRODUCT(--($CX$9:$EX$9=$H68)*$AJ68,'General Inputs'!$K$40:$BK$40)+SUMPRODUCT(--($CX$9:$EX$9=$H68+$AH68)*-$AK68,'General Inputs'!$K$43:$BK$43)</f>
        <v>0</v>
      </c>
      <c r="AS68" s="100">
        <f ca="1">CONVERT(SUMPRODUCT($CX68:$EX68,'General Inputs'!$K$29:$BK$29,'General Inputs'!$K$40:$BK$40)*$M68,$Q$8,'General Inputs'!$E$17)</f>
        <v>0</v>
      </c>
      <c r="AT68" s="100">
        <f ca="1">SUMPRODUCT(--($CX$9:$EX$9=$H68)*$AN68,'General Inputs'!$K$40:$BK$40)</f>
        <v>0</v>
      </c>
      <c r="AU68" s="100">
        <f>SUMPRODUCT(--($CX$9:$EX$9=$H68)*$AO68,'General Inputs'!$K$40:$BK$40)</f>
        <v>0</v>
      </c>
      <c r="AV68" s="100">
        <f ca="1">CONVERT(SUMPRODUCT($CX68:$EX68,'General Inputs'!$K$40:$BK$40,OFFSET('General Inputs'!$K$34:$BK$34,MATCH($D68,'General Inputs'!$J$34:$J$35,0)-1,)),$Q$8,'General Inputs'!$G$32)</f>
        <v>0</v>
      </c>
      <c r="AW68" s="100">
        <f ca="1">CONVERT(SUMPRODUCT($CX68:$EX68,'General Inputs'!$K$27:$BK$27,'General Inputs'!$K$40:$BK$40)*$M68,$Q$8,'General Inputs'!$E$17)</f>
        <v>0</v>
      </c>
      <c r="AX68" s="100">
        <f ca="1">CONVERT(SUMPRODUCT($EZ68:$GZ68,'General Inputs'!$K$28:$BK$28,'General Inputs'!$K$40:$BK$40)*$M68,$Q$8,'General Inputs'!$E$17)</f>
        <v>0</v>
      </c>
      <c r="AY68" s="98">
        <f ca="1">SUMPRODUCT($CX68:$EX68,'General Inputs'!$K$40:$BK$40)</f>
        <v>0</v>
      </c>
      <c r="AZ68" s="37"/>
      <c r="BA68" s="100">
        <f t="shared" ca="1" si="351"/>
        <v>0</v>
      </c>
      <c r="BB68" s="102" t="e">
        <f t="shared" ca="1" si="352"/>
        <v>#DIV/0!</v>
      </c>
      <c r="BC68" s="100">
        <f t="shared" ca="1" si="273"/>
        <v>0</v>
      </c>
      <c r="BD68" s="100">
        <f t="shared" ca="1" si="274"/>
        <v>0</v>
      </c>
      <c r="BE68" s="100">
        <f t="shared" ca="1" si="275"/>
        <v>0</v>
      </c>
      <c r="BF68" s="100">
        <f t="shared" ca="1" si="276"/>
        <v>0</v>
      </c>
      <c r="BG68" s="100">
        <f t="shared" si="277"/>
        <v>0</v>
      </c>
      <c r="BH68" s="100">
        <f t="shared" ca="1" si="278"/>
        <v>0</v>
      </c>
      <c r="BI68" s="37"/>
      <c r="BJ68" s="100">
        <f t="shared" ca="1" si="353"/>
        <v>0</v>
      </c>
      <c r="BK68" s="102" t="e">
        <f t="shared" ca="1" si="354"/>
        <v>#DIV/0!</v>
      </c>
      <c r="BL68" s="100">
        <f t="shared" ca="1" si="279"/>
        <v>0</v>
      </c>
      <c r="BM68" s="100">
        <f t="shared" ca="1" si="164"/>
        <v>0</v>
      </c>
      <c r="BN68" s="100">
        <f t="shared" ca="1" si="280"/>
        <v>0</v>
      </c>
      <c r="BO68" s="100">
        <f t="shared" ca="1" si="281"/>
        <v>0</v>
      </c>
      <c r="BP68" s="100">
        <f t="shared" ca="1" si="282"/>
        <v>0</v>
      </c>
      <c r="BQ68" s="100">
        <f t="shared" si="283"/>
        <v>0</v>
      </c>
      <c r="BR68" s="100">
        <f t="shared" ca="1" si="284"/>
        <v>0</v>
      </c>
      <c r="BS68" s="37"/>
      <c r="BT68" s="100">
        <f t="shared" ca="1" si="355"/>
        <v>0</v>
      </c>
      <c r="BU68" s="102" t="e">
        <f t="shared" ca="1" si="356"/>
        <v>#DIV/0!</v>
      </c>
      <c r="BV68" s="102" t="e">
        <f t="shared" ca="1" si="285"/>
        <v>#DIV/0!</v>
      </c>
      <c r="BW68" s="100">
        <f t="shared" ca="1" si="286"/>
        <v>0</v>
      </c>
      <c r="BX68" s="100">
        <f t="shared" ca="1" si="287"/>
        <v>0</v>
      </c>
      <c r="BY68" s="100">
        <f t="shared" ca="1" si="288"/>
        <v>0</v>
      </c>
      <c r="BZ68" s="100">
        <f t="shared" ca="1" si="289"/>
        <v>0</v>
      </c>
      <c r="CA68" s="100">
        <f t="shared" ca="1" si="290"/>
        <v>0</v>
      </c>
      <c r="CB68" s="37"/>
      <c r="CC68" s="100">
        <f t="shared" ca="1" si="357"/>
        <v>0</v>
      </c>
      <c r="CD68" s="102" t="e">
        <f t="shared" ca="1" si="358"/>
        <v>#DIV/0!</v>
      </c>
      <c r="CE68" s="103" t="e">
        <f t="shared" ca="1" si="291"/>
        <v>#DIV/0!</v>
      </c>
      <c r="CF68" s="100">
        <f t="shared" ca="1" si="292"/>
        <v>0</v>
      </c>
      <c r="CG68" s="100">
        <f t="shared" ca="1" si="293"/>
        <v>0</v>
      </c>
      <c r="CH68" s="100">
        <f t="shared" ca="1" si="294"/>
        <v>0</v>
      </c>
      <c r="CI68" s="100">
        <f t="shared" ref="CI68:CI97" ca="1" si="382">AX68</f>
        <v>0</v>
      </c>
      <c r="CJ68" s="100">
        <f t="shared" ref="CJ68:CJ97" ca="1" si="383">AT68</f>
        <v>0</v>
      </c>
      <c r="CK68" s="100">
        <f t="shared" si="295"/>
        <v>0</v>
      </c>
      <c r="CL68" s="37"/>
      <c r="CM68" s="100">
        <f t="shared" ca="1" si="359"/>
        <v>0</v>
      </c>
      <c r="CN68" s="102" t="e">
        <f t="shared" ca="1" si="360"/>
        <v>#DIV/0!</v>
      </c>
      <c r="CO68" s="128"/>
      <c r="CP68" s="100">
        <f t="shared" ca="1" si="296"/>
        <v>0</v>
      </c>
      <c r="CQ68" s="100">
        <f t="shared" ca="1" si="297"/>
        <v>0</v>
      </c>
      <c r="CR68" s="100">
        <f t="shared" ca="1" si="298"/>
        <v>0</v>
      </c>
      <c r="CS68" s="100">
        <f t="shared" ref="CS68:CS97" ca="1" si="384">AX68</f>
        <v>0</v>
      </c>
      <c r="CT68" s="100">
        <f t="shared" ca="1" si="299"/>
        <v>0</v>
      </c>
      <c r="CU68" s="100">
        <f t="shared" ca="1" si="300"/>
        <v>0</v>
      </c>
      <c r="CV68" s="100">
        <f t="shared" si="301"/>
        <v>0</v>
      </c>
      <c r="CW68" s="37"/>
      <c r="CX68" s="48">
        <f t="shared" ca="1" si="378"/>
        <v>0</v>
      </c>
      <c r="CY68" s="48">
        <f t="shared" ca="1" si="378"/>
        <v>0</v>
      </c>
      <c r="CZ68" s="48">
        <f t="shared" ca="1" si="378"/>
        <v>0</v>
      </c>
      <c r="DA68" s="48">
        <f t="shared" ca="1" si="378"/>
        <v>0</v>
      </c>
      <c r="DB68" s="48">
        <f t="shared" ca="1" si="378"/>
        <v>0</v>
      </c>
      <c r="DC68" s="48">
        <f t="shared" ca="1" si="378"/>
        <v>0</v>
      </c>
      <c r="DD68" s="48">
        <f t="shared" ca="1" si="378"/>
        <v>0</v>
      </c>
      <c r="DE68" s="48">
        <f t="shared" ca="1" si="378"/>
        <v>0</v>
      </c>
      <c r="DF68" s="48">
        <f t="shared" ca="1" si="378"/>
        <v>0</v>
      </c>
      <c r="DG68" s="48">
        <f t="shared" ca="1" si="378"/>
        <v>0</v>
      </c>
      <c r="DH68" s="48">
        <f t="shared" ca="1" si="378"/>
        <v>0</v>
      </c>
      <c r="DI68" s="48">
        <f t="shared" ca="1" si="378"/>
        <v>0</v>
      </c>
      <c r="DJ68" s="48">
        <f t="shared" ca="1" si="378"/>
        <v>0</v>
      </c>
      <c r="DK68" s="48">
        <f t="shared" ca="1" si="378"/>
        <v>0</v>
      </c>
      <c r="DL68" s="48">
        <f t="shared" ca="1" si="378"/>
        <v>0</v>
      </c>
      <c r="DM68" s="48">
        <f t="shared" ca="1" si="372"/>
        <v>0</v>
      </c>
      <c r="DN68" s="48">
        <f t="shared" ca="1" si="372"/>
        <v>0</v>
      </c>
      <c r="DO68" s="48">
        <f t="shared" ca="1" si="372"/>
        <v>0</v>
      </c>
      <c r="DP68" s="48">
        <f t="shared" ca="1" si="372"/>
        <v>0</v>
      </c>
      <c r="DQ68" s="48">
        <f t="shared" ca="1" si="372"/>
        <v>0</v>
      </c>
      <c r="DR68" s="48">
        <f t="shared" ca="1" si="372"/>
        <v>0</v>
      </c>
      <c r="DS68" s="48">
        <f t="shared" ca="1" si="372"/>
        <v>0</v>
      </c>
      <c r="DT68" s="48">
        <f t="shared" ca="1" si="372"/>
        <v>0</v>
      </c>
      <c r="DU68" s="48">
        <f t="shared" ca="1" si="372"/>
        <v>0</v>
      </c>
      <c r="DV68" s="48">
        <f t="shared" ca="1" si="372"/>
        <v>0</v>
      </c>
      <c r="DW68" s="48">
        <f t="shared" ca="1" si="372"/>
        <v>0</v>
      </c>
      <c r="DX68" s="48">
        <f t="shared" ca="1" si="372"/>
        <v>0</v>
      </c>
      <c r="DY68" s="48">
        <f t="shared" ca="1" si="372"/>
        <v>0</v>
      </c>
      <c r="DZ68" s="48">
        <f t="shared" ca="1" si="372"/>
        <v>0</v>
      </c>
      <c r="EA68" s="48">
        <f t="shared" ca="1" si="372"/>
        <v>0</v>
      </c>
      <c r="EB68" s="48">
        <f t="shared" ca="1" si="372"/>
        <v>0</v>
      </c>
      <c r="EC68" s="48">
        <f t="shared" ca="1" si="373"/>
        <v>0</v>
      </c>
      <c r="ED68" s="48">
        <f t="shared" ca="1" si="373"/>
        <v>0</v>
      </c>
      <c r="EE68" s="48">
        <f t="shared" ca="1" si="373"/>
        <v>0</v>
      </c>
      <c r="EF68" s="48">
        <f t="shared" ca="1" si="373"/>
        <v>0</v>
      </c>
      <c r="EG68" s="48">
        <f t="shared" ca="1" si="373"/>
        <v>0</v>
      </c>
      <c r="EH68" s="48">
        <f t="shared" ca="1" si="373"/>
        <v>0</v>
      </c>
      <c r="EI68" s="48">
        <f t="shared" ca="1" si="373"/>
        <v>0</v>
      </c>
      <c r="EJ68" s="48">
        <f t="shared" ca="1" si="373"/>
        <v>0</v>
      </c>
      <c r="EK68" s="48">
        <f t="shared" ca="1" si="373"/>
        <v>0</v>
      </c>
      <c r="EL68" s="48">
        <f t="shared" ca="1" si="373"/>
        <v>0</v>
      </c>
      <c r="EM68" s="48">
        <f t="shared" ca="1" si="373"/>
        <v>0</v>
      </c>
      <c r="EN68" s="48">
        <f t="shared" ca="1" si="373"/>
        <v>0</v>
      </c>
      <c r="EO68" s="48">
        <f t="shared" ca="1" si="373"/>
        <v>0</v>
      </c>
      <c r="EP68" s="48">
        <f t="shared" ca="1" si="373"/>
        <v>0</v>
      </c>
      <c r="EQ68" s="48">
        <f t="shared" ca="1" si="373"/>
        <v>0</v>
      </c>
      <c r="ER68" s="48">
        <f t="shared" ca="1" si="373"/>
        <v>0</v>
      </c>
      <c r="ES68" s="48">
        <f t="shared" ca="1" si="374"/>
        <v>0</v>
      </c>
      <c r="ET68" s="48">
        <f t="shared" ca="1" si="364"/>
        <v>0</v>
      </c>
      <c r="EU68" s="48">
        <f t="shared" ca="1" si="364"/>
        <v>0</v>
      </c>
      <c r="EV68" s="48">
        <f t="shared" ca="1" si="364"/>
        <v>0</v>
      </c>
      <c r="EW68" s="48">
        <f t="shared" ca="1" si="364"/>
        <v>0</v>
      </c>
      <c r="EX68" s="48">
        <f t="shared" ca="1" si="364"/>
        <v>0</v>
      </c>
      <c r="EY68" s="69"/>
      <c r="EZ68" s="48">
        <f t="shared" ca="1" si="379"/>
        <v>0</v>
      </c>
      <c r="FA68" s="48">
        <f t="shared" ca="1" si="379"/>
        <v>0</v>
      </c>
      <c r="FB68" s="48">
        <f t="shared" ca="1" si="379"/>
        <v>0</v>
      </c>
      <c r="FC68" s="48">
        <f t="shared" ca="1" si="379"/>
        <v>0</v>
      </c>
      <c r="FD68" s="48">
        <f t="shared" ca="1" si="379"/>
        <v>0</v>
      </c>
      <c r="FE68" s="48">
        <f t="shared" ca="1" si="379"/>
        <v>0</v>
      </c>
      <c r="FF68" s="48">
        <f t="shared" ca="1" si="379"/>
        <v>0</v>
      </c>
      <c r="FG68" s="48">
        <f t="shared" ca="1" si="379"/>
        <v>0</v>
      </c>
      <c r="FH68" s="48">
        <f t="shared" ca="1" si="379"/>
        <v>0</v>
      </c>
      <c r="FI68" s="48">
        <f t="shared" ca="1" si="379"/>
        <v>0</v>
      </c>
      <c r="FJ68" s="48">
        <f t="shared" ca="1" si="379"/>
        <v>0</v>
      </c>
      <c r="FK68" s="48">
        <f t="shared" ca="1" si="379"/>
        <v>0</v>
      </c>
      <c r="FL68" s="48">
        <f t="shared" ca="1" si="379"/>
        <v>0</v>
      </c>
      <c r="FM68" s="48">
        <f t="shared" ca="1" si="379"/>
        <v>0</v>
      </c>
      <c r="FN68" s="48">
        <f t="shared" ca="1" si="379"/>
        <v>0</v>
      </c>
      <c r="FO68" s="48">
        <f t="shared" ca="1" si="375"/>
        <v>0</v>
      </c>
      <c r="FP68" s="48">
        <f t="shared" ca="1" si="375"/>
        <v>0</v>
      </c>
      <c r="FQ68" s="48">
        <f t="shared" ca="1" si="375"/>
        <v>0</v>
      </c>
      <c r="FR68" s="48">
        <f t="shared" ca="1" si="375"/>
        <v>0</v>
      </c>
      <c r="FS68" s="48">
        <f t="shared" ca="1" si="375"/>
        <v>0</v>
      </c>
      <c r="FT68" s="48">
        <f t="shared" ca="1" si="375"/>
        <v>0</v>
      </c>
      <c r="FU68" s="48">
        <f t="shared" ca="1" si="375"/>
        <v>0</v>
      </c>
      <c r="FV68" s="48">
        <f t="shared" ca="1" si="375"/>
        <v>0</v>
      </c>
      <c r="FW68" s="48">
        <f t="shared" ca="1" si="375"/>
        <v>0</v>
      </c>
      <c r="FX68" s="48">
        <f t="shared" ca="1" si="375"/>
        <v>0</v>
      </c>
      <c r="FY68" s="48">
        <f t="shared" ca="1" si="375"/>
        <v>0</v>
      </c>
      <c r="FZ68" s="48">
        <f t="shared" ca="1" si="375"/>
        <v>0</v>
      </c>
      <c r="GA68" s="48">
        <f t="shared" ca="1" si="375"/>
        <v>0</v>
      </c>
      <c r="GB68" s="48">
        <f t="shared" ca="1" si="375"/>
        <v>0</v>
      </c>
      <c r="GC68" s="48">
        <f t="shared" ca="1" si="375"/>
        <v>0</v>
      </c>
      <c r="GD68" s="48">
        <f t="shared" ca="1" si="375"/>
        <v>0</v>
      </c>
      <c r="GE68" s="48">
        <f t="shared" ca="1" si="376"/>
        <v>0</v>
      </c>
      <c r="GF68" s="48">
        <f t="shared" ca="1" si="376"/>
        <v>0</v>
      </c>
      <c r="GG68" s="48">
        <f t="shared" ca="1" si="376"/>
        <v>0</v>
      </c>
      <c r="GH68" s="48">
        <f t="shared" ca="1" si="376"/>
        <v>0</v>
      </c>
      <c r="GI68" s="48">
        <f t="shared" ca="1" si="376"/>
        <v>0</v>
      </c>
      <c r="GJ68" s="48">
        <f t="shared" ca="1" si="376"/>
        <v>0</v>
      </c>
      <c r="GK68" s="48">
        <f t="shared" ca="1" si="376"/>
        <v>0</v>
      </c>
      <c r="GL68" s="48">
        <f t="shared" ca="1" si="376"/>
        <v>0</v>
      </c>
      <c r="GM68" s="48">
        <f t="shared" ca="1" si="376"/>
        <v>0</v>
      </c>
      <c r="GN68" s="48">
        <f t="shared" ca="1" si="376"/>
        <v>0</v>
      </c>
      <c r="GO68" s="48">
        <f t="shared" ca="1" si="376"/>
        <v>0</v>
      </c>
      <c r="GP68" s="48">
        <f t="shared" ca="1" si="376"/>
        <v>0</v>
      </c>
      <c r="GQ68" s="48">
        <f t="shared" ca="1" si="376"/>
        <v>0</v>
      </c>
      <c r="GR68" s="48">
        <f t="shared" ca="1" si="376"/>
        <v>0</v>
      </c>
      <c r="GS68" s="48">
        <f t="shared" ca="1" si="376"/>
        <v>0</v>
      </c>
      <c r="GT68" s="48">
        <f t="shared" ca="1" si="376"/>
        <v>0</v>
      </c>
      <c r="GU68" s="48">
        <f t="shared" ca="1" si="377"/>
        <v>0</v>
      </c>
      <c r="GV68" s="48">
        <f t="shared" ca="1" si="368"/>
        <v>0</v>
      </c>
      <c r="GW68" s="48">
        <f t="shared" ca="1" si="368"/>
        <v>0</v>
      </c>
      <c r="GX68" s="48">
        <f t="shared" ca="1" si="368"/>
        <v>0</v>
      </c>
      <c r="GY68" s="48">
        <f t="shared" ca="1" si="368"/>
        <v>0</v>
      </c>
      <c r="GZ68" s="48">
        <f t="shared" ca="1" si="368"/>
        <v>0</v>
      </c>
      <c r="HA68" s="69"/>
      <c r="HB68" s="150" t="str">
        <f t="shared" ca="1" si="380"/>
        <v>n/a</v>
      </c>
      <c r="HC68" s="150" t="str">
        <f t="shared" ca="1" si="369"/>
        <v>n/a</v>
      </c>
      <c r="HD68" s="150" t="str">
        <f t="shared" ca="1" si="381"/>
        <v>n/a</v>
      </c>
      <c r="HE68" s="150" t="str">
        <f t="shared" ca="1" si="370"/>
        <v>n/a</v>
      </c>
      <c r="HF68" s="150" t="str">
        <f t="shared" ca="1" si="371"/>
        <v>n/a</v>
      </c>
      <c r="HG68" s="148"/>
      <c r="HH68" s="149"/>
      <c r="HI68" s="149"/>
      <c r="HJ68" s="149"/>
      <c r="HK68" s="150"/>
      <c r="HL68" s="149"/>
      <c r="HM68" s="149"/>
      <c r="HN68" s="149"/>
      <c r="HO68" s="150"/>
      <c r="HP68" s="148"/>
      <c r="HQ68" s="149"/>
      <c r="HR68" s="149"/>
      <c r="HS68" s="149"/>
      <c r="HT68" s="150"/>
      <c r="HU68" s="149"/>
      <c r="HV68" s="149"/>
      <c r="HW68" s="149"/>
      <c r="HX68" s="150"/>
      <c r="HY68" s="151"/>
      <c r="HZ68" s="150"/>
      <c r="IA68" s="150"/>
      <c r="IB68" s="152"/>
      <c r="IC68" s="150"/>
      <c r="ID68" s="152"/>
      <c r="IE68" s="150"/>
      <c r="IF68" s="153"/>
    </row>
    <row r="69" spans="1:240" s="36" customFormat="1" ht="14.4" customHeight="1">
      <c r="A69" s="39"/>
      <c r="B69" s="50" t="str">
        <f t="shared" si="340"/>
        <v>C&amp;I_C&amp;I Prescriptive_Lighting_Pulse Start Metal Halide Fixture (175-320W)_2017_Actual</v>
      </c>
      <c r="C69" s="50">
        <f>INDEX('Measure Inputs'!$D:$D,MATCH($B69,'Measure Inputs'!$B:$B,0))</f>
        <v>35</v>
      </c>
      <c r="D69" s="51" t="str">
        <f>'Measure Inputs'!G41</f>
        <v>C&amp;I</v>
      </c>
      <c r="E69" s="51" t="str">
        <f>'Measure Inputs'!H41</f>
        <v>C&amp;I Prescriptive</v>
      </c>
      <c r="F69" s="51" t="str">
        <f>'Measure Inputs'!I41</f>
        <v>Lighting</v>
      </c>
      <c r="G69" s="51" t="str">
        <f>'Measure Inputs'!J41</f>
        <v>Pulse Start Metal Halide Fixture (175-320W)</v>
      </c>
      <c r="H69" s="51">
        <f>'Measure Inputs'!K41</f>
        <v>2017</v>
      </c>
      <c r="I69" s="51" t="str">
        <f>'Measure Inputs'!L41</f>
        <v>Actual</v>
      </c>
      <c r="J69" s="37"/>
      <c r="K69" s="99" t="str">
        <f ca="1">INDEX(OFFSET('Measure Inputs'!$O$7,,,InputRows),$C69)</f>
        <v>Units</v>
      </c>
      <c r="L69" s="38">
        <f ca="1">INDEX(OFFSET('Measure Inputs'!$Q$7,,,InputRows),$C69)</f>
        <v>0</v>
      </c>
      <c r="M69" s="167">
        <f>INDEX('General Inputs'!$E$14:$E$15,MATCH(D69,'General Inputs'!$D$14:$D$15,0))</f>
        <v>1.0469999999999999</v>
      </c>
      <c r="N69" s="54">
        <f ca="1">INDEX(OFFSET('Measure Inputs'!$Y$7,,,InputRows),$C69)</f>
        <v>1</v>
      </c>
      <c r="O69" s="54">
        <f ca="1">INDEX(OFFSET('Measure Inputs'!$Z$7,,,InputRows),$C69)</f>
        <v>1</v>
      </c>
      <c r="P69" s="37"/>
      <c r="Q69" s="127">
        <f ca="1">CONVERT(INDEX(OFFSET('Measure Inputs'!$AB$7,,,InputRows),$C69),'Measure Inputs'!$AB$6,Q$8)*$L69</f>
        <v>0</v>
      </c>
      <c r="R69" s="127">
        <f t="shared" ca="1" si="341"/>
        <v>0</v>
      </c>
      <c r="S69" s="127">
        <f t="shared" ca="1" si="342"/>
        <v>0</v>
      </c>
      <c r="T69" s="37"/>
      <c r="U69" s="127">
        <f ca="1">CONVERT(INDEX(OFFSET('Measure Inputs'!$AD$7,,,InputRows),$C69),'Measure Inputs'!$AD$6,U$8)*$L69</f>
        <v>0</v>
      </c>
      <c r="V69" s="127">
        <f t="shared" ca="1" si="343"/>
        <v>0</v>
      </c>
      <c r="W69" s="127">
        <f t="shared" ca="1" si="344"/>
        <v>0</v>
      </c>
      <c r="X69" s="37"/>
      <c r="Y69" s="127">
        <f ca="1">CONVERT(INDEX(OFFSET('Measure Inputs'!$AC$7,,,InputRows),$C69),'Measure Inputs'!$AC$6,Y$8)*$L69</f>
        <v>0</v>
      </c>
      <c r="Z69" s="127">
        <f t="shared" ca="1" si="345"/>
        <v>0</v>
      </c>
      <c r="AA69" s="127">
        <f t="shared" ca="1" si="346"/>
        <v>0</v>
      </c>
      <c r="AB69" s="37"/>
      <c r="AC69" s="127">
        <f ca="1">CONVERT(INDEX(OFFSET('Measure Inputs'!$AE$7,,,InputRows),$C69),'Measure Inputs'!$AE$6,AC$8)*$L69</f>
        <v>0</v>
      </c>
      <c r="AD69" s="127">
        <f t="shared" ca="1" si="347"/>
        <v>0</v>
      </c>
      <c r="AE69" s="127">
        <f t="shared" ca="1" si="348"/>
        <v>0</v>
      </c>
      <c r="AF69" s="37"/>
      <c r="AG69" s="97">
        <f ca="1">INDEX(OFFSET('Measure Inputs'!$R$7,,,InputRows),$C69)</f>
        <v>15</v>
      </c>
      <c r="AH69" s="97">
        <f ca="1">INDEX(OFFSET('Measure Inputs'!$S$7,,,InputRows),$C69)</f>
        <v>0</v>
      </c>
      <c r="AI69" s="97">
        <f t="shared" ca="1" si="349"/>
        <v>0</v>
      </c>
      <c r="AJ69" s="100">
        <f ca="1">INDEX(OFFSET('Measure Inputs'!$T$7,,,InputRows),$C69)*$L69*$N69*$O69</f>
        <v>0</v>
      </c>
      <c r="AK69" s="100">
        <f ca="1">INDEX(OFFSET('Measure Inputs'!$U$7,,,InputRows),$C69)*$L69*$N69*$O69</f>
        <v>0</v>
      </c>
      <c r="AL69" s="100">
        <f ca="1">INDEX(OFFSET('Measure Inputs'!$V$7,,,InputRows),$C69)*$L69*$N69*$O69</f>
        <v>0</v>
      </c>
      <c r="AM69" s="100">
        <f ca="1">INDEX(OFFSET('Measure Inputs'!$W$7,,,InputRows),$C69)*$L69*$N69*$O69</f>
        <v>0</v>
      </c>
      <c r="AN69" s="100">
        <f ca="1">INDEX(OFFSET('Measure Inputs'!$X$7,,,InputRows),$C69)*$L69</f>
        <v>0</v>
      </c>
      <c r="AO69" s="100"/>
      <c r="AP69" s="100">
        <f t="shared" ca="1" si="350"/>
        <v>0</v>
      </c>
      <c r="AQ69" s="37"/>
      <c r="AR69" s="100">
        <f ca="1">SUMPRODUCT(--($CX$9:$EX$9=$H69)*$AJ69,'General Inputs'!$K$40:$BK$40)+SUMPRODUCT(--($CX$9:$EX$9=$H69+$AH69)*-$AK69,'General Inputs'!$K$43:$BK$43)</f>
        <v>0</v>
      </c>
      <c r="AS69" s="100">
        <f ca="1">CONVERT(SUMPRODUCT($CX69:$EX69,'General Inputs'!$K$29:$BK$29,'General Inputs'!$K$40:$BK$40)*$M69,$Q$8,'General Inputs'!$E$17)</f>
        <v>0</v>
      </c>
      <c r="AT69" s="100">
        <f ca="1">SUMPRODUCT(--($CX$9:$EX$9=$H69)*$AN69,'General Inputs'!$K$40:$BK$40)</f>
        <v>0</v>
      </c>
      <c r="AU69" s="100">
        <f>SUMPRODUCT(--($CX$9:$EX$9=$H69)*$AO69,'General Inputs'!$K$40:$BK$40)</f>
        <v>0</v>
      </c>
      <c r="AV69" s="100">
        <f ca="1">CONVERT(SUMPRODUCT($CX69:$EX69,'General Inputs'!$K$40:$BK$40,OFFSET('General Inputs'!$K$34:$BK$34,MATCH($D69,'General Inputs'!$J$34:$J$35,0)-1,)),$Q$8,'General Inputs'!$G$32)</f>
        <v>0</v>
      </c>
      <c r="AW69" s="100">
        <f ca="1">CONVERT(SUMPRODUCT($CX69:$EX69,'General Inputs'!$K$27:$BK$27,'General Inputs'!$K$40:$BK$40)*$M69,$Q$8,'General Inputs'!$E$17)</f>
        <v>0</v>
      </c>
      <c r="AX69" s="100">
        <f ca="1">CONVERT(SUMPRODUCT($EZ69:$GZ69,'General Inputs'!$K$28:$BK$28,'General Inputs'!$K$40:$BK$40)*$M69,$Q$8,'General Inputs'!$E$17)</f>
        <v>0</v>
      </c>
      <c r="AY69" s="98">
        <f ca="1">SUMPRODUCT($CX69:$EX69,'General Inputs'!$K$40:$BK$40)</f>
        <v>0</v>
      </c>
      <c r="AZ69" s="37"/>
      <c r="BA69" s="100">
        <f t="shared" ca="1" si="351"/>
        <v>0</v>
      </c>
      <c r="BB69" s="102" t="e">
        <f t="shared" ca="1" si="352"/>
        <v>#DIV/0!</v>
      </c>
      <c r="BC69" s="100">
        <f t="shared" ca="1" si="273"/>
        <v>0</v>
      </c>
      <c r="BD69" s="100">
        <f t="shared" ca="1" si="274"/>
        <v>0</v>
      </c>
      <c r="BE69" s="100">
        <f t="shared" ca="1" si="275"/>
        <v>0</v>
      </c>
      <c r="BF69" s="100">
        <f t="shared" ca="1" si="276"/>
        <v>0</v>
      </c>
      <c r="BG69" s="100">
        <f t="shared" si="277"/>
        <v>0</v>
      </c>
      <c r="BH69" s="100">
        <f t="shared" ca="1" si="278"/>
        <v>0</v>
      </c>
      <c r="BI69" s="37"/>
      <c r="BJ69" s="100">
        <f t="shared" ca="1" si="353"/>
        <v>0</v>
      </c>
      <c r="BK69" s="102" t="e">
        <f t="shared" ca="1" si="354"/>
        <v>#DIV/0!</v>
      </c>
      <c r="BL69" s="100">
        <f t="shared" ca="1" si="279"/>
        <v>0</v>
      </c>
      <c r="BM69" s="100">
        <f t="shared" ca="1" si="164"/>
        <v>0</v>
      </c>
      <c r="BN69" s="100">
        <f t="shared" ca="1" si="280"/>
        <v>0</v>
      </c>
      <c r="BO69" s="100">
        <f t="shared" ca="1" si="281"/>
        <v>0</v>
      </c>
      <c r="BP69" s="100">
        <f t="shared" ca="1" si="282"/>
        <v>0</v>
      </c>
      <c r="BQ69" s="100">
        <f t="shared" si="283"/>
        <v>0</v>
      </c>
      <c r="BR69" s="100">
        <f t="shared" ca="1" si="284"/>
        <v>0</v>
      </c>
      <c r="BS69" s="37"/>
      <c r="BT69" s="100">
        <f t="shared" ca="1" si="355"/>
        <v>0</v>
      </c>
      <c r="BU69" s="102" t="e">
        <f t="shared" ca="1" si="356"/>
        <v>#DIV/0!</v>
      </c>
      <c r="BV69" s="102" t="e">
        <f t="shared" ca="1" si="285"/>
        <v>#DIV/0!</v>
      </c>
      <c r="BW69" s="100">
        <f t="shared" ca="1" si="286"/>
        <v>0</v>
      </c>
      <c r="BX69" s="100">
        <f t="shared" ca="1" si="287"/>
        <v>0</v>
      </c>
      <c r="BY69" s="100">
        <f t="shared" ca="1" si="288"/>
        <v>0</v>
      </c>
      <c r="BZ69" s="100">
        <f t="shared" ca="1" si="289"/>
        <v>0</v>
      </c>
      <c r="CA69" s="100">
        <f t="shared" ca="1" si="290"/>
        <v>0</v>
      </c>
      <c r="CB69" s="37"/>
      <c r="CC69" s="100">
        <f t="shared" ca="1" si="357"/>
        <v>0</v>
      </c>
      <c r="CD69" s="102" t="e">
        <f t="shared" ca="1" si="358"/>
        <v>#DIV/0!</v>
      </c>
      <c r="CE69" s="103" t="e">
        <f t="shared" ca="1" si="291"/>
        <v>#DIV/0!</v>
      </c>
      <c r="CF69" s="100">
        <f t="shared" ca="1" si="292"/>
        <v>0</v>
      </c>
      <c r="CG69" s="100">
        <f t="shared" ca="1" si="293"/>
        <v>0</v>
      </c>
      <c r="CH69" s="100">
        <f t="shared" ca="1" si="294"/>
        <v>0</v>
      </c>
      <c r="CI69" s="100">
        <f t="shared" ca="1" si="382"/>
        <v>0</v>
      </c>
      <c r="CJ69" s="100">
        <f t="shared" ca="1" si="383"/>
        <v>0</v>
      </c>
      <c r="CK69" s="100">
        <f t="shared" si="295"/>
        <v>0</v>
      </c>
      <c r="CL69" s="37"/>
      <c r="CM69" s="100">
        <f t="shared" ca="1" si="359"/>
        <v>0</v>
      </c>
      <c r="CN69" s="102" t="e">
        <f t="shared" ca="1" si="360"/>
        <v>#DIV/0!</v>
      </c>
      <c r="CO69" s="128"/>
      <c r="CP69" s="100">
        <f t="shared" ca="1" si="296"/>
        <v>0</v>
      </c>
      <c r="CQ69" s="100">
        <f t="shared" ca="1" si="297"/>
        <v>0</v>
      </c>
      <c r="CR69" s="100">
        <f t="shared" ca="1" si="298"/>
        <v>0</v>
      </c>
      <c r="CS69" s="100">
        <f t="shared" ca="1" si="384"/>
        <v>0</v>
      </c>
      <c r="CT69" s="100">
        <f t="shared" ca="1" si="299"/>
        <v>0</v>
      </c>
      <c r="CU69" s="100">
        <f t="shared" ca="1" si="300"/>
        <v>0</v>
      </c>
      <c r="CV69" s="100">
        <f t="shared" si="301"/>
        <v>0</v>
      </c>
      <c r="CW69" s="37"/>
      <c r="CX69" s="48">
        <f t="shared" ca="1" si="378"/>
        <v>0</v>
      </c>
      <c r="CY69" s="48">
        <f t="shared" ca="1" si="378"/>
        <v>0</v>
      </c>
      <c r="CZ69" s="48">
        <f t="shared" ca="1" si="378"/>
        <v>0</v>
      </c>
      <c r="DA69" s="48">
        <f t="shared" ca="1" si="378"/>
        <v>0</v>
      </c>
      <c r="DB69" s="48">
        <f t="shared" ca="1" si="378"/>
        <v>0</v>
      </c>
      <c r="DC69" s="48">
        <f t="shared" ca="1" si="378"/>
        <v>0</v>
      </c>
      <c r="DD69" s="48">
        <f t="shared" ca="1" si="378"/>
        <v>0</v>
      </c>
      <c r="DE69" s="48">
        <f t="shared" ca="1" si="378"/>
        <v>0</v>
      </c>
      <c r="DF69" s="48">
        <f t="shared" ca="1" si="378"/>
        <v>0</v>
      </c>
      <c r="DG69" s="48">
        <f t="shared" ca="1" si="378"/>
        <v>0</v>
      </c>
      <c r="DH69" s="48">
        <f t="shared" ca="1" si="378"/>
        <v>0</v>
      </c>
      <c r="DI69" s="48">
        <f t="shared" ca="1" si="378"/>
        <v>0</v>
      </c>
      <c r="DJ69" s="48">
        <f t="shared" ca="1" si="378"/>
        <v>0</v>
      </c>
      <c r="DK69" s="48">
        <f t="shared" ca="1" si="378"/>
        <v>0</v>
      </c>
      <c r="DL69" s="48">
        <f t="shared" ca="1" si="378"/>
        <v>0</v>
      </c>
      <c r="DM69" s="48">
        <f t="shared" ca="1" si="372"/>
        <v>0</v>
      </c>
      <c r="DN69" s="48">
        <f t="shared" ca="1" si="372"/>
        <v>0</v>
      </c>
      <c r="DO69" s="48">
        <f t="shared" ca="1" si="372"/>
        <v>0</v>
      </c>
      <c r="DP69" s="48">
        <f t="shared" ca="1" si="372"/>
        <v>0</v>
      </c>
      <c r="DQ69" s="48">
        <f t="shared" ca="1" si="372"/>
        <v>0</v>
      </c>
      <c r="DR69" s="48">
        <f t="shared" ca="1" si="372"/>
        <v>0</v>
      </c>
      <c r="DS69" s="48">
        <f t="shared" ca="1" si="372"/>
        <v>0</v>
      </c>
      <c r="DT69" s="48">
        <f t="shared" ca="1" si="372"/>
        <v>0</v>
      </c>
      <c r="DU69" s="48">
        <f t="shared" ca="1" si="372"/>
        <v>0</v>
      </c>
      <c r="DV69" s="48">
        <f t="shared" ca="1" si="372"/>
        <v>0</v>
      </c>
      <c r="DW69" s="48">
        <f t="shared" ca="1" si="372"/>
        <v>0</v>
      </c>
      <c r="DX69" s="48">
        <f t="shared" ca="1" si="372"/>
        <v>0</v>
      </c>
      <c r="DY69" s="48">
        <f t="shared" ca="1" si="372"/>
        <v>0</v>
      </c>
      <c r="DZ69" s="48">
        <f t="shared" ca="1" si="372"/>
        <v>0</v>
      </c>
      <c r="EA69" s="48">
        <f t="shared" ca="1" si="372"/>
        <v>0</v>
      </c>
      <c r="EB69" s="48">
        <f t="shared" ca="1" si="372"/>
        <v>0</v>
      </c>
      <c r="EC69" s="48">
        <f t="shared" ca="1" si="373"/>
        <v>0</v>
      </c>
      <c r="ED69" s="48">
        <f t="shared" ca="1" si="373"/>
        <v>0</v>
      </c>
      <c r="EE69" s="48">
        <f t="shared" ca="1" si="373"/>
        <v>0</v>
      </c>
      <c r="EF69" s="48">
        <f t="shared" ca="1" si="373"/>
        <v>0</v>
      </c>
      <c r="EG69" s="48">
        <f t="shared" ca="1" si="373"/>
        <v>0</v>
      </c>
      <c r="EH69" s="48">
        <f t="shared" ca="1" si="373"/>
        <v>0</v>
      </c>
      <c r="EI69" s="48">
        <f t="shared" ca="1" si="373"/>
        <v>0</v>
      </c>
      <c r="EJ69" s="48">
        <f t="shared" ca="1" si="373"/>
        <v>0</v>
      </c>
      <c r="EK69" s="48">
        <f t="shared" ca="1" si="373"/>
        <v>0</v>
      </c>
      <c r="EL69" s="48">
        <f t="shared" ca="1" si="373"/>
        <v>0</v>
      </c>
      <c r="EM69" s="48">
        <f t="shared" ca="1" si="373"/>
        <v>0</v>
      </c>
      <c r="EN69" s="48">
        <f t="shared" ca="1" si="373"/>
        <v>0</v>
      </c>
      <c r="EO69" s="48">
        <f t="shared" ca="1" si="373"/>
        <v>0</v>
      </c>
      <c r="EP69" s="48">
        <f t="shared" ca="1" si="373"/>
        <v>0</v>
      </c>
      <c r="EQ69" s="48">
        <f t="shared" ca="1" si="373"/>
        <v>0</v>
      </c>
      <c r="ER69" s="48">
        <f t="shared" ca="1" si="373"/>
        <v>0</v>
      </c>
      <c r="ES69" s="48">
        <f t="shared" ca="1" si="374"/>
        <v>0</v>
      </c>
      <c r="ET69" s="48">
        <f t="shared" ca="1" si="364"/>
        <v>0</v>
      </c>
      <c r="EU69" s="48">
        <f t="shared" ca="1" si="364"/>
        <v>0</v>
      </c>
      <c r="EV69" s="48">
        <f t="shared" ca="1" si="364"/>
        <v>0</v>
      </c>
      <c r="EW69" s="48">
        <f t="shared" ca="1" si="364"/>
        <v>0</v>
      </c>
      <c r="EX69" s="48">
        <f t="shared" ca="1" si="364"/>
        <v>0</v>
      </c>
      <c r="EY69" s="69"/>
      <c r="EZ69" s="48">
        <f t="shared" ca="1" si="379"/>
        <v>0</v>
      </c>
      <c r="FA69" s="48">
        <f t="shared" ca="1" si="379"/>
        <v>0</v>
      </c>
      <c r="FB69" s="48">
        <f t="shared" ca="1" si="379"/>
        <v>0</v>
      </c>
      <c r="FC69" s="48">
        <f t="shared" ca="1" si="379"/>
        <v>0</v>
      </c>
      <c r="FD69" s="48">
        <f t="shared" ca="1" si="379"/>
        <v>0</v>
      </c>
      <c r="FE69" s="48">
        <f t="shared" ca="1" si="379"/>
        <v>0</v>
      </c>
      <c r="FF69" s="48">
        <f t="shared" ca="1" si="379"/>
        <v>0</v>
      </c>
      <c r="FG69" s="48">
        <f t="shared" ca="1" si="379"/>
        <v>0</v>
      </c>
      <c r="FH69" s="48">
        <f t="shared" ca="1" si="379"/>
        <v>0</v>
      </c>
      <c r="FI69" s="48">
        <f t="shared" ca="1" si="379"/>
        <v>0</v>
      </c>
      <c r="FJ69" s="48">
        <f t="shared" ca="1" si="379"/>
        <v>0</v>
      </c>
      <c r="FK69" s="48">
        <f t="shared" ca="1" si="379"/>
        <v>0</v>
      </c>
      <c r="FL69" s="48">
        <f t="shared" ca="1" si="379"/>
        <v>0</v>
      </c>
      <c r="FM69" s="48">
        <f t="shared" ca="1" si="379"/>
        <v>0</v>
      </c>
      <c r="FN69" s="48">
        <f t="shared" ca="1" si="379"/>
        <v>0</v>
      </c>
      <c r="FO69" s="48">
        <f t="shared" ca="1" si="375"/>
        <v>0</v>
      </c>
      <c r="FP69" s="48">
        <f t="shared" ca="1" si="375"/>
        <v>0</v>
      </c>
      <c r="FQ69" s="48">
        <f t="shared" ca="1" si="375"/>
        <v>0</v>
      </c>
      <c r="FR69" s="48">
        <f t="shared" ca="1" si="375"/>
        <v>0</v>
      </c>
      <c r="FS69" s="48">
        <f t="shared" ca="1" si="375"/>
        <v>0</v>
      </c>
      <c r="FT69" s="48">
        <f t="shared" ca="1" si="375"/>
        <v>0</v>
      </c>
      <c r="FU69" s="48">
        <f t="shared" ca="1" si="375"/>
        <v>0</v>
      </c>
      <c r="FV69" s="48">
        <f t="shared" ca="1" si="375"/>
        <v>0</v>
      </c>
      <c r="FW69" s="48">
        <f t="shared" ca="1" si="375"/>
        <v>0</v>
      </c>
      <c r="FX69" s="48">
        <f t="shared" ca="1" si="375"/>
        <v>0</v>
      </c>
      <c r="FY69" s="48">
        <f t="shared" ca="1" si="375"/>
        <v>0</v>
      </c>
      <c r="FZ69" s="48">
        <f t="shared" ca="1" si="375"/>
        <v>0</v>
      </c>
      <c r="GA69" s="48">
        <f t="shared" ca="1" si="375"/>
        <v>0</v>
      </c>
      <c r="GB69" s="48">
        <f t="shared" ca="1" si="375"/>
        <v>0</v>
      </c>
      <c r="GC69" s="48">
        <f t="shared" ca="1" si="375"/>
        <v>0</v>
      </c>
      <c r="GD69" s="48">
        <f t="shared" ca="1" si="375"/>
        <v>0</v>
      </c>
      <c r="GE69" s="48">
        <f t="shared" ca="1" si="376"/>
        <v>0</v>
      </c>
      <c r="GF69" s="48">
        <f t="shared" ca="1" si="376"/>
        <v>0</v>
      </c>
      <c r="GG69" s="48">
        <f t="shared" ca="1" si="376"/>
        <v>0</v>
      </c>
      <c r="GH69" s="48">
        <f t="shared" ca="1" si="376"/>
        <v>0</v>
      </c>
      <c r="GI69" s="48">
        <f t="shared" ca="1" si="376"/>
        <v>0</v>
      </c>
      <c r="GJ69" s="48">
        <f t="shared" ca="1" si="376"/>
        <v>0</v>
      </c>
      <c r="GK69" s="48">
        <f t="shared" ca="1" si="376"/>
        <v>0</v>
      </c>
      <c r="GL69" s="48">
        <f t="shared" ca="1" si="376"/>
        <v>0</v>
      </c>
      <c r="GM69" s="48">
        <f t="shared" ca="1" si="376"/>
        <v>0</v>
      </c>
      <c r="GN69" s="48">
        <f t="shared" ca="1" si="376"/>
        <v>0</v>
      </c>
      <c r="GO69" s="48">
        <f t="shared" ca="1" si="376"/>
        <v>0</v>
      </c>
      <c r="GP69" s="48">
        <f t="shared" ca="1" si="376"/>
        <v>0</v>
      </c>
      <c r="GQ69" s="48">
        <f t="shared" ca="1" si="376"/>
        <v>0</v>
      </c>
      <c r="GR69" s="48">
        <f t="shared" ca="1" si="376"/>
        <v>0</v>
      </c>
      <c r="GS69" s="48">
        <f t="shared" ca="1" si="376"/>
        <v>0</v>
      </c>
      <c r="GT69" s="48">
        <f t="shared" ca="1" si="376"/>
        <v>0</v>
      </c>
      <c r="GU69" s="48">
        <f t="shared" ca="1" si="377"/>
        <v>0</v>
      </c>
      <c r="GV69" s="48">
        <f t="shared" ca="1" si="368"/>
        <v>0</v>
      </c>
      <c r="GW69" s="48">
        <f t="shared" ca="1" si="368"/>
        <v>0</v>
      </c>
      <c r="GX69" s="48">
        <f t="shared" ca="1" si="368"/>
        <v>0</v>
      </c>
      <c r="GY69" s="48">
        <f t="shared" ca="1" si="368"/>
        <v>0</v>
      </c>
      <c r="GZ69" s="48">
        <f t="shared" ca="1" si="368"/>
        <v>0</v>
      </c>
      <c r="HA69" s="69"/>
      <c r="HB69" s="150" t="str">
        <f t="shared" ca="1" si="380"/>
        <v>n/a</v>
      </c>
      <c r="HC69" s="150" t="str">
        <f t="shared" ca="1" si="369"/>
        <v>n/a</v>
      </c>
      <c r="HD69" s="150" t="str">
        <f t="shared" ca="1" si="381"/>
        <v>n/a</v>
      </c>
      <c r="HE69" s="150" t="str">
        <f t="shared" ca="1" si="370"/>
        <v>n/a</v>
      </c>
      <c r="HF69" s="150" t="str">
        <f t="shared" ca="1" si="371"/>
        <v>n/a</v>
      </c>
      <c r="HG69" s="148"/>
      <c r="HH69" s="149"/>
      <c r="HI69" s="149"/>
      <c r="HJ69" s="149"/>
      <c r="HK69" s="150"/>
      <c r="HL69" s="149"/>
      <c r="HM69" s="149"/>
      <c r="HN69" s="149"/>
      <c r="HO69" s="150"/>
      <c r="HP69" s="148"/>
      <c r="HQ69" s="149"/>
      <c r="HR69" s="149"/>
      <c r="HS69" s="149"/>
      <c r="HT69" s="150"/>
      <c r="HU69" s="149"/>
      <c r="HV69" s="149"/>
      <c r="HW69" s="149"/>
      <c r="HX69" s="150"/>
      <c r="HY69" s="151"/>
      <c r="HZ69" s="150"/>
      <c r="IA69" s="150"/>
      <c r="IB69" s="152"/>
      <c r="IC69" s="150"/>
      <c r="ID69" s="152"/>
      <c r="IE69" s="150"/>
      <c r="IF69" s="153"/>
    </row>
    <row r="70" spans="1:240" s="36" customFormat="1" ht="14.4" customHeight="1">
      <c r="A70" s="39"/>
      <c r="B70" s="50" t="str">
        <f t="shared" si="340"/>
        <v>C&amp;I_C&amp;I Prescriptive_Lighting_Pulse Start Metal Halide Fixture (320-750W)_2017_Actual</v>
      </c>
      <c r="C70" s="50">
        <f>INDEX('Measure Inputs'!$D:$D,MATCH($B70,'Measure Inputs'!$B:$B,0))</f>
        <v>36</v>
      </c>
      <c r="D70" s="51" t="str">
        <f>'Measure Inputs'!G42</f>
        <v>C&amp;I</v>
      </c>
      <c r="E70" s="51" t="str">
        <f>'Measure Inputs'!H42</f>
        <v>C&amp;I Prescriptive</v>
      </c>
      <c r="F70" s="51" t="str">
        <f>'Measure Inputs'!I42</f>
        <v>Lighting</v>
      </c>
      <c r="G70" s="51" t="str">
        <f>'Measure Inputs'!J42</f>
        <v>Pulse Start Metal Halide Fixture (320-750W)</v>
      </c>
      <c r="H70" s="51">
        <f>'Measure Inputs'!K42</f>
        <v>2017</v>
      </c>
      <c r="I70" s="51" t="str">
        <f>'Measure Inputs'!L42</f>
        <v>Actual</v>
      </c>
      <c r="J70" s="37"/>
      <c r="K70" s="99" t="str">
        <f ca="1">INDEX(OFFSET('Measure Inputs'!$O$7,,,InputRows),$C70)</f>
        <v>Units</v>
      </c>
      <c r="L70" s="38">
        <f ca="1">INDEX(OFFSET('Measure Inputs'!$Q$7,,,InputRows),$C70)</f>
        <v>0</v>
      </c>
      <c r="M70" s="167">
        <f>INDEX('General Inputs'!$E$14:$E$15,MATCH(D70,'General Inputs'!$D$14:$D$15,0))</f>
        <v>1.0469999999999999</v>
      </c>
      <c r="N70" s="54">
        <f ca="1">INDEX(OFFSET('Measure Inputs'!$Y$7,,,InputRows),$C70)</f>
        <v>1</v>
      </c>
      <c r="O70" s="54">
        <f ca="1">INDEX(OFFSET('Measure Inputs'!$Z$7,,,InputRows),$C70)</f>
        <v>1</v>
      </c>
      <c r="P70" s="37"/>
      <c r="Q70" s="127">
        <f ca="1">CONVERT(INDEX(OFFSET('Measure Inputs'!$AB$7,,,InputRows),$C70),'Measure Inputs'!$AB$6,Q$8)*$L70</f>
        <v>0</v>
      </c>
      <c r="R70" s="127">
        <f t="shared" ca="1" si="341"/>
        <v>0</v>
      </c>
      <c r="S70" s="127">
        <f t="shared" ca="1" si="342"/>
        <v>0</v>
      </c>
      <c r="T70" s="37"/>
      <c r="U70" s="127">
        <f ca="1">CONVERT(INDEX(OFFSET('Measure Inputs'!$AD$7,,,InputRows),$C70),'Measure Inputs'!$AD$6,U$8)*$L70</f>
        <v>0</v>
      </c>
      <c r="V70" s="127">
        <f t="shared" ca="1" si="343"/>
        <v>0</v>
      </c>
      <c r="W70" s="127">
        <f t="shared" ca="1" si="344"/>
        <v>0</v>
      </c>
      <c r="X70" s="37"/>
      <c r="Y70" s="127">
        <f ca="1">CONVERT(INDEX(OFFSET('Measure Inputs'!$AC$7,,,InputRows),$C70),'Measure Inputs'!$AC$6,Y$8)*$L70</f>
        <v>0</v>
      </c>
      <c r="Z70" s="127">
        <f t="shared" ca="1" si="345"/>
        <v>0</v>
      </c>
      <c r="AA70" s="127">
        <f t="shared" ca="1" si="346"/>
        <v>0</v>
      </c>
      <c r="AB70" s="37"/>
      <c r="AC70" s="127">
        <f ca="1">CONVERT(INDEX(OFFSET('Measure Inputs'!$AE$7,,,InputRows),$C70),'Measure Inputs'!$AE$6,AC$8)*$L70</f>
        <v>0</v>
      </c>
      <c r="AD70" s="127">
        <f t="shared" ca="1" si="347"/>
        <v>0</v>
      </c>
      <c r="AE70" s="127">
        <f t="shared" ca="1" si="348"/>
        <v>0</v>
      </c>
      <c r="AF70" s="37"/>
      <c r="AG70" s="97">
        <f ca="1">INDEX(OFFSET('Measure Inputs'!$R$7,,,InputRows),$C70)</f>
        <v>15</v>
      </c>
      <c r="AH70" s="97">
        <f ca="1">INDEX(OFFSET('Measure Inputs'!$S$7,,,InputRows),$C70)</f>
        <v>0</v>
      </c>
      <c r="AI70" s="97">
        <f t="shared" ca="1" si="349"/>
        <v>0</v>
      </c>
      <c r="AJ70" s="100">
        <f ca="1">INDEX(OFFSET('Measure Inputs'!$T$7,,,InputRows),$C70)*$L70*$N70*$O70</f>
        <v>0</v>
      </c>
      <c r="AK70" s="100">
        <f ca="1">INDEX(OFFSET('Measure Inputs'!$U$7,,,InputRows),$C70)*$L70*$N70*$O70</f>
        <v>0</v>
      </c>
      <c r="AL70" s="100">
        <f ca="1">INDEX(OFFSET('Measure Inputs'!$V$7,,,InputRows),$C70)*$L70*$N70*$O70</f>
        <v>0</v>
      </c>
      <c r="AM70" s="100">
        <f ca="1">INDEX(OFFSET('Measure Inputs'!$W$7,,,InputRows),$C70)*$L70*$N70*$O70</f>
        <v>0</v>
      </c>
      <c r="AN70" s="100">
        <f ca="1">INDEX(OFFSET('Measure Inputs'!$X$7,,,InputRows),$C70)*$L70</f>
        <v>0</v>
      </c>
      <c r="AO70" s="100"/>
      <c r="AP70" s="100">
        <f t="shared" ca="1" si="350"/>
        <v>0</v>
      </c>
      <c r="AQ70" s="37"/>
      <c r="AR70" s="100">
        <f ca="1">SUMPRODUCT(--($CX$9:$EX$9=$H70)*$AJ70,'General Inputs'!$K$40:$BK$40)+SUMPRODUCT(--($CX$9:$EX$9=$H70+$AH70)*-$AK70,'General Inputs'!$K$43:$BK$43)</f>
        <v>0</v>
      </c>
      <c r="AS70" s="100">
        <f ca="1">CONVERT(SUMPRODUCT($CX70:$EX70,'General Inputs'!$K$29:$BK$29,'General Inputs'!$K$40:$BK$40)*$M70,$Q$8,'General Inputs'!$E$17)</f>
        <v>0</v>
      </c>
      <c r="AT70" s="100">
        <f ca="1">SUMPRODUCT(--($CX$9:$EX$9=$H70)*$AN70,'General Inputs'!$K$40:$BK$40)</f>
        <v>0</v>
      </c>
      <c r="AU70" s="100">
        <f>SUMPRODUCT(--($CX$9:$EX$9=$H70)*$AO70,'General Inputs'!$K$40:$BK$40)</f>
        <v>0</v>
      </c>
      <c r="AV70" s="100">
        <f ca="1">CONVERT(SUMPRODUCT($CX70:$EX70,'General Inputs'!$K$40:$BK$40,OFFSET('General Inputs'!$K$34:$BK$34,MATCH($D70,'General Inputs'!$J$34:$J$35,0)-1,)),$Q$8,'General Inputs'!$G$32)</f>
        <v>0</v>
      </c>
      <c r="AW70" s="100">
        <f ca="1">CONVERT(SUMPRODUCT($CX70:$EX70,'General Inputs'!$K$27:$BK$27,'General Inputs'!$K$40:$BK$40)*$M70,$Q$8,'General Inputs'!$E$17)</f>
        <v>0</v>
      </c>
      <c r="AX70" s="100">
        <f ca="1">CONVERT(SUMPRODUCT($EZ70:$GZ70,'General Inputs'!$K$28:$BK$28,'General Inputs'!$K$40:$BK$40)*$M70,$Q$8,'General Inputs'!$E$17)</f>
        <v>0</v>
      </c>
      <c r="AY70" s="98">
        <f ca="1">SUMPRODUCT($CX70:$EX70,'General Inputs'!$K$40:$BK$40)</f>
        <v>0</v>
      </c>
      <c r="AZ70" s="37"/>
      <c r="BA70" s="100">
        <f t="shared" ca="1" si="351"/>
        <v>0</v>
      </c>
      <c r="BB70" s="102" t="e">
        <f t="shared" ca="1" si="352"/>
        <v>#DIV/0!</v>
      </c>
      <c r="BC70" s="100">
        <f t="shared" ca="1" si="273"/>
        <v>0</v>
      </c>
      <c r="BD70" s="100">
        <f t="shared" ca="1" si="274"/>
        <v>0</v>
      </c>
      <c r="BE70" s="100">
        <f t="shared" ca="1" si="275"/>
        <v>0</v>
      </c>
      <c r="BF70" s="100">
        <f t="shared" ca="1" si="276"/>
        <v>0</v>
      </c>
      <c r="BG70" s="100">
        <f t="shared" si="277"/>
        <v>0</v>
      </c>
      <c r="BH70" s="100">
        <f t="shared" ca="1" si="278"/>
        <v>0</v>
      </c>
      <c r="BI70" s="37"/>
      <c r="BJ70" s="100">
        <f t="shared" ca="1" si="353"/>
        <v>0</v>
      </c>
      <c r="BK70" s="102" t="e">
        <f t="shared" ca="1" si="354"/>
        <v>#DIV/0!</v>
      </c>
      <c r="BL70" s="100">
        <f t="shared" ca="1" si="279"/>
        <v>0</v>
      </c>
      <c r="BM70" s="100">
        <f t="shared" ca="1" si="164"/>
        <v>0</v>
      </c>
      <c r="BN70" s="100">
        <f t="shared" ca="1" si="280"/>
        <v>0</v>
      </c>
      <c r="BO70" s="100">
        <f t="shared" ca="1" si="281"/>
        <v>0</v>
      </c>
      <c r="BP70" s="100">
        <f t="shared" ca="1" si="282"/>
        <v>0</v>
      </c>
      <c r="BQ70" s="100">
        <f t="shared" si="283"/>
        <v>0</v>
      </c>
      <c r="BR70" s="100">
        <f t="shared" ca="1" si="284"/>
        <v>0</v>
      </c>
      <c r="BS70" s="37"/>
      <c r="BT70" s="100">
        <f t="shared" ca="1" si="355"/>
        <v>0</v>
      </c>
      <c r="BU70" s="102" t="e">
        <f t="shared" ca="1" si="356"/>
        <v>#DIV/0!</v>
      </c>
      <c r="BV70" s="102" t="e">
        <f t="shared" ca="1" si="285"/>
        <v>#DIV/0!</v>
      </c>
      <c r="BW70" s="100">
        <f t="shared" ca="1" si="286"/>
        <v>0</v>
      </c>
      <c r="BX70" s="100">
        <f t="shared" ca="1" si="287"/>
        <v>0</v>
      </c>
      <c r="BY70" s="100">
        <f t="shared" ca="1" si="288"/>
        <v>0</v>
      </c>
      <c r="BZ70" s="100">
        <f t="shared" ca="1" si="289"/>
        <v>0</v>
      </c>
      <c r="CA70" s="100">
        <f t="shared" ca="1" si="290"/>
        <v>0</v>
      </c>
      <c r="CB70" s="37"/>
      <c r="CC70" s="100">
        <f t="shared" ca="1" si="357"/>
        <v>0</v>
      </c>
      <c r="CD70" s="102" t="e">
        <f t="shared" ca="1" si="358"/>
        <v>#DIV/0!</v>
      </c>
      <c r="CE70" s="103" t="e">
        <f t="shared" ca="1" si="291"/>
        <v>#DIV/0!</v>
      </c>
      <c r="CF70" s="100">
        <f t="shared" ca="1" si="292"/>
        <v>0</v>
      </c>
      <c r="CG70" s="100">
        <f t="shared" ca="1" si="293"/>
        <v>0</v>
      </c>
      <c r="CH70" s="100">
        <f t="shared" ca="1" si="294"/>
        <v>0</v>
      </c>
      <c r="CI70" s="100">
        <f t="shared" ca="1" si="382"/>
        <v>0</v>
      </c>
      <c r="CJ70" s="100">
        <f t="shared" ca="1" si="383"/>
        <v>0</v>
      </c>
      <c r="CK70" s="100">
        <f t="shared" si="295"/>
        <v>0</v>
      </c>
      <c r="CL70" s="37"/>
      <c r="CM70" s="100">
        <f t="shared" ca="1" si="359"/>
        <v>0</v>
      </c>
      <c r="CN70" s="102" t="e">
        <f t="shared" ca="1" si="360"/>
        <v>#DIV/0!</v>
      </c>
      <c r="CO70" s="128"/>
      <c r="CP70" s="100">
        <f t="shared" ca="1" si="296"/>
        <v>0</v>
      </c>
      <c r="CQ70" s="100">
        <f t="shared" ca="1" si="297"/>
        <v>0</v>
      </c>
      <c r="CR70" s="100">
        <f t="shared" ca="1" si="298"/>
        <v>0</v>
      </c>
      <c r="CS70" s="100">
        <f t="shared" ca="1" si="384"/>
        <v>0</v>
      </c>
      <c r="CT70" s="100">
        <f t="shared" ca="1" si="299"/>
        <v>0</v>
      </c>
      <c r="CU70" s="100">
        <f t="shared" ca="1" si="300"/>
        <v>0</v>
      </c>
      <c r="CV70" s="100">
        <f t="shared" si="301"/>
        <v>0</v>
      </c>
      <c r="CW70" s="37"/>
      <c r="CX70" s="48">
        <f t="shared" ca="1" si="378"/>
        <v>0</v>
      </c>
      <c r="CY70" s="48">
        <f t="shared" ca="1" si="378"/>
        <v>0</v>
      </c>
      <c r="CZ70" s="48">
        <f t="shared" ca="1" si="378"/>
        <v>0</v>
      </c>
      <c r="DA70" s="48">
        <f t="shared" ca="1" si="378"/>
        <v>0</v>
      </c>
      <c r="DB70" s="48">
        <f t="shared" ca="1" si="378"/>
        <v>0</v>
      </c>
      <c r="DC70" s="48">
        <f t="shared" ca="1" si="378"/>
        <v>0</v>
      </c>
      <c r="DD70" s="48">
        <f t="shared" ca="1" si="378"/>
        <v>0</v>
      </c>
      <c r="DE70" s="48">
        <f t="shared" ca="1" si="378"/>
        <v>0</v>
      </c>
      <c r="DF70" s="48">
        <f t="shared" ca="1" si="378"/>
        <v>0</v>
      </c>
      <c r="DG70" s="48">
        <f t="shared" ca="1" si="378"/>
        <v>0</v>
      </c>
      <c r="DH70" s="48">
        <f t="shared" ca="1" si="378"/>
        <v>0</v>
      </c>
      <c r="DI70" s="48">
        <f t="shared" ca="1" si="378"/>
        <v>0</v>
      </c>
      <c r="DJ70" s="48">
        <f t="shared" ca="1" si="378"/>
        <v>0</v>
      </c>
      <c r="DK70" s="48">
        <f t="shared" ca="1" si="378"/>
        <v>0</v>
      </c>
      <c r="DL70" s="48">
        <f t="shared" ca="1" si="378"/>
        <v>0</v>
      </c>
      <c r="DM70" s="48">
        <f t="shared" ca="1" si="372"/>
        <v>0</v>
      </c>
      <c r="DN70" s="48">
        <f t="shared" ca="1" si="372"/>
        <v>0</v>
      </c>
      <c r="DO70" s="48">
        <f t="shared" ca="1" si="372"/>
        <v>0</v>
      </c>
      <c r="DP70" s="48">
        <f t="shared" ca="1" si="372"/>
        <v>0</v>
      </c>
      <c r="DQ70" s="48">
        <f t="shared" ca="1" si="372"/>
        <v>0</v>
      </c>
      <c r="DR70" s="48">
        <f t="shared" ca="1" si="372"/>
        <v>0</v>
      </c>
      <c r="DS70" s="48">
        <f t="shared" ca="1" si="372"/>
        <v>0</v>
      </c>
      <c r="DT70" s="48">
        <f t="shared" ca="1" si="372"/>
        <v>0</v>
      </c>
      <c r="DU70" s="48">
        <f t="shared" ca="1" si="372"/>
        <v>0</v>
      </c>
      <c r="DV70" s="48">
        <f t="shared" ca="1" si="372"/>
        <v>0</v>
      </c>
      <c r="DW70" s="48">
        <f t="shared" ca="1" si="372"/>
        <v>0</v>
      </c>
      <c r="DX70" s="48">
        <f t="shared" ca="1" si="372"/>
        <v>0</v>
      </c>
      <c r="DY70" s="48">
        <f t="shared" ca="1" si="372"/>
        <v>0</v>
      </c>
      <c r="DZ70" s="48">
        <f t="shared" ca="1" si="372"/>
        <v>0</v>
      </c>
      <c r="EA70" s="48">
        <f t="shared" ca="1" si="372"/>
        <v>0</v>
      </c>
      <c r="EB70" s="48">
        <f t="shared" ca="1" si="372"/>
        <v>0</v>
      </c>
      <c r="EC70" s="48">
        <f t="shared" ca="1" si="373"/>
        <v>0</v>
      </c>
      <c r="ED70" s="48">
        <f t="shared" ca="1" si="373"/>
        <v>0</v>
      </c>
      <c r="EE70" s="48">
        <f t="shared" ca="1" si="373"/>
        <v>0</v>
      </c>
      <c r="EF70" s="48">
        <f t="shared" ca="1" si="373"/>
        <v>0</v>
      </c>
      <c r="EG70" s="48">
        <f t="shared" ca="1" si="373"/>
        <v>0</v>
      </c>
      <c r="EH70" s="48">
        <f t="shared" ca="1" si="373"/>
        <v>0</v>
      </c>
      <c r="EI70" s="48">
        <f t="shared" ca="1" si="373"/>
        <v>0</v>
      </c>
      <c r="EJ70" s="48">
        <f t="shared" ca="1" si="373"/>
        <v>0</v>
      </c>
      <c r="EK70" s="48">
        <f t="shared" ca="1" si="373"/>
        <v>0</v>
      </c>
      <c r="EL70" s="48">
        <f t="shared" ca="1" si="373"/>
        <v>0</v>
      </c>
      <c r="EM70" s="48">
        <f t="shared" ca="1" si="373"/>
        <v>0</v>
      </c>
      <c r="EN70" s="48">
        <f t="shared" ca="1" si="373"/>
        <v>0</v>
      </c>
      <c r="EO70" s="48">
        <f t="shared" ca="1" si="373"/>
        <v>0</v>
      </c>
      <c r="EP70" s="48">
        <f t="shared" ca="1" si="373"/>
        <v>0</v>
      </c>
      <c r="EQ70" s="48">
        <f t="shared" ca="1" si="373"/>
        <v>0</v>
      </c>
      <c r="ER70" s="48">
        <f t="shared" ca="1" si="373"/>
        <v>0</v>
      </c>
      <c r="ES70" s="48">
        <f t="shared" ca="1" si="374"/>
        <v>0</v>
      </c>
      <c r="ET70" s="48">
        <f t="shared" ca="1" si="364"/>
        <v>0</v>
      </c>
      <c r="EU70" s="48">
        <f t="shared" ca="1" si="364"/>
        <v>0</v>
      </c>
      <c r="EV70" s="48">
        <f t="shared" ca="1" si="364"/>
        <v>0</v>
      </c>
      <c r="EW70" s="48">
        <f t="shared" ca="1" si="364"/>
        <v>0</v>
      </c>
      <c r="EX70" s="48">
        <f t="shared" ca="1" si="364"/>
        <v>0</v>
      </c>
      <c r="EY70" s="69"/>
      <c r="EZ70" s="48">
        <f t="shared" ca="1" si="379"/>
        <v>0</v>
      </c>
      <c r="FA70" s="48">
        <f t="shared" ca="1" si="379"/>
        <v>0</v>
      </c>
      <c r="FB70" s="48">
        <f t="shared" ca="1" si="379"/>
        <v>0</v>
      </c>
      <c r="FC70" s="48">
        <f t="shared" ca="1" si="379"/>
        <v>0</v>
      </c>
      <c r="FD70" s="48">
        <f t="shared" ca="1" si="379"/>
        <v>0</v>
      </c>
      <c r="FE70" s="48">
        <f t="shared" ca="1" si="379"/>
        <v>0</v>
      </c>
      <c r="FF70" s="48">
        <f t="shared" ca="1" si="379"/>
        <v>0</v>
      </c>
      <c r="FG70" s="48">
        <f t="shared" ca="1" si="379"/>
        <v>0</v>
      </c>
      <c r="FH70" s="48">
        <f t="shared" ca="1" si="379"/>
        <v>0</v>
      </c>
      <c r="FI70" s="48">
        <f t="shared" ca="1" si="379"/>
        <v>0</v>
      </c>
      <c r="FJ70" s="48">
        <f t="shared" ca="1" si="379"/>
        <v>0</v>
      </c>
      <c r="FK70" s="48">
        <f t="shared" ca="1" si="379"/>
        <v>0</v>
      </c>
      <c r="FL70" s="48">
        <f t="shared" ca="1" si="379"/>
        <v>0</v>
      </c>
      <c r="FM70" s="48">
        <f t="shared" ca="1" si="379"/>
        <v>0</v>
      </c>
      <c r="FN70" s="48">
        <f t="shared" ca="1" si="379"/>
        <v>0</v>
      </c>
      <c r="FO70" s="48">
        <f t="shared" ca="1" si="375"/>
        <v>0</v>
      </c>
      <c r="FP70" s="48">
        <f t="shared" ca="1" si="375"/>
        <v>0</v>
      </c>
      <c r="FQ70" s="48">
        <f t="shared" ca="1" si="375"/>
        <v>0</v>
      </c>
      <c r="FR70" s="48">
        <f t="shared" ca="1" si="375"/>
        <v>0</v>
      </c>
      <c r="FS70" s="48">
        <f t="shared" ca="1" si="375"/>
        <v>0</v>
      </c>
      <c r="FT70" s="48">
        <f t="shared" ca="1" si="375"/>
        <v>0</v>
      </c>
      <c r="FU70" s="48">
        <f t="shared" ca="1" si="375"/>
        <v>0</v>
      </c>
      <c r="FV70" s="48">
        <f t="shared" ca="1" si="375"/>
        <v>0</v>
      </c>
      <c r="FW70" s="48">
        <f t="shared" ca="1" si="375"/>
        <v>0</v>
      </c>
      <c r="FX70" s="48">
        <f t="shared" ca="1" si="375"/>
        <v>0</v>
      </c>
      <c r="FY70" s="48">
        <f t="shared" ca="1" si="375"/>
        <v>0</v>
      </c>
      <c r="FZ70" s="48">
        <f t="shared" ca="1" si="375"/>
        <v>0</v>
      </c>
      <c r="GA70" s="48">
        <f t="shared" ca="1" si="375"/>
        <v>0</v>
      </c>
      <c r="GB70" s="48">
        <f t="shared" ca="1" si="375"/>
        <v>0</v>
      </c>
      <c r="GC70" s="48">
        <f t="shared" ca="1" si="375"/>
        <v>0</v>
      </c>
      <c r="GD70" s="48">
        <f t="shared" ca="1" si="375"/>
        <v>0</v>
      </c>
      <c r="GE70" s="48">
        <f t="shared" ca="1" si="376"/>
        <v>0</v>
      </c>
      <c r="GF70" s="48">
        <f t="shared" ca="1" si="376"/>
        <v>0</v>
      </c>
      <c r="GG70" s="48">
        <f t="shared" ca="1" si="376"/>
        <v>0</v>
      </c>
      <c r="GH70" s="48">
        <f t="shared" ca="1" si="376"/>
        <v>0</v>
      </c>
      <c r="GI70" s="48">
        <f t="shared" ca="1" si="376"/>
        <v>0</v>
      </c>
      <c r="GJ70" s="48">
        <f t="shared" ca="1" si="376"/>
        <v>0</v>
      </c>
      <c r="GK70" s="48">
        <f t="shared" ca="1" si="376"/>
        <v>0</v>
      </c>
      <c r="GL70" s="48">
        <f t="shared" ca="1" si="376"/>
        <v>0</v>
      </c>
      <c r="GM70" s="48">
        <f t="shared" ca="1" si="376"/>
        <v>0</v>
      </c>
      <c r="GN70" s="48">
        <f t="shared" ca="1" si="376"/>
        <v>0</v>
      </c>
      <c r="GO70" s="48">
        <f t="shared" ca="1" si="376"/>
        <v>0</v>
      </c>
      <c r="GP70" s="48">
        <f t="shared" ca="1" si="376"/>
        <v>0</v>
      </c>
      <c r="GQ70" s="48">
        <f t="shared" ca="1" si="376"/>
        <v>0</v>
      </c>
      <c r="GR70" s="48">
        <f t="shared" ca="1" si="376"/>
        <v>0</v>
      </c>
      <c r="GS70" s="48">
        <f t="shared" ca="1" si="376"/>
        <v>0</v>
      </c>
      <c r="GT70" s="48">
        <f t="shared" ca="1" si="376"/>
        <v>0</v>
      </c>
      <c r="GU70" s="48">
        <f t="shared" ca="1" si="377"/>
        <v>0</v>
      </c>
      <c r="GV70" s="48">
        <f t="shared" ca="1" si="368"/>
        <v>0</v>
      </c>
      <c r="GW70" s="48">
        <f t="shared" ca="1" si="368"/>
        <v>0</v>
      </c>
      <c r="GX70" s="48">
        <f t="shared" ca="1" si="368"/>
        <v>0</v>
      </c>
      <c r="GY70" s="48">
        <f t="shared" ca="1" si="368"/>
        <v>0</v>
      </c>
      <c r="GZ70" s="48">
        <f t="shared" ca="1" si="368"/>
        <v>0</v>
      </c>
      <c r="HA70" s="69"/>
      <c r="HB70" s="150" t="str">
        <f t="shared" ca="1" si="380"/>
        <v>n/a</v>
      </c>
      <c r="HC70" s="150" t="str">
        <f t="shared" ca="1" si="369"/>
        <v>n/a</v>
      </c>
      <c r="HD70" s="150" t="str">
        <f t="shared" ca="1" si="381"/>
        <v>n/a</v>
      </c>
      <c r="HE70" s="150" t="str">
        <f t="shared" ca="1" si="370"/>
        <v>n/a</v>
      </c>
      <c r="HF70" s="150" t="str">
        <f t="shared" ca="1" si="371"/>
        <v>n/a</v>
      </c>
      <c r="HG70" s="148"/>
      <c r="HH70" s="149"/>
      <c r="HI70" s="149"/>
      <c r="HJ70" s="149"/>
      <c r="HK70" s="150"/>
      <c r="HL70" s="149"/>
      <c r="HM70" s="149"/>
      <c r="HN70" s="149"/>
      <c r="HO70" s="150"/>
      <c r="HP70" s="148"/>
      <c r="HQ70" s="149"/>
      <c r="HR70" s="149"/>
      <c r="HS70" s="149"/>
      <c r="HT70" s="150"/>
      <c r="HU70" s="149"/>
      <c r="HV70" s="149"/>
      <c r="HW70" s="149"/>
      <c r="HX70" s="150"/>
      <c r="HY70" s="151"/>
      <c r="HZ70" s="150"/>
      <c r="IA70" s="150"/>
      <c r="IB70" s="152"/>
      <c r="IC70" s="150"/>
      <c r="ID70" s="152"/>
      <c r="IE70" s="150"/>
      <c r="IF70" s="153"/>
    </row>
    <row r="71" spans="1:240" s="36" customFormat="1" ht="14.4" customHeight="1">
      <c r="A71" s="39"/>
      <c r="B71" s="50" t="str">
        <f t="shared" si="340"/>
        <v>C&amp;I_C&amp;I Prescriptive_Lighting_Pulse Start Metal Halide Fixture (≥750W)_2017_Actual</v>
      </c>
      <c r="C71" s="50">
        <f>INDEX('Measure Inputs'!$D:$D,MATCH($B71,'Measure Inputs'!$B:$B,0))</f>
        <v>37</v>
      </c>
      <c r="D71" s="51" t="str">
        <f>'Measure Inputs'!G43</f>
        <v>C&amp;I</v>
      </c>
      <c r="E71" s="51" t="str">
        <f>'Measure Inputs'!H43</f>
        <v>C&amp;I Prescriptive</v>
      </c>
      <c r="F71" s="51" t="str">
        <f>'Measure Inputs'!I43</f>
        <v>Lighting</v>
      </c>
      <c r="G71" s="51" t="str">
        <f>'Measure Inputs'!J43</f>
        <v>Pulse Start Metal Halide Fixture (≥750W)</v>
      </c>
      <c r="H71" s="51">
        <f>'Measure Inputs'!K43</f>
        <v>2017</v>
      </c>
      <c r="I71" s="51" t="str">
        <f>'Measure Inputs'!L43</f>
        <v>Actual</v>
      </c>
      <c r="J71" s="37"/>
      <c r="K71" s="99" t="str">
        <f ca="1">INDEX(OFFSET('Measure Inputs'!$O$7,,,InputRows),$C71)</f>
        <v>Units</v>
      </c>
      <c r="L71" s="38">
        <f ca="1">INDEX(OFFSET('Measure Inputs'!$Q$7,,,InputRows),$C71)</f>
        <v>0</v>
      </c>
      <c r="M71" s="167">
        <f>INDEX('General Inputs'!$E$14:$E$15,MATCH(D71,'General Inputs'!$D$14:$D$15,0))</f>
        <v>1.0469999999999999</v>
      </c>
      <c r="N71" s="54">
        <f ca="1">INDEX(OFFSET('Measure Inputs'!$Y$7,,,InputRows),$C71)</f>
        <v>1</v>
      </c>
      <c r="O71" s="54">
        <f ca="1">INDEX(OFFSET('Measure Inputs'!$Z$7,,,InputRows),$C71)</f>
        <v>1</v>
      </c>
      <c r="P71" s="37"/>
      <c r="Q71" s="127">
        <f ca="1">CONVERT(INDEX(OFFSET('Measure Inputs'!$AB$7,,,InputRows),$C71),'Measure Inputs'!$AB$6,Q$8)*$L71</f>
        <v>0</v>
      </c>
      <c r="R71" s="127">
        <f t="shared" ca="1" si="341"/>
        <v>0</v>
      </c>
      <c r="S71" s="127">
        <f t="shared" ca="1" si="342"/>
        <v>0</v>
      </c>
      <c r="T71" s="37"/>
      <c r="U71" s="127">
        <f ca="1">CONVERT(INDEX(OFFSET('Measure Inputs'!$AD$7,,,InputRows),$C71),'Measure Inputs'!$AD$6,U$8)*$L71</f>
        <v>0</v>
      </c>
      <c r="V71" s="127">
        <f t="shared" ca="1" si="343"/>
        <v>0</v>
      </c>
      <c r="W71" s="127">
        <f t="shared" ca="1" si="344"/>
        <v>0</v>
      </c>
      <c r="X71" s="37"/>
      <c r="Y71" s="127">
        <f ca="1">CONVERT(INDEX(OFFSET('Measure Inputs'!$AC$7,,,InputRows),$C71),'Measure Inputs'!$AC$6,Y$8)*$L71</f>
        <v>0</v>
      </c>
      <c r="Z71" s="127">
        <f t="shared" ca="1" si="345"/>
        <v>0</v>
      </c>
      <c r="AA71" s="127">
        <f t="shared" ca="1" si="346"/>
        <v>0</v>
      </c>
      <c r="AB71" s="37"/>
      <c r="AC71" s="127">
        <f ca="1">CONVERT(INDEX(OFFSET('Measure Inputs'!$AE$7,,,InputRows),$C71),'Measure Inputs'!$AE$6,AC$8)*$L71</f>
        <v>0</v>
      </c>
      <c r="AD71" s="127">
        <f t="shared" ca="1" si="347"/>
        <v>0</v>
      </c>
      <c r="AE71" s="127">
        <f t="shared" ca="1" si="348"/>
        <v>0</v>
      </c>
      <c r="AF71" s="37"/>
      <c r="AG71" s="97">
        <f ca="1">INDEX(OFFSET('Measure Inputs'!$R$7,,,InputRows),$C71)</f>
        <v>15</v>
      </c>
      <c r="AH71" s="97">
        <f ca="1">INDEX(OFFSET('Measure Inputs'!$S$7,,,InputRows),$C71)</f>
        <v>0</v>
      </c>
      <c r="AI71" s="97">
        <f t="shared" ca="1" si="349"/>
        <v>0</v>
      </c>
      <c r="AJ71" s="100">
        <f ca="1">INDEX(OFFSET('Measure Inputs'!$T$7,,,InputRows),$C71)*$L71*$N71*$O71</f>
        <v>0</v>
      </c>
      <c r="AK71" s="100">
        <f ca="1">INDEX(OFFSET('Measure Inputs'!$U$7,,,InputRows),$C71)*$L71*$N71*$O71</f>
        <v>0</v>
      </c>
      <c r="AL71" s="100">
        <f ca="1">INDEX(OFFSET('Measure Inputs'!$V$7,,,InputRows),$C71)*$L71*$N71*$O71</f>
        <v>0</v>
      </c>
      <c r="AM71" s="100">
        <f ca="1">INDEX(OFFSET('Measure Inputs'!$W$7,,,InputRows),$C71)*$L71*$N71*$O71</f>
        <v>0</v>
      </c>
      <c r="AN71" s="100">
        <f ca="1">INDEX(OFFSET('Measure Inputs'!$X$7,,,InputRows),$C71)*$L71</f>
        <v>0</v>
      </c>
      <c r="AO71" s="100"/>
      <c r="AP71" s="100">
        <f t="shared" ca="1" si="350"/>
        <v>0</v>
      </c>
      <c r="AQ71" s="37"/>
      <c r="AR71" s="100">
        <f ca="1">SUMPRODUCT(--($CX$9:$EX$9=$H71)*$AJ71,'General Inputs'!$K$40:$BK$40)+SUMPRODUCT(--($CX$9:$EX$9=$H71+$AH71)*-$AK71,'General Inputs'!$K$43:$BK$43)</f>
        <v>0</v>
      </c>
      <c r="AS71" s="100">
        <f ca="1">CONVERT(SUMPRODUCT($CX71:$EX71,'General Inputs'!$K$29:$BK$29,'General Inputs'!$K$40:$BK$40)*$M71,$Q$8,'General Inputs'!$E$17)</f>
        <v>0</v>
      </c>
      <c r="AT71" s="100">
        <f ca="1">SUMPRODUCT(--($CX$9:$EX$9=$H71)*$AN71,'General Inputs'!$K$40:$BK$40)</f>
        <v>0</v>
      </c>
      <c r="AU71" s="100">
        <f>SUMPRODUCT(--($CX$9:$EX$9=$H71)*$AO71,'General Inputs'!$K$40:$BK$40)</f>
        <v>0</v>
      </c>
      <c r="AV71" s="100">
        <f ca="1">CONVERT(SUMPRODUCT($CX71:$EX71,'General Inputs'!$K$40:$BK$40,OFFSET('General Inputs'!$K$34:$BK$34,MATCH($D71,'General Inputs'!$J$34:$J$35,0)-1,)),$Q$8,'General Inputs'!$G$32)</f>
        <v>0</v>
      </c>
      <c r="AW71" s="100">
        <f ca="1">CONVERT(SUMPRODUCT($CX71:$EX71,'General Inputs'!$K$27:$BK$27,'General Inputs'!$K$40:$BK$40)*$M71,$Q$8,'General Inputs'!$E$17)</f>
        <v>0</v>
      </c>
      <c r="AX71" s="100">
        <f ca="1">CONVERT(SUMPRODUCT($EZ71:$GZ71,'General Inputs'!$K$28:$BK$28,'General Inputs'!$K$40:$BK$40)*$M71,$Q$8,'General Inputs'!$E$17)</f>
        <v>0</v>
      </c>
      <c r="AY71" s="98">
        <f ca="1">SUMPRODUCT($CX71:$EX71,'General Inputs'!$K$40:$BK$40)</f>
        <v>0</v>
      </c>
      <c r="AZ71" s="37"/>
      <c r="BA71" s="100">
        <f t="shared" ca="1" si="351"/>
        <v>0</v>
      </c>
      <c r="BB71" s="102" t="e">
        <f t="shared" ca="1" si="352"/>
        <v>#DIV/0!</v>
      </c>
      <c r="BC71" s="100">
        <f t="shared" ca="1" si="273"/>
        <v>0</v>
      </c>
      <c r="BD71" s="100">
        <f t="shared" ca="1" si="274"/>
        <v>0</v>
      </c>
      <c r="BE71" s="100">
        <f t="shared" ca="1" si="275"/>
        <v>0</v>
      </c>
      <c r="BF71" s="100">
        <f t="shared" ca="1" si="276"/>
        <v>0</v>
      </c>
      <c r="BG71" s="100">
        <f t="shared" si="277"/>
        <v>0</v>
      </c>
      <c r="BH71" s="100">
        <f t="shared" ca="1" si="278"/>
        <v>0</v>
      </c>
      <c r="BI71" s="37"/>
      <c r="BJ71" s="100">
        <f t="shared" ca="1" si="353"/>
        <v>0</v>
      </c>
      <c r="BK71" s="102" t="e">
        <f t="shared" ca="1" si="354"/>
        <v>#DIV/0!</v>
      </c>
      <c r="BL71" s="100">
        <f t="shared" ca="1" si="279"/>
        <v>0</v>
      </c>
      <c r="BM71" s="100">
        <f t="shared" ca="1" si="164"/>
        <v>0</v>
      </c>
      <c r="BN71" s="100">
        <f t="shared" ca="1" si="280"/>
        <v>0</v>
      </c>
      <c r="BO71" s="100">
        <f t="shared" ca="1" si="281"/>
        <v>0</v>
      </c>
      <c r="BP71" s="100">
        <f t="shared" ca="1" si="282"/>
        <v>0</v>
      </c>
      <c r="BQ71" s="100">
        <f t="shared" si="283"/>
        <v>0</v>
      </c>
      <c r="BR71" s="100">
        <f t="shared" ca="1" si="284"/>
        <v>0</v>
      </c>
      <c r="BS71" s="37"/>
      <c r="BT71" s="100">
        <f t="shared" ca="1" si="355"/>
        <v>0</v>
      </c>
      <c r="BU71" s="102" t="e">
        <f t="shared" ca="1" si="356"/>
        <v>#DIV/0!</v>
      </c>
      <c r="BV71" s="102" t="e">
        <f t="shared" ca="1" si="285"/>
        <v>#DIV/0!</v>
      </c>
      <c r="BW71" s="100">
        <f t="shared" ca="1" si="286"/>
        <v>0</v>
      </c>
      <c r="BX71" s="100">
        <f t="shared" ca="1" si="287"/>
        <v>0</v>
      </c>
      <c r="BY71" s="100">
        <f t="shared" ca="1" si="288"/>
        <v>0</v>
      </c>
      <c r="BZ71" s="100">
        <f t="shared" ca="1" si="289"/>
        <v>0</v>
      </c>
      <c r="CA71" s="100">
        <f t="shared" ca="1" si="290"/>
        <v>0</v>
      </c>
      <c r="CB71" s="37"/>
      <c r="CC71" s="100">
        <f t="shared" ca="1" si="357"/>
        <v>0</v>
      </c>
      <c r="CD71" s="102" t="e">
        <f t="shared" ca="1" si="358"/>
        <v>#DIV/0!</v>
      </c>
      <c r="CE71" s="103" t="e">
        <f t="shared" ca="1" si="291"/>
        <v>#DIV/0!</v>
      </c>
      <c r="CF71" s="100">
        <f t="shared" ca="1" si="292"/>
        <v>0</v>
      </c>
      <c r="CG71" s="100">
        <f t="shared" ca="1" si="293"/>
        <v>0</v>
      </c>
      <c r="CH71" s="100">
        <f t="shared" ca="1" si="294"/>
        <v>0</v>
      </c>
      <c r="CI71" s="100">
        <f t="shared" ca="1" si="382"/>
        <v>0</v>
      </c>
      <c r="CJ71" s="100">
        <f t="shared" ca="1" si="383"/>
        <v>0</v>
      </c>
      <c r="CK71" s="100">
        <f t="shared" si="295"/>
        <v>0</v>
      </c>
      <c r="CL71" s="37"/>
      <c r="CM71" s="100">
        <f t="shared" ca="1" si="359"/>
        <v>0</v>
      </c>
      <c r="CN71" s="102" t="e">
        <f t="shared" ca="1" si="360"/>
        <v>#DIV/0!</v>
      </c>
      <c r="CO71" s="128"/>
      <c r="CP71" s="100">
        <f t="shared" ca="1" si="296"/>
        <v>0</v>
      </c>
      <c r="CQ71" s="100">
        <f t="shared" ca="1" si="297"/>
        <v>0</v>
      </c>
      <c r="CR71" s="100">
        <f t="shared" ca="1" si="298"/>
        <v>0</v>
      </c>
      <c r="CS71" s="100">
        <f t="shared" ca="1" si="384"/>
        <v>0</v>
      </c>
      <c r="CT71" s="100">
        <f t="shared" ca="1" si="299"/>
        <v>0</v>
      </c>
      <c r="CU71" s="100">
        <f t="shared" ca="1" si="300"/>
        <v>0</v>
      </c>
      <c r="CV71" s="100">
        <f t="shared" si="301"/>
        <v>0</v>
      </c>
      <c r="CW71" s="37"/>
      <c r="CX71" s="48">
        <f t="shared" ca="1" si="378"/>
        <v>0</v>
      </c>
      <c r="CY71" s="48">
        <f t="shared" ca="1" si="378"/>
        <v>0</v>
      </c>
      <c r="CZ71" s="48">
        <f t="shared" ca="1" si="378"/>
        <v>0</v>
      </c>
      <c r="DA71" s="48">
        <f t="shared" ca="1" si="378"/>
        <v>0</v>
      </c>
      <c r="DB71" s="48">
        <f t="shared" ca="1" si="378"/>
        <v>0</v>
      </c>
      <c r="DC71" s="48">
        <f t="shared" ca="1" si="378"/>
        <v>0</v>
      </c>
      <c r="DD71" s="48">
        <f t="shared" ca="1" si="378"/>
        <v>0</v>
      </c>
      <c r="DE71" s="48">
        <f t="shared" ca="1" si="378"/>
        <v>0</v>
      </c>
      <c r="DF71" s="48">
        <f t="shared" ca="1" si="378"/>
        <v>0</v>
      </c>
      <c r="DG71" s="48">
        <f t="shared" ca="1" si="378"/>
        <v>0</v>
      </c>
      <c r="DH71" s="48">
        <f t="shared" ca="1" si="378"/>
        <v>0</v>
      </c>
      <c r="DI71" s="48">
        <f t="shared" ca="1" si="378"/>
        <v>0</v>
      </c>
      <c r="DJ71" s="48">
        <f t="shared" ca="1" si="378"/>
        <v>0</v>
      </c>
      <c r="DK71" s="48">
        <f t="shared" ca="1" si="378"/>
        <v>0</v>
      </c>
      <c r="DL71" s="48">
        <f t="shared" ca="1" si="378"/>
        <v>0</v>
      </c>
      <c r="DM71" s="48">
        <f t="shared" ca="1" si="372"/>
        <v>0</v>
      </c>
      <c r="DN71" s="48">
        <f t="shared" ca="1" si="372"/>
        <v>0</v>
      </c>
      <c r="DO71" s="48">
        <f t="shared" ca="1" si="372"/>
        <v>0</v>
      </c>
      <c r="DP71" s="48">
        <f t="shared" ca="1" si="372"/>
        <v>0</v>
      </c>
      <c r="DQ71" s="48">
        <f t="shared" ca="1" si="372"/>
        <v>0</v>
      </c>
      <c r="DR71" s="48">
        <f t="shared" ca="1" si="372"/>
        <v>0</v>
      </c>
      <c r="DS71" s="48">
        <f t="shared" ca="1" si="372"/>
        <v>0</v>
      </c>
      <c r="DT71" s="48">
        <f t="shared" ca="1" si="372"/>
        <v>0</v>
      </c>
      <c r="DU71" s="48">
        <f t="shared" ca="1" si="372"/>
        <v>0</v>
      </c>
      <c r="DV71" s="48">
        <f t="shared" ca="1" si="372"/>
        <v>0</v>
      </c>
      <c r="DW71" s="48">
        <f t="shared" ca="1" si="372"/>
        <v>0</v>
      </c>
      <c r="DX71" s="48">
        <f t="shared" ca="1" si="372"/>
        <v>0</v>
      </c>
      <c r="DY71" s="48">
        <f t="shared" ca="1" si="372"/>
        <v>0</v>
      </c>
      <c r="DZ71" s="48">
        <f t="shared" ca="1" si="372"/>
        <v>0</v>
      </c>
      <c r="EA71" s="48">
        <f t="shared" ca="1" si="372"/>
        <v>0</v>
      </c>
      <c r="EB71" s="48">
        <f t="shared" ca="1" si="372"/>
        <v>0</v>
      </c>
      <c r="EC71" s="48">
        <f t="shared" ca="1" si="373"/>
        <v>0</v>
      </c>
      <c r="ED71" s="48">
        <f t="shared" ca="1" si="373"/>
        <v>0</v>
      </c>
      <c r="EE71" s="48">
        <f t="shared" ca="1" si="373"/>
        <v>0</v>
      </c>
      <c r="EF71" s="48">
        <f t="shared" ca="1" si="373"/>
        <v>0</v>
      </c>
      <c r="EG71" s="48">
        <f t="shared" ca="1" si="373"/>
        <v>0</v>
      </c>
      <c r="EH71" s="48">
        <f t="shared" ca="1" si="373"/>
        <v>0</v>
      </c>
      <c r="EI71" s="48">
        <f t="shared" ca="1" si="373"/>
        <v>0</v>
      </c>
      <c r="EJ71" s="48">
        <f t="shared" ca="1" si="373"/>
        <v>0</v>
      </c>
      <c r="EK71" s="48">
        <f t="shared" ca="1" si="373"/>
        <v>0</v>
      </c>
      <c r="EL71" s="48">
        <f t="shared" ca="1" si="373"/>
        <v>0</v>
      </c>
      <c r="EM71" s="48">
        <f t="shared" ca="1" si="373"/>
        <v>0</v>
      </c>
      <c r="EN71" s="48">
        <f t="shared" ca="1" si="373"/>
        <v>0</v>
      </c>
      <c r="EO71" s="48">
        <f t="shared" ca="1" si="373"/>
        <v>0</v>
      </c>
      <c r="EP71" s="48">
        <f t="shared" ca="1" si="373"/>
        <v>0</v>
      </c>
      <c r="EQ71" s="48">
        <f t="shared" ca="1" si="373"/>
        <v>0</v>
      </c>
      <c r="ER71" s="48">
        <f t="shared" ca="1" si="373"/>
        <v>0</v>
      </c>
      <c r="ES71" s="48">
        <f t="shared" ca="1" si="374"/>
        <v>0</v>
      </c>
      <c r="ET71" s="48">
        <f t="shared" ca="1" si="364"/>
        <v>0</v>
      </c>
      <c r="EU71" s="48">
        <f t="shared" ca="1" si="364"/>
        <v>0</v>
      </c>
      <c r="EV71" s="48">
        <f t="shared" ca="1" si="364"/>
        <v>0</v>
      </c>
      <c r="EW71" s="48">
        <f t="shared" ca="1" si="364"/>
        <v>0</v>
      </c>
      <c r="EX71" s="48">
        <f t="shared" ca="1" si="364"/>
        <v>0</v>
      </c>
      <c r="EY71" s="69"/>
      <c r="EZ71" s="48">
        <f t="shared" ca="1" si="379"/>
        <v>0</v>
      </c>
      <c r="FA71" s="48">
        <f t="shared" ca="1" si="379"/>
        <v>0</v>
      </c>
      <c r="FB71" s="48">
        <f t="shared" ca="1" si="379"/>
        <v>0</v>
      </c>
      <c r="FC71" s="48">
        <f t="shared" ca="1" si="379"/>
        <v>0</v>
      </c>
      <c r="FD71" s="48">
        <f t="shared" ca="1" si="379"/>
        <v>0</v>
      </c>
      <c r="FE71" s="48">
        <f t="shared" ca="1" si="379"/>
        <v>0</v>
      </c>
      <c r="FF71" s="48">
        <f t="shared" ca="1" si="379"/>
        <v>0</v>
      </c>
      <c r="FG71" s="48">
        <f t="shared" ca="1" si="379"/>
        <v>0</v>
      </c>
      <c r="FH71" s="48">
        <f t="shared" ca="1" si="379"/>
        <v>0</v>
      </c>
      <c r="FI71" s="48">
        <f t="shared" ca="1" si="379"/>
        <v>0</v>
      </c>
      <c r="FJ71" s="48">
        <f t="shared" ca="1" si="379"/>
        <v>0</v>
      </c>
      <c r="FK71" s="48">
        <f t="shared" ca="1" si="379"/>
        <v>0</v>
      </c>
      <c r="FL71" s="48">
        <f t="shared" ca="1" si="379"/>
        <v>0</v>
      </c>
      <c r="FM71" s="48">
        <f t="shared" ca="1" si="379"/>
        <v>0</v>
      </c>
      <c r="FN71" s="48">
        <f t="shared" ca="1" si="379"/>
        <v>0</v>
      </c>
      <c r="FO71" s="48">
        <f t="shared" ca="1" si="375"/>
        <v>0</v>
      </c>
      <c r="FP71" s="48">
        <f t="shared" ca="1" si="375"/>
        <v>0</v>
      </c>
      <c r="FQ71" s="48">
        <f t="shared" ca="1" si="375"/>
        <v>0</v>
      </c>
      <c r="FR71" s="48">
        <f t="shared" ca="1" si="375"/>
        <v>0</v>
      </c>
      <c r="FS71" s="48">
        <f t="shared" ca="1" si="375"/>
        <v>0</v>
      </c>
      <c r="FT71" s="48">
        <f t="shared" ca="1" si="375"/>
        <v>0</v>
      </c>
      <c r="FU71" s="48">
        <f t="shared" ca="1" si="375"/>
        <v>0</v>
      </c>
      <c r="FV71" s="48">
        <f t="shared" ca="1" si="375"/>
        <v>0</v>
      </c>
      <c r="FW71" s="48">
        <f t="shared" ca="1" si="375"/>
        <v>0</v>
      </c>
      <c r="FX71" s="48">
        <f t="shared" ca="1" si="375"/>
        <v>0</v>
      </c>
      <c r="FY71" s="48">
        <f t="shared" ca="1" si="375"/>
        <v>0</v>
      </c>
      <c r="FZ71" s="48">
        <f t="shared" ca="1" si="375"/>
        <v>0</v>
      </c>
      <c r="GA71" s="48">
        <f t="shared" ca="1" si="375"/>
        <v>0</v>
      </c>
      <c r="GB71" s="48">
        <f t="shared" ca="1" si="375"/>
        <v>0</v>
      </c>
      <c r="GC71" s="48">
        <f t="shared" ca="1" si="375"/>
        <v>0</v>
      </c>
      <c r="GD71" s="48">
        <f t="shared" ca="1" si="375"/>
        <v>0</v>
      </c>
      <c r="GE71" s="48">
        <f t="shared" ca="1" si="376"/>
        <v>0</v>
      </c>
      <c r="GF71" s="48">
        <f t="shared" ca="1" si="376"/>
        <v>0</v>
      </c>
      <c r="GG71" s="48">
        <f t="shared" ca="1" si="376"/>
        <v>0</v>
      </c>
      <c r="GH71" s="48">
        <f t="shared" ca="1" si="376"/>
        <v>0</v>
      </c>
      <c r="GI71" s="48">
        <f t="shared" ca="1" si="376"/>
        <v>0</v>
      </c>
      <c r="GJ71" s="48">
        <f t="shared" ca="1" si="376"/>
        <v>0</v>
      </c>
      <c r="GK71" s="48">
        <f t="shared" ca="1" si="376"/>
        <v>0</v>
      </c>
      <c r="GL71" s="48">
        <f t="shared" ca="1" si="376"/>
        <v>0</v>
      </c>
      <c r="GM71" s="48">
        <f t="shared" ca="1" si="376"/>
        <v>0</v>
      </c>
      <c r="GN71" s="48">
        <f t="shared" ca="1" si="376"/>
        <v>0</v>
      </c>
      <c r="GO71" s="48">
        <f t="shared" ca="1" si="376"/>
        <v>0</v>
      </c>
      <c r="GP71" s="48">
        <f t="shared" ca="1" si="376"/>
        <v>0</v>
      </c>
      <c r="GQ71" s="48">
        <f t="shared" ca="1" si="376"/>
        <v>0</v>
      </c>
      <c r="GR71" s="48">
        <f t="shared" ca="1" si="376"/>
        <v>0</v>
      </c>
      <c r="GS71" s="48">
        <f t="shared" ca="1" si="376"/>
        <v>0</v>
      </c>
      <c r="GT71" s="48">
        <f t="shared" ca="1" si="376"/>
        <v>0</v>
      </c>
      <c r="GU71" s="48">
        <f t="shared" ca="1" si="377"/>
        <v>0</v>
      </c>
      <c r="GV71" s="48">
        <f t="shared" ca="1" si="368"/>
        <v>0</v>
      </c>
      <c r="GW71" s="48">
        <f t="shared" ca="1" si="368"/>
        <v>0</v>
      </c>
      <c r="GX71" s="48">
        <f t="shared" ca="1" si="368"/>
        <v>0</v>
      </c>
      <c r="GY71" s="48">
        <f t="shared" ca="1" si="368"/>
        <v>0</v>
      </c>
      <c r="GZ71" s="48">
        <f t="shared" ca="1" si="368"/>
        <v>0</v>
      </c>
      <c r="HA71" s="69"/>
      <c r="HB71" s="150" t="str">
        <f t="shared" ca="1" si="380"/>
        <v>n/a</v>
      </c>
      <c r="HC71" s="150" t="str">
        <f t="shared" ca="1" si="369"/>
        <v>n/a</v>
      </c>
      <c r="HD71" s="150" t="str">
        <f t="shared" ca="1" si="381"/>
        <v>n/a</v>
      </c>
      <c r="HE71" s="150" t="str">
        <f t="shared" ca="1" si="370"/>
        <v>n/a</v>
      </c>
      <c r="HF71" s="150" t="str">
        <f t="shared" ca="1" si="371"/>
        <v>n/a</v>
      </c>
      <c r="HG71" s="148"/>
      <c r="HH71" s="149"/>
      <c r="HI71" s="149"/>
      <c r="HJ71" s="149"/>
      <c r="HK71" s="150"/>
      <c r="HL71" s="149"/>
      <c r="HM71" s="149"/>
      <c r="HN71" s="149"/>
      <c r="HO71" s="150"/>
      <c r="HP71" s="148"/>
      <c r="HQ71" s="149"/>
      <c r="HR71" s="149"/>
      <c r="HS71" s="149"/>
      <c r="HT71" s="150"/>
      <c r="HU71" s="149"/>
      <c r="HV71" s="149"/>
      <c r="HW71" s="149"/>
      <c r="HX71" s="150"/>
      <c r="HY71" s="151"/>
      <c r="HZ71" s="150"/>
      <c r="IA71" s="150"/>
      <c r="IB71" s="152"/>
      <c r="IC71" s="150"/>
      <c r="ID71" s="152"/>
      <c r="IE71" s="150"/>
      <c r="IF71" s="153"/>
    </row>
    <row r="72" spans="1:240" s="36" customFormat="1" ht="14.4" customHeight="1">
      <c r="A72" s="39"/>
      <c r="B72" s="50" t="str">
        <f t="shared" si="340"/>
        <v>C&amp;I_C&amp;I Prescriptive_Lighting_Energy Star LED Lamp (≤5W)_2017_Actual</v>
      </c>
      <c r="C72" s="50">
        <f>INDEX('Measure Inputs'!$D:$D,MATCH($B72,'Measure Inputs'!$B:$B,0))</f>
        <v>38</v>
      </c>
      <c r="D72" s="51" t="str">
        <f>'Measure Inputs'!G44</f>
        <v>C&amp;I</v>
      </c>
      <c r="E72" s="51" t="str">
        <f>'Measure Inputs'!H44</f>
        <v>C&amp;I Prescriptive</v>
      </c>
      <c r="F72" s="51" t="str">
        <f>'Measure Inputs'!I44</f>
        <v>Lighting</v>
      </c>
      <c r="G72" s="51" t="str">
        <f>'Measure Inputs'!J44</f>
        <v>Energy Star LED Lamp (≤5W)</v>
      </c>
      <c r="H72" s="51">
        <f>'Measure Inputs'!K44</f>
        <v>2017</v>
      </c>
      <c r="I72" s="51" t="str">
        <f>'Measure Inputs'!L44</f>
        <v>Actual</v>
      </c>
      <c r="J72" s="37"/>
      <c r="K72" s="99" t="str">
        <f ca="1">INDEX(OFFSET('Measure Inputs'!$O$7,,,InputRows),$C72)</f>
        <v>Units</v>
      </c>
      <c r="L72" s="38">
        <f ca="1">INDEX(OFFSET('Measure Inputs'!$Q$7,,,InputRows),$C72)</f>
        <v>406</v>
      </c>
      <c r="M72" s="167">
        <f>INDEX('General Inputs'!$E$14:$E$15,MATCH(D72,'General Inputs'!$D$14:$D$15,0))</f>
        <v>1.0469999999999999</v>
      </c>
      <c r="N72" s="54">
        <f ca="1">INDEX(OFFSET('Measure Inputs'!$Y$7,,,InputRows),$C72)</f>
        <v>1</v>
      </c>
      <c r="O72" s="54">
        <f ca="1">INDEX(OFFSET('Measure Inputs'!$Z$7,,,InputRows),$C72)</f>
        <v>1</v>
      </c>
      <c r="P72" s="37"/>
      <c r="Q72" s="127">
        <f ca="1">CONVERT(INDEX(OFFSET('Measure Inputs'!$AB$7,,,InputRows),$C72),'Measure Inputs'!$AB$6,Q$8)*$L72</f>
        <v>30964.583999999999</v>
      </c>
      <c r="R72" s="127">
        <f t="shared" ca="1" si="341"/>
        <v>30964.583999999999</v>
      </c>
      <c r="S72" s="127">
        <f t="shared" ca="1" si="342"/>
        <v>30964.583999999999</v>
      </c>
      <c r="T72" s="37"/>
      <c r="U72" s="127">
        <f ca="1">CONVERT(INDEX(OFFSET('Measure Inputs'!$AD$7,,,InputRows),$C72),'Measure Inputs'!$AD$6,U$8)*$L72</f>
        <v>0</v>
      </c>
      <c r="V72" s="127">
        <f t="shared" ca="1" si="343"/>
        <v>0</v>
      </c>
      <c r="W72" s="127">
        <f t="shared" ca="1" si="344"/>
        <v>0</v>
      </c>
      <c r="X72" s="37"/>
      <c r="Y72" s="127">
        <f ca="1">CONVERT(INDEX(OFFSET('Measure Inputs'!$AC$7,,,InputRows),$C72),'Measure Inputs'!$AC$6,Y$8)*$L72</f>
        <v>6.5665979999999999</v>
      </c>
      <c r="Z72" s="127">
        <f t="shared" ca="1" si="345"/>
        <v>6.5665979999999999</v>
      </c>
      <c r="AA72" s="127">
        <f t="shared" ca="1" si="346"/>
        <v>6.5665979999999999</v>
      </c>
      <c r="AB72" s="37"/>
      <c r="AC72" s="127">
        <f ca="1">CONVERT(INDEX(OFFSET('Measure Inputs'!$AE$7,,,InputRows),$C72),'Measure Inputs'!$AE$6,AC$8)*$L72</f>
        <v>0</v>
      </c>
      <c r="AD72" s="127">
        <f t="shared" ca="1" si="347"/>
        <v>0</v>
      </c>
      <c r="AE72" s="127">
        <f t="shared" ca="1" si="348"/>
        <v>0</v>
      </c>
      <c r="AF72" s="37"/>
      <c r="AG72" s="97">
        <f ca="1">INDEX(OFFSET('Measure Inputs'!$R$7,,,InputRows),$C72)</f>
        <v>8</v>
      </c>
      <c r="AH72" s="97">
        <f ca="1">INDEX(OFFSET('Measure Inputs'!$S$7,,,InputRows),$C72)</f>
        <v>0</v>
      </c>
      <c r="AI72" s="97">
        <f t="shared" ca="1" si="349"/>
        <v>247716.67199999999</v>
      </c>
      <c r="AJ72" s="100">
        <f ca="1">INDEX(OFFSET('Measure Inputs'!$T$7,,,InputRows),$C72)*$L72*$N72*$O72</f>
        <v>12955.46</v>
      </c>
      <c r="AK72" s="100">
        <f ca="1">INDEX(OFFSET('Measure Inputs'!$U$7,,,InputRows),$C72)*$L72*$N72*$O72</f>
        <v>0</v>
      </c>
      <c r="AL72" s="100">
        <f ca="1">INDEX(OFFSET('Measure Inputs'!$V$7,,,InputRows),$C72)*$L72*$N72*$O72</f>
        <v>0</v>
      </c>
      <c r="AM72" s="100">
        <f ca="1">INDEX(OFFSET('Measure Inputs'!$W$7,,,InputRows),$C72)*$L72*$N72*$O72</f>
        <v>0</v>
      </c>
      <c r="AN72" s="100">
        <f ca="1">INDEX(OFFSET('Measure Inputs'!$X$7,,,InputRows),$C72)*$L72</f>
        <v>2020.32</v>
      </c>
      <c r="AO72" s="100"/>
      <c r="AP72" s="100">
        <f t="shared" ca="1" si="350"/>
        <v>2020.32</v>
      </c>
      <c r="AQ72" s="37"/>
      <c r="AR72" s="100">
        <f ca="1">SUMPRODUCT(--($CX$9:$EX$9=$H72)*$AJ72,'General Inputs'!$K$40:$BK$40)+SUMPRODUCT(--($CX$9:$EX$9=$H72+$AH72)*-$AK72,'General Inputs'!$K$43:$BK$43)</f>
        <v>12955.46</v>
      </c>
      <c r="AS72" s="100">
        <f ca="1">CONVERT(SUMPRODUCT($CX72:$EX72,'General Inputs'!$K$29:$BK$29,'General Inputs'!$K$40:$BK$40)*$M72,$Q$8,'General Inputs'!$E$17)</f>
        <v>2239.7299222754141</v>
      </c>
      <c r="AT72" s="100">
        <f ca="1">SUMPRODUCT(--($CX$9:$EX$9=$H72)*$AN72,'General Inputs'!$K$40:$BK$40)</f>
        <v>2020.32</v>
      </c>
      <c r="AU72" s="100">
        <f>SUMPRODUCT(--($CX$9:$EX$9=$H72)*$AO72,'General Inputs'!$K$40:$BK$40)</f>
        <v>0</v>
      </c>
      <c r="AV72" s="100">
        <f ca="1">CONVERT(SUMPRODUCT($CX72:$EX72,'General Inputs'!$K$40:$BK$40,OFFSET('General Inputs'!$K$34:$BK$34,MATCH($D72,'General Inputs'!$J$34:$J$35,0)-1,)),$Q$8,'General Inputs'!$G$32)</f>
        <v>21148.517815416017</v>
      </c>
      <c r="AW72" s="100">
        <f ca="1">CONVERT(SUMPRODUCT($CX72:$EX72,'General Inputs'!$K$27:$BK$27,'General Inputs'!$K$40:$BK$40)*$M72,$Q$8,'General Inputs'!$E$17)</f>
        <v>8565.0735506917244</v>
      </c>
      <c r="AX72" s="100">
        <f ca="1">CONVERT(SUMPRODUCT($EZ72:$GZ72,'General Inputs'!$K$28:$BK$28,'General Inputs'!$K$40:$BK$40)*$M72,$Q$8,'General Inputs'!$E$17)</f>
        <v>683.16938305102519</v>
      </c>
      <c r="AY72" s="98">
        <f ca="1">SUMPRODUCT($CX72:$EX72,'General Inputs'!$K$40:$BK$40)</f>
        <v>187648.0774037278</v>
      </c>
      <c r="AZ72" s="37"/>
      <c r="BA72" s="100">
        <f t="shared" ca="1" si="351"/>
        <v>-3707.2170662572498</v>
      </c>
      <c r="BB72" s="102">
        <f t="shared" ca="1" si="352"/>
        <v>0.71384905929567533</v>
      </c>
      <c r="BC72" s="100">
        <f t="shared" ca="1" si="273"/>
        <v>12955.46</v>
      </c>
      <c r="BD72" s="100">
        <f t="shared" ca="1" si="274"/>
        <v>9248.2429337427493</v>
      </c>
      <c r="BE72" s="100">
        <f t="shared" ca="1" si="275"/>
        <v>8565.0735506917244</v>
      </c>
      <c r="BF72" s="100">
        <f t="shared" ca="1" si="276"/>
        <v>683.16938305102519</v>
      </c>
      <c r="BG72" s="100">
        <f t="shared" si="277"/>
        <v>0</v>
      </c>
      <c r="BH72" s="100">
        <f t="shared" ca="1" si="278"/>
        <v>12955.46</v>
      </c>
      <c r="BI72" s="37"/>
      <c r="BJ72" s="100">
        <f t="shared" ca="1" si="353"/>
        <v>-1467.4871439818362</v>
      </c>
      <c r="BK72" s="102">
        <f t="shared" ca="1" si="354"/>
        <v>0.88672828722547592</v>
      </c>
      <c r="BL72" s="100">
        <f t="shared" ca="1" si="279"/>
        <v>12955.46</v>
      </c>
      <c r="BM72" s="100">
        <f t="shared" ca="1" si="164"/>
        <v>11487.972856018163</v>
      </c>
      <c r="BN72" s="100">
        <f t="shared" ca="1" si="280"/>
        <v>8565.0735506917244</v>
      </c>
      <c r="BO72" s="100">
        <f t="shared" ca="1" si="281"/>
        <v>683.16938305102519</v>
      </c>
      <c r="BP72" s="100">
        <f t="shared" ca="1" si="282"/>
        <v>2239.7299222754141</v>
      </c>
      <c r="BQ72" s="100">
        <f t="shared" si="283"/>
        <v>0</v>
      </c>
      <c r="BR72" s="100">
        <f t="shared" ca="1" si="284"/>
        <v>12955.46</v>
      </c>
      <c r="BS72" s="37"/>
      <c r="BT72" s="100">
        <f t="shared" ca="1" si="355"/>
        <v>10213.377815416017</v>
      </c>
      <c r="BU72" s="102">
        <f t="shared" ca="1" si="356"/>
        <v>1.788345440101395</v>
      </c>
      <c r="BV72" s="102">
        <f t="shared" ca="1" si="285"/>
        <v>4.4734086718427388</v>
      </c>
      <c r="BW72" s="100">
        <f t="shared" ca="1" si="286"/>
        <v>12955.46</v>
      </c>
      <c r="BX72" s="100">
        <f t="shared" ca="1" si="287"/>
        <v>23168.837815416016</v>
      </c>
      <c r="BY72" s="100">
        <f t="shared" ca="1" si="288"/>
        <v>21148.517815416017</v>
      </c>
      <c r="BZ72" s="100">
        <f t="shared" ca="1" si="289"/>
        <v>2020.32</v>
      </c>
      <c r="CA72" s="100">
        <f t="shared" ca="1" si="290"/>
        <v>12955.46</v>
      </c>
      <c r="CB72" s="37"/>
      <c r="CC72" s="100">
        <f t="shared" ca="1" si="357"/>
        <v>7227.9229337427496</v>
      </c>
      <c r="CD72" s="102">
        <f t="shared" ca="1" si="358"/>
        <v>4.5776129196081561</v>
      </c>
      <c r="CE72" s="103">
        <f t="shared" ca="1" si="291"/>
        <v>-0.22907525890824679</v>
      </c>
      <c r="CF72" s="100">
        <f t="shared" ca="1" si="292"/>
        <v>2020.32</v>
      </c>
      <c r="CG72" s="100">
        <f t="shared" ca="1" si="293"/>
        <v>9248.2429337427493</v>
      </c>
      <c r="CH72" s="100">
        <f t="shared" ca="1" si="294"/>
        <v>8565.0735506917244</v>
      </c>
      <c r="CI72" s="100">
        <f t="shared" ca="1" si="382"/>
        <v>683.16938305102519</v>
      </c>
      <c r="CJ72" s="100">
        <f t="shared" ca="1" si="383"/>
        <v>2020.32</v>
      </c>
      <c r="CK72" s="100">
        <f t="shared" si="295"/>
        <v>0</v>
      </c>
      <c r="CL72" s="37"/>
      <c r="CM72" s="100">
        <f t="shared" ca="1" si="359"/>
        <v>-13920.594881673267</v>
      </c>
      <c r="CN72" s="102">
        <f t="shared" ca="1" si="360"/>
        <v>0.39916732153000695</v>
      </c>
      <c r="CO72" s="128"/>
      <c r="CP72" s="100">
        <f t="shared" ca="1" si="296"/>
        <v>23168.837815416016</v>
      </c>
      <c r="CQ72" s="100">
        <f t="shared" ca="1" si="297"/>
        <v>9248.2429337427493</v>
      </c>
      <c r="CR72" s="100">
        <f t="shared" ca="1" si="298"/>
        <v>8565.0735506917244</v>
      </c>
      <c r="CS72" s="100">
        <f t="shared" ca="1" si="384"/>
        <v>683.16938305102519</v>
      </c>
      <c r="CT72" s="100">
        <f t="shared" ca="1" si="299"/>
        <v>21148.517815416017</v>
      </c>
      <c r="CU72" s="100">
        <f t="shared" ca="1" si="300"/>
        <v>2020.32</v>
      </c>
      <c r="CV72" s="100">
        <f t="shared" si="301"/>
        <v>0</v>
      </c>
      <c r="CW72" s="37"/>
      <c r="CX72" s="48">
        <f t="shared" ca="1" si="378"/>
        <v>30964.583999999999</v>
      </c>
      <c r="CY72" s="48">
        <f t="shared" ca="1" si="378"/>
        <v>30964.583999999999</v>
      </c>
      <c r="CZ72" s="48">
        <f t="shared" ca="1" si="378"/>
        <v>30964.583999999999</v>
      </c>
      <c r="DA72" s="48">
        <f t="shared" ca="1" si="378"/>
        <v>30964.583999999999</v>
      </c>
      <c r="DB72" s="48">
        <f t="shared" ca="1" si="378"/>
        <v>30964.583999999999</v>
      </c>
      <c r="DC72" s="48">
        <f t="shared" ca="1" si="378"/>
        <v>30964.583999999999</v>
      </c>
      <c r="DD72" s="48">
        <f t="shared" ca="1" si="378"/>
        <v>30964.583999999999</v>
      </c>
      <c r="DE72" s="48">
        <f t="shared" ca="1" si="378"/>
        <v>30964.583999999999</v>
      </c>
      <c r="DF72" s="48">
        <f t="shared" ca="1" si="378"/>
        <v>0</v>
      </c>
      <c r="DG72" s="48">
        <f t="shared" ca="1" si="378"/>
        <v>0</v>
      </c>
      <c r="DH72" s="48">
        <f t="shared" ca="1" si="378"/>
        <v>0</v>
      </c>
      <c r="DI72" s="48">
        <f t="shared" ca="1" si="378"/>
        <v>0</v>
      </c>
      <c r="DJ72" s="48">
        <f t="shared" ca="1" si="378"/>
        <v>0</v>
      </c>
      <c r="DK72" s="48">
        <f t="shared" ca="1" si="378"/>
        <v>0</v>
      </c>
      <c r="DL72" s="48">
        <f t="shared" ca="1" si="378"/>
        <v>0</v>
      </c>
      <c r="DM72" s="48">
        <f t="shared" ca="1" si="372"/>
        <v>0</v>
      </c>
      <c r="DN72" s="48">
        <f t="shared" ca="1" si="372"/>
        <v>0</v>
      </c>
      <c r="DO72" s="48">
        <f t="shared" ca="1" si="372"/>
        <v>0</v>
      </c>
      <c r="DP72" s="48">
        <f t="shared" ca="1" si="372"/>
        <v>0</v>
      </c>
      <c r="DQ72" s="48">
        <f t="shared" ca="1" si="372"/>
        <v>0</v>
      </c>
      <c r="DR72" s="48">
        <f t="shared" ca="1" si="372"/>
        <v>0</v>
      </c>
      <c r="DS72" s="48">
        <f t="shared" ca="1" si="372"/>
        <v>0</v>
      </c>
      <c r="DT72" s="48">
        <f t="shared" ca="1" si="372"/>
        <v>0</v>
      </c>
      <c r="DU72" s="48">
        <f t="shared" ca="1" si="372"/>
        <v>0</v>
      </c>
      <c r="DV72" s="48">
        <f t="shared" ca="1" si="372"/>
        <v>0</v>
      </c>
      <c r="DW72" s="48">
        <f t="shared" ca="1" si="372"/>
        <v>0</v>
      </c>
      <c r="DX72" s="48">
        <f t="shared" ca="1" si="372"/>
        <v>0</v>
      </c>
      <c r="DY72" s="48">
        <f t="shared" ca="1" si="372"/>
        <v>0</v>
      </c>
      <c r="DZ72" s="48">
        <f t="shared" ca="1" si="372"/>
        <v>0</v>
      </c>
      <c r="EA72" s="48">
        <f t="shared" ca="1" si="372"/>
        <v>0</v>
      </c>
      <c r="EB72" s="48">
        <f t="shared" ca="1" si="372"/>
        <v>0</v>
      </c>
      <c r="EC72" s="48">
        <f t="shared" ca="1" si="373"/>
        <v>0</v>
      </c>
      <c r="ED72" s="48">
        <f t="shared" ca="1" si="373"/>
        <v>0</v>
      </c>
      <c r="EE72" s="48">
        <f t="shared" ca="1" si="373"/>
        <v>0</v>
      </c>
      <c r="EF72" s="48">
        <f t="shared" ca="1" si="373"/>
        <v>0</v>
      </c>
      <c r="EG72" s="48">
        <f t="shared" ca="1" si="373"/>
        <v>0</v>
      </c>
      <c r="EH72" s="48">
        <f t="shared" ca="1" si="373"/>
        <v>0</v>
      </c>
      <c r="EI72" s="48">
        <f t="shared" ca="1" si="373"/>
        <v>0</v>
      </c>
      <c r="EJ72" s="48">
        <f t="shared" ca="1" si="373"/>
        <v>0</v>
      </c>
      <c r="EK72" s="48">
        <f t="shared" ca="1" si="373"/>
        <v>0</v>
      </c>
      <c r="EL72" s="48">
        <f t="shared" ca="1" si="373"/>
        <v>0</v>
      </c>
      <c r="EM72" s="48">
        <f t="shared" ca="1" si="373"/>
        <v>0</v>
      </c>
      <c r="EN72" s="48">
        <f t="shared" ca="1" si="373"/>
        <v>0</v>
      </c>
      <c r="EO72" s="48">
        <f t="shared" ca="1" si="373"/>
        <v>0</v>
      </c>
      <c r="EP72" s="48">
        <f t="shared" ca="1" si="373"/>
        <v>0</v>
      </c>
      <c r="EQ72" s="48">
        <f t="shared" ca="1" si="373"/>
        <v>0</v>
      </c>
      <c r="ER72" s="48">
        <f t="shared" ca="1" si="373"/>
        <v>0</v>
      </c>
      <c r="ES72" s="48">
        <f t="shared" ca="1" si="374"/>
        <v>0</v>
      </c>
      <c r="ET72" s="48">
        <f t="shared" ca="1" si="364"/>
        <v>0</v>
      </c>
      <c r="EU72" s="48">
        <f t="shared" ca="1" si="364"/>
        <v>0</v>
      </c>
      <c r="EV72" s="48">
        <f t="shared" ca="1" si="364"/>
        <v>0</v>
      </c>
      <c r="EW72" s="48">
        <f t="shared" ca="1" si="364"/>
        <v>0</v>
      </c>
      <c r="EX72" s="48">
        <f t="shared" ca="1" si="364"/>
        <v>0</v>
      </c>
      <c r="EY72" s="69"/>
      <c r="EZ72" s="48">
        <f t="shared" ca="1" si="379"/>
        <v>6.5665979999999999</v>
      </c>
      <c r="FA72" s="48">
        <f t="shared" ca="1" si="379"/>
        <v>6.5665979999999999</v>
      </c>
      <c r="FB72" s="48">
        <f t="shared" ca="1" si="379"/>
        <v>6.5665979999999999</v>
      </c>
      <c r="FC72" s="48">
        <f t="shared" ca="1" si="379"/>
        <v>6.5665979999999999</v>
      </c>
      <c r="FD72" s="48">
        <f t="shared" ca="1" si="379"/>
        <v>6.5665979999999999</v>
      </c>
      <c r="FE72" s="48">
        <f t="shared" ca="1" si="379"/>
        <v>6.5665979999999999</v>
      </c>
      <c r="FF72" s="48">
        <f t="shared" ca="1" si="379"/>
        <v>6.5665979999999999</v>
      </c>
      <c r="FG72" s="48">
        <f t="shared" ca="1" si="379"/>
        <v>6.5665979999999999</v>
      </c>
      <c r="FH72" s="48">
        <f t="shared" ca="1" si="379"/>
        <v>0</v>
      </c>
      <c r="FI72" s="48">
        <f t="shared" ca="1" si="379"/>
        <v>0</v>
      </c>
      <c r="FJ72" s="48">
        <f t="shared" ca="1" si="379"/>
        <v>0</v>
      </c>
      <c r="FK72" s="48">
        <f t="shared" ca="1" si="379"/>
        <v>0</v>
      </c>
      <c r="FL72" s="48">
        <f t="shared" ca="1" si="379"/>
        <v>0</v>
      </c>
      <c r="FM72" s="48">
        <f t="shared" ca="1" si="379"/>
        <v>0</v>
      </c>
      <c r="FN72" s="48">
        <f t="shared" ca="1" si="379"/>
        <v>0</v>
      </c>
      <c r="FO72" s="48">
        <f t="shared" ca="1" si="375"/>
        <v>0</v>
      </c>
      <c r="FP72" s="48">
        <f t="shared" ca="1" si="375"/>
        <v>0</v>
      </c>
      <c r="FQ72" s="48">
        <f t="shared" ca="1" si="375"/>
        <v>0</v>
      </c>
      <c r="FR72" s="48">
        <f t="shared" ca="1" si="375"/>
        <v>0</v>
      </c>
      <c r="FS72" s="48">
        <f t="shared" ca="1" si="375"/>
        <v>0</v>
      </c>
      <c r="FT72" s="48">
        <f t="shared" ca="1" si="375"/>
        <v>0</v>
      </c>
      <c r="FU72" s="48">
        <f t="shared" ca="1" si="375"/>
        <v>0</v>
      </c>
      <c r="FV72" s="48">
        <f t="shared" ca="1" si="375"/>
        <v>0</v>
      </c>
      <c r="FW72" s="48">
        <f t="shared" ca="1" si="375"/>
        <v>0</v>
      </c>
      <c r="FX72" s="48">
        <f t="shared" ca="1" si="375"/>
        <v>0</v>
      </c>
      <c r="FY72" s="48">
        <f t="shared" ca="1" si="375"/>
        <v>0</v>
      </c>
      <c r="FZ72" s="48">
        <f t="shared" ca="1" si="375"/>
        <v>0</v>
      </c>
      <c r="GA72" s="48">
        <f t="shared" ca="1" si="375"/>
        <v>0</v>
      </c>
      <c r="GB72" s="48">
        <f t="shared" ca="1" si="375"/>
        <v>0</v>
      </c>
      <c r="GC72" s="48">
        <f t="shared" ca="1" si="375"/>
        <v>0</v>
      </c>
      <c r="GD72" s="48">
        <f t="shared" ca="1" si="375"/>
        <v>0</v>
      </c>
      <c r="GE72" s="48">
        <f t="shared" ca="1" si="376"/>
        <v>0</v>
      </c>
      <c r="GF72" s="48">
        <f t="shared" ca="1" si="376"/>
        <v>0</v>
      </c>
      <c r="GG72" s="48">
        <f t="shared" ca="1" si="376"/>
        <v>0</v>
      </c>
      <c r="GH72" s="48">
        <f t="shared" ca="1" si="376"/>
        <v>0</v>
      </c>
      <c r="GI72" s="48">
        <f t="shared" ca="1" si="376"/>
        <v>0</v>
      </c>
      <c r="GJ72" s="48">
        <f t="shared" ca="1" si="376"/>
        <v>0</v>
      </c>
      <c r="GK72" s="48">
        <f t="shared" ca="1" si="376"/>
        <v>0</v>
      </c>
      <c r="GL72" s="48">
        <f t="shared" ca="1" si="376"/>
        <v>0</v>
      </c>
      <c r="GM72" s="48">
        <f t="shared" ca="1" si="376"/>
        <v>0</v>
      </c>
      <c r="GN72" s="48">
        <f t="shared" ca="1" si="376"/>
        <v>0</v>
      </c>
      <c r="GO72" s="48">
        <f t="shared" ca="1" si="376"/>
        <v>0</v>
      </c>
      <c r="GP72" s="48">
        <f t="shared" ca="1" si="376"/>
        <v>0</v>
      </c>
      <c r="GQ72" s="48">
        <f t="shared" ca="1" si="376"/>
        <v>0</v>
      </c>
      <c r="GR72" s="48">
        <f t="shared" ca="1" si="376"/>
        <v>0</v>
      </c>
      <c r="GS72" s="48">
        <f t="shared" ca="1" si="376"/>
        <v>0</v>
      </c>
      <c r="GT72" s="48">
        <f t="shared" ca="1" si="376"/>
        <v>0</v>
      </c>
      <c r="GU72" s="48">
        <f t="shared" ca="1" si="377"/>
        <v>0</v>
      </c>
      <c r="GV72" s="48">
        <f t="shared" ca="1" si="368"/>
        <v>0</v>
      </c>
      <c r="GW72" s="48">
        <f t="shared" ca="1" si="368"/>
        <v>0</v>
      </c>
      <c r="GX72" s="48">
        <f t="shared" ca="1" si="368"/>
        <v>0</v>
      </c>
      <c r="GY72" s="48">
        <f t="shared" ca="1" si="368"/>
        <v>0</v>
      </c>
      <c r="GZ72" s="48">
        <f t="shared" ca="1" si="368"/>
        <v>0</v>
      </c>
      <c r="HA72" s="69"/>
      <c r="HB72" s="150">
        <f t="shared" ca="1" si="380"/>
        <v>0.71384905929567533</v>
      </c>
      <c r="HC72" s="150">
        <f t="shared" ca="1" si="369"/>
        <v>4.5776129196081561</v>
      </c>
      <c r="HD72" s="150">
        <f t="shared" ca="1" si="381"/>
        <v>0.88672828722547592</v>
      </c>
      <c r="HE72" s="150">
        <f t="shared" ca="1" si="370"/>
        <v>1.788345440101395</v>
      </c>
      <c r="HF72" s="150">
        <f t="shared" ca="1" si="371"/>
        <v>0.39916732153000695</v>
      </c>
      <c r="HG72" s="148"/>
      <c r="HH72" s="149"/>
      <c r="HI72" s="149"/>
      <c r="HJ72" s="149"/>
      <c r="HK72" s="150"/>
      <c r="HL72" s="149"/>
      <c r="HM72" s="149"/>
      <c r="HN72" s="149"/>
      <c r="HO72" s="150"/>
      <c r="HP72" s="148"/>
      <c r="HQ72" s="149"/>
      <c r="HR72" s="149"/>
      <c r="HS72" s="149"/>
      <c r="HT72" s="150"/>
      <c r="HU72" s="149"/>
      <c r="HV72" s="149"/>
      <c r="HW72" s="149"/>
      <c r="HX72" s="150"/>
      <c r="HY72" s="151"/>
      <c r="HZ72" s="150"/>
      <c r="IA72" s="150"/>
      <c r="IB72" s="152"/>
      <c r="IC72" s="150"/>
      <c r="ID72" s="152"/>
      <c r="IE72" s="150"/>
      <c r="IF72" s="153"/>
    </row>
    <row r="73" spans="1:240" s="36" customFormat="1" ht="14.4" customHeight="1">
      <c r="A73" s="39"/>
      <c r="B73" s="50" t="str">
        <f t="shared" si="340"/>
        <v>C&amp;I_C&amp;I Prescriptive_Lighting_Energy Star LED Lamp (5-10W)_2017_Actual</v>
      </c>
      <c r="C73" s="50">
        <f>INDEX('Measure Inputs'!$D:$D,MATCH($B73,'Measure Inputs'!$B:$B,0))</f>
        <v>39</v>
      </c>
      <c r="D73" s="51" t="str">
        <f>'Measure Inputs'!G45</f>
        <v>C&amp;I</v>
      </c>
      <c r="E73" s="51" t="str">
        <f>'Measure Inputs'!H45</f>
        <v>C&amp;I Prescriptive</v>
      </c>
      <c r="F73" s="51" t="str">
        <f>'Measure Inputs'!I45</f>
        <v>Lighting</v>
      </c>
      <c r="G73" s="51" t="str">
        <f>'Measure Inputs'!J45</f>
        <v>Energy Star LED Lamp (5-10W)</v>
      </c>
      <c r="H73" s="51">
        <f>'Measure Inputs'!K45</f>
        <v>2017</v>
      </c>
      <c r="I73" s="51" t="str">
        <f>'Measure Inputs'!L45</f>
        <v>Actual</v>
      </c>
      <c r="J73" s="37"/>
      <c r="K73" s="99" t="str">
        <f ca="1">INDEX(OFFSET('Measure Inputs'!$O$7,,,InputRows),$C73)</f>
        <v>Units</v>
      </c>
      <c r="L73" s="38">
        <f ca="1">INDEX(OFFSET('Measure Inputs'!$Q$7,,,InputRows),$C73)</f>
        <v>1163</v>
      </c>
      <c r="M73" s="167">
        <f>INDEX('General Inputs'!$E$14:$E$15,MATCH(D73,'General Inputs'!$D$14:$D$15,0))</f>
        <v>1.0469999999999999</v>
      </c>
      <c r="N73" s="54">
        <f ca="1">INDEX(OFFSET('Measure Inputs'!$Y$7,,,InputRows),$C73)</f>
        <v>1</v>
      </c>
      <c r="O73" s="54">
        <f ca="1">INDEX(OFFSET('Measure Inputs'!$Z$7,,,InputRows),$C73)</f>
        <v>1</v>
      </c>
      <c r="P73" s="37"/>
      <c r="Q73" s="127">
        <f ca="1">CONVERT(INDEX(OFFSET('Measure Inputs'!$AB$7,,,InputRows),$C73),'Measure Inputs'!$AB$6,Q$8)*$L73</f>
        <v>144470.96</v>
      </c>
      <c r="R73" s="127">
        <f t="shared" ca="1" si="341"/>
        <v>144470.96</v>
      </c>
      <c r="S73" s="127">
        <f t="shared" ca="1" si="342"/>
        <v>144470.96</v>
      </c>
      <c r="T73" s="37"/>
      <c r="U73" s="127">
        <f ca="1">CONVERT(INDEX(OFFSET('Measure Inputs'!$AD$7,,,InputRows),$C73),'Measure Inputs'!$AD$6,U$8)*$L73</f>
        <v>0</v>
      </c>
      <c r="V73" s="127">
        <f t="shared" ca="1" si="343"/>
        <v>0</v>
      </c>
      <c r="W73" s="127">
        <f t="shared" ca="1" si="344"/>
        <v>0</v>
      </c>
      <c r="X73" s="37"/>
      <c r="Y73" s="127">
        <f ca="1">CONVERT(INDEX(OFFSET('Measure Inputs'!$AC$7,,,InputRows),$C73),'Measure Inputs'!$AC$6,Y$8)*$L73</f>
        <v>20.802492999999998</v>
      </c>
      <c r="Z73" s="127">
        <f t="shared" ca="1" si="345"/>
        <v>20.802492999999998</v>
      </c>
      <c r="AA73" s="127">
        <f t="shared" ca="1" si="346"/>
        <v>20.802492999999998</v>
      </c>
      <c r="AB73" s="37"/>
      <c r="AC73" s="127">
        <f ca="1">CONVERT(INDEX(OFFSET('Measure Inputs'!$AE$7,,,InputRows),$C73),'Measure Inputs'!$AE$6,AC$8)*$L73</f>
        <v>0</v>
      </c>
      <c r="AD73" s="127">
        <f t="shared" ca="1" si="347"/>
        <v>0</v>
      </c>
      <c r="AE73" s="127">
        <f t="shared" ca="1" si="348"/>
        <v>0</v>
      </c>
      <c r="AF73" s="37"/>
      <c r="AG73" s="97">
        <f ca="1">INDEX(OFFSET('Measure Inputs'!$R$7,,,InputRows),$C73)</f>
        <v>8</v>
      </c>
      <c r="AH73" s="97">
        <f ca="1">INDEX(OFFSET('Measure Inputs'!$S$7,,,InputRows),$C73)</f>
        <v>0</v>
      </c>
      <c r="AI73" s="97">
        <f t="shared" ca="1" si="349"/>
        <v>1155767.68</v>
      </c>
      <c r="AJ73" s="100">
        <f ca="1">INDEX(OFFSET('Measure Inputs'!$T$7,,,InputRows),$C73)*$L73*$N73*$O73</f>
        <v>43949.77</v>
      </c>
      <c r="AK73" s="100">
        <f ca="1">INDEX(OFFSET('Measure Inputs'!$U$7,,,InputRows),$C73)*$L73*$N73*$O73</f>
        <v>0</v>
      </c>
      <c r="AL73" s="100">
        <f ca="1">INDEX(OFFSET('Measure Inputs'!$V$7,,,InputRows),$C73)*$L73*$N73*$O73</f>
        <v>0</v>
      </c>
      <c r="AM73" s="100">
        <f ca="1">INDEX(OFFSET('Measure Inputs'!$W$7,,,InputRows),$C73)*$L73*$N73*$O73</f>
        <v>0</v>
      </c>
      <c r="AN73" s="100">
        <f ca="1">INDEX(OFFSET('Measure Inputs'!$X$7,,,InputRows),$C73)*$L73</f>
        <v>5667.5400799999998</v>
      </c>
      <c r="AO73" s="100"/>
      <c r="AP73" s="100">
        <f t="shared" ca="1" si="350"/>
        <v>5667.5400799999998</v>
      </c>
      <c r="AQ73" s="37"/>
      <c r="AR73" s="100">
        <f ca="1">SUMPRODUCT(--($CX$9:$EX$9=$H73)*$AJ73,'General Inputs'!$K$40:$BK$40)+SUMPRODUCT(--($CX$9:$EX$9=$H73+$AH73)*-$AK73,'General Inputs'!$K$43:$BK$43)</f>
        <v>43949.77</v>
      </c>
      <c r="AS73" s="100">
        <f ca="1">CONVERT(SUMPRODUCT($CX73:$EX73,'General Inputs'!$K$29:$BK$29,'General Inputs'!$K$40:$BK$40)*$M73,$Q$8,'General Inputs'!$E$17)</f>
        <v>10449.871763555891</v>
      </c>
      <c r="AT73" s="100">
        <f ca="1">SUMPRODUCT(--($CX$9:$EX$9=$H73)*$AN73,'General Inputs'!$K$40:$BK$40)</f>
        <v>5667.5400799999998</v>
      </c>
      <c r="AU73" s="100">
        <f>SUMPRODUCT(--($CX$9:$EX$9=$H73)*$AO73,'General Inputs'!$K$40:$BK$40)</f>
        <v>0</v>
      </c>
      <c r="AV73" s="100">
        <f ca="1">CONVERT(SUMPRODUCT($CX73:$EX73,'General Inputs'!$K$40:$BK$40,OFFSET('General Inputs'!$K$34:$BK$34,MATCH($D73,'General Inputs'!$J$34:$J$35,0)-1,)),$Q$8,'General Inputs'!$G$32)</f>
        <v>98672.298370624136</v>
      </c>
      <c r="AW73" s="100">
        <f ca="1">CONVERT(SUMPRODUCT($CX73:$EX73,'General Inputs'!$K$27:$BK$27,'General Inputs'!$K$40:$BK$40)*$M73,$Q$8,'General Inputs'!$E$17)</f>
        <v>39961.92548038243</v>
      </c>
      <c r="AX73" s="100">
        <f ca="1">CONVERT(SUMPRODUCT($EZ73:$GZ73,'General Inputs'!$K$28:$BK$28,'General Inputs'!$K$40:$BK$40)*$M73,$Q$8,'General Inputs'!$E$17)</f>
        <v>2164.2296831225649</v>
      </c>
      <c r="AY73" s="98">
        <f ca="1">SUMPRODUCT($CX73:$EX73,'General Inputs'!$K$40:$BK$40)</f>
        <v>875506.6073121106</v>
      </c>
      <c r="AZ73" s="37"/>
      <c r="BA73" s="100">
        <f t="shared" ca="1" si="351"/>
        <v>-1823.6148364949986</v>
      </c>
      <c r="BB73" s="102">
        <f t="shared" ca="1" si="352"/>
        <v>0.95850684004728581</v>
      </c>
      <c r="BC73" s="100">
        <f t="shared" ca="1" si="273"/>
        <v>43949.77</v>
      </c>
      <c r="BD73" s="100">
        <f t="shared" ca="1" si="274"/>
        <v>42126.155163504998</v>
      </c>
      <c r="BE73" s="100">
        <f t="shared" ca="1" si="275"/>
        <v>39961.92548038243</v>
      </c>
      <c r="BF73" s="100">
        <f t="shared" ca="1" si="276"/>
        <v>2164.2296831225649</v>
      </c>
      <c r="BG73" s="100">
        <f t="shared" si="277"/>
        <v>0</v>
      </c>
      <c r="BH73" s="100">
        <f t="shared" ca="1" si="278"/>
        <v>43949.77</v>
      </c>
      <c r="BI73" s="37"/>
      <c r="BJ73" s="100">
        <f t="shared" ca="1" si="353"/>
        <v>8626.2569270608947</v>
      </c>
      <c r="BK73" s="102">
        <f t="shared" ca="1" si="354"/>
        <v>1.1962753599634512</v>
      </c>
      <c r="BL73" s="100">
        <f t="shared" ca="1" si="279"/>
        <v>43949.77</v>
      </c>
      <c r="BM73" s="100">
        <f t="shared" ca="1" si="164"/>
        <v>52576.026927060891</v>
      </c>
      <c r="BN73" s="100">
        <f t="shared" ca="1" si="280"/>
        <v>39961.92548038243</v>
      </c>
      <c r="BO73" s="100">
        <f t="shared" ca="1" si="281"/>
        <v>2164.2296831225649</v>
      </c>
      <c r="BP73" s="100">
        <f t="shared" ca="1" si="282"/>
        <v>10449.871763555891</v>
      </c>
      <c r="BQ73" s="100">
        <f t="shared" si="283"/>
        <v>0</v>
      </c>
      <c r="BR73" s="100">
        <f t="shared" ca="1" si="284"/>
        <v>43949.77</v>
      </c>
      <c r="BS73" s="37"/>
      <c r="BT73" s="100">
        <f t="shared" ca="1" si="355"/>
        <v>60390.068450624145</v>
      </c>
      <c r="BU73" s="102">
        <f t="shared" ca="1" si="356"/>
        <v>2.3740701817239125</v>
      </c>
      <c r="BV73" s="102">
        <f t="shared" ca="1" si="285"/>
        <v>3.3697403141599054</v>
      </c>
      <c r="BW73" s="100">
        <f t="shared" ca="1" si="286"/>
        <v>43949.77</v>
      </c>
      <c r="BX73" s="100">
        <f t="shared" ca="1" si="287"/>
        <v>104339.83845062414</v>
      </c>
      <c r="BY73" s="100">
        <f t="shared" ca="1" si="288"/>
        <v>98672.298370624136</v>
      </c>
      <c r="BZ73" s="100">
        <f t="shared" ca="1" si="289"/>
        <v>5667.5400799999998</v>
      </c>
      <c r="CA73" s="100">
        <f t="shared" ca="1" si="290"/>
        <v>43949.77</v>
      </c>
      <c r="CB73" s="37"/>
      <c r="CC73" s="100">
        <f t="shared" ca="1" si="357"/>
        <v>36458.615083504999</v>
      </c>
      <c r="CD73" s="102">
        <f t="shared" ca="1" si="358"/>
        <v>7.4328817386157766</v>
      </c>
      <c r="CE73" s="103">
        <f t="shared" ca="1" si="291"/>
        <v>-0.1377327802461101</v>
      </c>
      <c r="CF73" s="100">
        <f t="shared" ca="1" si="292"/>
        <v>5667.5400799999998</v>
      </c>
      <c r="CG73" s="100">
        <f t="shared" ca="1" si="293"/>
        <v>42126.155163504998</v>
      </c>
      <c r="CH73" s="100">
        <f t="shared" ca="1" si="294"/>
        <v>39961.92548038243</v>
      </c>
      <c r="CI73" s="100">
        <f t="shared" ca="1" si="382"/>
        <v>2164.2296831225649</v>
      </c>
      <c r="CJ73" s="100">
        <f t="shared" ca="1" si="383"/>
        <v>5667.5400799999998</v>
      </c>
      <c r="CK73" s="100">
        <f t="shared" si="295"/>
        <v>0</v>
      </c>
      <c r="CL73" s="37"/>
      <c r="CM73" s="100">
        <f t="shared" ca="1" si="359"/>
        <v>-62213.683287119144</v>
      </c>
      <c r="CN73" s="102">
        <f t="shared" ca="1" si="360"/>
        <v>0.40373989253816989</v>
      </c>
      <c r="CO73" s="128"/>
      <c r="CP73" s="100">
        <f t="shared" ca="1" si="296"/>
        <v>104339.83845062414</v>
      </c>
      <c r="CQ73" s="100">
        <f t="shared" ca="1" si="297"/>
        <v>42126.155163504998</v>
      </c>
      <c r="CR73" s="100">
        <f t="shared" ca="1" si="298"/>
        <v>39961.92548038243</v>
      </c>
      <c r="CS73" s="100">
        <f t="shared" ca="1" si="384"/>
        <v>2164.2296831225649</v>
      </c>
      <c r="CT73" s="100">
        <f t="shared" ca="1" si="299"/>
        <v>98672.298370624136</v>
      </c>
      <c r="CU73" s="100">
        <f t="shared" ca="1" si="300"/>
        <v>5667.5400799999998</v>
      </c>
      <c r="CV73" s="100">
        <f t="shared" si="301"/>
        <v>0</v>
      </c>
      <c r="CW73" s="37"/>
      <c r="CX73" s="48">
        <f t="shared" ca="1" si="378"/>
        <v>144470.96</v>
      </c>
      <c r="CY73" s="48">
        <f t="shared" ca="1" si="378"/>
        <v>144470.96</v>
      </c>
      <c r="CZ73" s="48">
        <f t="shared" ca="1" si="378"/>
        <v>144470.96</v>
      </c>
      <c r="DA73" s="48">
        <f t="shared" ca="1" si="378"/>
        <v>144470.96</v>
      </c>
      <c r="DB73" s="48">
        <f t="shared" ca="1" si="378"/>
        <v>144470.96</v>
      </c>
      <c r="DC73" s="48">
        <f t="shared" ca="1" si="378"/>
        <v>144470.96</v>
      </c>
      <c r="DD73" s="48">
        <f t="shared" ca="1" si="378"/>
        <v>144470.96</v>
      </c>
      <c r="DE73" s="48">
        <f t="shared" ca="1" si="378"/>
        <v>144470.96</v>
      </c>
      <c r="DF73" s="48">
        <f t="shared" ca="1" si="378"/>
        <v>0</v>
      </c>
      <c r="DG73" s="48">
        <f t="shared" ca="1" si="378"/>
        <v>0</v>
      </c>
      <c r="DH73" s="48">
        <f t="shared" ca="1" si="378"/>
        <v>0</v>
      </c>
      <c r="DI73" s="48">
        <f t="shared" ca="1" si="378"/>
        <v>0</v>
      </c>
      <c r="DJ73" s="48">
        <f t="shared" ca="1" si="378"/>
        <v>0</v>
      </c>
      <c r="DK73" s="48">
        <f t="shared" ca="1" si="378"/>
        <v>0</v>
      </c>
      <c r="DL73" s="48">
        <f t="shared" ca="1" si="378"/>
        <v>0</v>
      </c>
      <c r="DM73" s="48">
        <f t="shared" ca="1" si="372"/>
        <v>0</v>
      </c>
      <c r="DN73" s="48">
        <f t="shared" ca="1" si="372"/>
        <v>0</v>
      </c>
      <c r="DO73" s="48">
        <f t="shared" ca="1" si="372"/>
        <v>0</v>
      </c>
      <c r="DP73" s="48">
        <f t="shared" ca="1" si="372"/>
        <v>0</v>
      </c>
      <c r="DQ73" s="48">
        <f t="shared" ca="1" si="372"/>
        <v>0</v>
      </c>
      <c r="DR73" s="48">
        <f t="shared" ca="1" si="372"/>
        <v>0</v>
      </c>
      <c r="DS73" s="48">
        <f t="shared" ca="1" si="372"/>
        <v>0</v>
      </c>
      <c r="DT73" s="48">
        <f t="shared" ca="1" si="372"/>
        <v>0</v>
      </c>
      <c r="DU73" s="48">
        <f t="shared" ca="1" si="372"/>
        <v>0</v>
      </c>
      <c r="DV73" s="48">
        <f t="shared" ca="1" si="372"/>
        <v>0</v>
      </c>
      <c r="DW73" s="48">
        <f t="shared" ca="1" si="372"/>
        <v>0</v>
      </c>
      <c r="DX73" s="48">
        <f t="shared" ca="1" si="372"/>
        <v>0</v>
      </c>
      <c r="DY73" s="48">
        <f t="shared" ca="1" si="372"/>
        <v>0</v>
      </c>
      <c r="DZ73" s="48">
        <f t="shared" ca="1" si="372"/>
        <v>0</v>
      </c>
      <c r="EA73" s="48">
        <f t="shared" ref="EA73:EP89" ca="1" si="385">IF(AND($H73&lt;=EA$9,$H73+$AG73&gt;EA$9),IF(AND($H73+$AH73&lt;=EA$9,$AH73&gt;0),$W73,$S73),0)</f>
        <v>0</v>
      </c>
      <c r="EB73" s="48">
        <f t="shared" ca="1" si="385"/>
        <v>0</v>
      </c>
      <c r="EC73" s="48">
        <f t="shared" ca="1" si="373"/>
        <v>0</v>
      </c>
      <c r="ED73" s="48">
        <f t="shared" ca="1" si="373"/>
        <v>0</v>
      </c>
      <c r="EE73" s="48">
        <f t="shared" ca="1" si="373"/>
        <v>0</v>
      </c>
      <c r="EF73" s="48">
        <f t="shared" ca="1" si="373"/>
        <v>0</v>
      </c>
      <c r="EG73" s="48">
        <f t="shared" ca="1" si="373"/>
        <v>0</v>
      </c>
      <c r="EH73" s="48">
        <f t="shared" ca="1" si="373"/>
        <v>0</v>
      </c>
      <c r="EI73" s="48">
        <f t="shared" ca="1" si="373"/>
        <v>0</v>
      </c>
      <c r="EJ73" s="48">
        <f t="shared" ca="1" si="373"/>
        <v>0</v>
      </c>
      <c r="EK73" s="48">
        <f t="shared" ca="1" si="373"/>
        <v>0</v>
      </c>
      <c r="EL73" s="48">
        <f t="shared" ca="1" si="373"/>
        <v>0</v>
      </c>
      <c r="EM73" s="48">
        <f t="shared" ca="1" si="373"/>
        <v>0</v>
      </c>
      <c r="EN73" s="48">
        <f t="shared" ca="1" si="373"/>
        <v>0</v>
      </c>
      <c r="EO73" s="48">
        <f t="shared" ca="1" si="373"/>
        <v>0</v>
      </c>
      <c r="EP73" s="48">
        <f t="shared" ca="1" si="373"/>
        <v>0</v>
      </c>
      <c r="EQ73" s="48">
        <f t="shared" ref="EQ73:ER97" ca="1" si="386">IF(AND($H73&lt;=EQ$9,$H73+$AG73&gt;EQ$9),IF(AND($H73+$AH73&lt;=EQ$9,$AH73&gt;0),$W73,$S73),0)</f>
        <v>0</v>
      </c>
      <c r="ER73" s="48">
        <f t="shared" ca="1" si="386"/>
        <v>0</v>
      </c>
      <c r="ES73" s="48">
        <f t="shared" ca="1" si="374"/>
        <v>0</v>
      </c>
      <c r="ET73" s="48">
        <f t="shared" ca="1" si="364"/>
        <v>0</v>
      </c>
      <c r="EU73" s="48">
        <f t="shared" ca="1" si="364"/>
        <v>0</v>
      </c>
      <c r="EV73" s="48">
        <f t="shared" ca="1" si="364"/>
        <v>0</v>
      </c>
      <c r="EW73" s="48">
        <f t="shared" ca="1" si="364"/>
        <v>0</v>
      </c>
      <c r="EX73" s="48">
        <f t="shared" ca="1" si="364"/>
        <v>0</v>
      </c>
      <c r="EY73" s="69"/>
      <c r="EZ73" s="48">
        <f t="shared" ca="1" si="379"/>
        <v>20.802492999999998</v>
      </c>
      <c r="FA73" s="48">
        <f t="shared" ca="1" si="379"/>
        <v>20.802492999999998</v>
      </c>
      <c r="FB73" s="48">
        <f t="shared" ca="1" si="379"/>
        <v>20.802492999999998</v>
      </c>
      <c r="FC73" s="48">
        <f t="shared" ca="1" si="379"/>
        <v>20.802492999999998</v>
      </c>
      <c r="FD73" s="48">
        <f t="shared" ca="1" si="379"/>
        <v>20.802492999999998</v>
      </c>
      <c r="FE73" s="48">
        <f t="shared" ca="1" si="379"/>
        <v>20.802492999999998</v>
      </c>
      <c r="FF73" s="48">
        <f t="shared" ca="1" si="379"/>
        <v>20.802492999999998</v>
      </c>
      <c r="FG73" s="48">
        <f t="shared" ca="1" si="379"/>
        <v>20.802492999999998</v>
      </c>
      <c r="FH73" s="48">
        <f t="shared" ca="1" si="379"/>
        <v>0</v>
      </c>
      <c r="FI73" s="48">
        <f t="shared" ca="1" si="379"/>
        <v>0</v>
      </c>
      <c r="FJ73" s="48">
        <f t="shared" ca="1" si="379"/>
        <v>0</v>
      </c>
      <c r="FK73" s="48">
        <f t="shared" ca="1" si="379"/>
        <v>0</v>
      </c>
      <c r="FL73" s="48">
        <f t="shared" ca="1" si="379"/>
        <v>0</v>
      </c>
      <c r="FM73" s="48">
        <f t="shared" ca="1" si="379"/>
        <v>0</v>
      </c>
      <c r="FN73" s="48">
        <f t="shared" ca="1" si="379"/>
        <v>0</v>
      </c>
      <c r="FO73" s="48">
        <f t="shared" ca="1" si="375"/>
        <v>0</v>
      </c>
      <c r="FP73" s="48">
        <f t="shared" ca="1" si="375"/>
        <v>0</v>
      </c>
      <c r="FQ73" s="48">
        <f t="shared" ca="1" si="375"/>
        <v>0</v>
      </c>
      <c r="FR73" s="48">
        <f t="shared" ca="1" si="375"/>
        <v>0</v>
      </c>
      <c r="FS73" s="48">
        <f t="shared" ca="1" si="375"/>
        <v>0</v>
      </c>
      <c r="FT73" s="48">
        <f t="shared" ca="1" si="375"/>
        <v>0</v>
      </c>
      <c r="FU73" s="48">
        <f t="shared" ca="1" si="375"/>
        <v>0</v>
      </c>
      <c r="FV73" s="48">
        <f t="shared" ca="1" si="375"/>
        <v>0</v>
      </c>
      <c r="FW73" s="48">
        <f t="shared" ca="1" si="375"/>
        <v>0</v>
      </c>
      <c r="FX73" s="48">
        <f t="shared" ca="1" si="375"/>
        <v>0</v>
      </c>
      <c r="FY73" s="48">
        <f t="shared" ca="1" si="375"/>
        <v>0</v>
      </c>
      <c r="FZ73" s="48">
        <f t="shared" ca="1" si="375"/>
        <v>0</v>
      </c>
      <c r="GA73" s="48">
        <f t="shared" ca="1" si="375"/>
        <v>0</v>
      </c>
      <c r="GB73" s="48">
        <f t="shared" ca="1" si="375"/>
        <v>0</v>
      </c>
      <c r="GC73" s="48">
        <f t="shared" ref="GC73:GR89" ca="1" si="387">IF(AND($H73&lt;=GC$9,$H73+$AG73&gt;GC$9),IF(AND($H73+$AH73&lt;=GC$9,$AH73&gt;0),$AE73,$AA73),0)</f>
        <v>0</v>
      </c>
      <c r="GD73" s="48">
        <f t="shared" ca="1" si="387"/>
        <v>0</v>
      </c>
      <c r="GE73" s="48">
        <f t="shared" ca="1" si="376"/>
        <v>0</v>
      </c>
      <c r="GF73" s="48">
        <f t="shared" ca="1" si="376"/>
        <v>0</v>
      </c>
      <c r="GG73" s="48">
        <f t="shared" ca="1" si="376"/>
        <v>0</v>
      </c>
      <c r="GH73" s="48">
        <f t="shared" ca="1" si="376"/>
        <v>0</v>
      </c>
      <c r="GI73" s="48">
        <f t="shared" ca="1" si="376"/>
        <v>0</v>
      </c>
      <c r="GJ73" s="48">
        <f t="shared" ca="1" si="376"/>
        <v>0</v>
      </c>
      <c r="GK73" s="48">
        <f t="shared" ca="1" si="376"/>
        <v>0</v>
      </c>
      <c r="GL73" s="48">
        <f t="shared" ca="1" si="376"/>
        <v>0</v>
      </c>
      <c r="GM73" s="48">
        <f t="shared" ca="1" si="376"/>
        <v>0</v>
      </c>
      <c r="GN73" s="48">
        <f t="shared" ca="1" si="376"/>
        <v>0</v>
      </c>
      <c r="GO73" s="48">
        <f t="shared" ca="1" si="376"/>
        <v>0</v>
      </c>
      <c r="GP73" s="48">
        <f t="shared" ca="1" si="376"/>
        <v>0</v>
      </c>
      <c r="GQ73" s="48">
        <f t="shared" ca="1" si="376"/>
        <v>0</v>
      </c>
      <c r="GR73" s="48">
        <f t="shared" ca="1" si="376"/>
        <v>0</v>
      </c>
      <c r="GS73" s="48">
        <f t="shared" ref="GS73:GT97" ca="1" si="388">IF(AND($H73&lt;=GS$9,$H73+$AG73&gt;GS$9),IF(AND($H73+$AH73&lt;=GS$9,$AH73&gt;0),$AE73,$AA73),0)</f>
        <v>0</v>
      </c>
      <c r="GT73" s="48">
        <f t="shared" ca="1" si="388"/>
        <v>0</v>
      </c>
      <c r="GU73" s="48">
        <f t="shared" ca="1" si="377"/>
        <v>0</v>
      </c>
      <c r="GV73" s="48">
        <f t="shared" ca="1" si="368"/>
        <v>0</v>
      </c>
      <c r="GW73" s="48">
        <f t="shared" ca="1" si="368"/>
        <v>0</v>
      </c>
      <c r="GX73" s="48">
        <f t="shared" ca="1" si="368"/>
        <v>0</v>
      </c>
      <c r="GY73" s="48">
        <f t="shared" ca="1" si="368"/>
        <v>0</v>
      </c>
      <c r="GZ73" s="48">
        <f t="shared" ca="1" si="368"/>
        <v>0</v>
      </c>
      <c r="HA73" s="69"/>
      <c r="HB73" s="150">
        <f t="shared" ca="1" si="380"/>
        <v>0.95850684004728581</v>
      </c>
      <c r="HC73" s="150">
        <f t="shared" ca="1" si="369"/>
        <v>7.4328817386157766</v>
      </c>
      <c r="HD73" s="150">
        <f t="shared" ca="1" si="381"/>
        <v>1.1962753599634512</v>
      </c>
      <c r="HE73" s="150">
        <f t="shared" ca="1" si="370"/>
        <v>2.3740701817239125</v>
      </c>
      <c r="HF73" s="150">
        <f t="shared" ca="1" si="371"/>
        <v>0.40373989253816989</v>
      </c>
      <c r="HG73" s="148"/>
      <c r="HH73" s="149"/>
      <c r="HI73" s="149"/>
      <c r="HJ73" s="149"/>
      <c r="HK73" s="150"/>
      <c r="HL73" s="149"/>
      <c r="HM73" s="149"/>
      <c r="HN73" s="149"/>
      <c r="HO73" s="150"/>
      <c r="HP73" s="148"/>
      <c r="HQ73" s="149"/>
      <c r="HR73" s="149"/>
      <c r="HS73" s="149"/>
      <c r="HT73" s="150"/>
      <c r="HU73" s="149"/>
      <c r="HV73" s="149"/>
      <c r="HW73" s="149"/>
      <c r="HX73" s="150"/>
      <c r="HY73" s="151"/>
      <c r="HZ73" s="150"/>
      <c r="IA73" s="150"/>
      <c r="IB73" s="152"/>
      <c r="IC73" s="150"/>
      <c r="ID73" s="152"/>
      <c r="IE73" s="150"/>
      <c r="IF73" s="153"/>
    </row>
    <row r="74" spans="1:240" s="36" customFormat="1" ht="14.4" customHeight="1">
      <c r="A74" s="39"/>
      <c r="B74" s="50" t="str">
        <f t="shared" si="340"/>
        <v>C&amp;I_C&amp;I Prescriptive_Lighting_Energy Star LED Lamp (&gt;10W)_2017_Actual</v>
      </c>
      <c r="C74" s="50">
        <f>INDEX('Measure Inputs'!$D:$D,MATCH($B74,'Measure Inputs'!$B:$B,0))</f>
        <v>40</v>
      </c>
      <c r="D74" s="51" t="str">
        <f>'Measure Inputs'!G46</f>
        <v>C&amp;I</v>
      </c>
      <c r="E74" s="51" t="str">
        <f>'Measure Inputs'!H46</f>
        <v>C&amp;I Prescriptive</v>
      </c>
      <c r="F74" s="51" t="str">
        <f>'Measure Inputs'!I46</f>
        <v>Lighting</v>
      </c>
      <c r="G74" s="51" t="str">
        <f>'Measure Inputs'!J46</f>
        <v>Energy Star LED Lamp (&gt;10W)</v>
      </c>
      <c r="H74" s="51">
        <f>'Measure Inputs'!K46</f>
        <v>2017</v>
      </c>
      <c r="I74" s="51" t="str">
        <f>'Measure Inputs'!L46</f>
        <v>Actual</v>
      </c>
      <c r="J74" s="37"/>
      <c r="K74" s="99" t="str">
        <f ca="1">INDEX(OFFSET('Measure Inputs'!$O$7,,,InputRows),$C74)</f>
        <v>Units</v>
      </c>
      <c r="L74" s="38">
        <f ca="1">INDEX(OFFSET('Measure Inputs'!$Q$7,,,InputRows),$C74)</f>
        <v>924</v>
      </c>
      <c r="M74" s="167">
        <f>INDEX('General Inputs'!$E$14:$E$15,MATCH(D74,'General Inputs'!$D$14:$D$15,0))</f>
        <v>1.0469999999999999</v>
      </c>
      <c r="N74" s="54">
        <f ca="1">INDEX(OFFSET('Measure Inputs'!$Y$7,,,InputRows),$C74)</f>
        <v>1</v>
      </c>
      <c r="O74" s="54">
        <f ca="1">INDEX(OFFSET('Measure Inputs'!$Z$7,,,InputRows),$C74)</f>
        <v>1</v>
      </c>
      <c r="P74" s="37"/>
      <c r="Q74" s="127">
        <f ca="1">CONVERT(INDEX(OFFSET('Measure Inputs'!$AB$7,,,InputRows),$C74),'Measure Inputs'!$AB$6,Q$8)*$L74</f>
        <v>169635.77899999998</v>
      </c>
      <c r="R74" s="127">
        <f t="shared" ca="1" si="341"/>
        <v>169635.77899999998</v>
      </c>
      <c r="S74" s="127">
        <f t="shared" ca="1" si="342"/>
        <v>169635.77899999998</v>
      </c>
      <c r="T74" s="37"/>
      <c r="U74" s="127">
        <f ca="1">CONVERT(INDEX(OFFSET('Measure Inputs'!$AD$7,,,InputRows),$C74),'Measure Inputs'!$AD$6,U$8)*$L74</f>
        <v>0</v>
      </c>
      <c r="V74" s="127">
        <f t="shared" ca="1" si="343"/>
        <v>0</v>
      </c>
      <c r="W74" s="127">
        <f t="shared" ca="1" si="344"/>
        <v>0</v>
      </c>
      <c r="X74" s="37"/>
      <c r="Y74" s="127">
        <f ca="1">CONVERT(INDEX(OFFSET('Measure Inputs'!$AC$7,,,InputRows),$C74),'Measure Inputs'!$AC$6,Y$8)*$L74</f>
        <v>34.859540000000003</v>
      </c>
      <c r="Z74" s="127">
        <f t="shared" ca="1" si="345"/>
        <v>34.859540000000003</v>
      </c>
      <c r="AA74" s="127">
        <f t="shared" ca="1" si="346"/>
        <v>34.859540000000003</v>
      </c>
      <c r="AB74" s="37"/>
      <c r="AC74" s="127">
        <f ca="1">CONVERT(INDEX(OFFSET('Measure Inputs'!$AE$7,,,InputRows),$C74),'Measure Inputs'!$AE$6,AC$8)*$L74</f>
        <v>0</v>
      </c>
      <c r="AD74" s="127">
        <f t="shared" ca="1" si="347"/>
        <v>0</v>
      </c>
      <c r="AE74" s="127">
        <f t="shared" ca="1" si="348"/>
        <v>0</v>
      </c>
      <c r="AF74" s="37"/>
      <c r="AG74" s="97">
        <f ca="1">INDEX(OFFSET('Measure Inputs'!$R$7,,,InputRows),$C74)</f>
        <v>8</v>
      </c>
      <c r="AH74" s="97">
        <f ca="1">INDEX(OFFSET('Measure Inputs'!$S$7,,,InputRows),$C74)</f>
        <v>0</v>
      </c>
      <c r="AI74" s="97">
        <f t="shared" ca="1" si="349"/>
        <v>1357086.2319999998</v>
      </c>
      <c r="AJ74" s="100">
        <f ca="1">INDEX(OFFSET('Measure Inputs'!$T$7,,,InputRows),$C74)*$L74*$N74*$O74</f>
        <v>58175.039999999994</v>
      </c>
      <c r="AK74" s="100">
        <f ca="1">INDEX(OFFSET('Measure Inputs'!$U$7,,,InputRows),$C74)*$L74*$N74*$O74</f>
        <v>0</v>
      </c>
      <c r="AL74" s="100">
        <f ca="1">INDEX(OFFSET('Measure Inputs'!$V$7,,,InputRows),$C74)*$L74*$N74*$O74</f>
        <v>0</v>
      </c>
      <c r="AM74" s="100">
        <f ca="1">INDEX(OFFSET('Measure Inputs'!$W$7,,,InputRows),$C74)*$L74*$N74*$O74</f>
        <v>0</v>
      </c>
      <c r="AN74" s="100">
        <f ca="1">INDEX(OFFSET('Measure Inputs'!$X$7,,,InputRows),$C74)*$L74</f>
        <v>8856.18</v>
      </c>
      <c r="AO74" s="100"/>
      <c r="AP74" s="100">
        <f t="shared" ca="1" si="350"/>
        <v>8856.18</v>
      </c>
      <c r="AQ74" s="37"/>
      <c r="AR74" s="100">
        <f ca="1">SUMPRODUCT(--($CX$9:$EX$9=$H74)*$AJ74,'General Inputs'!$K$40:$BK$40)+SUMPRODUCT(--($CX$9:$EX$9=$H74+$AH74)*-$AK74,'General Inputs'!$K$43:$BK$43)</f>
        <v>58175.039999999994</v>
      </c>
      <c r="AS74" s="100">
        <f ca="1">CONVERT(SUMPRODUCT($CX74:$EX74,'General Inputs'!$K$29:$BK$29,'General Inputs'!$K$40:$BK$40)*$M74,$Q$8,'General Inputs'!$E$17)</f>
        <v>12270.093152706308</v>
      </c>
      <c r="AT74" s="100">
        <f ca="1">SUMPRODUCT(--($CX$9:$EX$9=$H74)*$AN74,'General Inputs'!$K$40:$BK$40)</f>
        <v>8856.18</v>
      </c>
      <c r="AU74" s="100">
        <f>SUMPRODUCT(--($CX$9:$EX$9=$H74)*$AO74,'General Inputs'!$K$40:$BK$40)</f>
        <v>0</v>
      </c>
      <c r="AV74" s="100">
        <f ca="1">CONVERT(SUMPRODUCT($CX74:$EX74,'General Inputs'!$K$40:$BK$40,OFFSET('General Inputs'!$K$34:$BK$34,MATCH($D74,'General Inputs'!$J$34:$J$35,0)-1,)),$Q$8,'General Inputs'!$G$32)</f>
        <v>115859.63158146976</v>
      </c>
      <c r="AW74" s="100">
        <f ca="1">CONVERT(SUMPRODUCT($CX74:$EX74,'General Inputs'!$K$27:$BK$27,'General Inputs'!$K$40:$BK$40)*$M74,$Q$8,'General Inputs'!$E$17)</f>
        <v>46922.733532085775</v>
      </c>
      <c r="AX74" s="100">
        <f ca="1">CONVERT(SUMPRODUCT($EZ74:$GZ74,'General Inputs'!$K$28:$BK$28,'General Inputs'!$K$40:$BK$40)*$M74,$Q$8,'General Inputs'!$E$17)</f>
        <v>3626.6831676375705</v>
      </c>
      <c r="AY74" s="98">
        <f ca="1">SUMPRODUCT($CX74:$EX74,'General Inputs'!$K$40:$BK$40)</f>
        <v>1028007.6034037359</v>
      </c>
      <c r="AZ74" s="37"/>
      <c r="BA74" s="100">
        <f t="shared" ca="1" si="351"/>
        <v>-7625.6233002766458</v>
      </c>
      <c r="BB74" s="102">
        <f t="shared" ca="1" si="352"/>
        <v>0.86891932862828036</v>
      </c>
      <c r="BC74" s="100">
        <f t="shared" ca="1" si="273"/>
        <v>58175.039999999994</v>
      </c>
      <c r="BD74" s="100">
        <f t="shared" ca="1" si="274"/>
        <v>50549.416699723348</v>
      </c>
      <c r="BE74" s="100">
        <f t="shared" ca="1" si="275"/>
        <v>46922.733532085775</v>
      </c>
      <c r="BF74" s="100">
        <f t="shared" ca="1" si="276"/>
        <v>3626.6831676375705</v>
      </c>
      <c r="BG74" s="100">
        <f t="shared" si="277"/>
        <v>0</v>
      </c>
      <c r="BH74" s="100">
        <f t="shared" ca="1" si="278"/>
        <v>58175.039999999994</v>
      </c>
      <c r="BI74" s="37"/>
      <c r="BJ74" s="100">
        <f t="shared" ca="1" si="353"/>
        <v>4644.4698524296618</v>
      </c>
      <c r="BK74" s="102">
        <f t="shared" ca="1" si="354"/>
        <v>1.0798361264973717</v>
      </c>
      <c r="BL74" s="100">
        <f t="shared" ca="1" si="279"/>
        <v>58175.039999999994</v>
      </c>
      <c r="BM74" s="100">
        <f t="shared" ca="1" si="164"/>
        <v>62819.509852429655</v>
      </c>
      <c r="BN74" s="100">
        <f t="shared" ca="1" si="280"/>
        <v>46922.733532085775</v>
      </c>
      <c r="BO74" s="100">
        <f t="shared" ca="1" si="281"/>
        <v>3626.6831676375705</v>
      </c>
      <c r="BP74" s="100">
        <f t="shared" ca="1" si="282"/>
        <v>12270.093152706308</v>
      </c>
      <c r="BQ74" s="100">
        <f t="shared" si="283"/>
        <v>0</v>
      </c>
      <c r="BR74" s="100">
        <f t="shared" ca="1" si="284"/>
        <v>58175.039999999994</v>
      </c>
      <c r="BS74" s="37"/>
      <c r="BT74" s="100">
        <f t="shared" ca="1" si="355"/>
        <v>66540.771581469759</v>
      </c>
      <c r="BU74" s="102">
        <f t="shared" ca="1" si="356"/>
        <v>2.1438027645785849</v>
      </c>
      <c r="BV74" s="102">
        <f t="shared" ca="1" si="285"/>
        <v>3.7316865768538126</v>
      </c>
      <c r="BW74" s="100">
        <f t="shared" ca="1" si="286"/>
        <v>58175.039999999994</v>
      </c>
      <c r="BX74" s="100">
        <f t="shared" ca="1" si="287"/>
        <v>124715.81158146975</v>
      </c>
      <c r="BY74" s="100">
        <f t="shared" ca="1" si="288"/>
        <v>115859.63158146976</v>
      </c>
      <c r="BZ74" s="100">
        <f t="shared" ca="1" si="289"/>
        <v>8856.18</v>
      </c>
      <c r="CA74" s="100">
        <f t="shared" ca="1" si="290"/>
        <v>58175.039999999994</v>
      </c>
      <c r="CB74" s="37"/>
      <c r="CC74" s="100">
        <f t="shared" ca="1" si="357"/>
        <v>41693.236699723348</v>
      </c>
      <c r="CD74" s="102">
        <f t="shared" ca="1" si="358"/>
        <v>5.7078127025109406</v>
      </c>
      <c r="CE74" s="103">
        <f t="shared" ca="1" si="291"/>
        <v>-0.18329568874611221</v>
      </c>
      <c r="CF74" s="100">
        <f t="shared" ca="1" si="292"/>
        <v>8856.18</v>
      </c>
      <c r="CG74" s="100">
        <f t="shared" ca="1" si="293"/>
        <v>50549.416699723348</v>
      </c>
      <c r="CH74" s="100">
        <f t="shared" ca="1" si="294"/>
        <v>46922.733532085775</v>
      </c>
      <c r="CI74" s="100">
        <f t="shared" ca="1" si="382"/>
        <v>3626.6831676375705</v>
      </c>
      <c r="CJ74" s="100">
        <f t="shared" ca="1" si="383"/>
        <v>8856.18</v>
      </c>
      <c r="CK74" s="100">
        <f t="shared" si="295"/>
        <v>0</v>
      </c>
      <c r="CL74" s="37"/>
      <c r="CM74" s="100">
        <f t="shared" ca="1" si="359"/>
        <v>-74166.394881746412</v>
      </c>
      <c r="CN74" s="102">
        <f t="shared" ca="1" si="360"/>
        <v>0.40531682437637256</v>
      </c>
      <c r="CO74" s="128"/>
      <c r="CP74" s="100">
        <f t="shared" ca="1" si="296"/>
        <v>124715.81158146975</v>
      </c>
      <c r="CQ74" s="100">
        <f t="shared" ca="1" si="297"/>
        <v>50549.416699723348</v>
      </c>
      <c r="CR74" s="100">
        <f t="shared" ca="1" si="298"/>
        <v>46922.733532085775</v>
      </c>
      <c r="CS74" s="100">
        <f t="shared" ca="1" si="384"/>
        <v>3626.6831676375705</v>
      </c>
      <c r="CT74" s="100">
        <f t="shared" ca="1" si="299"/>
        <v>115859.63158146976</v>
      </c>
      <c r="CU74" s="100">
        <f t="shared" ca="1" si="300"/>
        <v>8856.18</v>
      </c>
      <c r="CV74" s="100">
        <f t="shared" si="301"/>
        <v>0</v>
      </c>
      <c r="CW74" s="37"/>
      <c r="CX74" s="48">
        <f t="shared" ca="1" si="378"/>
        <v>169635.77899999998</v>
      </c>
      <c r="CY74" s="48">
        <f t="shared" ca="1" si="378"/>
        <v>169635.77899999998</v>
      </c>
      <c r="CZ74" s="48">
        <f t="shared" ca="1" si="378"/>
        <v>169635.77899999998</v>
      </c>
      <c r="DA74" s="48">
        <f t="shared" ca="1" si="378"/>
        <v>169635.77899999998</v>
      </c>
      <c r="DB74" s="48">
        <f t="shared" ca="1" si="378"/>
        <v>169635.77899999998</v>
      </c>
      <c r="DC74" s="48">
        <f t="shared" ca="1" si="378"/>
        <v>169635.77899999998</v>
      </c>
      <c r="DD74" s="48">
        <f t="shared" ca="1" si="378"/>
        <v>169635.77899999998</v>
      </c>
      <c r="DE74" s="48">
        <f t="shared" ca="1" si="378"/>
        <v>169635.77899999998</v>
      </c>
      <c r="DF74" s="48">
        <f t="shared" ca="1" si="378"/>
        <v>0</v>
      </c>
      <c r="DG74" s="48">
        <f t="shared" ca="1" si="378"/>
        <v>0</v>
      </c>
      <c r="DH74" s="48">
        <f t="shared" ca="1" si="378"/>
        <v>0</v>
      </c>
      <c r="DI74" s="48">
        <f t="shared" ca="1" si="378"/>
        <v>0</v>
      </c>
      <c r="DJ74" s="48">
        <f t="shared" ca="1" si="378"/>
        <v>0</v>
      </c>
      <c r="DK74" s="48">
        <f t="shared" ca="1" si="378"/>
        <v>0</v>
      </c>
      <c r="DL74" s="48">
        <f t="shared" ca="1" si="378"/>
        <v>0</v>
      </c>
      <c r="DM74" s="48">
        <f t="shared" ref="DM74:EB91" ca="1" si="389">IF(AND($H74&lt;=DM$9,$H74+$AG74&gt;DM$9),IF(AND($H74+$AH74&lt;=DM$9,$AH74&gt;0),$W74,$S74),0)</f>
        <v>0</v>
      </c>
      <c r="DN74" s="48">
        <f t="shared" ca="1" si="389"/>
        <v>0</v>
      </c>
      <c r="DO74" s="48">
        <f t="shared" ca="1" si="389"/>
        <v>0</v>
      </c>
      <c r="DP74" s="48">
        <f t="shared" ca="1" si="389"/>
        <v>0</v>
      </c>
      <c r="DQ74" s="48">
        <f t="shared" ca="1" si="389"/>
        <v>0</v>
      </c>
      <c r="DR74" s="48">
        <f t="shared" ca="1" si="389"/>
        <v>0</v>
      </c>
      <c r="DS74" s="48">
        <f t="shared" ca="1" si="389"/>
        <v>0</v>
      </c>
      <c r="DT74" s="48">
        <f t="shared" ca="1" si="389"/>
        <v>0</v>
      </c>
      <c r="DU74" s="48">
        <f t="shared" ca="1" si="389"/>
        <v>0</v>
      </c>
      <c r="DV74" s="48">
        <f t="shared" ca="1" si="389"/>
        <v>0</v>
      </c>
      <c r="DW74" s="48">
        <f t="shared" ca="1" si="389"/>
        <v>0</v>
      </c>
      <c r="DX74" s="48">
        <f t="shared" ca="1" si="389"/>
        <v>0</v>
      </c>
      <c r="DY74" s="48">
        <f t="shared" ca="1" si="389"/>
        <v>0</v>
      </c>
      <c r="DZ74" s="48">
        <f t="shared" ca="1" si="389"/>
        <v>0</v>
      </c>
      <c r="EA74" s="48">
        <f t="shared" ca="1" si="385"/>
        <v>0</v>
      </c>
      <c r="EB74" s="48">
        <f t="shared" ca="1" si="385"/>
        <v>0</v>
      </c>
      <c r="EC74" s="48">
        <f t="shared" ca="1" si="385"/>
        <v>0</v>
      </c>
      <c r="ED74" s="48">
        <f t="shared" ca="1" si="385"/>
        <v>0</v>
      </c>
      <c r="EE74" s="48">
        <f t="shared" ca="1" si="385"/>
        <v>0</v>
      </c>
      <c r="EF74" s="48">
        <f t="shared" ca="1" si="385"/>
        <v>0</v>
      </c>
      <c r="EG74" s="48">
        <f t="shared" ca="1" si="385"/>
        <v>0</v>
      </c>
      <c r="EH74" s="48">
        <f t="shared" ca="1" si="385"/>
        <v>0</v>
      </c>
      <c r="EI74" s="48">
        <f t="shared" ca="1" si="385"/>
        <v>0</v>
      </c>
      <c r="EJ74" s="48">
        <f t="shared" ca="1" si="385"/>
        <v>0</v>
      </c>
      <c r="EK74" s="48">
        <f t="shared" ca="1" si="385"/>
        <v>0</v>
      </c>
      <c r="EL74" s="48">
        <f t="shared" ca="1" si="385"/>
        <v>0</v>
      </c>
      <c r="EM74" s="48">
        <f t="shared" ca="1" si="385"/>
        <v>0</v>
      </c>
      <c r="EN74" s="48">
        <f t="shared" ca="1" si="385"/>
        <v>0</v>
      </c>
      <c r="EO74" s="48">
        <f t="shared" ca="1" si="385"/>
        <v>0</v>
      </c>
      <c r="EP74" s="48">
        <f t="shared" ca="1" si="385"/>
        <v>0</v>
      </c>
      <c r="EQ74" s="48">
        <f t="shared" ca="1" si="386"/>
        <v>0</v>
      </c>
      <c r="ER74" s="48">
        <f t="shared" ca="1" si="386"/>
        <v>0</v>
      </c>
      <c r="ES74" s="48">
        <f t="shared" ca="1" si="374"/>
        <v>0</v>
      </c>
      <c r="ET74" s="48">
        <f t="shared" ca="1" si="364"/>
        <v>0</v>
      </c>
      <c r="EU74" s="48">
        <f t="shared" ca="1" si="364"/>
        <v>0</v>
      </c>
      <c r="EV74" s="48">
        <f t="shared" ca="1" si="364"/>
        <v>0</v>
      </c>
      <c r="EW74" s="48">
        <f t="shared" ca="1" si="364"/>
        <v>0</v>
      </c>
      <c r="EX74" s="48">
        <f t="shared" ca="1" si="364"/>
        <v>0</v>
      </c>
      <c r="EY74" s="69"/>
      <c r="EZ74" s="48">
        <f t="shared" ca="1" si="379"/>
        <v>34.859540000000003</v>
      </c>
      <c r="FA74" s="48">
        <f t="shared" ca="1" si="379"/>
        <v>34.859540000000003</v>
      </c>
      <c r="FB74" s="48">
        <f t="shared" ca="1" si="379"/>
        <v>34.859540000000003</v>
      </c>
      <c r="FC74" s="48">
        <f t="shared" ca="1" si="379"/>
        <v>34.859540000000003</v>
      </c>
      <c r="FD74" s="48">
        <f t="shared" ca="1" si="379"/>
        <v>34.859540000000003</v>
      </c>
      <c r="FE74" s="48">
        <f t="shared" ca="1" si="379"/>
        <v>34.859540000000003</v>
      </c>
      <c r="FF74" s="48">
        <f t="shared" ca="1" si="379"/>
        <v>34.859540000000003</v>
      </c>
      <c r="FG74" s="48">
        <f t="shared" ca="1" si="379"/>
        <v>34.859540000000003</v>
      </c>
      <c r="FH74" s="48">
        <f t="shared" ca="1" si="379"/>
        <v>0</v>
      </c>
      <c r="FI74" s="48">
        <f t="shared" ca="1" si="379"/>
        <v>0</v>
      </c>
      <c r="FJ74" s="48">
        <f t="shared" ca="1" si="379"/>
        <v>0</v>
      </c>
      <c r="FK74" s="48">
        <f t="shared" ca="1" si="379"/>
        <v>0</v>
      </c>
      <c r="FL74" s="48">
        <f t="shared" ca="1" si="379"/>
        <v>0</v>
      </c>
      <c r="FM74" s="48">
        <f t="shared" ca="1" si="379"/>
        <v>0</v>
      </c>
      <c r="FN74" s="48">
        <f t="shared" ca="1" si="379"/>
        <v>0</v>
      </c>
      <c r="FO74" s="48">
        <f t="shared" ref="FO74:GD91" ca="1" si="390">IF(AND($H74&lt;=FO$9,$H74+$AG74&gt;FO$9),IF(AND($H74+$AH74&lt;=FO$9,$AH74&gt;0),$AE74,$AA74),0)</f>
        <v>0</v>
      </c>
      <c r="FP74" s="48">
        <f t="shared" ca="1" si="390"/>
        <v>0</v>
      </c>
      <c r="FQ74" s="48">
        <f t="shared" ca="1" si="390"/>
        <v>0</v>
      </c>
      <c r="FR74" s="48">
        <f t="shared" ca="1" si="390"/>
        <v>0</v>
      </c>
      <c r="FS74" s="48">
        <f t="shared" ca="1" si="390"/>
        <v>0</v>
      </c>
      <c r="FT74" s="48">
        <f t="shared" ca="1" si="390"/>
        <v>0</v>
      </c>
      <c r="FU74" s="48">
        <f t="shared" ca="1" si="390"/>
        <v>0</v>
      </c>
      <c r="FV74" s="48">
        <f t="shared" ca="1" si="390"/>
        <v>0</v>
      </c>
      <c r="FW74" s="48">
        <f t="shared" ca="1" si="390"/>
        <v>0</v>
      </c>
      <c r="FX74" s="48">
        <f t="shared" ca="1" si="390"/>
        <v>0</v>
      </c>
      <c r="FY74" s="48">
        <f t="shared" ca="1" si="390"/>
        <v>0</v>
      </c>
      <c r="FZ74" s="48">
        <f t="shared" ca="1" si="390"/>
        <v>0</v>
      </c>
      <c r="GA74" s="48">
        <f t="shared" ca="1" si="390"/>
        <v>0</v>
      </c>
      <c r="GB74" s="48">
        <f t="shared" ca="1" si="390"/>
        <v>0</v>
      </c>
      <c r="GC74" s="48">
        <f t="shared" ca="1" si="387"/>
        <v>0</v>
      </c>
      <c r="GD74" s="48">
        <f t="shared" ca="1" si="387"/>
        <v>0</v>
      </c>
      <c r="GE74" s="48">
        <f t="shared" ca="1" si="387"/>
        <v>0</v>
      </c>
      <c r="GF74" s="48">
        <f t="shared" ca="1" si="387"/>
        <v>0</v>
      </c>
      <c r="GG74" s="48">
        <f t="shared" ca="1" si="387"/>
        <v>0</v>
      </c>
      <c r="GH74" s="48">
        <f t="shared" ca="1" si="387"/>
        <v>0</v>
      </c>
      <c r="GI74" s="48">
        <f t="shared" ca="1" si="387"/>
        <v>0</v>
      </c>
      <c r="GJ74" s="48">
        <f t="shared" ca="1" si="387"/>
        <v>0</v>
      </c>
      <c r="GK74" s="48">
        <f t="shared" ca="1" si="387"/>
        <v>0</v>
      </c>
      <c r="GL74" s="48">
        <f t="shared" ca="1" si="387"/>
        <v>0</v>
      </c>
      <c r="GM74" s="48">
        <f t="shared" ca="1" si="387"/>
        <v>0</v>
      </c>
      <c r="GN74" s="48">
        <f t="shared" ca="1" si="387"/>
        <v>0</v>
      </c>
      <c r="GO74" s="48">
        <f t="shared" ca="1" si="387"/>
        <v>0</v>
      </c>
      <c r="GP74" s="48">
        <f t="shared" ca="1" si="387"/>
        <v>0</v>
      </c>
      <c r="GQ74" s="48">
        <f t="shared" ca="1" si="387"/>
        <v>0</v>
      </c>
      <c r="GR74" s="48">
        <f t="shared" ca="1" si="387"/>
        <v>0</v>
      </c>
      <c r="GS74" s="48">
        <f t="shared" ca="1" si="388"/>
        <v>0</v>
      </c>
      <c r="GT74" s="48">
        <f t="shared" ca="1" si="388"/>
        <v>0</v>
      </c>
      <c r="GU74" s="48">
        <f t="shared" ca="1" si="377"/>
        <v>0</v>
      </c>
      <c r="GV74" s="48">
        <f t="shared" ca="1" si="368"/>
        <v>0</v>
      </c>
      <c r="GW74" s="48">
        <f t="shared" ca="1" si="368"/>
        <v>0</v>
      </c>
      <c r="GX74" s="48">
        <f t="shared" ca="1" si="368"/>
        <v>0</v>
      </c>
      <c r="GY74" s="48">
        <f t="shared" ca="1" si="368"/>
        <v>0</v>
      </c>
      <c r="GZ74" s="48">
        <f t="shared" ca="1" si="368"/>
        <v>0</v>
      </c>
      <c r="HA74" s="69"/>
      <c r="HB74" s="150">
        <f t="shared" ca="1" si="380"/>
        <v>0.86891932862828036</v>
      </c>
      <c r="HC74" s="150">
        <f t="shared" ca="1" si="369"/>
        <v>5.7078127025109406</v>
      </c>
      <c r="HD74" s="150">
        <f t="shared" ca="1" si="381"/>
        <v>1.0798361264973717</v>
      </c>
      <c r="HE74" s="150">
        <f t="shared" ca="1" si="370"/>
        <v>2.1438027645785849</v>
      </c>
      <c r="HF74" s="150">
        <f t="shared" ca="1" si="371"/>
        <v>0.40531682437637256</v>
      </c>
      <c r="HG74" s="148"/>
      <c r="HH74" s="149"/>
      <c r="HI74" s="149"/>
      <c r="HJ74" s="149"/>
      <c r="HK74" s="150"/>
      <c r="HL74" s="149"/>
      <c r="HM74" s="149"/>
      <c r="HN74" s="149"/>
      <c r="HO74" s="150"/>
      <c r="HP74" s="148"/>
      <c r="HQ74" s="149"/>
      <c r="HR74" s="149"/>
      <c r="HS74" s="149"/>
      <c r="HT74" s="150"/>
      <c r="HU74" s="149"/>
      <c r="HV74" s="149"/>
      <c r="HW74" s="149"/>
      <c r="HX74" s="150"/>
      <c r="HY74" s="151"/>
      <c r="HZ74" s="150"/>
      <c r="IA74" s="150"/>
      <c r="IB74" s="152"/>
      <c r="IC74" s="150"/>
      <c r="ID74" s="152"/>
      <c r="IE74" s="150"/>
      <c r="IF74" s="153"/>
    </row>
    <row r="75" spans="1:240" s="36" customFormat="1" ht="14.4" customHeight="1">
      <c r="A75" s="39"/>
      <c r="B75" s="50" t="str">
        <f t="shared" si="340"/>
        <v>C&amp;I_C&amp;I Prescriptive_Lighting_High Performance T8 (1-2 Lamp)_2017_Actual</v>
      </c>
      <c r="C75" s="50">
        <f>INDEX('Measure Inputs'!$D:$D,MATCH($B75,'Measure Inputs'!$B:$B,0))</f>
        <v>41</v>
      </c>
      <c r="D75" s="51" t="str">
        <f>'Measure Inputs'!G47</f>
        <v>C&amp;I</v>
      </c>
      <c r="E75" s="51" t="str">
        <f>'Measure Inputs'!H47</f>
        <v>C&amp;I Prescriptive</v>
      </c>
      <c r="F75" s="51" t="str">
        <f>'Measure Inputs'!I47</f>
        <v>Lighting</v>
      </c>
      <c r="G75" s="51" t="str">
        <f>'Measure Inputs'!J47</f>
        <v>High Performance T8 (1-2 Lamp)</v>
      </c>
      <c r="H75" s="51">
        <f>'Measure Inputs'!K47</f>
        <v>2017</v>
      </c>
      <c r="I75" s="51" t="str">
        <f>'Measure Inputs'!L47</f>
        <v>Actual</v>
      </c>
      <c r="J75" s="37"/>
      <c r="K75" s="99" t="str">
        <f ca="1">INDEX(OFFSET('Measure Inputs'!$O$7,,,InputRows),$C75)</f>
        <v>Units</v>
      </c>
      <c r="L75" s="38">
        <f ca="1">INDEX(OFFSET('Measure Inputs'!$Q$7,,,InputRows),$C75)</f>
        <v>0</v>
      </c>
      <c r="M75" s="167">
        <f>INDEX('General Inputs'!$E$14:$E$15,MATCH(D75,'General Inputs'!$D$14:$D$15,0))</f>
        <v>1.0469999999999999</v>
      </c>
      <c r="N75" s="54">
        <f ca="1">INDEX(OFFSET('Measure Inputs'!$Y$7,,,InputRows),$C75)</f>
        <v>1</v>
      </c>
      <c r="O75" s="54">
        <f ca="1">INDEX(OFFSET('Measure Inputs'!$Z$7,,,InputRows),$C75)</f>
        <v>1</v>
      </c>
      <c r="P75" s="37"/>
      <c r="Q75" s="127">
        <f ca="1">CONVERT(INDEX(OFFSET('Measure Inputs'!$AB$7,,,InputRows),$C75),'Measure Inputs'!$AB$6,Q$8)*$L75</f>
        <v>0</v>
      </c>
      <c r="R75" s="127">
        <f t="shared" ca="1" si="341"/>
        <v>0</v>
      </c>
      <c r="S75" s="127">
        <f t="shared" ca="1" si="342"/>
        <v>0</v>
      </c>
      <c r="T75" s="37"/>
      <c r="U75" s="127">
        <f ca="1">CONVERT(INDEX(OFFSET('Measure Inputs'!$AD$7,,,InputRows),$C75),'Measure Inputs'!$AD$6,U$8)*$L75</f>
        <v>0</v>
      </c>
      <c r="V75" s="127">
        <f t="shared" ca="1" si="343"/>
        <v>0</v>
      </c>
      <c r="W75" s="127">
        <f t="shared" ca="1" si="344"/>
        <v>0</v>
      </c>
      <c r="X75" s="37"/>
      <c r="Y75" s="127">
        <f ca="1">CONVERT(INDEX(OFFSET('Measure Inputs'!$AC$7,,,InputRows),$C75),'Measure Inputs'!$AC$6,Y$8)*$L75</f>
        <v>0</v>
      </c>
      <c r="Z75" s="127">
        <f t="shared" ca="1" si="345"/>
        <v>0</v>
      </c>
      <c r="AA75" s="127">
        <f t="shared" ca="1" si="346"/>
        <v>0</v>
      </c>
      <c r="AB75" s="37"/>
      <c r="AC75" s="127">
        <f ca="1">CONVERT(INDEX(OFFSET('Measure Inputs'!$AE$7,,,InputRows),$C75),'Measure Inputs'!$AE$6,AC$8)*$L75</f>
        <v>0</v>
      </c>
      <c r="AD75" s="127">
        <f t="shared" ca="1" si="347"/>
        <v>0</v>
      </c>
      <c r="AE75" s="127">
        <f t="shared" ca="1" si="348"/>
        <v>0</v>
      </c>
      <c r="AF75" s="37"/>
      <c r="AG75" s="97">
        <f ca="1">INDEX(OFFSET('Measure Inputs'!$R$7,,,InputRows),$C75)</f>
        <v>15</v>
      </c>
      <c r="AH75" s="97">
        <f ca="1">INDEX(OFFSET('Measure Inputs'!$S$7,,,InputRows),$C75)</f>
        <v>0</v>
      </c>
      <c r="AI75" s="97">
        <f t="shared" ca="1" si="349"/>
        <v>0</v>
      </c>
      <c r="AJ75" s="100">
        <f ca="1">INDEX(OFFSET('Measure Inputs'!$T$7,,,InputRows),$C75)*$L75*$N75*$O75</f>
        <v>0</v>
      </c>
      <c r="AK75" s="100">
        <f ca="1">INDEX(OFFSET('Measure Inputs'!$U$7,,,InputRows),$C75)*$L75*$N75*$O75</f>
        <v>0</v>
      </c>
      <c r="AL75" s="100">
        <f ca="1">INDEX(OFFSET('Measure Inputs'!$V$7,,,InputRows),$C75)*$L75*$N75*$O75</f>
        <v>0</v>
      </c>
      <c r="AM75" s="100">
        <f ca="1">INDEX(OFFSET('Measure Inputs'!$W$7,,,InputRows),$C75)*$L75*$N75*$O75</f>
        <v>0</v>
      </c>
      <c r="AN75" s="100">
        <f ca="1">INDEX(OFFSET('Measure Inputs'!$X$7,,,InputRows),$C75)*$L75</f>
        <v>0</v>
      </c>
      <c r="AO75" s="100"/>
      <c r="AP75" s="100">
        <f t="shared" ca="1" si="350"/>
        <v>0</v>
      </c>
      <c r="AQ75" s="37"/>
      <c r="AR75" s="100">
        <f ca="1">SUMPRODUCT(--($CX$9:$EX$9=$H75)*$AJ75,'General Inputs'!$K$40:$BK$40)+SUMPRODUCT(--($CX$9:$EX$9=$H75+$AH75)*-$AK75,'General Inputs'!$K$43:$BK$43)</f>
        <v>0</v>
      </c>
      <c r="AS75" s="100">
        <f ca="1">CONVERT(SUMPRODUCT($CX75:$EX75,'General Inputs'!$K$29:$BK$29,'General Inputs'!$K$40:$BK$40)*$M75,$Q$8,'General Inputs'!$E$17)</f>
        <v>0</v>
      </c>
      <c r="AT75" s="100">
        <f ca="1">SUMPRODUCT(--($CX$9:$EX$9=$H75)*$AN75,'General Inputs'!$K$40:$BK$40)</f>
        <v>0</v>
      </c>
      <c r="AU75" s="100">
        <f>SUMPRODUCT(--($CX$9:$EX$9=$H75)*$AO75,'General Inputs'!$K$40:$BK$40)</f>
        <v>0</v>
      </c>
      <c r="AV75" s="100">
        <f ca="1">CONVERT(SUMPRODUCT($CX75:$EX75,'General Inputs'!$K$40:$BK$40,OFFSET('General Inputs'!$K$34:$BK$34,MATCH($D75,'General Inputs'!$J$34:$J$35,0)-1,)),$Q$8,'General Inputs'!$G$32)</f>
        <v>0</v>
      </c>
      <c r="AW75" s="100">
        <f ca="1">CONVERT(SUMPRODUCT($CX75:$EX75,'General Inputs'!$K$27:$BK$27,'General Inputs'!$K$40:$BK$40)*$M75,$Q$8,'General Inputs'!$E$17)</f>
        <v>0</v>
      </c>
      <c r="AX75" s="100">
        <f ca="1">CONVERT(SUMPRODUCT($EZ75:$GZ75,'General Inputs'!$K$28:$BK$28,'General Inputs'!$K$40:$BK$40)*$M75,$Q$8,'General Inputs'!$E$17)</f>
        <v>0</v>
      </c>
      <c r="AY75" s="98">
        <f ca="1">SUMPRODUCT($CX75:$EX75,'General Inputs'!$K$40:$BK$40)</f>
        <v>0</v>
      </c>
      <c r="AZ75" s="37"/>
      <c r="BA75" s="100">
        <f t="shared" ca="1" si="351"/>
        <v>0</v>
      </c>
      <c r="BB75" s="102" t="e">
        <f t="shared" ca="1" si="352"/>
        <v>#DIV/0!</v>
      </c>
      <c r="BC75" s="100">
        <f t="shared" ca="1" si="273"/>
        <v>0</v>
      </c>
      <c r="BD75" s="100">
        <f t="shared" ca="1" si="274"/>
        <v>0</v>
      </c>
      <c r="BE75" s="100">
        <f t="shared" ca="1" si="275"/>
        <v>0</v>
      </c>
      <c r="BF75" s="100">
        <f t="shared" ca="1" si="276"/>
        <v>0</v>
      </c>
      <c r="BG75" s="100">
        <f t="shared" si="277"/>
        <v>0</v>
      </c>
      <c r="BH75" s="100">
        <f t="shared" ca="1" si="278"/>
        <v>0</v>
      </c>
      <c r="BI75" s="37"/>
      <c r="BJ75" s="100">
        <f t="shared" ca="1" si="353"/>
        <v>0</v>
      </c>
      <c r="BK75" s="102" t="e">
        <f t="shared" ca="1" si="354"/>
        <v>#DIV/0!</v>
      </c>
      <c r="BL75" s="100">
        <f t="shared" ca="1" si="279"/>
        <v>0</v>
      </c>
      <c r="BM75" s="100">
        <f t="shared" ca="1" si="164"/>
        <v>0</v>
      </c>
      <c r="BN75" s="100">
        <f t="shared" ca="1" si="280"/>
        <v>0</v>
      </c>
      <c r="BO75" s="100">
        <f t="shared" ca="1" si="281"/>
        <v>0</v>
      </c>
      <c r="BP75" s="100">
        <f t="shared" ca="1" si="282"/>
        <v>0</v>
      </c>
      <c r="BQ75" s="100">
        <f t="shared" si="283"/>
        <v>0</v>
      </c>
      <c r="BR75" s="100">
        <f t="shared" ca="1" si="284"/>
        <v>0</v>
      </c>
      <c r="BS75" s="37"/>
      <c r="BT75" s="100">
        <f t="shared" ca="1" si="355"/>
        <v>0</v>
      </c>
      <c r="BU75" s="102" t="e">
        <f t="shared" ca="1" si="356"/>
        <v>#DIV/0!</v>
      </c>
      <c r="BV75" s="102" t="e">
        <f t="shared" ca="1" si="285"/>
        <v>#DIV/0!</v>
      </c>
      <c r="BW75" s="100">
        <f t="shared" ca="1" si="286"/>
        <v>0</v>
      </c>
      <c r="BX75" s="100">
        <f t="shared" ca="1" si="287"/>
        <v>0</v>
      </c>
      <c r="BY75" s="100">
        <f t="shared" ca="1" si="288"/>
        <v>0</v>
      </c>
      <c r="BZ75" s="100">
        <f t="shared" ca="1" si="289"/>
        <v>0</v>
      </c>
      <c r="CA75" s="100">
        <f t="shared" ca="1" si="290"/>
        <v>0</v>
      </c>
      <c r="CB75" s="37"/>
      <c r="CC75" s="100">
        <f t="shared" ca="1" si="357"/>
        <v>0</v>
      </c>
      <c r="CD75" s="102" t="e">
        <f t="shared" ca="1" si="358"/>
        <v>#DIV/0!</v>
      </c>
      <c r="CE75" s="103" t="e">
        <f t="shared" ca="1" si="291"/>
        <v>#DIV/0!</v>
      </c>
      <c r="CF75" s="100">
        <f t="shared" ca="1" si="292"/>
        <v>0</v>
      </c>
      <c r="CG75" s="100">
        <f t="shared" ca="1" si="293"/>
        <v>0</v>
      </c>
      <c r="CH75" s="100">
        <f t="shared" ca="1" si="294"/>
        <v>0</v>
      </c>
      <c r="CI75" s="100">
        <f t="shared" ca="1" si="382"/>
        <v>0</v>
      </c>
      <c r="CJ75" s="100">
        <f t="shared" ca="1" si="383"/>
        <v>0</v>
      </c>
      <c r="CK75" s="100">
        <f t="shared" si="295"/>
        <v>0</v>
      </c>
      <c r="CL75" s="37"/>
      <c r="CM75" s="100">
        <f t="shared" ca="1" si="359"/>
        <v>0</v>
      </c>
      <c r="CN75" s="102" t="e">
        <f t="shared" ca="1" si="360"/>
        <v>#DIV/0!</v>
      </c>
      <c r="CO75" s="128"/>
      <c r="CP75" s="100">
        <f t="shared" ca="1" si="296"/>
        <v>0</v>
      </c>
      <c r="CQ75" s="100">
        <f t="shared" ca="1" si="297"/>
        <v>0</v>
      </c>
      <c r="CR75" s="100">
        <f t="shared" ca="1" si="298"/>
        <v>0</v>
      </c>
      <c r="CS75" s="100">
        <f t="shared" ca="1" si="384"/>
        <v>0</v>
      </c>
      <c r="CT75" s="100">
        <f t="shared" ca="1" si="299"/>
        <v>0</v>
      </c>
      <c r="CU75" s="100">
        <f t="shared" ca="1" si="300"/>
        <v>0</v>
      </c>
      <c r="CV75" s="100">
        <f t="shared" si="301"/>
        <v>0</v>
      </c>
      <c r="CW75" s="37"/>
      <c r="CX75" s="48">
        <f t="shared" ref="CX75:DL91" ca="1" si="391">IF(AND($H75&lt;=CX$9,$H75+$AG75&gt;CX$9),IF(AND($H75+$AH75&lt;=CX$9,$AH75&gt;0),$W75,$S75),0)</f>
        <v>0</v>
      </c>
      <c r="CY75" s="48">
        <f t="shared" ca="1" si="391"/>
        <v>0</v>
      </c>
      <c r="CZ75" s="48">
        <f t="shared" ca="1" si="391"/>
        <v>0</v>
      </c>
      <c r="DA75" s="48">
        <f t="shared" ca="1" si="391"/>
        <v>0</v>
      </c>
      <c r="DB75" s="48">
        <f t="shared" ca="1" si="391"/>
        <v>0</v>
      </c>
      <c r="DC75" s="48">
        <f t="shared" ca="1" si="391"/>
        <v>0</v>
      </c>
      <c r="DD75" s="48">
        <f t="shared" ca="1" si="391"/>
        <v>0</v>
      </c>
      <c r="DE75" s="48">
        <f t="shared" ca="1" si="391"/>
        <v>0</v>
      </c>
      <c r="DF75" s="48">
        <f t="shared" ca="1" si="391"/>
        <v>0</v>
      </c>
      <c r="DG75" s="48">
        <f t="shared" ca="1" si="391"/>
        <v>0</v>
      </c>
      <c r="DH75" s="48">
        <f t="shared" ca="1" si="391"/>
        <v>0</v>
      </c>
      <c r="DI75" s="48">
        <f t="shared" ca="1" si="391"/>
        <v>0</v>
      </c>
      <c r="DJ75" s="48">
        <f t="shared" ca="1" si="391"/>
        <v>0</v>
      </c>
      <c r="DK75" s="48">
        <f t="shared" ca="1" si="391"/>
        <v>0</v>
      </c>
      <c r="DL75" s="48">
        <f t="shared" ca="1" si="391"/>
        <v>0</v>
      </c>
      <c r="DM75" s="48">
        <f t="shared" ca="1" si="389"/>
        <v>0</v>
      </c>
      <c r="DN75" s="48">
        <f t="shared" ca="1" si="389"/>
        <v>0</v>
      </c>
      <c r="DO75" s="48">
        <f t="shared" ca="1" si="389"/>
        <v>0</v>
      </c>
      <c r="DP75" s="48">
        <f t="shared" ca="1" si="389"/>
        <v>0</v>
      </c>
      <c r="DQ75" s="48">
        <f t="shared" ca="1" si="389"/>
        <v>0</v>
      </c>
      <c r="DR75" s="48">
        <f t="shared" ca="1" si="389"/>
        <v>0</v>
      </c>
      <c r="DS75" s="48">
        <f t="shared" ca="1" si="389"/>
        <v>0</v>
      </c>
      <c r="DT75" s="48">
        <f t="shared" ca="1" si="389"/>
        <v>0</v>
      </c>
      <c r="DU75" s="48">
        <f t="shared" ca="1" si="389"/>
        <v>0</v>
      </c>
      <c r="DV75" s="48">
        <f t="shared" ca="1" si="389"/>
        <v>0</v>
      </c>
      <c r="DW75" s="48">
        <f t="shared" ca="1" si="389"/>
        <v>0</v>
      </c>
      <c r="DX75" s="48">
        <f t="shared" ca="1" si="389"/>
        <v>0</v>
      </c>
      <c r="DY75" s="48">
        <f t="shared" ca="1" si="389"/>
        <v>0</v>
      </c>
      <c r="DZ75" s="48">
        <f t="shared" ca="1" si="389"/>
        <v>0</v>
      </c>
      <c r="EA75" s="48">
        <f t="shared" ca="1" si="385"/>
        <v>0</v>
      </c>
      <c r="EB75" s="48">
        <f t="shared" ca="1" si="385"/>
        <v>0</v>
      </c>
      <c r="EC75" s="48">
        <f t="shared" ca="1" si="385"/>
        <v>0</v>
      </c>
      <c r="ED75" s="48">
        <f t="shared" ca="1" si="385"/>
        <v>0</v>
      </c>
      <c r="EE75" s="48">
        <f t="shared" ca="1" si="385"/>
        <v>0</v>
      </c>
      <c r="EF75" s="48">
        <f t="shared" ca="1" si="385"/>
        <v>0</v>
      </c>
      <c r="EG75" s="48">
        <f t="shared" ca="1" si="385"/>
        <v>0</v>
      </c>
      <c r="EH75" s="48">
        <f t="shared" ca="1" si="385"/>
        <v>0</v>
      </c>
      <c r="EI75" s="48">
        <f t="shared" ca="1" si="385"/>
        <v>0</v>
      </c>
      <c r="EJ75" s="48">
        <f t="shared" ca="1" si="385"/>
        <v>0</v>
      </c>
      <c r="EK75" s="48">
        <f t="shared" ca="1" si="385"/>
        <v>0</v>
      </c>
      <c r="EL75" s="48">
        <f t="shared" ca="1" si="385"/>
        <v>0</v>
      </c>
      <c r="EM75" s="48">
        <f t="shared" ca="1" si="385"/>
        <v>0</v>
      </c>
      <c r="EN75" s="48">
        <f t="shared" ca="1" si="385"/>
        <v>0</v>
      </c>
      <c r="EO75" s="48">
        <f t="shared" ca="1" si="385"/>
        <v>0</v>
      </c>
      <c r="EP75" s="48">
        <f t="shared" ca="1" si="385"/>
        <v>0</v>
      </c>
      <c r="EQ75" s="48">
        <f t="shared" ca="1" si="386"/>
        <v>0</v>
      </c>
      <c r="ER75" s="48">
        <f t="shared" ca="1" si="386"/>
        <v>0</v>
      </c>
      <c r="ES75" s="48">
        <f t="shared" ca="1" si="374"/>
        <v>0</v>
      </c>
      <c r="ET75" s="48">
        <f t="shared" ca="1" si="364"/>
        <v>0</v>
      </c>
      <c r="EU75" s="48">
        <f t="shared" ca="1" si="364"/>
        <v>0</v>
      </c>
      <c r="EV75" s="48">
        <f t="shared" ca="1" si="364"/>
        <v>0</v>
      </c>
      <c r="EW75" s="48">
        <f t="shared" ca="1" si="364"/>
        <v>0</v>
      </c>
      <c r="EX75" s="48">
        <f t="shared" ca="1" si="364"/>
        <v>0</v>
      </c>
      <c r="EY75" s="69"/>
      <c r="EZ75" s="48">
        <f t="shared" ref="EZ75:FN91" ca="1" si="392">IF(AND($H75&lt;=EZ$9,$H75+$AG75&gt;EZ$9),IF(AND($H75+$AH75&lt;=EZ$9,$AH75&gt;0),$AE75,$AA75),0)</f>
        <v>0</v>
      </c>
      <c r="FA75" s="48">
        <f t="shared" ca="1" si="392"/>
        <v>0</v>
      </c>
      <c r="FB75" s="48">
        <f t="shared" ca="1" si="392"/>
        <v>0</v>
      </c>
      <c r="FC75" s="48">
        <f t="shared" ca="1" si="392"/>
        <v>0</v>
      </c>
      <c r="FD75" s="48">
        <f t="shared" ca="1" si="392"/>
        <v>0</v>
      </c>
      <c r="FE75" s="48">
        <f t="shared" ca="1" si="392"/>
        <v>0</v>
      </c>
      <c r="FF75" s="48">
        <f t="shared" ca="1" si="392"/>
        <v>0</v>
      </c>
      <c r="FG75" s="48">
        <f t="shared" ca="1" si="392"/>
        <v>0</v>
      </c>
      <c r="FH75" s="48">
        <f t="shared" ca="1" si="392"/>
        <v>0</v>
      </c>
      <c r="FI75" s="48">
        <f t="shared" ca="1" si="392"/>
        <v>0</v>
      </c>
      <c r="FJ75" s="48">
        <f t="shared" ca="1" si="392"/>
        <v>0</v>
      </c>
      <c r="FK75" s="48">
        <f t="shared" ca="1" si="392"/>
        <v>0</v>
      </c>
      <c r="FL75" s="48">
        <f t="shared" ca="1" si="392"/>
        <v>0</v>
      </c>
      <c r="FM75" s="48">
        <f t="shared" ca="1" si="392"/>
        <v>0</v>
      </c>
      <c r="FN75" s="48">
        <f t="shared" ca="1" si="392"/>
        <v>0</v>
      </c>
      <c r="FO75" s="48">
        <f t="shared" ca="1" si="390"/>
        <v>0</v>
      </c>
      <c r="FP75" s="48">
        <f t="shared" ca="1" si="390"/>
        <v>0</v>
      </c>
      <c r="FQ75" s="48">
        <f t="shared" ca="1" si="390"/>
        <v>0</v>
      </c>
      <c r="FR75" s="48">
        <f t="shared" ca="1" si="390"/>
        <v>0</v>
      </c>
      <c r="FS75" s="48">
        <f t="shared" ca="1" si="390"/>
        <v>0</v>
      </c>
      <c r="FT75" s="48">
        <f t="shared" ca="1" si="390"/>
        <v>0</v>
      </c>
      <c r="FU75" s="48">
        <f t="shared" ca="1" si="390"/>
        <v>0</v>
      </c>
      <c r="FV75" s="48">
        <f t="shared" ca="1" si="390"/>
        <v>0</v>
      </c>
      <c r="FW75" s="48">
        <f t="shared" ca="1" si="390"/>
        <v>0</v>
      </c>
      <c r="FX75" s="48">
        <f t="shared" ca="1" si="390"/>
        <v>0</v>
      </c>
      <c r="FY75" s="48">
        <f t="shared" ca="1" si="390"/>
        <v>0</v>
      </c>
      <c r="FZ75" s="48">
        <f t="shared" ca="1" si="390"/>
        <v>0</v>
      </c>
      <c r="GA75" s="48">
        <f t="shared" ca="1" si="390"/>
        <v>0</v>
      </c>
      <c r="GB75" s="48">
        <f t="shared" ca="1" si="390"/>
        <v>0</v>
      </c>
      <c r="GC75" s="48">
        <f t="shared" ca="1" si="387"/>
        <v>0</v>
      </c>
      <c r="GD75" s="48">
        <f t="shared" ca="1" si="387"/>
        <v>0</v>
      </c>
      <c r="GE75" s="48">
        <f t="shared" ca="1" si="387"/>
        <v>0</v>
      </c>
      <c r="GF75" s="48">
        <f t="shared" ca="1" si="387"/>
        <v>0</v>
      </c>
      <c r="GG75" s="48">
        <f t="shared" ca="1" si="387"/>
        <v>0</v>
      </c>
      <c r="GH75" s="48">
        <f t="shared" ca="1" si="387"/>
        <v>0</v>
      </c>
      <c r="GI75" s="48">
        <f t="shared" ca="1" si="387"/>
        <v>0</v>
      </c>
      <c r="GJ75" s="48">
        <f t="shared" ca="1" si="387"/>
        <v>0</v>
      </c>
      <c r="GK75" s="48">
        <f t="shared" ca="1" si="387"/>
        <v>0</v>
      </c>
      <c r="GL75" s="48">
        <f t="shared" ca="1" si="387"/>
        <v>0</v>
      </c>
      <c r="GM75" s="48">
        <f t="shared" ca="1" si="387"/>
        <v>0</v>
      </c>
      <c r="GN75" s="48">
        <f t="shared" ca="1" si="387"/>
        <v>0</v>
      </c>
      <c r="GO75" s="48">
        <f t="shared" ca="1" si="387"/>
        <v>0</v>
      </c>
      <c r="GP75" s="48">
        <f t="shared" ca="1" si="387"/>
        <v>0</v>
      </c>
      <c r="GQ75" s="48">
        <f t="shared" ca="1" si="387"/>
        <v>0</v>
      </c>
      <c r="GR75" s="48">
        <f t="shared" ca="1" si="387"/>
        <v>0</v>
      </c>
      <c r="GS75" s="48">
        <f t="shared" ca="1" si="388"/>
        <v>0</v>
      </c>
      <c r="GT75" s="48">
        <f t="shared" ca="1" si="388"/>
        <v>0</v>
      </c>
      <c r="GU75" s="48">
        <f t="shared" ca="1" si="377"/>
        <v>0</v>
      </c>
      <c r="GV75" s="48">
        <f t="shared" ca="1" si="368"/>
        <v>0</v>
      </c>
      <c r="GW75" s="48">
        <f t="shared" ca="1" si="368"/>
        <v>0</v>
      </c>
      <c r="GX75" s="48">
        <f t="shared" ca="1" si="368"/>
        <v>0</v>
      </c>
      <c r="GY75" s="48">
        <f t="shared" ca="1" si="368"/>
        <v>0</v>
      </c>
      <c r="GZ75" s="48">
        <f t="shared" ca="1" si="368"/>
        <v>0</v>
      </c>
      <c r="HA75" s="69"/>
      <c r="HB75" s="150" t="str">
        <f t="shared" ca="1" si="380"/>
        <v>n/a</v>
      </c>
      <c r="HC75" s="150" t="str">
        <f t="shared" ca="1" si="369"/>
        <v>n/a</v>
      </c>
      <c r="HD75" s="150" t="str">
        <f t="shared" ca="1" si="381"/>
        <v>n/a</v>
      </c>
      <c r="HE75" s="150" t="str">
        <f t="shared" ca="1" si="370"/>
        <v>n/a</v>
      </c>
      <c r="HF75" s="150" t="str">
        <f t="shared" ca="1" si="371"/>
        <v>n/a</v>
      </c>
      <c r="HG75" s="148"/>
      <c r="HH75" s="149"/>
      <c r="HI75" s="149"/>
      <c r="HJ75" s="149"/>
      <c r="HK75" s="150"/>
      <c r="HL75" s="149"/>
      <c r="HM75" s="149"/>
      <c r="HN75" s="149"/>
      <c r="HO75" s="150"/>
      <c r="HP75" s="148"/>
      <c r="HQ75" s="149"/>
      <c r="HR75" s="149"/>
      <c r="HS75" s="149"/>
      <c r="HT75" s="150"/>
      <c r="HU75" s="149"/>
      <c r="HV75" s="149"/>
      <c r="HW75" s="149"/>
      <c r="HX75" s="150"/>
      <c r="HY75" s="151"/>
      <c r="HZ75" s="150"/>
      <c r="IA75" s="150"/>
      <c r="IB75" s="152"/>
      <c r="IC75" s="150"/>
      <c r="ID75" s="152"/>
      <c r="IE75" s="150"/>
      <c r="IF75" s="153"/>
    </row>
    <row r="76" spans="1:240" s="36" customFormat="1" ht="14.4" customHeight="1">
      <c r="A76" s="39"/>
      <c r="B76" s="50" t="str">
        <f t="shared" si="340"/>
        <v>C&amp;I_C&amp;I Prescriptive_Lighting_High Performance T8 (3-4 Lamp)_2017_Actual</v>
      </c>
      <c r="C76" s="50">
        <f>INDEX('Measure Inputs'!$D:$D,MATCH($B76,'Measure Inputs'!$B:$B,0))</f>
        <v>42</v>
      </c>
      <c r="D76" s="51" t="str">
        <f>'Measure Inputs'!G48</f>
        <v>C&amp;I</v>
      </c>
      <c r="E76" s="51" t="str">
        <f>'Measure Inputs'!H48</f>
        <v>C&amp;I Prescriptive</v>
      </c>
      <c r="F76" s="51" t="str">
        <f>'Measure Inputs'!I48</f>
        <v>Lighting</v>
      </c>
      <c r="G76" s="51" t="str">
        <f>'Measure Inputs'!J48</f>
        <v>High Performance T8 (3-4 Lamp)</v>
      </c>
      <c r="H76" s="51">
        <f>'Measure Inputs'!K48</f>
        <v>2017</v>
      </c>
      <c r="I76" s="51" t="str">
        <f>'Measure Inputs'!L48</f>
        <v>Actual</v>
      </c>
      <c r="J76" s="37"/>
      <c r="K76" s="99" t="str">
        <f ca="1">INDEX(OFFSET('Measure Inputs'!$O$7,,,InputRows),$C76)</f>
        <v>Units</v>
      </c>
      <c r="L76" s="38">
        <f ca="1">INDEX(OFFSET('Measure Inputs'!$Q$7,,,InputRows),$C76)</f>
        <v>0</v>
      </c>
      <c r="M76" s="167">
        <f>INDEX('General Inputs'!$E$14:$E$15,MATCH(D76,'General Inputs'!$D$14:$D$15,0))</f>
        <v>1.0469999999999999</v>
      </c>
      <c r="N76" s="54">
        <f ca="1">INDEX(OFFSET('Measure Inputs'!$Y$7,,,InputRows),$C76)</f>
        <v>1</v>
      </c>
      <c r="O76" s="54">
        <f ca="1">INDEX(OFFSET('Measure Inputs'!$Z$7,,,InputRows),$C76)</f>
        <v>1</v>
      </c>
      <c r="P76" s="37"/>
      <c r="Q76" s="127">
        <f ca="1">CONVERT(INDEX(OFFSET('Measure Inputs'!$AB$7,,,InputRows),$C76),'Measure Inputs'!$AB$6,Q$8)*$L76</f>
        <v>0</v>
      </c>
      <c r="R76" s="127">
        <f t="shared" ca="1" si="341"/>
        <v>0</v>
      </c>
      <c r="S76" s="127">
        <f t="shared" ca="1" si="342"/>
        <v>0</v>
      </c>
      <c r="T76" s="37"/>
      <c r="U76" s="127">
        <f ca="1">CONVERT(INDEX(OFFSET('Measure Inputs'!$AD$7,,,InputRows),$C76),'Measure Inputs'!$AD$6,U$8)*$L76</f>
        <v>0</v>
      </c>
      <c r="V76" s="127">
        <f t="shared" ca="1" si="343"/>
        <v>0</v>
      </c>
      <c r="W76" s="127">
        <f t="shared" ca="1" si="344"/>
        <v>0</v>
      </c>
      <c r="X76" s="37"/>
      <c r="Y76" s="127">
        <f ca="1">CONVERT(INDEX(OFFSET('Measure Inputs'!$AC$7,,,InputRows),$C76),'Measure Inputs'!$AC$6,Y$8)*$L76</f>
        <v>0</v>
      </c>
      <c r="Z76" s="127">
        <f t="shared" ca="1" si="345"/>
        <v>0</v>
      </c>
      <c r="AA76" s="127">
        <f t="shared" ca="1" si="346"/>
        <v>0</v>
      </c>
      <c r="AB76" s="37"/>
      <c r="AC76" s="127">
        <f ca="1">CONVERT(INDEX(OFFSET('Measure Inputs'!$AE$7,,,InputRows),$C76),'Measure Inputs'!$AE$6,AC$8)*$L76</f>
        <v>0</v>
      </c>
      <c r="AD76" s="127">
        <f t="shared" ca="1" si="347"/>
        <v>0</v>
      </c>
      <c r="AE76" s="127">
        <f t="shared" ca="1" si="348"/>
        <v>0</v>
      </c>
      <c r="AF76" s="37"/>
      <c r="AG76" s="97">
        <f ca="1">INDEX(OFFSET('Measure Inputs'!$R$7,,,InputRows),$C76)</f>
        <v>15</v>
      </c>
      <c r="AH76" s="97">
        <f ca="1">INDEX(OFFSET('Measure Inputs'!$S$7,,,InputRows),$C76)</f>
        <v>0</v>
      </c>
      <c r="AI76" s="97">
        <f t="shared" ca="1" si="349"/>
        <v>0</v>
      </c>
      <c r="AJ76" s="100">
        <f ca="1">INDEX(OFFSET('Measure Inputs'!$T$7,,,InputRows),$C76)*$L76*$N76*$O76</f>
        <v>0</v>
      </c>
      <c r="AK76" s="100">
        <f ca="1">INDEX(OFFSET('Measure Inputs'!$U$7,,,InputRows),$C76)*$L76*$N76*$O76</f>
        <v>0</v>
      </c>
      <c r="AL76" s="100">
        <f ca="1">INDEX(OFFSET('Measure Inputs'!$V$7,,,InputRows),$C76)*$L76*$N76*$O76</f>
        <v>0</v>
      </c>
      <c r="AM76" s="100">
        <f ca="1">INDEX(OFFSET('Measure Inputs'!$W$7,,,InputRows),$C76)*$L76*$N76*$O76</f>
        <v>0</v>
      </c>
      <c r="AN76" s="100">
        <f ca="1">INDEX(OFFSET('Measure Inputs'!$X$7,,,InputRows),$C76)*$L76</f>
        <v>0</v>
      </c>
      <c r="AO76" s="100"/>
      <c r="AP76" s="100">
        <f t="shared" ca="1" si="350"/>
        <v>0</v>
      </c>
      <c r="AQ76" s="37"/>
      <c r="AR76" s="100">
        <f ca="1">SUMPRODUCT(--($CX$9:$EX$9=$H76)*$AJ76,'General Inputs'!$K$40:$BK$40)+SUMPRODUCT(--($CX$9:$EX$9=$H76+$AH76)*-$AK76,'General Inputs'!$K$43:$BK$43)</f>
        <v>0</v>
      </c>
      <c r="AS76" s="100">
        <f ca="1">CONVERT(SUMPRODUCT($CX76:$EX76,'General Inputs'!$K$29:$BK$29,'General Inputs'!$K$40:$BK$40)*$M76,$Q$8,'General Inputs'!$E$17)</f>
        <v>0</v>
      </c>
      <c r="AT76" s="100">
        <f ca="1">SUMPRODUCT(--($CX$9:$EX$9=$H76)*$AN76,'General Inputs'!$K$40:$BK$40)</f>
        <v>0</v>
      </c>
      <c r="AU76" s="100">
        <f>SUMPRODUCT(--($CX$9:$EX$9=$H76)*$AO76,'General Inputs'!$K$40:$BK$40)</f>
        <v>0</v>
      </c>
      <c r="AV76" s="100">
        <f ca="1">CONVERT(SUMPRODUCT($CX76:$EX76,'General Inputs'!$K$40:$BK$40,OFFSET('General Inputs'!$K$34:$BK$34,MATCH($D76,'General Inputs'!$J$34:$J$35,0)-1,)),$Q$8,'General Inputs'!$G$32)</f>
        <v>0</v>
      </c>
      <c r="AW76" s="100">
        <f ca="1">CONVERT(SUMPRODUCT($CX76:$EX76,'General Inputs'!$K$27:$BK$27,'General Inputs'!$K$40:$BK$40)*$M76,$Q$8,'General Inputs'!$E$17)</f>
        <v>0</v>
      </c>
      <c r="AX76" s="100">
        <f ca="1">CONVERT(SUMPRODUCT($EZ76:$GZ76,'General Inputs'!$K$28:$BK$28,'General Inputs'!$K$40:$BK$40)*$M76,$Q$8,'General Inputs'!$E$17)</f>
        <v>0</v>
      </c>
      <c r="AY76" s="98">
        <f ca="1">SUMPRODUCT($CX76:$EX76,'General Inputs'!$K$40:$BK$40)</f>
        <v>0</v>
      </c>
      <c r="AZ76" s="37"/>
      <c r="BA76" s="100">
        <f t="shared" ca="1" si="351"/>
        <v>0</v>
      </c>
      <c r="BB76" s="102" t="e">
        <f t="shared" ca="1" si="352"/>
        <v>#DIV/0!</v>
      </c>
      <c r="BC76" s="100">
        <f t="shared" ca="1" si="273"/>
        <v>0</v>
      </c>
      <c r="BD76" s="100">
        <f t="shared" ca="1" si="274"/>
        <v>0</v>
      </c>
      <c r="BE76" s="100">
        <f t="shared" ca="1" si="275"/>
        <v>0</v>
      </c>
      <c r="BF76" s="100">
        <f t="shared" ca="1" si="276"/>
        <v>0</v>
      </c>
      <c r="BG76" s="100">
        <f t="shared" si="277"/>
        <v>0</v>
      </c>
      <c r="BH76" s="100">
        <f t="shared" ca="1" si="278"/>
        <v>0</v>
      </c>
      <c r="BI76" s="37"/>
      <c r="BJ76" s="100">
        <f t="shared" ca="1" si="353"/>
        <v>0</v>
      </c>
      <c r="BK76" s="102" t="e">
        <f t="shared" ca="1" si="354"/>
        <v>#DIV/0!</v>
      </c>
      <c r="BL76" s="100">
        <f t="shared" ca="1" si="279"/>
        <v>0</v>
      </c>
      <c r="BM76" s="100">
        <f t="shared" ca="1" si="164"/>
        <v>0</v>
      </c>
      <c r="BN76" s="100">
        <f t="shared" ca="1" si="280"/>
        <v>0</v>
      </c>
      <c r="BO76" s="100">
        <f t="shared" ca="1" si="281"/>
        <v>0</v>
      </c>
      <c r="BP76" s="100">
        <f t="shared" ca="1" si="282"/>
        <v>0</v>
      </c>
      <c r="BQ76" s="100">
        <f t="shared" si="283"/>
        <v>0</v>
      </c>
      <c r="BR76" s="100">
        <f t="shared" ca="1" si="284"/>
        <v>0</v>
      </c>
      <c r="BS76" s="37"/>
      <c r="BT76" s="100">
        <f t="shared" ca="1" si="355"/>
        <v>0</v>
      </c>
      <c r="BU76" s="102" t="e">
        <f t="shared" ca="1" si="356"/>
        <v>#DIV/0!</v>
      </c>
      <c r="BV76" s="102" t="e">
        <f t="shared" ca="1" si="285"/>
        <v>#DIV/0!</v>
      </c>
      <c r="BW76" s="100">
        <f t="shared" ca="1" si="286"/>
        <v>0</v>
      </c>
      <c r="BX76" s="100">
        <f t="shared" ca="1" si="287"/>
        <v>0</v>
      </c>
      <c r="BY76" s="100">
        <f t="shared" ca="1" si="288"/>
        <v>0</v>
      </c>
      <c r="BZ76" s="100">
        <f t="shared" ca="1" si="289"/>
        <v>0</v>
      </c>
      <c r="CA76" s="100">
        <f t="shared" ca="1" si="290"/>
        <v>0</v>
      </c>
      <c r="CB76" s="37"/>
      <c r="CC76" s="100">
        <f t="shared" ca="1" si="357"/>
        <v>0</v>
      </c>
      <c r="CD76" s="102" t="e">
        <f t="shared" ca="1" si="358"/>
        <v>#DIV/0!</v>
      </c>
      <c r="CE76" s="103" t="e">
        <f t="shared" ca="1" si="291"/>
        <v>#DIV/0!</v>
      </c>
      <c r="CF76" s="100">
        <f t="shared" ca="1" si="292"/>
        <v>0</v>
      </c>
      <c r="CG76" s="100">
        <f t="shared" ca="1" si="293"/>
        <v>0</v>
      </c>
      <c r="CH76" s="100">
        <f t="shared" ca="1" si="294"/>
        <v>0</v>
      </c>
      <c r="CI76" s="100">
        <f t="shared" ca="1" si="382"/>
        <v>0</v>
      </c>
      <c r="CJ76" s="100">
        <f t="shared" ca="1" si="383"/>
        <v>0</v>
      </c>
      <c r="CK76" s="100">
        <f t="shared" si="295"/>
        <v>0</v>
      </c>
      <c r="CL76" s="37"/>
      <c r="CM76" s="100">
        <f t="shared" ca="1" si="359"/>
        <v>0</v>
      </c>
      <c r="CN76" s="102" t="e">
        <f t="shared" ca="1" si="360"/>
        <v>#DIV/0!</v>
      </c>
      <c r="CO76" s="128"/>
      <c r="CP76" s="100">
        <f t="shared" ca="1" si="296"/>
        <v>0</v>
      </c>
      <c r="CQ76" s="100">
        <f t="shared" ca="1" si="297"/>
        <v>0</v>
      </c>
      <c r="CR76" s="100">
        <f t="shared" ca="1" si="298"/>
        <v>0</v>
      </c>
      <c r="CS76" s="100">
        <f t="shared" ca="1" si="384"/>
        <v>0</v>
      </c>
      <c r="CT76" s="100">
        <f t="shared" ca="1" si="299"/>
        <v>0</v>
      </c>
      <c r="CU76" s="100">
        <f t="shared" ca="1" si="300"/>
        <v>0</v>
      </c>
      <c r="CV76" s="100">
        <f t="shared" si="301"/>
        <v>0</v>
      </c>
      <c r="CW76" s="37"/>
      <c r="CX76" s="48">
        <f t="shared" ca="1" si="391"/>
        <v>0</v>
      </c>
      <c r="CY76" s="48">
        <f t="shared" ca="1" si="391"/>
        <v>0</v>
      </c>
      <c r="CZ76" s="48">
        <f t="shared" ca="1" si="391"/>
        <v>0</v>
      </c>
      <c r="DA76" s="48">
        <f t="shared" ca="1" si="391"/>
        <v>0</v>
      </c>
      <c r="DB76" s="48">
        <f t="shared" ca="1" si="391"/>
        <v>0</v>
      </c>
      <c r="DC76" s="48">
        <f t="shared" ca="1" si="391"/>
        <v>0</v>
      </c>
      <c r="DD76" s="48">
        <f t="shared" ca="1" si="391"/>
        <v>0</v>
      </c>
      <c r="DE76" s="48">
        <f t="shared" ca="1" si="391"/>
        <v>0</v>
      </c>
      <c r="DF76" s="48">
        <f t="shared" ca="1" si="391"/>
        <v>0</v>
      </c>
      <c r="DG76" s="48">
        <f t="shared" ca="1" si="391"/>
        <v>0</v>
      </c>
      <c r="DH76" s="48">
        <f t="shared" ca="1" si="391"/>
        <v>0</v>
      </c>
      <c r="DI76" s="48">
        <f t="shared" ca="1" si="391"/>
        <v>0</v>
      </c>
      <c r="DJ76" s="48">
        <f t="shared" ca="1" si="391"/>
        <v>0</v>
      </c>
      <c r="DK76" s="48">
        <f t="shared" ca="1" si="391"/>
        <v>0</v>
      </c>
      <c r="DL76" s="48">
        <f t="shared" ca="1" si="391"/>
        <v>0</v>
      </c>
      <c r="DM76" s="48">
        <f t="shared" ca="1" si="389"/>
        <v>0</v>
      </c>
      <c r="DN76" s="48">
        <f t="shared" ca="1" si="389"/>
        <v>0</v>
      </c>
      <c r="DO76" s="48">
        <f t="shared" ca="1" si="389"/>
        <v>0</v>
      </c>
      <c r="DP76" s="48">
        <f t="shared" ca="1" si="389"/>
        <v>0</v>
      </c>
      <c r="DQ76" s="48">
        <f t="shared" ca="1" si="389"/>
        <v>0</v>
      </c>
      <c r="DR76" s="48">
        <f t="shared" ca="1" si="389"/>
        <v>0</v>
      </c>
      <c r="DS76" s="48">
        <f t="shared" ca="1" si="389"/>
        <v>0</v>
      </c>
      <c r="DT76" s="48">
        <f t="shared" ca="1" si="389"/>
        <v>0</v>
      </c>
      <c r="DU76" s="48">
        <f t="shared" ca="1" si="389"/>
        <v>0</v>
      </c>
      <c r="DV76" s="48">
        <f t="shared" ca="1" si="389"/>
        <v>0</v>
      </c>
      <c r="DW76" s="48">
        <f t="shared" ca="1" si="389"/>
        <v>0</v>
      </c>
      <c r="DX76" s="48">
        <f t="shared" ca="1" si="389"/>
        <v>0</v>
      </c>
      <c r="DY76" s="48">
        <f t="shared" ca="1" si="389"/>
        <v>0</v>
      </c>
      <c r="DZ76" s="48">
        <f t="shared" ca="1" si="389"/>
        <v>0</v>
      </c>
      <c r="EA76" s="48">
        <f t="shared" ca="1" si="385"/>
        <v>0</v>
      </c>
      <c r="EB76" s="48">
        <f t="shared" ca="1" si="385"/>
        <v>0</v>
      </c>
      <c r="EC76" s="48">
        <f t="shared" ca="1" si="385"/>
        <v>0</v>
      </c>
      <c r="ED76" s="48">
        <f t="shared" ca="1" si="385"/>
        <v>0</v>
      </c>
      <c r="EE76" s="48">
        <f t="shared" ca="1" si="385"/>
        <v>0</v>
      </c>
      <c r="EF76" s="48">
        <f t="shared" ca="1" si="385"/>
        <v>0</v>
      </c>
      <c r="EG76" s="48">
        <f t="shared" ca="1" si="385"/>
        <v>0</v>
      </c>
      <c r="EH76" s="48">
        <f t="shared" ca="1" si="385"/>
        <v>0</v>
      </c>
      <c r="EI76" s="48">
        <f t="shared" ca="1" si="385"/>
        <v>0</v>
      </c>
      <c r="EJ76" s="48">
        <f t="shared" ca="1" si="385"/>
        <v>0</v>
      </c>
      <c r="EK76" s="48">
        <f t="shared" ca="1" si="385"/>
        <v>0</v>
      </c>
      <c r="EL76" s="48">
        <f t="shared" ca="1" si="385"/>
        <v>0</v>
      </c>
      <c r="EM76" s="48">
        <f t="shared" ca="1" si="385"/>
        <v>0</v>
      </c>
      <c r="EN76" s="48">
        <f t="shared" ca="1" si="385"/>
        <v>0</v>
      </c>
      <c r="EO76" s="48">
        <f t="shared" ca="1" si="385"/>
        <v>0</v>
      </c>
      <c r="EP76" s="48">
        <f t="shared" ca="1" si="385"/>
        <v>0</v>
      </c>
      <c r="EQ76" s="48">
        <f t="shared" ca="1" si="386"/>
        <v>0</v>
      </c>
      <c r="ER76" s="48">
        <f t="shared" ca="1" si="386"/>
        <v>0</v>
      </c>
      <c r="ES76" s="48">
        <f t="shared" ca="1" si="374"/>
        <v>0</v>
      </c>
      <c r="ET76" s="48">
        <f t="shared" ca="1" si="364"/>
        <v>0</v>
      </c>
      <c r="EU76" s="48">
        <f t="shared" ca="1" si="364"/>
        <v>0</v>
      </c>
      <c r="EV76" s="48">
        <f t="shared" ca="1" si="364"/>
        <v>0</v>
      </c>
      <c r="EW76" s="48">
        <f t="shared" ca="1" si="364"/>
        <v>0</v>
      </c>
      <c r="EX76" s="48">
        <f t="shared" ca="1" si="364"/>
        <v>0</v>
      </c>
      <c r="EY76" s="69"/>
      <c r="EZ76" s="48">
        <f t="shared" ca="1" si="392"/>
        <v>0</v>
      </c>
      <c r="FA76" s="48">
        <f t="shared" ca="1" si="392"/>
        <v>0</v>
      </c>
      <c r="FB76" s="48">
        <f t="shared" ca="1" si="392"/>
        <v>0</v>
      </c>
      <c r="FC76" s="48">
        <f t="shared" ca="1" si="392"/>
        <v>0</v>
      </c>
      <c r="FD76" s="48">
        <f t="shared" ca="1" si="392"/>
        <v>0</v>
      </c>
      <c r="FE76" s="48">
        <f t="shared" ca="1" si="392"/>
        <v>0</v>
      </c>
      <c r="FF76" s="48">
        <f t="shared" ca="1" si="392"/>
        <v>0</v>
      </c>
      <c r="FG76" s="48">
        <f t="shared" ca="1" si="392"/>
        <v>0</v>
      </c>
      <c r="FH76" s="48">
        <f t="shared" ca="1" si="392"/>
        <v>0</v>
      </c>
      <c r="FI76" s="48">
        <f t="shared" ca="1" si="392"/>
        <v>0</v>
      </c>
      <c r="FJ76" s="48">
        <f t="shared" ca="1" si="392"/>
        <v>0</v>
      </c>
      <c r="FK76" s="48">
        <f t="shared" ca="1" si="392"/>
        <v>0</v>
      </c>
      <c r="FL76" s="48">
        <f t="shared" ca="1" si="392"/>
        <v>0</v>
      </c>
      <c r="FM76" s="48">
        <f t="shared" ca="1" si="392"/>
        <v>0</v>
      </c>
      <c r="FN76" s="48">
        <f t="shared" ca="1" si="392"/>
        <v>0</v>
      </c>
      <c r="FO76" s="48">
        <f t="shared" ca="1" si="390"/>
        <v>0</v>
      </c>
      <c r="FP76" s="48">
        <f t="shared" ca="1" si="390"/>
        <v>0</v>
      </c>
      <c r="FQ76" s="48">
        <f t="shared" ca="1" si="390"/>
        <v>0</v>
      </c>
      <c r="FR76" s="48">
        <f t="shared" ca="1" si="390"/>
        <v>0</v>
      </c>
      <c r="FS76" s="48">
        <f t="shared" ca="1" si="390"/>
        <v>0</v>
      </c>
      <c r="FT76" s="48">
        <f t="shared" ca="1" si="390"/>
        <v>0</v>
      </c>
      <c r="FU76" s="48">
        <f t="shared" ca="1" si="390"/>
        <v>0</v>
      </c>
      <c r="FV76" s="48">
        <f t="shared" ca="1" si="390"/>
        <v>0</v>
      </c>
      <c r="FW76" s="48">
        <f t="shared" ca="1" si="390"/>
        <v>0</v>
      </c>
      <c r="FX76" s="48">
        <f t="shared" ca="1" si="390"/>
        <v>0</v>
      </c>
      <c r="FY76" s="48">
        <f t="shared" ca="1" si="390"/>
        <v>0</v>
      </c>
      <c r="FZ76" s="48">
        <f t="shared" ca="1" si="390"/>
        <v>0</v>
      </c>
      <c r="GA76" s="48">
        <f t="shared" ca="1" si="390"/>
        <v>0</v>
      </c>
      <c r="GB76" s="48">
        <f t="shared" ca="1" si="390"/>
        <v>0</v>
      </c>
      <c r="GC76" s="48">
        <f t="shared" ca="1" si="387"/>
        <v>0</v>
      </c>
      <c r="GD76" s="48">
        <f t="shared" ca="1" si="387"/>
        <v>0</v>
      </c>
      <c r="GE76" s="48">
        <f t="shared" ca="1" si="387"/>
        <v>0</v>
      </c>
      <c r="GF76" s="48">
        <f t="shared" ca="1" si="387"/>
        <v>0</v>
      </c>
      <c r="GG76" s="48">
        <f t="shared" ca="1" si="387"/>
        <v>0</v>
      </c>
      <c r="GH76" s="48">
        <f t="shared" ca="1" si="387"/>
        <v>0</v>
      </c>
      <c r="GI76" s="48">
        <f t="shared" ca="1" si="387"/>
        <v>0</v>
      </c>
      <c r="GJ76" s="48">
        <f t="shared" ca="1" si="387"/>
        <v>0</v>
      </c>
      <c r="GK76" s="48">
        <f t="shared" ca="1" si="387"/>
        <v>0</v>
      </c>
      <c r="GL76" s="48">
        <f t="shared" ca="1" si="387"/>
        <v>0</v>
      </c>
      <c r="GM76" s="48">
        <f t="shared" ca="1" si="387"/>
        <v>0</v>
      </c>
      <c r="GN76" s="48">
        <f t="shared" ca="1" si="387"/>
        <v>0</v>
      </c>
      <c r="GO76" s="48">
        <f t="shared" ca="1" si="387"/>
        <v>0</v>
      </c>
      <c r="GP76" s="48">
        <f t="shared" ca="1" si="387"/>
        <v>0</v>
      </c>
      <c r="GQ76" s="48">
        <f t="shared" ca="1" si="387"/>
        <v>0</v>
      </c>
      <c r="GR76" s="48">
        <f t="shared" ca="1" si="387"/>
        <v>0</v>
      </c>
      <c r="GS76" s="48">
        <f t="shared" ca="1" si="388"/>
        <v>0</v>
      </c>
      <c r="GT76" s="48">
        <f t="shared" ca="1" si="388"/>
        <v>0</v>
      </c>
      <c r="GU76" s="48">
        <f t="shared" ca="1" si="377"/>
        <v>0</v>
      </c>
      <c r="GV76" s="48">
        <f t="shared" ca="1" si="368"/>
        <v>0</v>
      </c>
      <c r="GW76" s="48">
        <f t="shared" ca="1" si="368"/>
        <v>0</v>
      </c>
      <c r="GX76" s="48">
        <f t="shared" ca="1" si="368"/>
        <v>0</v>
      </c>
      <c r="GY76" s="48">
        <f t="shared" ca="1" si="368"/>
        <v>0</v>
      </c>
      <c r="GZ76" s="48">
        <f t="shared" ca="1" si="368"/>
        <v>0</v>
      </c>
      <c r="HA76" s="69"/>
      <c r="HB76" s="150" t="str">
        <f t="shared" ca="1" si="380"/>
        <v>n/a</v>
      </c>
      <c r="HC76" s="150" t="str">
        <f t="shared" ca="1" si="369"/>
        <v>n/a</v>
      </c>
      <c r="HD76" s="150" t="str">
        <f t="shared" ca="1" si="381"/>
        <v>n/a</v>
      </c>
      <c r="HE76" s="150" t="str">
        <f t="shared" ca="1" si="370"/>
        <v>n/a</v>
      </c>
      <c r="HF76" s="150" t="str">
        <f t="shared" ca="1" si="371"/>
        <v>n/a</v>
      </c>
      <c r="HG76" s="148"/>
      <c r="HH76" s="149"/>
      <c r="HI76" s="149"/>
      <c r="HJ76" s="149"/>
      <c r="HK76" s="150"/>
      <c r="HL76" s="149"/>
      <c r="HM76" s="149"/>
      <c r="HN76" s="149"/>
      <c r="HO76" s="150"/>
      <c r="HP76" s="148"/>
      <c r="HQ76" s="149"/>
      <c r="HR76" s="149"/>
      <c r="HS76" s="149"/>
      <c r="HT76" s="150"/>
      <c r="HU76" s="149"/>
      <c r="HV76" s="149"/>
      <c r="HW76" s="149"/>
      <c r="HX76" s="150"/>
      <c r="HY76" s="151"/>
      <c r="HZ76" s="150"/>
      <c r="IA76" s="150"/>
      <c r="IB76" s="152"/>
      <c r="IC76" s="150"/>
      <c r="ID76" s="152"/>
      <c r="IE76" s="150"/>
      <c r="IF76" s="153"/>
    </row>
    <row r="77" spans="1:240" s="36" customFormat="1" ht="14.4" customHeight="1">
      <c r="A77" s="39"/>
      <c r="B77" s="50" t="str">
        <f t="shared" si="340"/>
        <v>C&amp;I_C&amp;I Prescriptive_Lighting_LED Parking Garage/Canopy (&lt;30W)_2017_Actual</v>
      </c>
      <c r="C77" s="50">
        <f>INDEX('Measure Inputs'!$D:$D,MATCH($B77,'Measure Inputs'!$B:$B,0))</f>
        <v>43</v>
      </c>
      <c r="D77" s="51" t="str">
        <f>'Measure Inputs'!G49</f>
        <v>C&amp;I</v>
      </c>
      <c r="E77" s="51" t="str">
        <f>'Measure Inputs'!H49</f>
        <v>C&amp;I Prescriptive</v>
      </c>
      <c r="F77" s="51" t="str">
        <f>'Measure Inputs'!I49</f>
        <v>Lighting</v>
      </c>
      <c r="G77" s="51" t="str">
        <f>'Measure Inputs'!J49</f>
        <v>LED Parking Garage/Canopy (&lt;30W)</v>
      </c>
      <c r="H77" s="51">
        <f>'Measure Inputs'!K49</f>
        <v>2017</v>
      </c>
      <c r="I77" s="51" t="str">
        <f>'Measure Inputs'!L49</f>
        <v>Actual</v>
      </c>
      <c r="J77" s="37"/>
      <c r="K77" s="99" t="str">
        <f ca="1">INDEX(OFFSET('Measure Inputs'!$O$7,,,InputRows),$C77)</f>
        <v>Units</v>
      </c>
      <c r="L77" s="38">
        <f ca="1">INDEX(OFFSET('Measure Inputs'!$Q$7,,,InputRows),$C77)</f>
        <v>27</v>
      </c>
      <c r="M77" s="167">
        <f>INDEX('General Inputs'!$E$14:$E$15,MATCH(D77,'General Inputs'!$D$14:$D$15,0))</f>
        <v>1.0469999999999999</v>
      </c>
      <c r="N77" s="54">
        <f ca="1">INDEX(OFFSET('Measure Inputs'!$Y$7,,,InputRows),$C77)</f>
        <v>1</v>
      </c>
      <c r="O77" s="54">
        <f ca="1">INDEX(OFFSET('Measure Inputs'!$Z$7,,,InputRows),$C77)</f>
        <v>1</v>
      </c>
      <c r="P77" s="37"/>
      <c r="Q77" s="127">
        <f ca="1">CONVERT(INDEX(OFFSET('Measure Inputs'!$AB$7,,,InputRows),$C77),'Measure Inputs'!$AB$6,Q$8)*$L77</f>
        <v>16129.798999999999</v>
      </c>
      <c r="R77" s="127">
        <f t="shared" ca="1" si="341"/>
        <v>16129.798999999999</v>
      </c>
      <c r="S77" s="127">
        <f t="shared" ca="1" si="342"/>
        <v>16129.798999999999</v>
      </c>
      <c r="T77" s="37"/>
      <c r="U77" s="127">
        <f ca="1">CONVERT(INDEX(OFFSET('Measure Inputs'!$AD$7,,,InputRows),$C77),'Measure Inputs'!$AD$6,U$8)*$L77</f>
        <v>0</v>
      </c>
      <c r="V77" s="127">
        <f t="shared" ca="1" si="343"/>
        <v>0</v>
      </c>
      <c r="W77" s="127">
        <f t="shared" ca="1" si="344"/>
        <v>0</v>
      </c>
      <c r="X77" s="37"/>
      <c r="Y77" s="127">
        <f ca="1">CONVERT(INDEX(OFFSET('Measure Inputs'!$AC$7,,,InputRows),$C77),'Measure Inputs'!$AC$6,Y$8)*$L77</f>
        <v>2.9620730000000002</v>
      </c>
      <c r="Z77" s="127">
        <f t="shared" ca="1" si="345"/>
        <v>2.9620730000000002</v>
      </c>
      <c r="AA77" s="127">
        <f t="shared" ca="1" si="346"/>
        <v>2.9620730000000002</v>
      </c>
      <c r="AB77" s="37"/>
      <c r="AC77" s="127">
        <f ca="1">CONVERT(INDEX(OFFSET('Measure Inputs'!$AE$7,,,InputRows),$C77),'Measure Inputs'!$AE$6,AC$8)*$L77</f>
        <v>0</v>
      </c>
      <c r="AD77" s="127">
        <f t="shared" ca="1" si="347"/>
        <v>0</v>
      </c>
      <c r="AE77" s="127">
        <f t="shared" ca="1" si="348"/>
        <v>0</v>
      </c>
      <c r="AF77" s="37"/>
      <c r="AG77" s="97">
        <f ca="1">INDEX(OFFSET('Measure Inputs'!$R$7,,,InputRows),$C77)</f>
        <v>16</v>
      </c>
      <c r="AH77" s="97">
        <f ca="1">INDEX(OFFSET('Measure Inputs'!$S$7,,,InputRows),$C77)</f>
        <v>0</v>
      </c>
      <c r="AI77" s="97">
        <f t="shared" ca="1" si="349"/>
        <v>258076.78399999999</v>
      </c>
      <c r="AJ77" s="100">
        <f ca="1">INDEX(OFFSET('Measure Inputs'!$T$7,,,InputRows),$C77)*$L77*$N77*$O77</f>
        <v>3375</v>
      </c>
      <c r="AK77" s="100">
        <f ca="1">INDEX(OFFSET('Measure Inputs'!$U$7,,,InputRows),$C77)*$L77*$N77*$O77</f>
        <v>0</v>
      </c>
      <c r="AL77" s="100">
        <f ca="1">INDEX(OFFSET('Measure Inputs'!$V$7,,,InputRows),$C77)*$L77*$N77*$O77</f>
        <v>0</v>
      </c>
      <c r="AM77" s="100">
        <f ca="1">INDEX(OFFSET('Measure Inputs'!$W$7,,,InputRows),$C77)*$L77*$N77*$O77</f>
        <v>0</v>
      </c>
      <c r="AN77" s="100">
        <f ca="1">INDEX(OFFSET('Measure Inputs'!$X$7,,,InputRows),$C77)*$L77</f>
        <v>266.56</v>
      </c>
      <c r="AO77" s="100"/>
      <c r="AP77" s="100">
        <f t="shared" ca="1" si="350"/>
        <v>266.56</v>
      </c>
      <c r="AQ77" s="37"/>
      <c r="AR77" s="100">
        <f ca="1">SUMPRODUCT(--($CX$9:$EX$9=$H77)*$AJ77,'General Inputs'!$K$40:$BK$40)+SUMPRODUCT(--($CX$9:$EX$9=$H77+$AH77)*-$AK77,'General Inputs'!$K$43:$BK$43)</f>
        <v>3375</v>
      </c>
      <c r="AS77" s="100">
        <f ca="1">CONVERT(SUMPRODUCT($CX77:$EX77,'General Inputs'!$K$29:$BK$29,'General Inputs'!$K$40:$BK$40)*$M77,$Q$8,'General Inputs'!$E$17)</f>
        <v>1759.1495965053784</v>
      </c>
      <c r="AT77" s="100">
        <f ca="1">SUMPRODUCT(--($CX$9:$EX$9=$H77)*$AN77,'General Inputs'!$K$40:$BK$40)</f>
        <v>266.56</v>
      </c>
      <c r="AU77" s="100">
        <f>SUMPRODUCT(--($CX$9:$EX$9=$H77)*$AO77,'General Inputs'!$K$40:$BK$40)</f>
        <v>0</v>
      </c>
      <c r="AV77" s="100">
        <f ca="1">CONVERT(SUMPRODUCT($CX77:$EX77,'General Inputs'!$K$40:$BK$40,OFFSET('General Inputs'!$K$34:$BK$34,MATCH($D77,'General Inputs'!$J$34:$J$35,0)-1,)),$Q$8,'General Inputs'!$G$32)</f>
        <v>17318.286978502576</v>
      </c>
      <c r="AW77" s="100">
        <f ca="1">CONVERT(SUMPRODUCT($CX77:$EX77,'General Inputs'!$K$27:$BK$27,'General Inputs'!$K$40:$BK$40)*$M77,$Q$8,'General Inputs'!$E$17)</f>
        <v>7013.8438559857777</v>
      </c>
      <c r="AX77" s="100">
        <f ca="1">CONVERT(SUMPRODUCT($EZ77:$GZ77,'General Inputs'!$K$28:$BK$28,'General Inputs'!$K$40:$BK$40)*$M77,$Q$8,'General Inputs'!$E$17)</f>
        <v>484.44559688743942</v>
      </c>
      <c r="AY77" s="98">
        <f ca="1">SUMPRODUCT($CX77:$EX77,'General Inputs'!$K$40:$BK$40)</f>
        <v>147384.30574451468</v>
      </c>
      <c r="AZ77" s="37"/>
      <c r="BA77" s="100">
        <f t="shared" ca="1" si="351"/>
        <v>4123.2894528732168</v>
      </c>
      <c r="BB77" s="102">
        <f t="shared" ca="1" si="352"/>
        <v>2.2217153934439162</v>
      </c>
      <c r="BC77" s="100">
        <f t="shared" ca="1" si="273"/>
        <v>3375</v>
      </c>
      <c r="BD77" s="100">
        <f t="shared" ca="1" si="274"/>
        <v>7498.2894528732168</v>
      </c>
      <c r="BE77" s="100">
        <f t="shared" ca="1" si="275"/>
        <v>7013.8438559857777</v>
      </c>
      <c r="BF77" s="100">
        <f t="shared" ca="1" si="276"/>
        <v>484.44559688743942</v>
      </c>
      <c r="BG77" s="100">
        <f t="shared" si="277"/>
        <v>0</v>
      </c>
      <c r="BH77" s="100">
        <f t="shared" ca="1" si="278"/>
        <v>3375</v>
      </c>
      <c r="BI77" s="37"/>
      <c r="BJ77" s="100">
        <f t="shared" ca="1" si="353"/>
        <v>5882.4390493785959</v>
      </c>
      <c r="BK77" s="102">
        <f t="shared" ca="1" si="354"/>
        <v>2.7429449035195841</v>
      </c>
      <c r="BL77" s="100">
        <f t="shared" ca="1" si="279"/>
        <v>3375</v>
      </c>
      <c r="BM77" s="100">
        <f t="shared" ca="1" si="164"/>
        <v>9257.4390493785959</v>
      </c>
      <c r="BN77" s="100">
        <f t="shared" ca="1" si="280"/>
        <v>7013.8438559857777</v>
      </c>
      <c r="BO77" s="100">
        <f t="shared" ca="1" si="281"/>
        <v>484.44559688743942</v>
      </c>
      <c r="BP77" s="100">
        <f t="shared" ca="1" si="282"/>
        <v>1759.1495965053784</v>
      </c>
      <c r="BQ77" s="100">
        <f t="shared" si="283"/>
        <v>0</v>
      </c>
      <c r="BR77" s="100">
        <f t="shared" ca="1" si="284"/>
        <v>3375</v>
      </c>
      <c r="BS77" s="37"/>
      <c r="BT77" s="100">
        <f t="shared" ca="1" si="355"/>
        <v>14209.846978502577</v>
      </c>
      <c r="BU77" s="102">
        <f t="shared" ca="1" si="356"/>
        <v>5.2103250306674305</v>
      </c>
      <c r="BV77" s="102">
        <f t="shared" ca="1" si="285"/>
        <v>3.0708256981715474</v>
      </c>
      <c r="BW77" s="100">
        <f t="shared" ca="1" si="286"/>
        <v>3375</v>
      </c>
      <c r="BX77" s="100">
        <f t="shared" ca="1" si="287"/>
        <v>17584.846978502577</v>
      </c>
      <c r="BY77" s="100">
        <f t="shared" ca="1" si="288"/>
        <v>17318.286978502576</v>
      </c>
      <c r="BZ77" s="100">
        <f t="shared" ca="1" si="289"/>
        <v>266.56</v>
      </c>
      <c r="CA77" s="100">
        <f t="shared" ca="1" si="290"/>
        <v>3375</v>
      </c>
      <c r="CB77" s="37"/>
      <c r="CC77" s="100">
        <f t="shared" ca="1" si="357"/>
        <v>7231.7294528732164</v>
      </c>
      <c r="CD77" s="102">
        <f t="shared" ca="1" si="358"/>
        <v>28.129837383227855</v>
      </c>
      <c r="CE77" s="103">
        <f t="shared" ca="1" si="291"/>
        <v>-3.8480958559681762E-2</v>
      </c>
      <c r="CF77" s="100">
        <f t="shared" ca="1" si="292"/>
        <v>266.56</v>
      </c>
      <c r="CG77" s="100">
        <f t="shared" ca="1" si="293"/>
        <v>7498.2894528732168</v>
      </c>
      <c r="CH77" s="100">
        <f t="shared" ca="1" si="294"/>
        <v>7013.8438559857777</v>
      </c>
      <c r="CI77" s="100">
        <f t="shared" ca="1" si="382"/>
        <v>484.44559688743942</v>
      </c>
      <c r="CJ77" s="100">
        <f t="shared" ca="1" si="383"/>
        <v>266.56</v>
      </c>
      <c r="CK77" s="100">
        <f t="shared" si="295"/>
        <v>0</v>
      </c>
      <c r="CL77" s="37"/>
      <c r="CM77" s="100">
        <f t="shared" ca="1" si="359"/>
        <v>-10086.55752562936</v>
      </c>
      <c r="CN77" s="102">
        <f t="shared" ca="1" si="360"/>
        <v>0.42640629526318047</v>
      </c>
      <c r="CO77" s="128"/>
      <c r="CP77" s="100">
        <f t="shared" ca="1" si="296"/>
        <v>17584.846978502577</v>
      </c>
      <c r="CQ77" s="100">
        <f t="shared" ca="1" si="297"/>
        <v>7498.2894528732168</v>
      </c>
      <c r="CR77" s="100">
        <f t="shared" ca="1" si="298"/>
        <v>7013.8438559857777</v>
      </c>
      <c r="CS77" s="100">
        <f t="shared" ca="1" si="384"/>
        <v>484.44559688743942</v>
      </c>
      <c r="CT77" s="100">
        <f t="shared" ca="1" si="299"/>
        <v>17318.286978502576</v>
      </c>
      <c r="CU77" s="100">
        <f t="shared" ca="1" si="300"/>
        <v>266.56</v>
      </c>
      <c r="CV77" s="100">
        <f t="shared" si="301"/>
        <v>0</v>
      </c>
      <c r="CW77" s="37"/>
      <c r="CX77" s="48">
        <f t="shared" ca="1" si="391"/>
        <v>16129.798999999999</v>
      </c>
      <c r="CY77" s="48">
        <f t="shared" ca="1" si="391"/>
        <v>16129.798999999999</v>
      </c>
      <c r="CZ77" s="48">
        <f t="shared" ca="1" si="391"/>
        <v>16129.798999999999</v>
      </c>
      <c r="DA77" s="48">
        <f t="shared" ca="1" si="391"/>
        <v>16129.798999999999</v>
      </c>
      <c r="DB77" s="48">
        <f t="shared" ca="1" si="391"/>
        <v>16129.798999999999</v>
      </c>
      <c r="DC77" s="48">
        <f t="shared" ca="1" si="391"/>
        <v>16129.798999999999</v>
      </c>
      <c r="DD77" s="48">
        <f t="shared" ca="1" si="391"/>
        <v>16129.798999999999</v>
      </c>
      <c r="DE77" s="48">
        <f t="shared" ca="1" si="391"/>
        <v>16129.798999999999</v>
      </c>
      <c r="DF77" s="48">
        <f t="shared" ca="1" si="391"/>
        <v>16129.798999999999</v>
      </c>
      <c r="DG77" s="48">
        <f t="shared" ca="1" si="391"/>
        <v>16129.798999999999</v>
      </c>
      <c r="DH77" s="48">
        <f t="shared" ca="1" si="391"/>
        <v>16129.798999999999</v>
      </c>
      <c r="DI77" s="48">
        <f t="shared" ca="1" si="391"/>
        <v>16129.798999999999</v>
      </c>
      <c r="DJ77" s="48">
        <f t="shared" ca="1" si="391"/>
        <v>16129.798999999999</v>
      </c>
      <c r="DK77" s="48">
        <f t="shared" ca="1" si="391"/>
        <v>16129.798999999999</v>
      </c>
      <c r="DL77" s="48">
        <f t="shared" ca="1" si="391"/>
        <v>16129.798999999999</v>
      </c>
      <c r="DM77" s="48">
        <f t="shared" ca="1" si="389"/>
        <v>16129.798999999999</v>
      </c>
      <c r="DN77" s="48">
        <f t="shared" ca="1" si="389"/>
        <v>0</v>
      </c>
      <c r="DO77" s="48">
        <f t="shared" ca="1" si="389"/>
        <v>0</v>
      </c>
      <c r="DP77" s="48">
        <f t="shared" ca="1" si="389"/>
        <v>0</v>
      </c>
      <c r="DQ77" s="48">
        <f t="shared" ca="1" si="389"/>
        <v>0</v>
      </c>
      <c r="DR77" s="48">
        <f t="shared" ca="1" si="389"/>
        <v>0</v>
      </c>
      <c r="DS77" s="48">
        <f t="shared" ca="1" si="389"/>
        <v>0</v>
      </c>
      <c r="DT77" s="48">
        <f t="shared" ca="1" si="389"/>
        <v>0</v>
      </c>
      <c r="DU77" s="48">
        <f t="shared" ca="1" si="389"/>
        <v>0</v>
      </c>
      <c r="DV77" s="48">
        <f t="shared" ca="1" si="389"/>
        <v>0</v>
      </c>
      <c r="DW77" s="48">
        <f t="shared" ca="1" si="389"/>
        <v>0</v>
      </c>
      <c r="DX77" s="48">
        <f t="shared" ca="1" si="389"/>
        <v>0</v>
      </c>
      <c r="DY77" s="48">
        <f t="shared" ca="1" si="389"/>
        <v>0</v>
      </c>
      <c r="DZ77" s="48">
        <f t="shared" ca="1" si="389"/>
        <v>0</v>
      </c>
      <c r="EA77" s="48">
        <f t="shared" ca="1" si="385"/>
        <v>0</v>
      </c>
      <c r="EB77" s="48">
        <f t="shared" ca="1" si="385"/>
        <v>0</v>
      </c>
      <c r="EC77" s="48">
        <f t="shared" ca="1" si="385"/>
        <v>0</v>
      </c>
      <c r="ED77" s="48">
        <f t="shared" ca="1" si="385"/>
        <v>0</v>
      </c>
      <c r="EE77" s="48">
        <f t="shared" ca="1" si="385"/>
        <v>0</v>
      </c>
      <c r="EF77" s="48">
        <f t="shared" ca="1" si="385"/>
        <v>0</v>
      </c>
      <c r="EG77" s="48">
        <f t="shared" ca="1" si="385"/>
        <v>0</v>
      </c>
      <c r="EH77" s="48">
        <f t="shared" ca="1" si="385"/>
        <v>0</v>
      </c>
      <c r="EI77" s="48">
        <f t="shared" ca="1" si="385"/>
        <v>0</v>
      </c>
      <c r="EJ77" s="48">
        <f t="shared" ca="1" si="385"/>
        <v>0</v>
      </c>
      <c r="EK77" s="48">
        <f t="shared" ca="1" si="385"/>
        <v>0</v>
      </c>
      <c r="EL77" s="48">
        <f t="shared" ca="1" si="385"/>
        <v>0</v>
      </c>
      <c r="EM77" s="48">
        <f t="shared" ca="1" si="385"/>
        <v>0</v>
      </c>
      <c r="EN77" s="48">
        <f t="shared" ca="1" si="385"/>
        <v>0</v>
      </c>
      <c r="EO77" s="48">
        <f t="shared" ca="1" si="385"/>
        <v>0</v>
      </c>
      <c r="EP77" s="48">
        <f t="shared" ca="1" si="385"/>
        <v>0</v>
      </c>
      <c r="EQ77" s="48">
        <f t="shared" ca="1" si="386"/>
        <v>0</v>
      </c>
      <c r="ER77" s="48">
        <f t="shared" ca="1" si="386"/>
        <v>0</v>
      </c>
      <c r="ES77" s="48">
        <f t="shared" ca="1" si="374"/>
        <v>0</v>
      </c>
      <c r="ET77" s="48">
        <f t="shared" ca="1" si="364"/>
        <v>0</v>
      </c>
      <c r="EU77" s="48">
        <f t="shared" ca="1" si="364"/>
        <v>0</v>
      </c>
      <c r="EV77" s="48">
        <f t="shared" ca="1" si="364"/>
        <v>0</v>
      </c>
      <c r="EW77" s="48">
        <f t="shared" ca="1" si="364"/>
        <v>0</v>
      </c>
      <c r="EX77" s="48">
        <f t="shared" ca="1" si="364"/>
        <v>0</v>
      </c>
      <c r="EY77" s="69"/>
      <c r="EZ77" s="48">
        <f t="shared" ca="1" si="392"/>
        <v>2.9620730000000002</v>
      </c>
      <c r="FA77" s="48">
        <f t="shared" ca="1" si="392"/>
        <v>2.9620730000000002</v>
      </c>
      <c r="FB77" s="48">
        <f t="shared" ca="1" si="392"/>
        <v>2.9620730000000002</v>
      </c>
      <c r="FC77" s="48">
        <f t="shared" ca="1" si="392"/>
        <v>2.9620730000000002</v>
      </c>
      <c r="FD77" s="48">
        <f t="shared" ca="1" si="392"/>
        <v>2.9620730000000002</v>
      </c>
      <c r="FE77" s="48">
        <f t="shared" ca="1" si="392"/>
        <v>2.9620730000000002</v>
      </c>
      <c r="FF77" s="48">
        <f t="shared" ca="1" si="392"/>
        <v>2.9620730000000002</v>
      </c>
      <c r="FG77" s="48">
        <f t="shared" ca="1" si="392"/>
        <v>2.9620730000000002</v>
      </c>
      <c r="FH77" s="48">
        <f t="shared" ca="1" si="392"/>
        <v>2.9620730000000002</v>
      </c>
      <c r="FI77" s="48">
        <f t="shared" ca="1" si="392"/>
        <v>2.9620730000000002</v>
      </c>
      <c r="FJ77" s="48">
        <f t="shared" ca="1" si="392"/>
        <v>2.9620730000000002</v>
      </c>
      <c r="FK77" s="48">
        <f t="shared" ca="1" si="392"/>
        <v>2.9620730000000002</v>
      </c>
      <c r="FL77" s="48">
        <f t="shared" ca="1" si="392"/>
        <v>2.9620730000000002</v>
      </c>
      <c r="FM77" s="48">
        <f t="shared" ca="1" si="392"/>
        <v>2.9620730000000002</v>
      </c>
      <c r="FN77" s="48">
        <f t="shared" ca="1" si="392"/>
        <v>2.9620730000000002</v>
      </c>
      <c r="FO77" s="48">
        <f t="shared" ca="1" si="390"/>
        <v>2.9620730000000002</v>
      </c>
      <c r="FP77" s="48">
        <f t="shared" ca="1" si="390"/>
        <v>0</v>
      </c>
      <c r="FQ77" s="48">
        <f t="shared" ca="1" si="390"/>
        <v>0</v>
      </c>
      <c r="FR77" s="48">
        <f t="shared" ca="1" si="390"/>
        <v>0</v>
      </c>
      <c r="FS77" s="48">
        <f t="shared" ca="1" si="390"/>
        <v>0</v>
      </c>
      <c r="FT77" s="48">
        <f t="shared" ca="1" si="390"/>
        <v>0</v>
      </c>
      <c r="FU77" s="48">
        <f t="shared" ca="1" si="390"/>
        <v>0</v>
      </c>
      <c r="FV77" s="48">
        <f t="shared" ca="1" si="390"/>
        <v>0</v>
      </c>
      <c r="FW77" s="48">
        <f t="shared" ca="1" si="390"/>
        <v>0</v>
      </c>
      <c r="FX77" s="48">
        <f t="shared" ca="1" si="390"/>
        <v>0</v>
      </c>
      <c r="FY77" s="48">
        <f t="shared" ca="1" si="390"/>
        <v>0</v>
      </c>
      <c r="FZ77" s="48">
        <f t="shared" ca="1" si="390"/>
        <v>0</v>
      </c>
      <c r="GA77" s="48">
        <f t="shared" ca="1" si="390"/>
        <v>0</v>
      </c>
      <c r="GB77" s="48">
        <f t="shared" ca="1" si="390"/>
        <v>0</v>
      </c>
      <c r="GC77" s="48">
        <f t="shared" ca="1" si="387"/>
        <v>0</v>
      </c>
      <c r="GD77" s="48">
        <f t="shared" ca="1" si="387"/>
        <v>0</v>
      </c>
      <c r="GE77" s="48">
        <f t="shared" ca="1" si="387"/>
        <v>0</v>
      </c>
      <c r="GF77" s="48">
        <f t="shared" ca="1" si="387"/>
        <v>0</v>
      </c>
      <c r="GG77" s="48">
        <f t="shared" ca="1" si="387"/>
        <v>0</v>
      </c>
      <c r="GH77" s="48">
        <f t="shared" ca="1" si="387"/>
        <v>0</v>
      </c>
      <c r="GI77" s="48">
        <f t="shared" ca="1" si="387"/>
        <v>0</v>
      </c>
      <c r="GJ77" s="48">
        <f t="shared" ca="1" si="387"/>
        <v>0</v>
      </c>
      <c r="GK77" s="48">
        <f t="shared" ca="1" si="387"/>
        <v>0</v>
      </c>
      <c r="GL77" s="48">
        <f t="shared" ca="1" si="387"/>
        <v>0</v>
      </c>
      <c r="GM77" s="48">
        <f t="shared" ca="1" si="387"/>
        <v>0</v>
      </c>
      <c r="GN77" s="48">
        <f t="shared" ca="1" si="387"/>
        <v>0</v>
      </c>
      <c r="GO77" s="48">
        <f t="shared" ca="1" si="387"/>
        <v>0</v>
      </c>
      <c r="GP77" s="48">
        <f t="shared" ca="1" si="387"/>
        <v>0</v>
      </c>
      <c r="GQ77" s="48">
        <f t="shared" ca="1" si="387"/>
        <v>0</v>
      </c>
      <c r="GR77" s="48">
        <f t="shared" ca="1" si="387"/>
        <v>0</v>
      </c>
      <c r="GS77" s="48">
        <f t="shared" ca="1" si="388"/>
        <v>0</v>
      </c>
      <c r="GT77" s="48">
        <f t="shared" ca="1" si="388"/>
        <v>0</v>
      </c>
      <c r="GU77" s="48">
        <f t="shared" ca="1" si="377"/>
        <v>0</v>
      </c>
      <c r="GV77" s="48">
        <f t="shared" ca="1" si="368"/>
        <v>0</v>
      </c>
      <c r="GW77" s="48">
        <f t="shared" ca="1" si="368"/>
        <v>0</v>
      </c>
      <c r="GX77" s="48">
        <f t="shared" ca="1" si="368"/>
        <v>0</v>
      </c>
      <c r="GY77" s="48">
        <f t="shared" ca="1" si="368"/>
        <v>0</v>
      </c>
      <c r="GZ77" s="48">
        <f t="shared" ca="1" si="368"/>
        <v>0</v>
      </c>
      <c r="HA77" s="69"/>
      <c r="HB77" s="150">
        <f t="shared" ca="1" si="380"/>
        <v>2.2217153934439162</v>
      </c>
      <c r="HC77" s="150">
        <f t="shared" ca="1" si="369"/>
        <v>28.129837383227855</v>
      </c>
      <c r="HD77" s="150">
        <f t="shared" ca="1" si="381"/>
        <v>2.7429449035195841</v>
      </c>
      <c r="HE77" s="150">
        <f t="shared" ca="1" si="370"/>
        <v>5.2103250306674305</v>
      </c>
      <c r="HF77" s="150">
        <f t="shared" ca="1" si="371"/>
        <v>0.42640629526318047</v>
      </c>
      <c r="HG77" s="148"/>
      <c r="HH77" s="149"/>
      <c r="HI77" s="149"/>
      <c r="HJ77" s="149"/>
      <c r="HK77" s="150"/>
      <c r="HL77" s="149"/>
      <c r="HM77" s="149"/>
      <c r="HN77" s="149"/>
      <c r="HO77" s="150"/>
      <c r="HP77" s="148"/>
      <c r="HQ77" s="149"/>
      <c r="HR77" s="149"/>
      <c r="HS77" s="149"/>
      <c r="HT77" s="150"/>
      <c r="HU77" s="149"/>
      <c r="HV77" s="149"/>
      <c r="HW77" s="149"/>
      <c r="HX77" s="150"/>
      <c r="HY77" s="151"/>
      <c r="HZ77" s="150"/>
      <c r="IA77" s="150"/>
      <c r="IB77" s="152"/>
      <c r="IC77" s="150"/>
      <c r="ID77" s="152"/>
      <c r="IE77" s="150"/>
      <c r="IF77" s="153"/>
    </row>
    <row r="78" spans="1:240" s="36" customFormat="1" ht="14.4" customHeight="1">
      <c r="A78" s="39"/>
      <c r="B78" s="50" t="str">
        <f t="shared" si="340"/>
        <v>C&amp;I_C&amp;I Prescriptive_Lighting_LED Parking Garage/Canopy (30-75W)_2017_Actual</v>
      </c>
      <c r="C78" s="50">
        <f>INDEX('Measure Inputs'!$D:$D,MATCH($B78,'Measure Inputs'!$B:$B,0))</f>
        <v>44</v>
      </c>
      <c r="D78" s="51" t="str">
        <f>'Measure Inputs'!G50</f>
        <v>C&amp;I</v>
      </c>
      <c r="E78" s="51" t="str">
        <f>'Measure Inputs'!H50</f>
        <v>C&amp;I Prescriptive</v>
      </c>
      <c r="F78" s="51" t="str">
        <f>'Measure Inputs'!I50</f>
        <v>Lighting</v>
      </c>
      <c r="G78" s="51" t="str">
        <f>'Measure Inputs'!J50</f>
        <v>LED Parking Garage/Canopy (30-75W)</v>
      </c>
      <c r="H78" s="51">
        <f>'Measure Inputs'!K50</f>
        <v>2017</v>
      </c>
      <c r="I78" s="51" t="str">
        <f>'Measure Inputs'!L50</f>
        <v>Actual</v>
      </c>
      <c r="J78" s="37"/>
      <c r="K78" s="99" t="str">
        <f ca="1">INDEX(OFFSET('Measure Inputs'!$O$7,,,InputRows),$C78)</f>
        <v>Units</v>
      </c>
      <c r="L78" s="38">
        <f ca="1">INDEX(OFFSET('Measure Inputs'!$Q$7,,,InputRows),$C78)</f>
        <v>268</v>
      </c>
      <c r="M78" s="167">
        <f>INDEX('General Inputs'!$E$14:$E$15,MATCH(D78,'General Inputs'!$D$14:$D$15,0))</f>
        <v>1.0469999999999999</v>
      </c>
      <c r="N78" s="54">
        <f ca="1">INDEX(OFFSET('Measure Inputs'!$Y$7,,,InputRows),$C78)</f>
        <v>1</v>
      </c>
      <c r="O78" s="54">
        <f ca="1">INDEX(OFFSET('Measure Inputs'!$Z$7,,,InputRows),$C78)</f>
        <v>1</v>
      </c>
      <c r="P78" s="37"/>
      <c r="Q78" s="127">
        <f ca="1">CONVERT(INDEX(OFFSET('Measure Inputs'!$AB$7,,,InputRows),$C78),'Measure Inputs'!$AB$6,Q$8)*$L78</f>
        <v>144822.58600000001</v>
      </c>
      <c r="R78" s="127">
        <f t="shared" ca="1" si="341"/>
        <v>144822.58600000001</v>
      </c>
      <c r="S78" s="127">
        <f t="shared" ca="1" si="342"/>
        <v>144822.58600000001</v>
      </c>
      <c r="T78" s="37"/>
      <c r="U78" s="127">
        <f ca="1">CONVERT(INDEX(OFFSET('Measure Inputs'!$AD$7,,,InputRows),$C78),'Measure Inputs'!$AD$6,U$8)*$L78</f>
        <v>0</v>
      </c>
      <c r="V78" s="127">
        <f t="shared" ca="1" si="343"/>
        <v>0</v>
      </c>
      <c r="W78" s="127">
        <f t="shared" ca="1" si="344"/>
        <v>0</v>
      </c>
      <c r="X78" s="37"/>
      <c r="Y78" s="127">
        <f ca="1">CONVERT(INDEX(OFFSET('Measure Inputs'!$AC$7,,,InputRows),$C78),'Measure Inputs'!$AC$6,Y$8)*$L78</f>
        <v>31.011065000000006</v>
      </c>
      <c r="Z78" s="127">
        <f t="shared" ca="1" si="345"/>
        <v>31.011065000000006</v>
      </c>
      <c r="AA78" s="127">
        <f t="shared" ca="1" si="346"/>
        <v>31.011065000000006</v>
      </c>
      <c r="AB78" s="37"/>
      <c r="AC78" s="127">
        <f ca="1">CONVERT(INDEX(OFFSET('Measure Inputs'!$AE$7,,,InputRows),$C78),'Measure Inputs'!$AE$6,AC$8)*$L78</f>
        <v>0</v>
      </c>
      <c r="AD78" s="127">
        <f t="shared" ca="1" si="347"/>
        <v>0</v>
      </c>
      <c r="AE78" s="127">
        <f t="shared" ca="1" si="348"/>
        <v>0</v>
      </c>
      <c r="AF78" s="37"/>
      <c r="AG78" s="97">
        <f ca="1">INDEX(OFFSET('Measure Inputs'!$R$7,,,InputRows),$C78)</f>
        <v>16</v>
      </c>
      <c r="AH78" s="97">
        <f ca="1">INDEX(OFFSET('Measure Inputs'!$S$7,,,InputRows),$C78)</f>
        <v>0</v>
      </c>
      <c r="AI78" s="97">
        <f t="shared" ca="1" si="349"/>
        <v>2317161.3760000011</v>
      </c>
      <c r="AJ78" s="100">
        <f ca="1">INDEX(OFFSET('Measure Inputs'!$T$7,,,InputRows),$C78)*$L78*$N78*$O78</f>
        <v>67000</v>
      </c>
      <c r="AK78" s="100">
        <f ca="1">INDEX(OFFSET('Measure Inputs'!$U$7,,,InputRows),$C78)*$L78*$N78*$O78</f>
        <v>0</v>
      </c>
      <c r="AL78" s="100">
        <f ca="1">INDEX(OFFSET('Measure Inputs'!$V$7,,,InputRows),$C78)*$L78*$N78*$O78</f>
        <v>0</v>
      </c>
      <c r="AM78" s="100">
        <f ca="1">INDEX(OFFSET('Measure Inputs'!$W$7,,,InputRows),$C78)*$L78*$N78*$O78</f>
        <v>0</v>
      </c>
      <c r="AN78" s="100">
        <f ca="1">INDEX(OFFSET('Measure Inputs'!$X$7,,,InputRows),$C78)*$L78</f>
        <v>17081.5</v>
      </c>
      <c r="AO78" s="100"/>
      <c r="AP78" s="100">
        <f t="shared" ca="1" si="350"/>
        <v>17081.5</v>
      </c>
      <c r="AQ78" s="37"/>
      <c r="AR78" s="100">
        <f ca="1">SUMPRODUCT(--($CX$9:$EX$9=$H78)*$AJ78,'General Inputs'!$K$40:$BK$40)+SUMPRODUCT(--($CX$9:$EX$9=$H78+$AH78)*-$AK78,'General Inputs'!$K$43:$BK$43)</f>
        <v>67000</v>
      </c>
      <c r="AS78" s="100">
        <f ca="1">CONVERT(SUMPRODUCT($CX78:$EX78,'General Inputs'!$K$29:$BK$29,'General Inputs'!$K$40:$BK$40)*$M78,$Q$8,'General Inputs'!$E$17)</f>
        <v>15794.653964799279</v>
      </c>
      <c r="AT78" s="100">
        <f ca="1">SUMPRODUCT(--($CX$9:$EX$9=$H78)*$AN78,'General Inputs'!$K$40:$BK$40)</f>
        <v>17081.5</v>
      </c>
      <c r="AU78" s="100">
        <f>SUMPRODUCT(--($CX$9:$EX$9=$H78)*$AO78,'General Inputs'!$K$40:$BK$40)</f>
        <v>0</v>
      </c>
      <c r="AV78" s="100">
        <f ca="1">CONVERT(SUMPRODUCT($CX78:$EX78,'General Inputs'!$K$40:$BK$40,OFFSET('General Inputs'!$K$34:$BK$34,MATCH($D78,'General Inputs'!$J$34:$J$35,0)-1,)),$Q$8,'General Inputs'!$G$32)</f>
        <v>155493.51267904026</v>
      </c>
      <c r="AW78" s="100">
        <f ca="1">CONVERT(SUMPRODUCT($CX78:$EX78,'General Inputs'!$K$27:$BK$27,'General Inputs'!$K$40:$BK$40)*$M78,$Q$8,'General Inputs'!$E$17)</f>
        <v>62974.312638618248</v>
      </c>
      <c r="AX78" s="100">
        <f ca="1">CONVERT(SUMPRODUCT($EZ78:$GZ78,'General Inputs'!$K$28:$BK$28,'General Inputs'!$K$40:$BK$40)*$M78,$Q$8,'General Inputs'!$E$17)</f>
        <v>5071.8445811565689</v>
      </c>
      <c r="AY78" s="98">
        <f ca="1">SUMPRODUCT($CX78:$EX78,'General Inputs'!$K$40:$BK$40)</f>
        <v>1323300.8231370568</v>
      </c>
      <c r="AZ78" s="37"/>
      <c r="BA78" s="100">
        <f t="shared" ca="1" si="351"/>
        <v>1046.1572197748173</v>
      </c>
      <c r="BB78" s="102">
        <f t="shared" ca="1" si="352"/>
        <v>1.0156142868623108</v>
      </c>
      <c r="BC78" s="100">
        <f t="shared" ca="1" si="273"/>
        <v>67000</v>
      </c>
      <c r="BD78" s="100">
        <f t="shared" ca="1" si="274"/>
        <v>68046.157219774817</v>
      </c>
      <c r="BE78" s="100">
        <f t="shared" ca="1" si="275"/>
        <v>62974.312638618248</v>
      </c>
      <c r="BF78" s="100">
        <f t="shared" ca="1" si="276"/>
        <v>5071.8445811565689</v>
      </c>
      <c r="BG78" s="100">
        <f t="shared" si="277"/>
        <v>0</v>
      </c>
      <c r="BH78" s="100">
        <f t="shared" ca="1" si="278"/>
        <v>67000</v>
      </c>
      <c r="BI78" s="37"/>
      <c r="BJ78" s="100">
        <f t="shared" ca="1" si="353"/>
        <v>16840.811184574093</v>
      </c>
      <c r="BK78" s="102">
        <f t="shared" ca="1" si="354"/>
        <v>1.2513553908145387</v>
      </c>
      <c r="BL78" s="100">
        <f t="shared" ca="1" si="279"/>
        <v>67000</v>
      </c>
      <c r="BM78" s="100">
        <f t="shared" ca="1" si="164"/>
        <v>83840.811184574093</v>
      </c>
      <c r="BN78" s="100">
        <f t="shared" ca="1" si="280"/>
        <v>62974.312638618248</v>
      </c>
      <c r="BO78" s="100">
        <f t="shared" ca="1" si="281"/>
        <v>5071.8445811565689</v>
      </c>
      <c r="BP78" s="100">
        <f t="shared" ca="1" si="282"/>
        <v>15794.653964799279</v>
      </c>
      <c r="BQ78" s="100">
        <f t="shared" si="283"/>
        <v>0</v>
      </c>
      <c r="BR78" s="100">
        <f t="shared" ca="1" si="284"/>
        <v>67000</v>
      </c>
      <c r="BS78" s="37"/>
      <c r="BT78" s="100">
        <f t="shared" ca="1" si="355"/>
        <v>105575.01267904026</v>
      </c>
      <c r="BU78" s="102">
        <f t="shared" ca="1" si="356"/>
        <v>2.5757464578961233</v>
      </c>
      <c r="BV78" s="102">
        <f t="shared" ca="1" si="285"/>
        <v>6.2117915181251355</v>
      </c>
      <c r="BW78" s="100">
        <f t="shared" ca="1" si="286"/>
        <v>67000</v>
      </c>
      <c r="BX78" s="100">
        <f t="shared" ca="1" si="287"/>
        <v>172575.01267904026</v>
      </c>
      <c r="BY78" s="100">
        <f t="shared" ca="1" si="288"/>
        <v>155493.51267904026</v>
      </c>
      <c r="BZ78" s="100">
        <f t="shared" ca="1" si="289"/>
        <v>17081.5</v>
      </c>
      <c r="CA78" s="100">
        <f t="shared" ca="1" si="290"/>
        <v>67000</v>
      </c>
      <c r="CB78" s="37"/>
      <c r="CC78" s="100">
        <f t="shared" ca="1" si="357"/>
        <v>50964.657219774817</v>
      </c>
      <c r="CD78" s="102">
        <f t="shared" ca="1" si="358"/>
        <v>3.9836172010522972</v>
      </c>
      <c r="CE78" s="103">
        <f t="shared" ca="1" si="291"/>
        <v>-0.27464365158573223</v>
      </c>
      <c r="CF78" s="100">
        <f t="shared" ca="1" si="292"/>
        <v>17081.5</v>
      </c>
      <c r="CG78" s="100">
        <f t="shared" ca="1" si="293"/>
        <v>68046.157219774817</v>
      </c>
      <c r="CH78" s="100">
        <f t="shared" ca="1" si="294"/>
        <v>62974.312638618248</v>
      </c>
      <c r="CI78" s="100">
        <f t="shared" ca="1" si="382"/>
        <v>5071.8445811565689</v>
      </c>
      <c r="CJ78" s="100">
        <f t="shared" ca="1" si="383"/>
        <v>17081.5</v>
      </c>
      <c r="CK78" s="100">
        <f t="shared" si="295"/>
        <v>0</v>
      </c>
      <c r="CL78" s="37"/>
      <c r="CM78" s="100">
        <f t="shared" ca="1" si="359"/>
        <v>-104528.85545926544</v>
      </c>
      <c r="CN78" s="102">
        <f t="shared" ca="1" si="360"/>
        <v>0.3942990133011256</v>
      </c>
      <c r="CO78" s="128"/>
      <c r="CP78" s="100">
        <f t="shared" ca="1" si="296"/>
        <v>172575.01267904026</v>
      </c>
      <c r="CQ78" s="100">
        <f t="shared" ca="1" si="297"/>
        <v>68046.157219774817</v>
      </c>
      <c r="CR78" s="100">
        <f t="shared" ca="1" si="298"/>
        <v>62974.312638618248</v>
      </c>
      <c r="CS78" s="100">
        <f t="shared" ca="1" si="384"/>
        <v>5071.8445811565689</v>
      </c>
      <c r="CT78" s="100">
        <f t="shared" ca="1" si="299"/>
        <v>155493.51267904026</v>
      </c>
      <c r="CU78" s="100">
        <f t="shared" ca="1" si="300"/>
        <v>17081.5</v>
      </c>
      <c r="CV78" s="100">
        <f t="shared" si="301"/>
        <v>0</v>
      </c>
      <c r="CW78" s="37"/>
      <c r="CX78" s="48">
        <f t="shared" ca="1" si="391"/>
        <v>144822.58600000001</v>
      </c>
      <c r="CY78" s="48">
        <f t="shared" ca="1" si="391"/>
        <v>144822.58600000001</v>
      </c>
      <c r="CZ78" s="48">
        <f t="shared" ca="1" si="391"/>
        <v>144822.58600000001</v>
      </c>
      <c r="DA78" s="48">
        <f t="shared" ca="1" si="391"/>
        <v>144822.58600000001</v>
      </c>
      <c r="DB78" s="48">
        <f t="shared" ca="1" si="391"/>
        <v>144822.58600000001</v>
      </c>
      <c r="DC78" s="48">
        <f t="shared" ca="1" si="391"/>
        <v>144822.58600000001</v>
      </c>
      <c r="DD78" s="48">
        <f t="shared" ca="1" si="391"/>
        <v>144822.58600000001</v>
      </c>
      <c r="DE78" s="48">
        <f t="shared" ca="1" si="391"/>
        <v>144822.58600000001</v>
      </c>
      <c r="DF78" s="48">
        <f t="shared" ca="1" si="391"/>
        <v>144822.58600000001</v>
      </c>
      <c r="DG78" s="48">
        <f t="shared" ca="1" si="391"/>
        <v>144822.58600000001</v>
      </c>
      <c r="DH78" s="48">
        <f t="shared" ca="1" si="391"/>
        <v>144822.58600000001</v>
      </c>
      <c r="DI78" s="48">
        <f t="shared" ca="1" si="391"/>
        <v>144822.58600000001</v>
      </c>
      <c r="DJ78" s="48">
        <f t="shared" ca="1" si="391"/>
        <v>144822.58600000001</v>
      </c>
      <c r="DK78" s="48">
        <f t="shared" ca="1" si="391"/>
        <v>144822.58600000001</v>
      </c>
      <c r="DL78" s="48">
        <f t="shared" ca="1" si="391"/>
        <v>144822.58600000001</v>
      </c>
      <c r="DM78" s="48">
        <f t="shared" ca="1" si="389"/>
        <v>144822.58600000001</v>
      </c>
      <c r="DN78" s="48">
        <f t="shared" ca="1" si="389"/>
        <v>0</v>
      </c>
      <c r="DO78" s="48">
        <f t="shared" ca="1" si="389"/>
        <v>0</v>
      </c>
      <c r="DP78" s="48">
        <f t="shared" ca="1" si="389"/>
        <v>0</v>
      </c>
      <c r="DQ78" s="48">
        <f t="shared" ca="1" si="389"/>
        <v>0</v>
      </c>
      <c r="DR78" s="48">
        <f t="shared" ca="1" si="389"/>
        <v>0</v>
      </c>
      <c r="DS78" s="48">
        <f t="shared" ca="1" si="389"/>
        <v>0</v>
      </c>
      <c r="DT78" s="48">
        <f t="shared" ca="1" si="389"/>
        <v>0</v>
      </c>
      <c r="DU78" s="48">
        <f t="shared" ca="1" si="389"/>
        <v>0</v>
      </c>
      <c r="DV78" s="48">
        <f t="shared" ca="1" si="389"/>
        <v>0</v>
      </c>
      <c r="DW78" s="48">
        <f t="shared" ca="1" si="389"/>
        <v>0</v>
      </c>
      <c r="DX78" s="48">
        <f t="shared" ca="1" si="389"/>
        <v>0</v>
      </c>
      <c r="DY78" s="48">
        <f t="shared" ca="1" si="389"/>
        <v>0</v>
      </c>
      <c r="DZ78" s="48">
        <f t="shared" ca="1" si="389"/>
        <v>0</v>
      </c>
      <c r="EA78" s="48">
        <f t="shared" ca="1" si="385"/>
        <v>0</v>
      </c>
      <c r="EB78" s="48">
        <f t="shared" ca="1" si="385"/>
        <v>0</v>
      </c>
      <c r="EC78" s="48">
        <f t="shared" ca="1" si="385"/>
        <v>0</v>
      </c>
      <c r="ED78" s="48">
        <f t="shared" ca="1" si="385"/>
        <v>0</v>
      </c>
      <c r="EE78" s="48">
        <f t="shared" ca="1" si="385"/>
        <v>0</v>
      </c>
      <c r="EF78" s="48">
        <f t="shared" ca="1" si="385"/>
        <v>0</v>
      </c>
      <c r="EG78" s="48">
        <f t="shared" ca="1" si="385"/>
        <v>0</v>
      </c>
      <c r="EH78" s="48">
        <f t="shared" ca="1" si="385"/>
        <v>0</v>
      </c>
      <c r="EI78" s="48">
        <f t="shared" ca="1" si="385"/>
        <v>0</v>
      </c>
      <c r="EJ78" s="48">
        <f t="shared" ca="1" si="385"/>
        <v>0</v>
      </c>
      <c r="EK78" s="48">
        <f t="shared" ca="1" si="385"/>
        <v>0</v>
      </c>
      <c r="EL78" s="48">
        <f t="shared" ca="1" si="385"/>
        <v>0</v>
      </c>
      <c r="EM78" s="48">
        <f t="shared" ca="1" si="385"/>
        <v>0</v>
      </c>
      <c r="EN78" s="48">
        <f t="shared" ca="1" si="385"/>
        <v>0</v>
      </c>
      <c r="EO78" s="48">
        <f t="shared" ca="1" si="385"/>
        <v>0</v>
      </c>
      <c r="EP78" s="48">
        <f t="shared" ca="1" si="385"/>
        <v>0</v>
      </c>
      <c r="EQ78" s="48">
        <f t="shared" ca="1" si="386"/>
        <v>0</v>
      </c>
      <c r="ER78" s="48">
        <f t="shared" ca="1" si="386"/>
        <v>0</v>
      </c>
      <c r="ES78" s="48">
        <f t="shared" ca="1" si="374"/>
        <v>0</v>
      </c>
      <c r="ET78" s="48">
        <f t="shared" ca="1" si="364"/>
        <v>0</v>
      </c>
      <c r="EU78" s="48">
        <f t="shared" ca="1" si="364"/>
        <v>0</v>
      </c>
      <c r="EV78" s="48">
        <f t="shared" ca="1" si="364"/>
        <v>0</v>
      </c>
      <c r="EW78" s="48">
        <f t="shared" ca="1" si="364"/>
        <v>0</v>
      </c>
      <c r="EX78" s="48">
        <f t="shared" ca="1" si="364"/>
        <v>0</v>
      </c>
      <c r="EY78" s="69"/>
      <c r="EZ78" s="48">
        <f t="shared" ca="1" si="392"/>
        <v>31.011065000000006</v>
      </c>
      <c r="FA78" s="48">
        <f t="shared" ca="1" si="392"/>
        <v>31.011065000000006</v>
      </c>
      <c r="FB78" s="48">
        <f t="shared" ca="1" si="392"/>
        <v>31.011065000000006</v>
      </c>
      <c r="FC78" s="48">
        <f t="shared" ca="1" si="392"/>
        <v>31.011065000000006</v>
      </c>
      <c r="FD78" s="48">
        <f t="shared" ca="1" si="392"/>
        <v>31.011065000000006</v>
      </c>
      <c r="FE78" s="48">
        <f t="shared" ca="1" si="392"/>
        <v>31.011065000000006</v>
      </c>
      <c r="FF78" s="48">
        <f t="shared" ca="1" si="392"/>
        <v>31.011065000000006</v>
      </c>
      <c r="FG78" s="48">
        <f t="shared" ca="1" si="392"/>
        <v>31.011065000000006</v>
      </c>
      <c r="FH78" s="48">
        <f t="shared" ca="1" si="392"/>
        <v>31.011065000000006</v>
      </c>
      <c r="FI78" s="48">
        <f t="shared" ca="1" si="392"/>
        <v>31.011065000000006</v>
      </c>
      <c r="FJ78" s="48">
        <f t="shared" ca="1" si="392"/>
        <v>31.011065000000006</v>
      </c>
      <c r="FK78" s="48">
        <f t="shared" ca="1" si="392"/>
        <v>31.011065000000006</v>
      </c>
      <c r="FL78" s="48">
        <f t="shared" ca="1" si="392"/>
        <v>31.011065000000006</v>
      </c>
      <c r="FM78" s="48">
        <f t="shared" ca="1" si="392"/>
        <v>31.011065000000006</v>
      </c>
      <c r="FN78" s="48">
        <f t="shared" ca="1" si="392"/>
        <v>31.011065000000006</v>
      </c>
      <c r="FO78" s="48">
        <f t="shared" ca="1" si="390"/>
        <v>31.011065000000006</v>
      </c>
      <c r="FP78" s="48">
        <f t="shared" ca="1" si="390"/>
        <v>0</v>
      </c>
      <c r="FQ78" s="48">
        <f t="shared" ca="1" si="390"/>
        <v>0</v>
      </c>
      <c r="FR78" s="48">
        <f t="shared" ca="1" si="390"/>
        <v>0</v>
      </c>
      <c r="FS78" s="48">
        <f t="shared" ca="1" si="390"/>
        <v>0</v>
      </c>
      <c r="FT78" s="48">
        <f t="shared" ca="1" si="390"/>
        <v>0</v>
      </c>
      <c r="FU78" s="48">
        <f t="shared" ca="1" si="390"/>
        <v>0</v>
      </c>
      <c r="FV78" s="48">
        <f t="shared" ca="1" si="390"/>
        <v>0</v>
      </c>
      <c r="FW78" s="48">
        <f t="shared" ca="1" si="390"/>
        <v>0</v>
      </c>
      <c r="FX78" s="48">
        <f t="shared" ca="1" si="390"/>
        <v>0</v>
      </c>
      <c r="FY78" s="48">
        <f t="shared" ca="1" si="390"/>
        <v>0</v>
      </c>
      <c r="FZ78" s="48">
        <f t="shared" ca="1" si="390"/>
        <v>0</v>
      </c>
      <c r="GA78" s="48">
        <f t="shared" ca="1" si="390"/>
        <v>0</v>
      </c>
      <c r="GB78" s="48">
        <f t="shared" ca="1" si="390"/>
        <v>0</v>
      </c>
      <c r="GC78" s="48">
        <f t="shared" ca="1" si="387"/>
        <v>0</v>
      </c>
      <c r="GD78" s="48">
        <f t="shared" ca="1" si="387"/>
        <v>0</v>
      </c>
      <c r="GE78" s="48">
        <f t="shared" ca="1" si="387"/>
        <v>0</v>
      </c>
      <c r="GF78" s="48">
        <f t="shared" ca="1" si="387"/>
        <v>0</v>
      </c>
      <c r="GG78" s="48">
        <f t="shared" ca="1" si="387"/>
        <v>0</v>
      </c>
      <c r="GH78" s="48">
        <f t="shared" ca="1" si="387"/>
        <v>0</v>
      </c>
      <c r="GI78" s="48">
        <f t="shared" ca="1" si="387"/>
        <v>0</v>
      </c>
      <c r="GJ78" s="48">
        <f t="shared" ca="1" si="387"/>
        <v>0</v>
      </c>
      <c r="GK78" s="48">
        <f t="shared" ca="1" si="387"/>
        <v>0</v>
      </c>
      <c r="GL78" s="48">
        <f t="shared" ca="1" si="387"/>
        <v>0</v>
      </c>
      <c r="GM78" s="48">
        <f t="shared" ca="1" si="387"/>
        <v>0</v>
      </c>
      <c r="GN78" s="48">
        <f t="shared" ca="1" si="387"/>
        <v>0</v>
      </c>
      <c r="GO78" s="48">
        <f t="shared" ca="1" si="387"/>
        <v>0</v>
      </c>
      <c r="GP78" s="48">
        <f t="shared" ca="1" si="387"/>
        <v>0</v>
      </c>
      <c r="GQ78" s="48">
        <f t="shared" ca="1" si="387"/>
        <v>0</v>
      </c>
      <c r="GR78" s="48">
        <f t="shared" ca="1" si="387"/>
        <v>0</v>
      </c>
      <c r="GS78" s="48">
        <f t="shared" ca="1" si="388"/>
        <v>0</v>
      </c>
      <c r="GT78" s="48">
        <f t="shared" ca="1" si="388"/>
        <v>0</v>
      </c>
      <c r="GU78" s="48">
        <f t="shared" ca="1" si="377"/>
        <v>0</v>
      </c>
      <c r="GV78" s="48">
        <f t="shared" ca="1" si="368"/>
        <v>0</v>
      </c>
      <c r="GW78" s="48">
        <f t="shared" ca="1" si="368"/>
        <v>0</v>
      </c>
      <c r="GX78" s="48">
        <f t="shared" ca="1" si="368"/>
        <v>0</v>
      </c>
      <c r="GY78" s="48">
        <f t="shared" ca="1" si="368"/>
        <v>0</v>
      </c>
      <c r="GZ78" s="48">
        <f t="shared" ca="1" si="368"/>
        <v>0</v>
      </c>
      <c r="HA78" s="69"/>
      <c r="HB78" s="150">
        <f t="shared" ca="1" si="380"/>
        <v>1.0156142868623108</v>
      </c>
      <c r="HC78" s="150">
        <f t="shared" ca="1" si="369"/>
        <v>3.9836172010522972</v>
      </c>
      <c r="HD78" s="150">
        <f t="shared" ca="1" si="381"/>
        <v>1.2513553908145387</v>
      </c>
      <c r="HE78" s="150">
        <f t="shared" ca="1" si="370"/>
        <v>2.5757464578961233</v>
      </c>
      <c r="HF78" s="150">
        <f t="shared" ca="1" si="371"/>
        <v>0.3942990133011256</v>
      </c>
      <c r="HG78" s="148"/>
      <c r="HH78" s="149"/>
      <c r="HI78" s="149"/>
      <c r="HJ78" s="149"/>
      <c r="HK78" s="150"/>
      <c r="HL78" s="149"/>
      <c r="HM78" s="149"/>
      <c r="HN78" s="149"/>
      <c r="HO78" s="150"/>
      <c r="HP78" s="148"/>
      <c r="HQ78" s="149"/>
      <c r="HR78" s="149"/>
      <c r="HS78" s="149"/>
      <c r="HT78" s="150"/>
      <c r="HU78" s="149"/>
      <c r="HV78" s="149"/>
      <c r="HW78" s="149"/>
      <c r="HX78" s="150"/>
      <c r="HY78" s="151"/>
      <c r="HZ78" s="150"/>
      <c r="IA78" s="150"/>
      <c r="IB78" s="152"/>
      <c r="IC78" s="150"/>
      <c r="ID78" s="152"/>
      <c r="IE78" s="150"/>
      <c r="IF78" s="153"/>
    </row>
    <row r="79" spans="1:240" s="36" customFormat="1" ht="14.4" customHeight="1">
      <c r="A79" s="39"/>
      <c r="B79" s="50" t="str">
        <f t="shared" si="340"/>
        <v>C&amp;I_C&amp;I Prescriptive_Lighting_LED Parking Garage/Canopy (≥75W)_2017_Actual</v>
      </c>
      <c r="C79" s="50">
        <f>INDEX('Measure Inputs'!$D:$D,MATCH($B79,'Measure Inputs'!$B:$B,0))</f>
        <v>45</v>
      </c>
      <c r="D79" s="51" t="str">
        <f>'Measure Inputs'!G51</f>
        <v>C&amp;I</v>
      </c>
      <c r="E79" s="51" t="str">
        <f>'Measure Inputs'!H51</f>
        <v>C&amp;I Prescriptive</v>
      </c>
      <c r="F79" s="51" t="str">
        <f>'Measure Inputs'!I51</f>
        <v>Lighting</v>
      </c>
      <c r="G79" s="51" t="str">
        <f>'Measure Inputs'!J51</f>
        <v>LED Parking Garage/Canopy (≥75W)</v>
      </c>
      <c r="H79" s="51">
        <f>'Measure Inputs'!K51</f>
        <v>2017</v>
      </c>
      <c r="I79" s="51" t="str">
        <f>'Measure Inputs'!L51</f>
        <v>Actual</v>
      </c>
      <c r="J79" s="37"/>
      <c r="K79" s="99" t="str">
        <f ca="1">INDEX(OFFSET('Measure Inputs'!$O$7,,,InputRows),$C79)</f>
        <v>Units</v>
      </c>
      <c r="L79" s="38">
        <f ca="1">INDEX(OFFSET('Measure Inputs'!$Q$7,,,InputRows),$C79)</f>
        <v>186</v>
      </c>
      <c r="M79" s="167">
        <f>INDEX('General Inputs'!$E$14:$E$15,MATCH(D79,'General Inputs'!$D$14:$D$15,0))</f>
        <v>1.0469999999999999</v>
      </c>
      <c r="N79" s="54">
        <f ca="1">INDEX(OFFSET('Measure Inputs'!$Y$7,,,InputRows),$C79)</f>
        <v>1</v>
      </c>
      <c r="O79" s="54">
        <f ca="1">INDEX(OFFSET('Measure Inputs'!$Z$7,,,InputRows),$C79)</f>
        <v>1</v>
      </c>
      <c r="P79" s="37"/>
      <c r="Q79" s="127">
        <f ca="1">CONVERT(INDEX(OFFSET('Measure Inputs'!$AB$7,,,InputRows),$C79),'Measure Inputs'!$AB$6,Q$8)*$L79</f>
        <v>218685.065</v>
      </c>
      <c r="R79" s="127">
        <f t="shared" ca="1" si="341"/>
        <v>218685.065</v>
      </c>
      <c r="S79" s="127">
        <f t="shared" ca="1" si="342"/>
        <v>218685.065</v>
      </c>
      <c r="T79" s="37"/>
      <c r="U79" s="127">
        <f ca="1">CONVERT(INDEX(OFFSET('Measure Inputs'!$AD$7,,,InputRows),$C79),'Measure Inputs'!$AD$6,U$8)*$L79</f>
        <v>0</v>
      </c>
      <c r="V79" s="127">
        <f t="shared" ca="1" si="343"/>
        <v>0</v>
      </c>
      <c r="W79" s="127">
        <f t="shared" ca="1" si="344"/>
        <v>0</v>
      </c>
      <c r="X79" s="37"/>
      <c r="Y79" s="127">
        <f ca="1">CONVERT(INDEX(OFFSET('Measure Inputs'!$AC$7,,,InputRows),$C79),'Measure Inputs'!$AC$6,Y$8)*$L79</f>
        <v>38.785001000000001</v>
      </c>
      <c r="Z79" s="127">
        <f t="shared" ca="1" si="345"/>
        <v>38.785001000000001</v>
      </c>
      <c r="AA79" s="127">
        <f t="shared" ca="1" si="346"/>
        <v>38.785001000000001</v>
      </c>
      <c r="AB79" s="37"/>
      <c r="AC79" s="127">
        <f ca="1">CONVERT(INDEX(OFFSET('Measure Inputs'!$AE$7,,,InputRows),$C79),'Measure Inputs'!$AE$6,AC$8)*$L79</f>
        <v>0</v>
      </c>
      <c r="AD79" s="127">
        <f t="shared" ca="1" si="347"/>
        <v>0</v>
      </c>
      <c r="AE79" s="127">
        <f t="shared" ca="1" si="348"/>
        <v>0</v>
      </c>
      <c r="AF79" s="37"/>
      <c r="AG79" s="97">
        <f ca="1">INDEX(OFFSET('Measure Inputs'!$R$7,,,InputRows),$C79)</f>
        <v>16</v>
      </c>
      <c r="AH79" s="97">
        <f ca="1">INDEX(OFFSET('Measure Inputs'!$S$7,,,InputRows),$C79)</f>
        <v>0</v>
      </c>
      <c r="AI79" s="97">
        <f t="shared" ca="1" si="349"/>
        <v>3498961.0399999996</v>
      </c>
      <c r="AJ79" s="100">
        <f ca="1">INDEX(OFFSET('Measure Inputs'!$T$7,,,InputRows),$C79)*$L79*$N79*$O79</f>
        <v>69750</v>
      </c>
      <c r="AK79" s="100">
        <f ca="1">INDEX(OFFSET('Measure Inputs'!$U$7,,,InputRows),$C79)*$L79*$N79*$O79</f>
        <v>0</v>
      </c>
      <c r="AL79" s="100">
        <f ca="1">INDEX(OFFSET('Measure Inputs'!$V$7,,,InputRows),$C79)*$L79*$N79*$O79</f>
        <v>0</v>
      </c>
      <c r="AM79" s="100">
        <f ca="1">INDEX(OFFSET('Measure Inputs'!$W$7,,,InputRows),$C79)*$L79*$N79*$O79</f>
        <v>0</v>
      </c>
      <c r="AN79" s="100">
        <f ca="1">INDEX(OFFSET('Measure Inputs'!$X$7,,,InputRows),$C79)*$L79</f>
        <v>18629.09</v>
      </c>
      <c r="AO79" s="100"/>
      <c r="AP79" s="100">
        <f t="shared" ca="1" si="350"/>
        <v>18629.09</v>
      </c>
      <c r="AQ79" s="37"/>
      <c r="AR79" s="100">
        <f ca="1">SUMPRODUCT(--($CX$9:$EX$9=$H79)*$AJ79,'General Inputs'!$K$40:$BK$40)+SUMPRODUCT(--($CX$9:$EX$9=$H79+$AH79)*-$AK79,'General Inputs'!$K$43:$BK$43)</f>
        <v>69750</v>
      </c>
      <c r="AS79" s="100">
        <f ca="1">CONVERT(SUMPRODUCT($CX79:$EX79,'General Inputs'!$K$29:$BK$29,'General Inputs'!$K$40:$BK$40)*$M79,$Q$8,'General Inputs'!$E$17)</f>
        <v>23850.250325903158</v>
      </c>
      <c r="AT79" s="100">
        <f ca="1">SUMPRODUCT(--($CX$9:$EX$9=$H79)*$AN79,'General Inputs'!$K$40:$BK$40)</f>
        <v>18629.09</v>
      </c>
      <c r="AU79" s="100">
        <f>SUMPRODUCT(--($CX$9:$EX$9=$H79)*$AO79,'General Inputs'!$K$40:$BK$40)</f>
        <v>0</v>
      </c>
      <c r="AV79" s="100">
        <f ca="1">CONVERT(SUMPRODUCT($CX79:$EX79,'General Inputs'!$K$40:$BK$40,OFFSET('General Inputs'!$K$34:$BK$34,MATCH($D79,'General Inputs'!$J$34:$J$35,0)-1,)),$Q$8,'General Inputs'!$G$32)</f>
        <v>234798.38239661205</v>
      </c>
      <c r="AW79" s="100">
        <f ca="1">CONVERT(SUMPRODUCT($CX79:$EX79,'General Inputs'!$K$27:$BK$27,'General Inputs'!$K$40:$BK$40)*$M79,$Q$8,'General Inputs'!$E$17)</f>
        <v>95092.499264628204</v>
      </c>
      <c r="AX79" s="100">
        <f ca="1">CONVERT(SUMPRODUCT($EZ79:$GZ79,'General Inputs'!$K$28:$BK$28,'General Inputs'!$K$40:$BK$40)*$M79,$Q$8,'General Inputs'!$E$17)</f>
        <v>6343.2680287504509</v>
      </c>
      <c r="AY79" s="98">
        <f ca="1">SUMPRODUCT($CX79:$EX79,'General Inputs'!$K$40:$BK$40)</f>
        <v>1998211.2908982353</v>
      </c>
      <c r="AZ79" s="37"/>
      <c r="BA79" s="100">
        <f t="shared" ca="1" si="351"/>
        <v>31685.767293378653</v>
      </c>
      <c r="BB79" s="102">
        <f t="shared" ca="1" si="352"/>
        <v>1.4542762335968265</v>
      </c>
      <c r="BC79" s="100">
        <f t="shared" ca="1" si="273"/>
        <v>69750</v>
      </c>
      <c r="BD79" s="100">
        <f t="shared" ca="1" si="274"/>
        <v>101435.76729337865</v>
      </c>
      <c r="BE79" s="100">
        <f t="shared" ca="1" si="275"/>
        <v>95092.499264628204</v>
      </c>
      <c r="BF79" s="100">
        <f t="shared" ca="1" si="276"/>
        <v>6343.2680287504509</v>
      </c>
      <c r="BG79" s="100">
        <f t="shared" si="277"/>
        <v>0</v>
      </c>
      <c r="BH79" s="100">
        <f t="shared" ca="1" si="278"/>
        <v>69750</v>
      </c>
      <c r="BI79" s="37"/>
      <c r="BJ79" s="100">
        <f t="shared" ca="1" si="353"/>
        <v>55536.017619281803</v>
      </c>
      <c r="BK79" s="102">
        <f t="shared" ca="1" si="354"/>
        <v>1.7962153063696316</v>
      </c>
      <c r="BL79" s="100">
        <f t="shared" ca="1" si="279"/>
        <v>69750</v>
      </c>
      <c r="BM79" s="100">
        <f t="shared" ca="1" si="164"/>
        <v>125286.0176192818</v>
      </c>
      <c r="BN79" s="100">
        <f t="shared" ca="1" si="280"/>
        <v>95092.499264628204</v>
      </c>
      <c r="BO79" s="100">
        <f t="shared" ca="1" si="281"/>
        <v>6343.2680287504509</v>
      </c>
      <c r="BP79" s="100">
        <f t="shared" ca="1" si="282"/>
        <v>23850.250325903158</v>
      </c>
      <c r="BQ79" s="100">
        <f t="shared" si="283"/>
        <v>0</v>
      </c>
      <c r="BR79" s="100">
        <f t="shared" ca="1" si="284"/>
        <v>69750</v>
      </c>
      <c r="BS79" s="37"/>
      <c r="BT79" s="100">
        <f t="shared" ca="1" si="355"/>
        <v>183677.47239661205</v>
      </c>
      <c r="BU79" s="102">
        <f t="shared" ca="1" si="356"/>
        <v>3.6333687798797425</v>
      </c>
      <c r="BV79" s="102">
        <f t="shared" ca="1" si="285"/>
        <v>4.4036267632952937</v>
      </c>
      <c r="BW79" s="100">
        <f t="shared" ca="1" si="286"/>
        <v>69750</v>
      </c>
      <c r="BX79" s="100">
        <f t="shared" ca="1" si="287"/>
        <v>253427.47239661205</v>
      </c>
      <c r="BY79" s="100">
        <f t="shared" ca="1" si="288"/>
        <v>234798.38239661205</v>
      </c>
      <c r="BZ79" s="100">
        <f t="shared" ca="1" si="289"/>
        <v>18629.09</v>
      </c>
      <c r="CA79" s="100">
        <f t="shared" ca="1" si="290"/>
        <v>69750</v>
      </c>
      <c r="CB79" s="37"/>
      <c r="CC79" s="100">
        <f t="shared" ca="1" si="357"/>
        <v>82806.677293378656</v>
      </c>
      <c r="CD79" s="102">
        <f t="shared" ca="1" si="358"/>
        <v>5.4450199818337159</v>
      </c>
      <c r="CE79" s="103">
        <f t="shared" ca="1" si="291"/>
        <v>-0.19835921197457748</v>
      </c>
      <c r="CF79" s="100">
        <f t="shared" ca="1" si="292"/>
        <v>18629.09</v>
      </c>
      <c r="CG79" s="100">
        <f t="shared" ca="1" si="293"/>
        <v>101435.76729337865</v>
      </c>
      <c r="CH79" s="100">
        <f t="shared" ca="1" si="294"/>
        <v>95092.499264628204</v>
      </c>
      <c r="CI79" s="100">
        <f t="shared" ca="1" si="382"/>
        <v>6343.2680287504509</v>
      </c>
      <c r="CJ79" s="100">
        <f t="shared" ca="1" si="383"/>
        <v>18629.09</v>
      </c>
      <c r="CK79" s="100">
        <f t="shared" si="295"/>
        <v>0</v>
      </c>
      <c r="CL79" s="37"/>
      <c r="CM79" s="100">
        <f t="shared" ca="1" si="359"/>
        <v>-151991.7051032334</v>
      </c>
      <c r="CN79" s="102">
        <f t="shared" ca="1" si="360"/>
        <v>0.40025560896820395</v>
      </c>
      <c r="CO79" s="128"/>
      <c r="CP79" s="100">
        <f t="shared" ca="1" si="296"/>
        <v>253427.47239661205</v>
      </c>
      <c r="CQ79" s="100">
        <f t="shared" ca="1" si="297"/>
        <v>101435.76729337865</v>
      </c>
      <c r="CR79" s="100">
        <f t="shared" ca="1" si="298"/>
        <v>95092.499264628204</v>
      </c>
      <c r="CS79" s="100">
        <f t="shared" ca="1" si="384"/>
        <v>6343.2680287504509</v>
      </c>
      <c r="CT79" s="100">
        <f t="shared" ca="1" si="299"/>
        <v>234798.38239661205</v>
      </c>
      <c r="CU79" s="100">
        <f t="shared" ca="1" si="300"/>
        <v>18629.09</v>
      </c>
      <c r="CV79" s="100">
        <f t="shared" si="301"/>
        <v>0</v>
      </c>
      <c r="CW79" s="37"/>
      <c r="CX79" s="48">
        <f t="shared" ca="1" si="391"/>
        <v>218685.065</v>
      </c>
      <c r="CY79" s="48">
        <f t="shared" ca="1" si="391"/>
        <v>218685.065</v>
      </c>
      <c r="CZ79" s="48">
        <f t="shared" ca="1" si="391"/>
        <v>218685.065</v>
      </c>
      <c r="DA79" s="48">
        <f t="shared" ca="1" si="391"/>
        <v>218685.065</v>
      </c>
      <c r="DB79" s="48">
        <f t="shared" ca="1" si="391"/>
        <v>218685.065</v>
      </c>
      <c r="DC79" s="48">
        <f t="shared" ca="1" si="391"/>
        <v>218685.065</v>
      </c>
      <c r="DD79" s="48">
        <f t="shared" ca="1" si="391"/>
        <v>218685.065</v>
      </c>
      <c r="DE79" s="48">
        <f t="shared" ca="1" si="391"/>
        <v>218685.065</v>
      </c>
      <c r="DF79" s="48">
        <f t="shared" ca="1" si="391"/>
        <v>218685.065</v>
      </c>
      <c r="DG79" s="48">
        <f t="shared" ca="1" si="391"/>
        <v>218685.065</v>
      </c>
      <c r="DH79" s="48">
        <f t="shared" ca="1" si="391"/>
        <v>218685.065</v>
      </c>
      <c r="DI79" s="48">
        <f t="shared" ca="1" si="391"/>
        <v>218685.065</v>
      </c>
      <c r="DJ79" s="48">
        <f t="shared" ca="1" si="391"/>
        <v>218685.065</v>
      </c>
      <c r="DK79" s="48">
        <f t="shared" ca="1" si="391"/>
        <v>218685.065</v>
      </c>
      <c r="DL79" s="48">
        <f t="shared" ca="1" si="391"/>
        <v>218685.065</v>
      </c>
      <c r="DM79" s="48">
        <f t="shared" ca="1" si="389"/>
        <v>218685.065</v>
      </c>
      <c r="DN79" s="48">
        <f t="shared" ca="1" si="389"/>
        <v>0</v>
      </c>
      <c r="DO79" s="48">
        <f t="shared" ca="1" si="389"/>
        <v>0</v>
      </c>
      <c r="DP79" s="48">
        <f t="shared" ca="1" si="389"/>
        <v>0</v>
      </c>
      <c r="DQ79" s="48">
        <f t="shared" ca="1" si="389"/>
        <v>0</v>
      </c>
      <c r="DR79" s="48">
        <f t="shared" ca="1" si="389"/>
        <v>0</v>
      </c>
      <c r="DS79" s="48">
        <f t="shared" ca="1" si="389"/>
        <v>0</v>
      </c>
      <c r="DT79" s="48">
        <f t="shared" ca="1" si="389"/>
        <v>0</v>
      </c>
      <c r="DU79" s="48">
        <f t="shared" ca="1" si="389"/>
        <v>0</v>
      </c>
      <c r="DV79" s="48">
        <f t="shared" ca="1" si="389"/>
        <v>0</v>
      </c>
      <c r="DW79" s="48">
        <f t="shared" ca="1" si="389"/>
        <v>0</v>
      </c>
      <c r="DX79" s="48">
        <f t="shared" ca="1" si="389"/>
        <v>0</v>
      </c>
      <c r="DY79" s="48">
        <f t="shared" ca="1" si="389"/>
        <v>0</v>
      </c>
      <c r="DZ79" s="48">
        <f t="shared" ca="1" si="389"/>
        <v>0</v>
      </c>
      <c r="EA79" s="48">
        <f t="shared" ca="1" si="385"/>
        <v>0</v>
      </c>
      <c r="EB79" s="48">
        <f t="shared" ca="1" si="385"/>
        <v>0</v>
      </c>
      <c r="EC79" s="48">
        <f t="shared" ca="1" si="385"/>
        <v>0</v>
      </c>
      <c r="ED79" s="48">
        <f t="shared" ca="1" si="385"/>
        <v>0</v>
      </c>
      <c r="EE79" s="48">
        <f t="shared" ca="1" si="385"/>
        <v>0</v>
      </c>
      <c r="EF79" s="48">
        <f t="shared" ca="1" si="385"/>
        <v>0</v>
      </c>
      <c r="EG79" s="48">
        <f t="shared" ca="1" si="385"/>
        <v>0</v>
      </c>
      <c r="EH79" s="48">
        <f t="shared" ca="1" si="385"/>
        <v>0</v>
      </c>
      <c r="EI79" s="48">
        <f t="shared" ca="1" si="385"/>
        <v>0</v>
      </c>
      <c r="EJ79" s="48">
        <f t="shared" ca="1" si="385"/>
        <v>0</v>
      </c>
      <c r="EK79" s="48">
        <f t="shared" ca="1" si="385"/>
        <v>0</v>
      </c>
      <c r="EL79" s="48">
        <f t="shared" ca="1" si="385"/>
        <v>0</v>
      </c>
      <c r="EM79" s="48">
        <f t="shared" ca="1" si="385"/>
        <v>0</v>
      </c>
      <c r="EN79" s="48">
        <f t="shared" ca="1" si="385"/>
        <v>0</v>
      </c>
      <c r="EO79" s="48">
        <f t="shared" ca="1" si="385"/>
        <v>0</v>
      </c>
      <c r="EP79" s="48">
        <f t="shared" ca="1" si="385"/>
        <v>0</v>
      </c>
      <c r="EQ79" s="48">
        <f t="shared" ca="1" si="386"/>
        <v>0</v>
      </c>
      <c r="ER79" s="48">
        <f t="shared" ca="1" si="386"/>
        <v>0</v>
      </c>
      <c r="ES79" s="48">
        <f t="shared" ca="1" si="374"/>
        <v>0</v>
      </c>
      <c r="ET79" s="48">
        <f t="shared" ca="1" si="364"/>
        <v>0</v>
      </c>
      <c r="EU79" s="48">
        <f t="shared" ca="1" si="364"/>
        <v>0</v>
      </c>
      <c r="EV79" s="48">
        <f t="shared" ca="1" si="364"/>
        <v>0</v>
      </c>
      <c r="EW79" s="48">
        <f t="shared" ca="1" si="364"/>
        <v>0</v>
      </c>
      <c r="EX79" s="48">
        <f t="shared" ca="1" si="364"/>
        <v>0</v>
      </c>
      <c r="EY79" s="69"/>
      <c r="EZ79" s="48">
        <f t="shared" ca="1" si="392"/>
        <v>38.785001000000001</v>
      </c>
      <c r="FA79" s="48">
        <f t="shared" ca="1" si="392"/>
        <v>38.785001000000001</v>
      </c>
      <c r="FB79" s="48">
        <f t="shared" ca="1" si="392"/>
        <v>38.785001000000001</v>
      </c>
      <c r="FC79" s="48">
        <f t="shared" ca="1" si="392"/>
        <v>38.785001000000001</v>
      </c>
      <c r="FD79" s="48">
        <f t="shared" ca="1" si="392"/>
        <v>38.785001000000001</v>
      </c>
      <c r="FE79" s="48">
        <f t="shared" ca="1" si="392"/>
        <v>38.785001000000001</v>
      </c>
      <c r="FF79" s="48">
        <f t="shared" ca="1" si="392"/>
        <v>38.785001000000001</v>
      </c>
      <c r="FG79" s="48">
        <f t="shared" ca="1" si="392"/>
        <v>38.785001000000001</v>
      </c>
      <c r="FH79" s="48">
        <f t="shared" ca="1" si="392"/>
        <v>38.785001000000001</v>
      </c>
      <c r="FI79" s="48">
        <f t="shared" ca="1" si="392"/>
        <v>38.785001000000001</v>
      </c>
      <c r="FJ79" s="48">
        <f t="shared" ca="1" si="392"/>
        <v>38.785001000000001</v>
      </c>
      <c r="FK79" s="48">
        <f t="shared" ca="1" si="392"/>
        <v>38.785001000000001</v>
      </c>
      <c r="FL79" s="48">
        <f t="shared" ca="1" si="392"/>
        <v>38.785001000000001</v>
      </c>
      <c r="FM79" s="48">
        <f t="shared" ca="1" si="392"/>
        <v>38.785001000000001</v>
      </c>
      <c r="FN79" s="48">
        <f t="shared" ca="1" si="392"/>
        <v>38.785001000000001</v>
      </c>
      <c r="FO79" s="48">
        <f t="shared" ca="1" si="390"/>
        <v>38.785001000000001</v>
      </c>
      <c r="FP79" s="48">
        <f t="shared" ca="1" si="390"/>
        <v>0</v>
      </c>
      <c r="FQ79" s="48">
        <f t="shared" ca="1" si="390"/>
        <v>0</v>
      </c>
      <c r="FR79" s="48">
        <f t="shared" ca="1" si="390"/>
        <v>0</v>
      </c>
      <c r="FS79" s="48">
        <f t="shared" ca="1" si="390"/>
        <v>0</v>
      </c>
      <c r="FT79" s="48">
        <f t="shared" ca="1" si="390"/>
        <v>0</v>
      </c>
      <c r="FU79" s="48">
        <f t="shared" ca="1" si="390"/>
        <v>0</v>
      </c>
      <c r="FV79" s="48">
        <f t="shared" ca="1" si="390"/>
        <v>0</v>
      </c>
      <c r="FW79" s="48">
        <f t="shared" ca="1" si="390"/>
        <v>0</v>
      </c>
      <c r="FX79" s="48">
        <f t="shared" ca="1" si="390"/>
        <v>0</v>
      </c>
      <c r="FY79" s="48">
        <f t="shared" ca="1" si="390"/>
        <v>0</v>
      </c>
      <c r="FZ79" s="48">
        <f t="shared" ca="1" si="390"/>
        <v>0</v>
      </c>
      <c r="GA79" s="48">
        <f t="shared" ca="1" si="390"/>
        <v>0</v>
      </c>
      <c r="GB79" s="48">
        <f t="shared" ca="1" si="390"/>
        <v>0</v>
      </c>
      <c r="GC79" s="48">
        <f t="shared" ca="1" si="387"/>
        <v>0</v>
      </c>
      <c r="GD79" s="48">
        <f t="shared" ca="1" si="387"/>
        <v>0</v>
      </c>
      <c r="GE79" s="48">
        <f t="shared" ca="1" si="387"/>
        <v>0</v>
      </c>
      <c r="GF79" s="48">
        <f t="shared" ca="1" si="387"/>
        <v>0</v>
      </c>
      <c r="GG79" s="48">
        <f t="shared" ca="1" si="387"/>
        <v>0</v>
      </c>
      <c r="GH79" s="48">
        <f t="shared" ca="1" si="387"/>
        <v>0</v>
      </c>
      <c r="GI79" s="48">
        <f t="shared" ca="1" si="387"/>
        <v>0</v>
      </c>
      <c r="GJ79" s="48">
        <f t="shared" ca="1" si="387"/>
        <v>0</v>
      </c>
      <c r="GK79" s="48">
        <f t="shared" ca="1" si="387"/>
        <v>0</v>
      </c>
      <c r="GL79" s="48">
        <f t="shared" ca="1" si="387"/>
        <v>0</v>
      </c>
      <c r="GM79" s="48">
        <f t="shared" ca="1" si="387"/>
        <v>0</v>
      </c>
      <c r="GN79" s="48">
        <f t="shared" ca="1" si="387"/>
        <v>0</v>
      </c>
      <c r="GO79" s="48">
        <f t="shared" ca="1" si="387"/>
        <v>0</v>
      </c>
      <c r="GP79" s="48">
        <f t="shared" ca="1" si="387"/>
        <v>0</v>
      </c>
      <c r="GQ79" s="48">
        <f t="shared" ca="1" si="387"/>
        <v>0</v>
      </c>
      <c r="GR79" s="48">
        <f t="shared" ca="1" si="387"/>
        <v>0</v>
      </c>
      <c r="GS79" s="48">
        <f t="shared" ca="1" si="388"/>
        <v>0</v>
      </c>
      <c r="GT79" s="48">
        <f t="shared" ca="1" si="388"/>
        <v>0</v>
      </c>
      <c r="GU79" s="48">
        <f t="shared" ca="1" si="377"/>
        <v>0</v>
      </c>
      <c r="GV79" s="48">
        <f t="shared" ca="1" si="368"/>
        <v>0</v>
      </c>
      <c r="GW79" s="48">
        <f t="shared" ca="1" si="368"/>
        <v>0</v>
      </c>
      <c r="GX79" s="48">
        <f t="shared" ca="1" si="368"/>
        <v>0</v>
      </c>
      <c r="GY79" s="48">
        <f t="shared" ca="1" si="368"/>
        <v>0</v>
      </c>
      <c r="GZ79" s="48">
        <f t="shared" ca="1" si="368"/>
        <v>0</v>
      </c>
      <c r="HA79" s="69"/>
      <c r="HB79" s="150">
        <f t="shared" ca="1" si="380"/>
        <v>1.4542762335968265</v>
      </c>
      <c r="HC79" s="150">
        <f t="shared" ca="1" si="369"/>
        <v>5.4450199818337159</v>
      </c>
      <c r="HD79" s="150">
        <f t="shared" ca="1" si="381"/>
        <v>1.7962153063696316</v>
      </c>
      <c r="HE79" s="150">
        <f t="shared" ca="1" si="370"/>
        <v>3.6333687798797425</v>
      </c>
      <c r="HF79" s="150">
        <f t="shared" ca="1" si="371"/>
        <v>0.40025560896820395</v>
      </c>
      <c r="HG79" s="148"/>
      <c r="HH79" s="149"/>
      <c r="HI79" s="149"/>
      <c r="HJ79" s="149"/>
      <c r="HK79" s="150"/>
      <c r="HL79" s="149"/>
      <c r="HM79" s="149"/>
      <c r="HN79" s="149"/>
      <c r="HO79" s="150"/>
      <c r="HP79" s="148"/>
      <c r="HQ79" s="149"/>
      <c r="HR79" s="149"/>
      <c r="HS79" s="149"/>
      <c r="HT79" s="150"/>
      <c r="HU79" s="149"/>
      <c r="HV79" s="149"/>
      <c r="HW79" s="149"/>
      <c r="HX79" s="150"/>
      <c r="HY79" s="151"/>
      <c r="HZ79" s="150"/>
      <c r="IA79" s="150"/>
      <c r="IB79" s="152"/>
      <c r="IC79" s="150"/>
      <c r="ID79" s="152"/>
      <c r="IE79" s="150"/>
      <c r="IF79" s="153"/>
    </row>
    <row r="80" spans="1:240" s="36" customFormat="1" ht="14.4" customHeight="1">
      <c r="A80" s="39"/>
      <c r="B80" s="50" t="str">
        <f t="shared" si="340"/>
        <v>C&amp;I_C&amp;I Prescriptive_Lighting_Lighting Optimization - Remove Lamp from T8 System_2017_Actual</v>
      </c>
      <c r="C80" s="50">
        <f>INDEX('Measure Inputs'!$D:$D,MATCH($B80,'Measure Inputs'!$B:$B,0))</f>
        <v>46</v>
      </c>
      <c r="D80" s="51" t="str">
        <f>'Measure Inputs'!G52</f>
        <v>C&amp;I</v>
      </c>
      <c r="E80" s="51" t="str">
        <f>'Measure Inputs'!H52</f>
        <v>C&amp;I Prescriptive</v>
      </c>
      <c r="F80" s="51" t="str">
        <f>'Measure Inputs'!I52</f>
        <v>Lighting</v>
      </c>
      <c r="G80" s="51" t="str">
        <f>'Measure Inputs'!J52</f>
        <v>Lighting Optimization - Remove Lamp from T8 System</v>
      </c>
      <c r="H80" s="51">
        <f>'Measure Inputs'!K52</f>
        <v>2017</v>
      </c>
      <c r="I80" s="51" t="str">
        <f>'Measure Inputs'!L52</f>
        <v>Actual</v>
      </c>
      <c r="J80" s="37"/>
      <c r="K80" s="99" t="str">
        <f ca="1">INDEX(OFFSET('Measure Inputs'!$O$7,,,InputRows),$C80)</f>
        <v>Units</v>
      </c>
      <c r="L80" s="38">
        <f ca="1">INDEX(OFFSET('Measure Inputs'!$Q$7,,,InputRows),$C80)</f>
        <v>0</v>
      </c>
      <c r="M80" s="167">
        <f>INDEX('General Inputs'!$E$14:$E$15,MATCH(D80,'General Inputs'!$D$14:$D$15,0))</f>
        <v>1.0469999999999999</v>
      </c>
      <c r="N80" s="54">
        <f ca="1">INDEX(OFFSET('Measure Inputs'!$Y$7,,,InputRows),$C80)</f>
        <v>1</v>
      </c>
      <c r="O80" s="54">
        <f ca="1">INDEX(OFFSET('Measure Inputs'!$Z$7,,,InputRows),$C80)</f>
        <v>1</v>
      </c>
      <c r="P80" s="37"/>
      <c r="Q80" s="127">
        <f ca="1">CONVERT(INDEX(OFFSET('Measure Inputs'!$AB$7,,,InputRows),$C80),'Measure Inputs'!$AB$6,Q$8)*$L80</f>
        <v>0</v>
      </c>
      <c r="R80" s="127">
        <f t="shared" ca="1" si="341"/>
        <v>0</v>
      </c>
      <c r="S80" s="127">
        <f t="shared" ca="1" si="342"/>
        <v>0</v>
      </c>
      <c r="T80" s="37"/>
      <c r="U80" s="127">
        <f ca="1">CONVERT(INDEX(OFFSET('Measure Inputs'!$AD$7,,,InputRows),$C80),'Measure Inputs'!$AD$6,U$8)*$L80</f>
        <v>0</v>
      </c>
      <c r="V80" s="127">
        <f t="shared" ca="1" si="343"/>
        <v>0</v>
      </c>
      <c r="W80" s="127">
        <f t="shared" ca="1" si="344"/>
        <v>0</v>
      </c>
      <c r="X80" s="37"/>
      <c r="Y80" s="127">
        <f ca="1">CONVERT(INDEX(OFFSET('Measure Inputs'!$AC$7,,,InputRows),$C80),'Measure Inputs'!$AC$6,Y$8)*$L80</f>
        <v>0</v>
      </c>
      <c r="Z80" s="127">
        <f t="shared" ca="1" si="345"/>
        <v>0</v>
      </c>
      <c r="AA80" s="127">
        <f t="shared" ca="1" si="346"/>
        <v>0</v>
      </c>
      <c r="AB80" s="37"/>
      <c r="AC80" s="127">
        <f ca="1">CONVERT(INDEX(OFFSET('Measure Inputs'!$AE$7,,,InputRows),$C80),'Measure Inputs'!$AE$6,AC$8)*$L80</f>
        <v>0</v>
      </c>
      <c r="AD80" s="127">
        <f t="shared" ca="1" si="347"/>
        <v>0</v>
      </c>
      <c r="AE80" s="127">
        <f t="shared" ca="1" si="348"/>
        <v>0</v>
      </c>
      <c r="AF80" s="37"/>
      <c r="AG80" s="97">
        <f ca="1">INDEX(OFFSET('Measure Inputs'!$R$7,,,InputRows),$C80)</f>
        <v>15</v>
      </c>
      <c r="AH80" s="97">
        <f ca="1">INDEX(OFFSET('Measure Inputs'!$S$7,,,InputRows),$C80)</f>
        <v>0</v>
      </c>
      <c r="AI80" s="97">
        <f t="shared" ca="1" si="349"/>
        <v>0</v>
      </c>
      <c r="AJ80" s="100">
        <f ca="1">INDEX(OFFSET('Measure Inputs'!$T$7,,,InputRows),$C80)*$L80*$N80*$O80</f>
        <v>0</v>
      </c>
      <c r="AK80" s="100">
        <f ca="1">INDEX(OFFSET('Measure Inputs'!$U$7,,,InputRows),$C80)*$L80*$N80*$O80</f>
        <v>0</v>
      </c>
      <c r="AL80" s="100">
        <f ca="1">INDEX(OFFSET('Measure Inputs'!$V$7,,,InputRows),$C80)*$L80*$N80*$O80</f>
        <v>0</v>
      </c>
      <c r="AM80" s="100">
        <f ca="1">INDEX(OFFSET('Measure Inputs'!$W$7,,,InputRows),$C80)*$L80*$N80*$O80</f>
        <v>0</v>
      </c>
      <c r="AN80" s="100">
        <f ca="1">INDEX(OFFSET('Measure Inputs'!$X$7,,,InputRows),$C80)*$L80</f>
        <v>0</v>
      </c>
      <c r="AO80" s="100"/>
      <c r="AP80" s="100">
        <f t="shared" ca="1" si="350"/>
        <v>0</v>
      </c>
      <c r="AQ80" s="37"/>
      <c r="AR80" s="100">
        <f ca="1">SUMPRODUCT(--($CX$9:$EX$9=$H80)*$AJ80,'General Inputs'!$K$40:$BK$40)+SUMPRODUCT(--($CX$9:$EX$9=$H80+$AH80)*-$AK80,'General Inputs'!$K$43:$BK$43)</f>
        <v>0</v>
      </c>
      <c r="AS80" s="100">
        <f ca="1">CONVERT(SUMPRODUCT($CX80:$EX80,'General Inputs'!$K$29:$BK$29,'General Inputs'!$K$40:$BK$40)*$M80,$Q$8,'General Inputs'!$E$17)</f>
        <v>0</v>
      </c>
      <c r="AT80" s="100">
        <f ca="1">SUMPRODUCT(--($CX$9:$EX$9=$H80)*$AN80,'General Inputs'!$K$40:$BK$40)</f>
        <v>0</v>
      </c>
      <c r="AU80" s="100">
        <f>SUMPRODUCT(--($CX$9:$EX$9=$H80)*$AO80,'General Inputs'!$K$40:$BK$40)</f>
        <v>0</v>
      </c>
      <c r="AV80" s="100">
        <f ca="1">CONVERT(SUMPRODUCT($CX80:$EX80,'General Inputs'!$K$40:$BK$40,OFFSET('General Inputs'!$K$34:$BK$34,MATCH($D80,'General Inputs'!$J$34:$J$35,0)-1,)),$Q$8,'General Inputs'!$G$32)</f>
        <v>0</v>
      </c>
      <c r="AW80" s="100">
        <f ca="1">CONVERT(SUMPRODUCT($CX80:$EX80,'General Inputs'!$K$27:$BK$27,'General Inputs'!$K$40:$BK$40)*$M80,$Q$8,'General Inputs'!$E$17)</f>
        <v>0</v>
      </c>
      <c r="AX80" s="100">
        <f ca="1">CONVERT(SUMPRODUCT($EZ80:$GZ80,'General Inputs'!$K$28:$BK$28,'General Inputs'!$K$40:$BK$40)*$M80,$Q$8,'General Inputs'!$E$17)</f>
        <v>0</v>
      </c>
      <c r="AY80" s="98">
        <f ca="1">SUMPRODUCT($CX80:$EX80,'General Inputs'!$K$40:$BK$40)</f>
        <v>0</v>
      </c>
      <c r="AZ80" s="37"/>
      <c r="BA80" s="100">
        <f t="shared" ca="1" si="351"/>
        <v>0</v>
      </c>
      <c r="BB80" s="102" t="e">
        <f t="shared" ca="1" si="352"/>
        <v>#DIV/0!</v>
      </c>
      <c r="BC80" s="100">
        <f t="shared" ca="1" si="273"/>
        <v>0</v>
      </c>
      <c r="BD80" s="100">
        <f t="shared" ca="1" si="274"/>
        <v>0</v>
      </c>
      <c r="BE80" s="100">
        <f t="shared" ca="1" si="275"/>
        <v>0</v>
      </c>
      <c r="BF80" s="100">
        <f t="shared" ca="1" si="276"/>
        <v>0</v>
      </c>
      <c r="BG80" s="100">
        <f t="shared" si="277"/>
        <v>0</v>
      </c>
      <c r="BH80" s="100">
        <f t="shared" ca="1" si="278"/>
        <v>0</v>
      </c>
      <c r="BI80" s="37"/>
      <c r="BJ80" s="100">
        <f t="shared" ca="1" si="353"/>
        <v>0</v>
      </c>
      <c r="BK80" s="102" t="e">
        <f t="shared" ca="1" si="354"/>
        <v>#DIV/0!</v>
      </c>
      <c r="BL80" s="100">
        <f t="shared" ca="1" si="279"/>
        <v>0</v>
      </c>
      <c r="BM80" s="100">
        <f t="shared" ca="1" si="164"/>
        <v>0</v>
      </c>
      <c r="BN80" s="100">
        <f t="shared" ca="1" si="280"/>
        <v>0</v>
      </c>
      <c r="BO80" s="100">
        <f t="shared" ca="1" si="281"/>
        <v>0</v>
      </c>
      <c r="BP80" s="100">
        <f t="shared" ca="1" si="282"/>
        <v>0</v>
      </c>
      <c r="BQ80" s="100">
        <f t="shared" si="283"/>
        <v>0</v>
      </c>
      <c r="BR80" s="100">
        <f t="shared" ca="1" si="284"/>
        <v>0</v>
      </c>
      <c r="BS80" s="37"/>
      <c r="BT80" s="100">
        <f t="shared" ca="1" si="355"/>
        <v>0</v>
      </c>
      <c r="BU80" s="102" t="e">
        <f t="shared" ca="1" si="356"/>
        <v>#DIV/0!</v>
      </c>
      <c r="BV80" s="102" t="e">
        <f t="shared" ca="1" si="285"/>
        <v>#DIV/0!</v>
      </c>
      <c r="BW80" s="100">
        <f t="shared" ca="1" si="286"/>
        <v>0</v>
      </c>
      <c r="BX80" s="100">
        <f t="shared" ca="1" si="287"/>
        <v>0</v>
      </c>
      <c r="BY80" s="100">
        <f t="shared" ca="1" si="288"/>
        <v>0</v>
      </c>
      <c r="BZ80" s="100">
        <f t="shared" ca="1" si="289"/>
        <v>0</v>
      </c>
      <c r="CA80" s="100">
        <f t="shared" ca="1" si="290"/>
        <v>0</v>
      </c>
      <c r="CB80" s="37"/>
      <c r="CC80" s="100">
        <f t="shared" ca="1" si="357"/>
        <v>0</v>
      </c>
      <c r="CD80" s="102" t="e">
        <f t="shared" ca="1" si="358"/>
        <v>#DIV/0!</v>
      </c>
      <c r="CE80" s="103" t="e">
        <f t="shared" ca="1" si="291"/>
        <v>#DIV/0!</v>
      </c>
      <c r="CF80" s="100">
        <f t="shared" ca="1" si="292"/>
        <v>0</v>
      </c>
      <c r="CG80" s="100">
        <f t="shared" ca="1" si="293"/>
        <v>0</v>
      </c>
      <c r="CH80" s="100">
        <f t="shared" ca="1" si="294"/>
        <v>0</v>
      </c>
      <c r="CI80" s="100">
        <f t="shared" ca="1" si="382"/>
        <v>0</v>
      </c>
      <c r="CJ80" s="100">
        <f t="shared" ca="1" si="383"/>
        <v>0</v>
      </c>
      <c r="CK80" s="100">
        <f t="shared" si="295"/>
        <v>0</v>
      </c>
      <c r="CL80" s="37"/>
      <c r="CM80" s="100">
        <f t="shared" ca="1" si="359"/>
        <v>0</v>
      </c>
      <c r="CN80" s="102" t="e">
        <f t="shared" ca="1" si="360"/>
        <v>#DIV/0!</v>
      </c>
      <c r="CO80" s="128"/>
      <c r="CP80" s="100">
        <f t="shared" ca="1" si="296"/>
        <v>0</v>
      </c>
      <c r="CQ80" s="100">
        <f t="shared" ca="1" si="297"/>
        <v>0</v>
      </c>
      <c r="CR80" s="100">
        <f t="shared" ca="1" si="298"/>
        <v>0</v>
      </c>
      <c r="CS80" s="100">
        <f t="shared" ca="1" si="384"/>
        <v>0</v>
      </c>
      <c r="CT80" s="100">
        <f t="shared" ca="1" si="299"/>
        <v>0</v>
      </c>
      <c r="CU80" s="100">
        <f t="shared" ca="1" si="300"/>
        <v>0</v>
      </c>
      <c r="CV80" s="100">
        <f t="shared" si="301"/>
        <v>0</v>
      </c>
      <c r="CW80" s="37"/>
      <c r="CX80" s="48">
        <f t="shared" ca="1" si="391"/>
        <v>0</v>
      </c>
      <c r="CY80" s="48">
        <f t="shared" ca="1" si="391"/>
        <v>0</v>
      </c>
      <c r="CZ80" s="48">
        <f t="shared" ca="1" si="391"/>
        <v>0</v>
      </c>
      <c r="DA80" s="48">
        <f t="shared" ca="1" si="391"/>
        <v>0</v>
      </c>
      <c r="DB80" s="48">
        <f t="shared" ca="1" si="391"/>
        <v>0</v>
      </c>
      <c r="DC80" s="48">
        <f t="shared" ca="1" si="391"/>
        <v>0</v>
      </c>
      <c r="DD80" s="48">
        <f t="shared" ca="1" si="391"/>
        <v>0</v>
      </c>
      <c r="DE80" s="48">
        <f t="shared" ca="1" si="391"/>
        <v>0</v>
      </c>
      <c r="DF80" s="48">
        <f t="shared" ca="1" si="391"/>
        <v>0</v>
      </c>
      <c r="DG80" s="48">
        <f t="shared" ca="1" si="391"/>
        <v>0</v>
      </c>
      <c r="DH80" s="48">
        <f t="shared" ca="1" si="391"/>
        <v>0</v>
      </c>
      <c r="DI80" s="48">
        <f t="shared" ca="1" si="391"/>
        <v>0</v>
      </c>
      <c r="DJ80" s="48">
        <f t="shared" ca="1" si="391"/>
        <v>0</v>
      </c>
      <c r="DK80" s="48">
        <f t="shared" ca="1" si="391"/>
        <v>0</v>
      </c>
      <c r="DL80" s="48">
        <f t="shared" ca="1" si="391"/>
        <v>0</v>
      </c>
      <c r="DM80" s="48">
        <f t="shared" ca="1" si="389"/>
        <v>0</v>
      </c>
      <c r="DN80" s="48">
        <f t="shared" ca="1" si="389"/>
        <v>0</v>
      </c>
      <c r="DO80" s="48">
        <f t="shared" ca="1" si="389"/>
        <v>0</v>
      </c>
      <c r="DP80" s="48">
        <f t="shared" ca="1" si="389"/>
        <v>0</v>
      </c>
      <c r="DQ80" s="48">
        <f t="shared" ca="1" si="389"/>
        <v>0</v>
      </c>
      <c r="DR80" s="48">
        <f t="shared" ca="1" si="389"/>
        <v>0</v>
      </c>
      <c r="DS80" s="48">
        <f t="shared" ca="1" si="389"/>
        <v>0</v>
      </c>
      <c r="DT80" s="48">
        <f t="shared" ca="1" si="389"/>
        <v>0</v>
      </c>
      <c r="DU80" s="48">
        <f t="shared" ca="1" si="389"/>
        <v>0</v>
      </c>
      <c r="DV80" s="48">
        <f t="shared" ca="1" si="389"/>
        <v>0</v>
      </c>
      <c r="DW80" s="48">
        <f t="shared" ca="1" si="389"/>
        <v>0</v>
      </c>
      <c r="DX80" s="48">
        <f t="shared" ca="1" si="389"/>
        <v>0</v>
      </c>
      <c r="DY80" s="48">
        <f t="shared" ca="1" si="389"/>
        <v>0</v>
      </c>
      <c r="DZ80" s="48">
        <f t="shared" ca="1" si="389"/>
        <v>0</v>
      </c>
      <c r="EA80" s="48">
        <f t="shared" ca="1" si="385"/>
        <v>0</v>
      </c>
      <c r="EB80" s="48">
        <f t="shared" ca="1" si="385"/>
        <v>0</v>
      </c>
      <c r="EC80" s="48">
        <f t="shared" ca="1" si="385"/>
        <v>0</v>
      </c>
      <c r="ED80" s="48">
        <f t="shared" ca="1" si="385"/>
        <v>0</v>
      </c>
      <c r="EE80" s="48">
        <f t="shared" ca="1" si="385"/>
        <v>0</v>
      </c>
      <c r="EF80" s="48">
        <f t="shared" ca="1" si="385"/>
        <v>0</v>
      </c>
      <c r="EG80" s="48">
        <f t="shared" ca="1" si="385"/>
        <v>0</v>
      </c>
      <c r="EH80" s="48">
        <f t="shared" ca="1" si="385"/>
        <v>0</v>
      </c>
      <c r="EI80" s="48">
        <f t="shared" ca="1" si="385"/>
        <v>0</v>
      </c>
      <c r="EJ80" s="48">
        <f t="shared" ca="1" si="385"/>
        <v>0</v>
      </c>
      <c r="EK80" s="48">
        <f t="shared" ca="1" si="385"/>
        <v>0</v>
      </c>
      <c r="EL80" s="48">
        <f t="shared" ca="1" si="385"/>
        <v>0</v>
      </c>
      <c r="EM80" s="48">
        <f t="shared" ca="1" si="385"/>
        <v>0</v>
      </c>
      <c r="EN80" s="48">
        <f t="shared" ca="1" si="385"/>
        <v>0</v>
      </c>
      <c r="EO80" s="48">
        <f t="shared" ca="1" si="385"/>
        <v>0</v>
      </c>
      <c r="EP80" s="48">
        <f t="shared" ca="1" si="385"/>
        <v>0</v>
      </c>
      <c r="EQ80" s="48">
        <f t="shared" ca="1" si="386"/>
        <v>0</v>
      </c>
      <c r="ER80" s="48">
        <f t="shared" ca="1" si="386"/>
        <v>0</v>
      </c>
      <c r="ES80" s="48">
        <f t="shared" ca="1" si="374"/>
        <v>0</v>
      </c>
      <c r="ET80" s="48">
        <f t="shared" ca="1" si="364"/>
        <v>0</v>
      </c>
      <c r="EU80" s="48">
        <f t="shared" ca="1" si="364"/>
        <v>0</v>
      </c>
      <c r="EV80" s="48">
        <f t="shared" ca="1" si="364"/>
        <v>0</v>
      </c>
      <c r="EW80" s="48">
        <f t="shared" ca="1" si="364"/>
        <v>0</v>
      </c>
      <c r="EX80" s="48">
        <f t="shared" ca="1" si="364"/>
        <v>0</v>
      </c>
      <c r="EY80" s="69"/>
      <c r="EZ80" s="48">
        <f t="shared" ca="1" si="392"/>
        <v>0</v>
      </c>
      <c r="FA80" s="48">
        <f t="shared" ca="1" si="392"/>
        <v>0</v>
      </c>
      <c r="FB80" s="48">
        <f t="shared" ca="1" si="392"/>
        <v>0</v>
      </c>
      <c r="FC80" s="48">
        <f t="shared" ca="1" si="392"/>
        <v>0</v>
      </c>
      <c r="FD80" s="48">
        <f t="shared" ca="1" si="392"/>
        <v>0</v>
      </c>
      <c r="FE80" s="48">
        <f t="shared" ca="1" si="392"/>
        <v>0</v>
      </c>
      <c r="FF80" s="48">
        <f t="shared" ca="1" si="392"/>
        <v>0</v>
      </c>
      <c r="FG80" s="48">
        <f t="shared" ca="1" si="392"/>
        <v>0</v>
      </c>
      <c r="FH80" s="48">
        <f t="shared" ca="1" si="392"/>
        <v>0</v>
      </c>
      <c r="FI80" s="48">
        <f t="shared" ca="1" si="392"/>
        <v>0</v>
      </c>
      <c r="FJ80" s="48">
        <f t="shared" ca="1" si="392"/>
        <v>0</v>
      </c>
      <c r="FK80" s="48">
        <f t="shared" ca="1" si="392"/>
        <v>0</v>
      </c>
      <c r="FL80" s="48">
        <f t="shared" ca="1" si="392"/>
        <v>0</v>
      </c>
      <c r="FM80" s="48">
        <f t="shared" ca="1" si="392"/>
        <v>0</v>
      </c>
      <c r="FN80" s="48">
        <f t="shared" ca="1" si="392"/>
        <v>0</v>
      </c>
      <c r="FO80" s="48">
        <f t="shared" ca="1" si="390"/>
        <v>0</v>
      </c>
      <c r="FP80" s="48">
        <f t="shared" ca="1" si="390"/>
        <v>0</v>
      </c>
      <c r="FQ80" s="48">
        <f t="shared" ca="1" si="390"/>
        <v>0</v>
      </c>
      <c r="FR80" s="48">
        <f t="shared" ca="1" si="390"/>
        <v>0</v>
      </c>
      <c r="FS80" s="48">
        <f t="shared" ca="1" si="390"/>
        <v>0</v>
      </c>
      <c r="FT80" s="48">
        <f t="shared" ca="1" si="390"/>
        <v>0</v>
      </c>
      <c r="FU80" s="48">
        <f t="shared" ca="1" si="390"/>
        <v>0</v>
      </c>
      <c r="FV80" s="48">
        <f t="shared" ca="1" si="390"/>
        <v>0</v>
      </c>
      <c r="FW80" s="48">
        <f t="shared" ca="1" si="390"/>
        <v>0</v>
      </c>
      <c r="FX80" s="48">
        <f t="shared" ca="1" si="390"/>
        <v>0</v>
      </c>
      <c r="FY80" s="48">
        <f t="shared" ca="1" si="390"/>
        <v>0</v>
      </c>
      <c r="FZ80" s="48">
        <f t="shared" ca="1" si="390"/>
        <v>0</v>
      </c>
      <c r="GA80" s="48">
        <f t="shared" ca="1" si="390"/>
        <v>0</v>
      </c>
      <c r="GB80" s="48">
        <f t="shared" ca="1" si="390"/>
        <v>0</v>
      </c>
      <c r="GC80" s="48">
        <f t="shared" ca="1" si="387"/>
        <v>0</v>
      </c>
      <c r="GD80" s="48">
        <f t="shared" ca="1" si="387"/>
        <v>0</v>
      </c>
      <c r="GE80" s="48">
        <f t="shared" ca="1" si="387"/>
        <v>0</v>
      </c>
      <c r="GF80" s="48">
        <f t="shared" ca="1" si="387"/>
        <v>0</v>
      </c>
      <c r="GG80" s="48">
        <f t="shared" ca="1" si="387"/>
        <v>0</v>
      </c>
      <c r="GH80" s="48">
        <f t="shared" ca="1" si="387"/>
        <v>0</v>
      </c>
      <c r="GI80" s="48">
        <f t="shared" ca="1" si="387"/>
        <v>0</v>
      </c>
      <c r="GJ80" s="48">
        <f t="shared" ca="1" si="387"/>
        <v>0</v>
      </c>
      <c r="GK80" s="48">
        <f t="shared" ca="1" si="387"/>
        <v>0</v>
      </c>
      <c r="GL80" s="48">
        <f t="shared" ca="1" si="387"/>
        <v>0</v>
      </c>
      <c r="GM80" s="48">
        <f t="shared" ca="1" si="387"/>
        <v>0</v>
      </c>
      <c r="GN80" s="48">
        <f t="shared" ca="1" si="387"/>
        <v>0</v>
      </c>
      <c r="GO80" s="48">
        <f t="shared" ca="1" si="387"/>
        <v>0</v>
      </c>
      <c r="GP80" s="48">
        <f t="shared" ca="1" si="387"/>
        <v>0</v>
      </c>
      <c r="GQ80" s="48">
        <f t="shared" ca="1" si="387"/>
        <v>0</v>
      </c>
      <c r="GR80" s="48">
        <f t="shared" ca="1" si="387"/>
        <v>0</v>
      </c>
      <c r="GS80" s="48">
        <f t="shared" ca="1" si="388"/>
        <v>0</v>
      </c>
      <c r="GT80" s="48">
        <f t="shared" ca="1" si="388"/>
        <v>0</v>
      </c>
      <c r="GU80" s="48">
        <f t="shared" ca="1" si="377"/>
        <v>0</v>
      </c>
      <c r="GV80" s="48">
        <f t="shared" ca="1" si="368"/>
        <v>0</v>
      </c>
      <c r="GW80" s="48">
        <f t="shared" ca="1" si="368"/>
        <v>0</v>
      </c>
      <c r="GX80" s="48">
        <f t="shared" ca="1" si="368"/>
        <v>0</v>
      </c>
      <c r="GY80" s="48">
        <f t="shared" ca="1" si="368"/>
        <v>0</v>
      </c>
      <c r="GZ80" s="48">
        <f t="shared" ca="1" si="368"/>
        <v>0</v>
      </c>
      <c r="HA80" s="69"/>
      <c r="HB80" s="150" t="str">
        <f t="shared" ca="1" si="380"/>
        <v>n/a</v>
      </c>
      <c r="HC80" s="150" t="str">
        <f t="shared" ca="1" si="369"/>
        <v>n/a</v>
      </c>
      <c r="HD80" s="150" t="str">
        <f t="shared" ca="1" si="381"/>
        <v>n/a</v>
      </c>
      <c r="HE80" s="150" t="str">
        <f t="shared" ca="1" si="370"/>
        <v>n/a</v>
      </c>
      <c r="HF80" s="150" t="str">
        <f t="shared" ca="1" si="371"/>
        <v>n/a</v>
      </c>
      <c r="HG80" s="148"/>
      <c r="HH80" s="149"/>
      <c r="HI80" s="149"/>
      <c r="HJ80" s="149"/>
      <c r="HK80" s="150"/>
      <c r="HL80" s="149"/>
      <c r="HM80" s="149"/>
      <c r="HN80" s="149"/>
      <c r="HO80" s="150"/>
      <c r="HP80" s="148"/>
      <c r="HQ80" s="149"/>
      <c r="HR80" s="149"/>
      <c r="HS80" s="149"/>
      <c r="HT80" s="150"/>
      <c r="HU80" s="149"/>
      <c r="HV80" s="149"/>
      <c r="HW80" s="149"/>
      <c r="HX80" s="150"/>
      <c r="HY80" s="151"/>
      <c r="HZ80" s="150"/>
      <c r="IA80" s="150"/>
      <c r="IB80" s="152"/>
      <c r="IC80" s="150"/>
      <c r="ID80" s="152"/>
      <c r="IE80" s="150"/>
      <c r="IF80" s="153"/>
    </row>
    <row r="81" spans="1:240" s="36" customFormat="1" ht="14.4" customHeight="1">
      <c r="A81" s="39"/>
      <c r="B81" s="50" t="str">
        <f t="shared" si="340"/>
        <v>C&amp;I_C&amp;I Prescriptive_Lighting_Lighting Optimization - Remove 2 Lamps from T8 System_2017_Actual</v>
      </c>
      <c r="C81" s="50">
        <f>INDEX('Measure Inputs'!$D:$D,MATCH($B81,'Measure Inputs'!$B:$B,0))</f>
        <v>47</v>
      </c>
      <c r="D81" s="51" t="str">
        <f>'Measure Inputs'!G53</f>
        <v>C&amp;I</v>
      </c>
      <c r="E81" s="51" t="str">
        <f>'Measure Inputs'!H53</f>
        <v>C&amp;I Prescriptive</v>
      </c>
      <c r="F81" s="51" t="str">
        <f>'Measure Inputs'!I53</f>
        <v>Lighting</v>
      </c>
      <c r="G81" s="51" t="str">
        <f>'Measure Inputs'!J53</f>
        <v>Lighting Optimization - Remove 2 Lamps from T8 System</v>
      </c>
      <c r="H81" s="51">
        <f>'Measure Inputs'!K53</f>
        <v>2017</v>
      </c>
      <c r="I81" s="51" t="str">
        <f>'Measure Inputs'!L53</f>
        <v>Actual</v>
      </c>
      <c r="J81" s="37"/>
      <c r="K81" s="99" t="str">
        <f ca="1">INDEX(OFFSET('Measure Inputs'!$O$7,,,InputRows),$C81)</f>
        <v>Units</v>
      </c>
      <c r="L81" s="38">
        <f ca="1">INDEX(OFFSET('Measure Inputs'!$Q$7,,,InputRows),$C81)</f>
        <v>0</v>
      </c>
      <c r="M81" s="167">
        <f>INDEX('General Inputs'!$E$14:$E$15,MATCH(D81,'General Inputs'!$D$14:$D$15,0))</f>
        <v>1.0469999999999999</v>
      </c>
      <c r="N81" s="54">
        <f ca="1">INDEX(OFFSET('Measure Inputs'!$Y$7,,,InputRows),$C81)</f>
        <v>1</v>
      </c>
      <c r="O81" s="54">
        <f ca="1">INDEX(OFFSET('Measure Inputs'!$Z$7,,,InputRows),$C81)</f>
        <v>1</v>
      </c>
      <c r="P81" s="37"/>
      <c r="Q81" s="127">
        <f ca="1">CONVERT(INDEX(OFFSET('Measure Inputs'!$AB$7,,,InputRows),$C81),'Measure Inputs'!$AB$6,Q$8)*$L81</f>
        <v>0</v>
      </c>
      <c r="R81" s="127">
        <f t="shared" ca="1" si="341"/>
        <v>0</v>
      </c>
      <c r="S81" s="127">
        <f t="shared" ca="1" si="342"/>
        <v>0</v>
      </c>
      <c r="T81" s="37"/>
      <c r="U81" s="127">
        <f ca="1">CONVERT(INDEX(OFFSET('Measure Inputs'!$AD$7,,,InputRows),$C81),'Measure Inputs'!$AD$6,U$8)*$L81</f>
        <v>0</v>
      </c>
      <c r="V81" s="127">
        <f t="shared" ca="1" si="343"/>
        <v>0</v>
      </c>
      <c r="W81" s="127">
        <f t="shared" ca="1" si="344"/>
        <v>0</v>
      </c>
      <c r="X81" s="37"/>
      <c r="Y81" s="127">
        <f ca="1">CONVERT(INDEX(OFFSET('Measure Inputs'!$AC$7,,,InputRows),$C81),'Measure Inputs'!$AC$6,Y$8)*$L81</f>
        <v>0</v>
      </c>
      <c r="Z81" s="127">
        <f t="shared" ca="1" si="345"/>
        <v>0</v>
      </c>
      <c r="AA81" s="127">
        <f t="shared" ca="1" si="346"/>
        <v>0</v>
      </c>
      <c r="AB81" s="37"/>
      <c r="AC81" s="127">
        <f ca="1">CONVERT(INDEX(OFFSET('Measure Inputs'!$AE$7,,,InputRows),$C81),'Measure Inputs'!$AE$6,AC$8)*$L81</f>
        <v>0</v>
      </c>
      <c r="AD81" s="127">
        <f t="shared" ca="1" si="347"/>
        <v>0</v>
      </c>
      <c r="AE81" s="127">
        <f t="shared" ca="1" si="348"/>
        <v>0</v>
      </c>
      <c r="AF81" s="37"/>
      <c r="AG81" s="97">
        <f ca="1">INDEX(OFFSET('Measure Inputs'!$R$7,,,InputRows),$C81)</f>
        <v>15</v>
      </c>
      <c r="AH81" s="97">
        <f ca="1">INDEX(OFFSET('Measure Inputs'!$S$7,,,InputRows),$C81)</f>
        <v>0</v>
      </c>
      <c r="AI81" s="97">
        <f t="shared" ca="1" si="349"/>
        <v>0</v>
      </c>
      <c r="AJ81" s="100">
        <f ca="1">INDEX(OFFSET('Measure Inputs'!$T$7,,,InputRows),$C81)*$L81*$N81*$O81</f>
        <v>0</v>
      </c>
      <c r="AK81" s="100">
        <f ca="1">INDEX(OFFSET('Measure Inputs'!$U$7,,,InputRows),$C81)*$L81*$N81*$O81</f>
        <v>0</v>
      </c>
      <c r="AL81" s="100">
        <f ca="1">INDEX(OFFSET('Measure Inputs'!$V$7,,,InputRows),$C81)*$L81*$N81*$O81</f>
        <v>0</v>
      </c>
      <c r="AM81" s="100">
        <f ca="1">INDEX(OFFSET('Measure Inputs'!$W$7,,,InputRows),$C81)*$L81*$N81*$O81</f>
        <v>0</v>
      </c>
      <c r="AN81" s="100">
        <f ca="1">INDEX(OFFSET('Measure Inputs'!$X$7,,,InputRows),$C81)*$L81</f>
        <v>0</v>
      </c>
      <c r="AO81" s="100"/>
      <c r="AP81" s="100">
        <f t="shared" ca="1" si="350"/>
        <v>0</v>
      </c>
      <c r="AQ81" s="37"/>
      <c r="AR81" s="100">
        <f ca="1">SUMPRODUCT(--($CX$9:$EX$9=$H81)*$AJ81,'General Inputs'!$K$40:$BK$40)+SUMPRODUCT(--($CX$9:$EX$9=$H81+$AH81)*-$AK81,'General Inputs'!$K$43:$BK$43)</f>
        <v>0</v>
      </c>
      <c r="AS81" s="100">
        <f ca="1">CONVERT(SUMPRODUCT($CX81:$EX81,'General Inputs'!$K$29:$BK$29,'General Inputs'!$K$40:$BK$40)*$M81,$Q$8,'General Inputs'!$E$17)</f>
        <v>0</v>
      </c>
      <c r="AT81" s="100">
        <f ca="1">SUMPRODUCT(--($CX$9:$EX$9=$H81)*$AN81,'General Inputs'!$K$40:$BK$40)</f>
        <v>0</v>
      </c>
      <c r="AU81" s="100">
        <f>SUMPRODUCT(--($CX$9:$EX$9=$H81)*$AO81,'General Inputs'!$K$40:$BK$40)</f>
        <v>0</v>
      </c>
      <c r="AV81" s="100">
        <f ca="1">CONVERT(SUMPRODUCT($CX81:$EX81,'General Inputs'!$K$40:$BK$40,OFFSET('General Inputs'!$K$34:$BK$34,MATCH($D81,'General Inputs'!$J$34:$J$35,0)-1,)),$Q$8,'General Inputs'!$G$32)</f>
        <v>0</v>
      </c>
      <c r="AW81" s="100">
        <f ca="1">CONVERT(SUMPRODUCT($CX81:$EX81,'General Inputs'!$K$27:$BK$27,'General Inputs'!$K$40:$BK$40)*$M81,$Q$8,'General Inputs'!$E$17)</f>
        <v>0</v>
      </c>
      <c r="AX81" s="100">
        <f ca="1">CONVERT(SUMPRODUCT($EZ81:$GZ81,'General Inputs'!$K$28:$BK$28,'General Inputs'!$K$40:$BK$40)*$M81,$Q$8,'General Inputs'!$E$17)</f>
        <v>0</v>
      </c>
      <c r="AY81" s="98">
        <f ca="1">SUMPRODUCT($CX81:$EX81,'General Inputs'!$K$40:$BK$40)</f>
        <v>0</v>
      </c>
      <c r="AZ81" s="37"/>
      <c r="BA81" s="100">
        <f t="shared" ca="1" si="351"/>
        <v>0</v>
      </c>
      <c r="BB81" s="102" t="e">
        <f t="shared" ca="1" si="352"/>
        <v>#DIV/0!</v>
      </c>
      <c r="BC81" s="100">
        <f t="shared" ca="1" si="273"/>
        <v>0</v>
      </c>
      <c r="BD81" s="100">
        <f t="shared" ca="1" si="274"/>
        <v>0</v>
      </c>
      <c r="BE81" s="100">
        <f t="shared" ca="1" si="275"/>
        <v>0</v>
      </c>
      <c r="BF81" s="100">
        <f t="shared" ca="1" si="276"/>
        <v>0</v>
      </c>
      <c r="BG81" s="100">
        <f t="shared" si="277"/>
        <v>0</v>
      </c>
      <c r="BH81" s="100">
        <f t="shared" ca="1" si="278"/>
        <v>0</v>
      </c>
      <c r="BI81" s="37"/>
      <c r="BJ81" s="100">
        <f t="shared" ca="1" si="353"/>
        <v>0</v>
      </c>
      <c r="BK81" s="102" t="e">
        <f t="shared" ca="1" si="354"/>
        <v>#DIV/0!</v>
      </c>
      <c r="BL81" s="100">
        <f t="shared" ca="1" si="279"/>
        <v>0</v>
      </c>
      <c r="BM81" s="100">
        <f t="shared" ca="1" si="164"/>
        <v>0</v>
      </c>
      <c r="BN81" s="100">
        <f t="shared" ca="1" si="280"/>
        <v>0</v>
      </c>
      <c r="BO81" s="100">
        <f t="shared" ca="1" si="281"/>
        <v>0</v>
      </c>
      <c r="BP81" s="100">
        <f t="shared" ca="1" si="282"/>
        <v>0</v>
      </c>
      <c r="BQ81" s="100">
        <f t="shared" si="283"/>
        <v>0</v>
      </c>
      <c r="BR81" s="100">
        <f t="shared" ca="1" si="284"/>
        <v>0</v>
      </c>
      <c r="BS81" s="37"/>
      <c r="BT81" s="100">
        <f t="shared" ca="1" si="355"/>
        <v>0</v>
      </c>
      <c r="BU81" s="102" t="e">
        <f t="shared" ca="1" si="356"/>
        <v>#DIV/0!</v>
      </c>
      <c r="BV81" s="102" t="e">
        <f t="shared" ca="1" si="285"/>
        <v>#DIV/0!</v>
      </c>
      <c r="BW81" s="100">
        <f t="shared" ca="1" si="286"/>
        <v>0</v>
      </c>
      <c r="BX81" s="100">
        <f t="shared" ca="1" si="287"/>
        <v>0</v>
      </c>
      <c r="BY81" s="100">
        <f t="shared" ca="1" si="288"/>
        <v>0</v>
      </c>
      <c r="BZ81" s="100">
        <f t="shared" ca="1" si="289"/>
        <v>0</v>
      </c>
      <c r="CA81" s="100">
        <f t="shared" ca="1" si="290"/>
        <v>0</v>
      </c>
      <c r="CB81" s="37"/>
      <c r="CC81" s="100">
        <f t="shared" ca="1" si="357"/>
        <v>0</v>
      </c>
      <c r="CD81" s="102" t="e">
        <f t="shared" ca="1" si="358"/>
        <v>#DIV/0!</v>
      </c>
      <c r="CE81" s="103" t="e">
        <f t="shared" ca="1" si="291"/>
        <v>#DIV/0!</v>
      </c>
      <c r="CF81" s="100">
        <f t="shared" ca="1" si="292"/>
        <v>0</v>
      </c>
      <c r="CG81" s="100">
        <f t="shared" ca="1" si="293"/>
        <v>0</v>
      </c>
      <c r="CH81" s="100">
        <f t="shared" ca="1" si="294"/>
        <v>0</v>
      </c>
      <c r="CI81" s="100">
        <f t="shared" ca="1" si="382"/>
        <v>0</v>
      </c>
      <c r="CJ81" s="100">
        <f t="shared" ca="1" si="383"/>
        <v>0</v>
      </c>
      <c r="CK81" s="100">
        <f t="shared" si="295"/>
        <v>0</v>
      </c>
      <c r="CL81" s="37"/>
      <c r="CM81" s="100">
        <f t="shared" ca="1" si="359"/>
        <v>0</v>
      </c>
      <c r="CN81" s="102" t="e">
        <f t="shared" ca="1" si="360"/>
        <v>#DIV/0!</v>
      </c>
      <c r="CO81" s="128"/>
      <c r="CP81" s="100">
        <f t="shared" ca="1" si="296"/>
        <v>0</v>
      </c>
      <c r="CQ81" s="100">
        <f t="shared" ca="1" si="297"/>
        <v>0</v>
      </c>
      <c r="CR81" s="100">
        <f t="shared" ca="1" si="298"/>
        <v>0</v>
      </c>
      <c r="CS81" s="100">
        <f t="shared" ca="1" si="384"/>
        <v>0</v>
      </c>
      <c r="CT81" s="100">
        <f t="shared" ca="1" si="299"/>
        <v>0</v>
      </c>
      <c r="CU81" s="100">
        <f t="shared" ca="1" si="300"/>
        <v>0</v>
      </c>
      <c r="CV81" s="100">
        <f t="shared" si="301"/>
        <v>0</v>
      </c>
      <c r="CW81" s="37"/>
      <c r="CX81" s="48">
        <f t="shared" ca="1" si="391"/>
        <v>0</v>
      </c>
      <c r="CY81" s="48">
        <f t="shared" ca="1" si="391"/>
        <v>0</v>
      </c>
      <c r="CZ81" s="48">
        <f t="shared" ca="1" si="391"/>
        <v>0</v>
      </c>
      <c r="DA81" s="48">
        <f t="shared" ca="1" si="391"/>
        <v>0</v>
      </c>
      <c r="DB81" s="48">
        <f t="shared" ca="1" si="391"/>
        <v>0</v>
      </c>
      <c r="DC81" s="48">
        <f t="shared" ca="1" si="391"/>
        <v>0</v>
      </c>
      <c r="DD81" s="48">
        <f t="shared" ca="1" si="391"/>
        <v>0</v>
      </c>
      <c r="DE81" s="48">
        <f t="shared" ca="1" si="391"/>
        <v>0</v>
      </c>
      <c r="DF81" s="48">
        <f t="shared" ca="1" si="391"/>
        <v>0</v>
      </c>
      <c r="DG81" s="48">
        <f t="shared" ca="1" si="391"/>
        <v>0</v>
      </c>
      <c r="DH81" s="48">
        <f t="shared" ca="1" si="391"/>
        <v>0</v>
      </c>
      <c r="DI81" s="48">
        <f t="shared" ca="1" si="391"/>
        <v>0</v>
      </c>
      <c r="DJ81" s="48">
        <f t="shared" ca="1" si="391"/>
        <v>0</v>
      </c>
      <c r="DK81" s="48">
        <f t="shared" ca="1" si="391"/>
        <v>0</v>
      </c>
      <c r="DL81" s="48">
        <f t="shared" ca="1" si="391"/>
        <v>0</v>
      </c>
      <c r="DM81" s="48">
        <f t="shared" ca="1" si="389"/>
        <v>0</v>
      </c>
      <c r="DN81" s="48">
        <f t="shared" ca="1" si="389"/>
        <v>0</v>
      </c>
      <c r="DO81" s="48">
        <f t="shared" ca="1" si="389"/>
        <v>0</v>
      </c>
      <c r="DP81" s="48">
        <f t="shared" ca="1" si="389"/>
        <v>0</v>
      </c>
      <c r="DQ81" s="48">
        <f t="shared" ca="1" si="389"/>
        <v>0</v>
      </c>
      <c r="DR81" s="48">
        <f t="shared" ca="1" si="389"/>
        <v>0</v>
      </c>
      <c r="DS81" s="48">
        <f t="shared" ca="1" si="389"/>
        <v>0</v>
      </c>
      <c r="DT81" s="48">
        <f t="shared" ca="1" si="389"/>
        <v>0</v>
      </c>
      <c r="DU81" s="48">
        <f t="shared" ca="1" si="389"/>
        <v>0</v>
      </c>
      <c r="DV81" s="48">
        <f t="shared" ca="1" si="389"/>
        <v>0</v>
      </c>
      <c r="DW81" s="48">
        <f t="shared" ca="1" si="389"/>
        <v>0</v>
      </c>
      <c r="DX81" s="48">
        <f t="shared" ca="1" si="389"/>
        <v>0</v>
      </c>
      <c r="DY81" s="48">
        <f t="shared" ca="1" si="389"/>
        <v>0</v>
      </c>
      <c r="DZ81" s="48">
        <f t="shared" ca="1" si="389"/>
        <v>0</v>
      </c>
      <c r="EA81" s="48">
        <f t="shared" ca="1" si="385"/>
        <v>0</v>
      </c>
      <c r="EB81" s="48">
        <f t="shared" ca="1" si="385"/>
        <v>0</v>
      </c>
      <c r="EC81" s="48">
        <f t="shared" ca="1" si="385"/>
        <v>0</v>
      </c>
      <c r="ED81" s="48">
        <f t="shared" ca="1" si="385"/>
        <v>0</v>
      </c>
      <c r="EE81" s="48">
        <f t="shared" ca="1" si="385"/>
        <v>0</v>
      </c>
      <c r="EF81" s="48">
        <f t="shared" ca="1" si="385"/>
        <v>0</v>
      </c>
      <c r="EG81" s="48">
        <f t="shared" ca="1" si="385"/>
        <v>0</v>
      </c>
      <c r="EH81" s="48">
        <f t="shared" ca="1" si="385"/>
        <v>0</v>
      </c>
      <c r="EI81" s="48">
        <f t="shared" ca="1" si="385"/>
        <v>0</v>
      </c>
      <c r="EJ81" s="48">
        <f t="shared" ca="1" si="385"/>
        <v>0</v>
      </c>
      <c r="EK81" s="48">
        <f t="shared" ca="1" si="385"/>
        <v>0</v>
      </c>
      <c r="EL81" s="48">
        <f t="shared" ca="1" si="385"/>
        <v>0</v>
      </c>
      <c r="EM81" s="48">
        <f t="shared" ca="1" si="385"/>
        <v>0</v>
      </c>
      <c r="EN81" s="48">
        <f t="shared" ca="1" si="385"/>
        <v>0</v>
      </c>
      <c r="EO81" s="48">
        <f t="shared" ca="1" si="385"/>
        <v>0</v>
      </c>
      <c r="EP81" s="48">
        <f t="shared" ca="1" si="385"/>
        <v>0</v>
      </c>
      <c r="EQ81" s="48">
        <f t="shared" ca="1" si="386"/>
        <v>0</v>
      </c>
      <c r="ER81" s="48">
        <f t="shared" ca="1" si="386"/>
        <v>0</v>
      </c>
      <c r="ES81" s="48">
        <f t="shared" ca="1" si="374"/>
        <v>0</v>
      </c>
      <c r="ET81" s="48">
        <f t="shared" ca="1" si="364"/>
        <v>0</v>
      </c>
      <c r="EU81" s="48">
        <f t="shared" ca="1" si="364"/>
        <v>0</v>
      </c>
      <c r="EV81" s="48">
        <f t="shared" ca="1" si="364"/>
        <v>0</v>
      </c>
      <c r="EW81" s="48">
        <f t="shared" ca="1" si="364"/>
        <v>0</v>
      </c>
      <c r="EX81" s="48">
        <f t="shared" ca="1" si="364"/>
        <v>0</v>
      </c>
      <c r="EY81" s="69"/>
      <c r="EZ81" s="48">
        <f t="shared" ca="1" si="392"/>
        <v>0</v>
      </c>
      <c r="FA81" s="48">
        <f t="shared" ca="1" si="392"/>
        <v>0</v>
      </c>
      <c r="FB81" s="48">
        <f t="shared" ca="1" si="392"/>
        <v>0</v>
      </c>
      <c r="FC81" s="48">
        <f t="shared" ca="1" si="392"/>
        <v>0</v>
      </c>
      <c r="FD81" s="48">
        <f t="shared" ca="1" si="392"/>
        <v>0</v>
      </c>
      <c r="FE81" s="48">
        <f t="shared" ca="1" si="392"/>
        <v>0</v>
      </c>
      <c r="FF81" s="48">
        <f t="shared" ca="1" si="392"/>
        <v>0</v>
      </c>
      <c r="FG81" s="48">
        <f t="shared" ca="1" si="392"/>
        <v>0</v>
      </c>
      <c r="FH81" s="48">
        <f t="shared" ca="1" si="392"/>
        <v>0</v>
      </c>
      <c r="FI81" s="48">
        <f t="shared" ca="1" si="392"/>
        <v>0</v>
      </c>
      <c r="FJ81" s="48">
        <f t="shared" ca="1" si="392"/>
        <v>0</v>
      </c>
      <c r="FK81" s="48">
        <f t="shared" ca="1" si="392"/>
        <v>0</v>
      </c>
      <c r="FL81" s="48">
        <f t="shared" ca="1" si="392"/>
        <v>0</v>
      </c>
      <c r="FM81" s="48">
        <f t="shared" ca="1" si="392"/>
        <v>0</v>
      </c>
      <c r="FN81" s="48">
        <f t="shared" ca="1" si="392"/>
        <v>0</v>
      </c>
      <c r="FO81" s="48">
        <f t="shared" ca="1" si="390"/>
        <v>0</v>
      </c>
      <c r="FP81" s="48">
        <f t="shared" ca="1" si="390"/>
        <v>0</v>
      </c>
      <c r="FQ81" s="48">
        <f t="shared" ca="1" si="390"/>
        <v>0</v>
      </c>
      <c r="FR81" s="48">
        <f t="shared" ca="1" si="390"/>
        <v>0</v>
      </c>
      <c r="FS81" s="48">
        <f t="shared" ca="1" si="390"/>
        <v>0</v>
      </c>
      <c r="FT81" s="48">
        <f t="shared" ca="1" si="390"/>
        <v>0</v>
      </c>
      <c r="FU81" s="48">
        <f t="shared" ca="1" si="390"/>
        <v>0</v>
      </c>
      <c r="FV81" s="48">
        <f t="shared" ca="1" si="390"/>
        <v>0</v>
      </c>
      <c r="FW81" s="48">
        <f t="shared" ca="1" si="390"/>
        <v>0</v>
      </c>
      <c r="FX81" s="48">
        <f t="shared" ca="1" si="390"/>
        <v>0</v>
      </c>
      <c r="FY81" s="48">
        <f t="shared" ca="1" si="390"/>
        <v>0</v>
      </c>
      <c r="FZ81" s="48">
        <f t="shared" ca="1" si="390"/>
        <v>0</v>
      </c>
      <c r="GA81" s="48">
        <f t="shared" ca="1" si="390"/>
        <v>0</v>
      </c>
      <c r="GB81" s="48">
        <f t="shared" ca="1" si="390"/>
        <v>0</v>
      </c>
      <c r="GC81" s="48">
        <f t="shared" ca="1" si="387"/>
        <v>0</v>
      </c>
      <c r="GD81" s="48">
        <f t="shared" ca="1" si="387"/>
        <v>0</v>
      </c>
      <c r="GE81" s="48">
        <f t="shared" ca="1" si="387"/>
        <v>0</v>
      </c>
      <c r="GF81" s="48">
        <f t="shared" ca="1" si="387"/>
        <v>0</v>
      </c>
      <c r="GG81" s="48">
        <f t="shared" ca="1" si="387"/>
        <v>0</v>
      </c>
      <c r="GH81" s="48">
        <f t="shared" ca="1" si="387"/>
        <v>0</v>
      </c>
      <c r="GI81" s="48">
        <f t="shared" ca="1" si="387"/>
        <v>0</v>
      </c>
      <c r="GJ81" s="48">
        <f t="shared" ca="1" si="387"/>
        <v>0</v>
      </c>
      <c r="GK81" s="48">
        <f t="shared" ca="1" si="387"/>
        <v>0</v>
      </c>
      <c r="GL81" s="48">
        <f t="shared" ca="1" si="387"/>
        <v>0</v>
      </c>
      <c r="GM81" s="48">
        <f t="shared" ca="1" si="387"/>
        <v>0</v>
      </c>
      <c r="GN81" s="48">
        <f t="shared" ca="1" si="387"/>
        <v>0</v>
      </c>
      <c r="GO81" s="48">
        <f t="shared" ca="1" si="387"/>
        <v>0</v>
      </c>
      <c r="GP81" s="48">
        <f t="shared" ca="1" si="387"/>
        <v>0</v>
      </c>
      <c r="GQ81" s="48">
        <f t="shared" ca="1" si="387"/>
        <v>0</v>
      </c>
      <c r="GR81" s="48">
        <f t="shared" ca="1" si="387"/>
        <v>0</v>
      </c>
      <c r="GS81" s="48">
        <f t="shared" ca="1" si="388"/>
        <v>0</v>
      </c>
      <c r="GT81" s="48">
        <f t="shared" ca="1" si="388"/>
        <v>0</v>
      </c>
      <c r="GU81" s="48">
        <f t="shared" ca="1" si="377"/>
        <v>0</v>
      </c>
      <c r="GV81" s="48">
        <f t="shared" ca="1" si="368"/>
        <v>0</v>
      </c>
      <c r="GW81" s="48">
        <f t="shared" ca="1" si="368"/>
        <v>0</v>
      </c>
      <c r="GX81" s="48">
        <f t="shared" ca="1" si="368"/>
        <v>0</v>
      </c>
      <c r="GY81" s="48">
        <f t="shared" ca="1" si="368"/>
        <v>0</v>
      </c>
      <c r="GZ81" s="48">
        <f t="shared" ca="1" si="368"/>
        <v>0</v>
      </c>
      <c r="HA81" s="69"/>
      <c r="HB81" s="150" t="str">
        <f t="shared" ca="1" si="380"/>
        <v>n/a</v>
      </c>
      <c r="HC81" s="150" t="str">
        <f t="shared" ca="1" si="369"/>
        <v>n/a</v>
      </c>
      <c r="HD81" s="150" t="str">
        <f t="shared" ca="1" si="381"/>
        <v>n/a</v>
      </c>
      <c r="HE81" s="150" t="str">
        <f t="shared" ca="1" si="370"/>
        <v>n/a</v>
      </c>
      <c r="HF81" s="150" t="str">
        <f t="shared" ca="1" si="371"/>
        <v>n/a</v>
      </c>
      <c r="HG81" s="148"/>
      <c r="HH81" s="149"/>
      <c r="HI81" s="149"/>
      <c r="HJ81" s="149"/>
      <c r="HK81" s="150"/>
      <c r="HL81" s="149"/>
      <c r="HM81" s="149"/>
      <c r="HN81" s="149"/>
      <c r="HO81" s="150"/>
      <c r="HP81" s="148"/>
      <c r="HQ81" s="149"/>
      <c r="HR81" s="149"/>
      <c r="HS81" s="149"/>
      <c r="HT81" s="150"/>
      <c r="HU81" s="149"/>
      <c r="HV81" s="149"/>
      <c r="HW81" s="149"/>
      <c r="HX81" s="150"/>
      <c r="HY81" s="151"/>
      <c r="HZ81" s="150"/>
      <c r="IA81" s="150"/>
      <c r="IB81" s="152"/>
      <c r="IC81" s="150"/>
      <c r="ID81" s="152"/>
      <c r="IE81" s="150"/>
      <c r="IF81" s="153"/>
    </row>
    <row r="82" spans="1:240" s="36" customFormat="1" ht="14.4" customHeight="1">
      <c r="A82" s="39"/>
      <c r="B82" s="50" t="str">
        <f t="shared" si="340"/>
        <v>C&amp;I_C&amp;I Prescriptive_Lighting_T8 (≤4 ft, 1-2 Lamp)_2017_Actual</v>
      </c>
      <c r="C82" s="50">
        <f>INDEX('Measure Inputs'!$D:$D,MATCH($B82,'Measure Inputs'!$B:$B,0))</f>
        <v>48</v>
      </c>
      <c r="D82" s="51" t="str">
        <f>'Measure Inputs'!G54</f>
        <v>C&amp;I</v>
      </c>
      <c r="E82" s="51" t="str">
        <f>'Measure Inputs'!H54</f>
        <v>C&amp;I Prescriptive</v>
      </c>
      <c r="F82" s="51" t="str">
        <f>'Measure Inputs'!I54</f>
        <v>Lighting</v>
      </c>
      <c r="G82" s="51" t="str">
        <f>'Measure Inputs'!J54</f>
        <v>T8 (≤4 ft, 1-2 Lamp)</v>
      </c>
      <c r="H82" s="51">
        <f>'Measure Inputs'!K54</f>
        <v>2017</v>
      </c>
      <c r="I82" s="51" t="str">
        <f>'Measure Inputs'!L54</f>
        <v>Actual</v>
      </c>
      <c r="J82" s="37"/>
      <c r="K82" s="99" t="str">
        <f ca="1">INDEX(OFFSET('Measure Inputs'!$O$7,,,InputRows),$C82)</f>
        <v>Units</v>
      </c>
      <c r="L82" s="38">
        <f ca="1">INDEX(OFFSET('Measure Inputs'!$Q$7,,,InputRows),$C82)</f>
        <v>0</v>
      </c>
      <c r="M82" s="167">
        <f>INDEX('General Inputs'!$E$14:$E$15,MATCH(D82,'General Inputs'!$D$14:$D$15,0))</f>
        <v>1.0469999999999999</v>
      </c>
      <c r="N82" s="54">
        <f ca="1">INDEX(OFFSET('Measure Inputs'!$Y$7,,,InputRows),$C82)</f>
        <v>1</v>
      </c>
      <c r="O82" s="54">
        <f ca="1">INDEX(OFFSET('Measure Inputs'!$Z$7,,,InputRows),$C82)</f>
        <v>1</v>
      </c>
      <c r="P82" s="37"/>
      <c r="Q82" s="127">
        <f ca="1">CONVERT(INDEX(OFFSET('Measure Inputs'!$AB$7,,,InputRows),$C82),'Measure Inputs'!$AB$6,Q$8)*$L82</f>
        <v>0</v>
      </c>
      <c r="R82" s="127">
        <f t="shared" ca="1" si="341"/>
        <v>0</v>
      </c>
      <c r="S82" s="127">
        <f t="shared" ca="1" si="342"/>
        <v>0</v>
      </c>
      <c r="T82" s="37"/>
      <c r="U82" s="127">
        <f ca="1">CONVERT(INDEX(OFFSET('Measure Inputs'!$AD$7,,,InputRows),$C82),'Measure Inputs'!$AD$6,U$8)*$L82</f>
        <v>0</v>
      </c>
      <c r="V82" s="127">
        <f t="shared" ca="1" si="343"/>
        <v>0</v>
      </c>
      <c r="W82" s="127">
        <f t="shared" ca="1" si="344"/>
        <v>0</v>
      </c>
      <c r="X82" s="37"/>
      <c r="Y82" s="127">
        <f ca="1">CONVERT(INDEX(OFFSET('Measure Inputs'!$AC$7,,,InputRows),$C82),'Measure Inputs'!$AC$6,Y$8)*$L82</f>
        <v>0</v>
      </c>
      <c r="Z82" s="127">
        <f t="shared" ca="1" si="345"/>
        <v>0</v>
      </c>
      <c r="AA82" s="127">
        <f t="shared" ca="1" si="346"/>
        <v>0</v>
      </c>
      <c r="AB82" s="37"/>
      <c r="AC82" s="127">
        <f ca="1">CONVERT(INDEX(OFFSET('Measure Inputs'!$AE$7,,,InputRows),$C82),'Measure Inputs'!$AE$6,AC$8)*$L82</f>
        <v>0</v>
      </c>
      <c r="AD82" s="127">
        <f t="shared" ca="1" si="347"/>
        <v>0</v>
      </c>
      <c r="AE82" s="127">
        <f t="shared" ca="1" si="348"/>
        <v>0</v>
      </c>
      <c r="AF82" s="37"/>
      <c r="AG82" s="97">
        <f ca="1">INDEX(OFFSET('Measure Inputs'!$R$7,,,InputRows),$C82)</f>
        <v>18</v>
      </c>
      <c r="AH82" s="97">
        <f ca="1">INDEX(OFFSET('Measure Inputs'!$S$7,,,InputRows),$C82)</f>
        <v>0</v>
      </c>
      <c r="AI82" s="97">
        <f t="shared" ca="1" si="349"/>
        <v>0</v>
      </c>
      <c r="AJ82" s="100">
        <f ca="1">INDEX(OFFSET('Measure Inputs'!$T$7,,,InputRows),$C82)*$L82*$N82*$O82</f>
        <v>0</v>
      </c>
      <c r="AK82" s="100">
        <f ca="1">INDEX(OFFSET('Measure Inputs'!$U$7,,,InputRows),$C82)*$L82*$N82*$O82</f>
        <v>0</v>
      </c>
      <c r="AL82" s="100">
        <f ca="1">INDEX(OFFSET('Measure Inputs'!$V$7,,,InputRows),$C82)*$L82*$N82*$O82</f>
        <v>0</v>
      </c>
      <c r="AM82" s="100">
        <f ca="1">INDEX(OFFSET('Measure Inputs'!$W$7,,,InputRows),$C82)*$L82*$N82*$O82</f>
        <v>0</v>
      </c>
      <c r="AN82" s="100">
        <f ca="1">INDEX(OFFSET('Measure Inputs'!$X$7,,,InputRows),$C82)*$L82</f>
        <v>0</v>
      </c>
      <c r="AO82" s="100"/>
      <c r="AP82" s="100">
        <f t="shared" ca="1" si="350"/>
        <v>0</v>
      </c>
      <c r="AQ82" s="37"/>
      <c r="AR82" s="100">
        <f ca="1">SUMPRODUCT(--($CX$9:$EX$9=$H82)*$AJ82,'General Inputs'!$K$40:$BK$40)+SUMPRODUCT(--($CX$9:$EX$9=$H82+$AH82)*-$AK82,'General Inputs'!$K$43:$BK$43)</f>
        <v>0</v>
      </c>
      <c r="AS82" s="100">
        <f ca="1">CONVERT(SUMPRODUCT($CX82:$EX82,'General Inputs'!$K$29:$BK$29,'General Inputs'!$K$40:$BK$40)*$M82,$Q$8,'General Inputs'!$E$17)</f>
        <v>0</v>
      </c>
      <c r="AT82" s="100">
        <f ca="1">SUMPRODUCT(--($CX$9:$EX$9=$H82)*$AN82,'General Inputs'!$K$40:$BK$40)</f>
        <v>0</v>
      </c>
      <c r="AU82" s="100">
        <f>SUMPRODUCT(--($CX$9:$EX$9=$H82)*$AO82,'General Inputs'!$K$40:$BK$40)</f>
        <v>0</v>
      </c>
      <c r="AV82" s="100">
        <f ca="1">CONVERT(SUMPRODUCT($CX82:$EX82,'General Inputs'!$K$40:$BK$40,OFFSET('General Inputs'!$K$34:$BK$34,MATCH($D82,'General Inputs'!$J$34:$J$35,0)-1,)),$Q$8,'General Inputs'!$G$32)</f>
        <v>0</v>
      </c>
      <c r="AW82" s="100">
        <f ca="1">CONVERT(SUMPRODUCT($CX82:$EX82,'General Inputs'!$K$27:$BK$27,'General Inputs'!$K$40:$BK$40)*$M82,$Q$8,'General Inputs'!$E$17)</f>
        <v>0</v>
      </c>
      <c r="AX82" s="100">
        <f ca="1">CONVERT(SUMPRODUCT($EZ82:$GZ82,'General Inputs'!$K$28:$BK$28,'General Inputs'!$K$40:$BK$40)*$M82,$Q$8,'General Inputs'!$E$17)</f>
        <v>0</v>
      </c>
      <c r="AY82" s="98">
        <f ca="1">SUMPRODUCT($CX82:$EX82,'General Inputs'!$K$40:$BK$40)</f>
        <v>0</v>
      </c>
      <c r="AZ82" s="37"/>
      <c r="BA82" s="100">
        <f t="shared" ca="1" si="351"/>
        <v>0</v>
      </c>
      <c r="BB82" s="102" t="e">
        <f t="shared" ca="1" si="352"/>
        <v>#DIV/0!</v>
      </c>
      <c r="BC82" s="100">
        <f t="shared" ca="1" si="273"/>
        <v>0</v>
      </c>
      <c r="BD82" s="100">
        <f t="shared" ca="1" si="274"/>
        <v>0</v>
      </c>
      <c r="BE82" s="100">
        <f t="shared" ca="1" si="275"/>
        <v>0</v>
      </c>
      <c r="BF82" s="100">
        <f t="shared" ca="1" si="276"/>
        <v>0</v>
      </c>
      <c r="BG82" s="100">
        <f t="shared" si="277"/>
        <v>0</v>
      </c>
      <c r="BH82" s="100">
        <f t="shared" ca="1" si="278"/>
        <v>0</v>
      </c>
      <c r="BI82" s="37"/>
      <c r="BJ82" s="100">
        <f t="shared" ca="1" si="353"/>
        <v>0</v>
      </c>
      <c r="BK82" s="102" t="e">
        <f t="shared" ca="1" si="354"/>
        <v>#DIV/0!</v>
      </c>
      <c r="BL82" s="100">
        <f t="shared" ca="1" si="279"/>
        <v>0</v>
      </c>
      <c r="BM82" s="100">
        <f t="shared" ca="1" si="164"/>
        <v>0</v>
      </c>
      <c r="BN82" s="100">
        <f t="shared" ca="1" si="280"/>
        <v>0</v>
      </c>
      <c r="BO82" s="100">
        <f t="shared" ca="1" si="281"/>
        <v>0</v>
      </c>
      <c r="BP82" s="100">
        <f t="shared" ca="1" si="282"/>
        <v>0</v>
      </c>
      <c r="BQ82" s="100">
        <f t="shared" si="283"/>
        <v>0</v>
      </c>
      <c r="BR82" s="100">
        <f t="shared" ca="1" si="284"/>
        <v>0</v>
      </c>
      <c r="BS82" s="37"/>
      <c r="BT82" s="100">
        <f t="shared" ca="1" si="355"/>
        <v>0</v>
      </c>
      <c r="BU82" s="102" t="e">
        <f t="shared" ca="1" si="356"/>
        <v>#DIV/0!</v>
      </c>
      <c r="BV82" s="102" t="e">
        <f t="shared" ca="1" si="285"/>
        <v>#DIV/0!</v>
      </c>
      <c r="BW82" s="100">
        <f t="shared" ca="1" si="286"/>
        <v>0</v>
      </c>
      <c r="BX82" s="100">
        <f t="shared" ca="1" si="287"/>
        <v>0</v>
      </c>
      <c r="BY82" s="100">
        <f t="shared" ca="1" si="288"/>
        <v>0</v>
      </c>
      <c r="BZ82" s="100">
        <f t="shared" ca="1" si="289"/>
        <v>0</v>
      </c>
      <c r="CA82" s="100">
        <f t="shared" ca="1" si="290"/>
        <v>0</v>
      </c>
      <c r="CB82" s="37"/>
      <c r="CC82" s="100">
        <f t="shared" ca="1" si="357"/>
        <v>0</v>
      </c>
      <c r="CD82" s="102" t="e">
        <f t="shared" ca="1" si="358"/>
        <v>#DIV/0!</v>
      </c>
      <c r="CE82" s="103" t="e">
        <f t="shared" ca="1" si="291"/>
        <v>#DIV/0!</v>
      </c>
      <c r="CF82" s="100">
        <f t="shared" ca="1" si="292"/>
        <v>0</v>
      </c>
      <c r="CG82" s="100">
        <f t="shared" ca="1" si="293"/>
        <v>0</v>
      </c>
      <c r="CH82" s="100">
        <f t="shared" ca="1" si="294"/>
        <v>0</v>
      </c>
      <c r="CI82" s="100">
        <f t="shared" ca="1" si="382"/>
        <v>0</v>
      </c>
      <c r="CJ82" s="100">
        <f t="shared" ca="1" si="383"/>
        <v>0</v>
      </c>
      <c r="CK82" s="100">
        <f t="shared" si="295"/>
        <v>0</v>
      </c>
      <c r="CL82" s="37"/>
      <c r="CM82" s="100">
        <f t="shared" ca="1" si="359"/>
        <v>0</v>
      </c>
      <c r="CN82" s="102" t="e">
        <f t="shared" ca="1" si="360"/>
        <v>#DIV/0!</v>
      </c>
      <c r="CO82" s="128"/>
      <c r="CP82" s="100">
        <f t="shared" ca="1" si="296"/>
        <v>0</v>
      </c>
      <c r="CQ82" s="100">
        <f t="shared" ca="1" si="297"/>
        <v>0</v>
      </c>
      <c r="CR82" s="100">
        <f t="shared" ca="1" si="298"/>
        <v>0</v>
      </c>
      <c r="CS82" s="100">
        <f t="shared" ca="1" si="384"/>
        <v>0</v>
      </c>
      <c r="CT82" s="100">
        <f t="shared" ca="1" si="299"/>
        <v>0</v>
      </c>
      <c r="CU82" s="100">
        <f t="shared" ca="1" si="300"/>
        <v>0</v>
      </c>
      <c r="CV82" s="100">
        <f t="shared" si="301"/>
        <v>0</v>
      </c>
      <c r="CW82" s="37"/>
      <c r="CX82" s="48">
        <f t="shared" ca="1" si="391"/>
        <v>0</v>
      </c>
      <c r="CY82" s="48">
        <f t="shared" ca="1" si="391"/>
        <v>0</v>
      </c>
      <c r="CZ82" s="48">
        <f t="shared" ca="1" si="391"/>
        <v>0</v>
      </c>
      <c r="DA82" s="48">
        <f t="shared" ca="1" si="391"/>
        <v>0</v>
      </c>
      <c r="DB82" s="48">
        <f t="shared" ca="1" si="391"/>
        <v>0</v>
      </c>
      <c r="DC82" s="48">
        <f t="shared" ca="1" si="391"/>
        <v>0</v>
      </c>
      <c r="DD82" s="48">
        <f t="shared" ca="1" si="391"/>
        <v>0</v>
      </c>
      <c r="DE82" s="48">
        <f t="shared" ca="1" si="391"/>
        <v>0</v>
      </c>
      <c r="DF82" s="48">
        <f t="shared" ca="1" si="391"/>
        <v>0</v>
      </c>
      <c r="DG82" s="48">
        <f t="shared" ca="1" si="391"/>
        <v>0</v>
      </c>
      <c r="DH82" s="48">
        <f t="shared" ca="1" si="391"/>
        <v>0</v>
      </c>
      <c r="DI82" s="48">
        <f t="shared" ca="1" si="391"/>
        <v>0</v>
      </c>
      <c r="DJ82" s="48">
        <f t="shared" ca="1" si="391"/>
        <v>0</v>
      </c>
      <c r="DK82" s="48">
        <f t="shared" ca="1" si="391"/>
        <v>0</v>
      </c>
      <c r="DL82" s="48">
        <f t="shared" ca="1" si="391"/>
        <v>0</v>
      </c>
      <c r="DM82" s="48">
        <f t="shared" ca="1" si="389"/>
        <v>0</v>
      </c>
      <c r="DN82" s="48">
        <f t="shared" ca="1" si="389"/>
        <v>0</v>
      </c>
      <c r="DO82" s="48">
        <f t="shared" ca="1" si="389"/>
        <v>0</v>
      </c>
      <c r="DP82" s="48">
        <f t="shared" ca="1" si="389"/>
        <v>0</v>
      </c>
      <c r="DQ82" s="48">
        <f t="shared" ca="1" si="389"/>
        <v>0</v>
      </c>
      <c r="DR82" s="48">
        <f t="shared" ca="1" si="389"/>
        <v>0</v>
      </c>
      <c r="DS82" s="48">
        <f t="shared" ca="1" si="389"/>
        <v>0</v>
      </c>
      <c r="DT82" s="48">
        <f t="shared" ca="1" si="389"/>
        <v>0</v>
      </c>
      <c r="DU82" s="48">
        <f t="shared" ca="1" si="389"/>
        <v>0</v>
      </c>
      <c r="DV82" s="48">
        <f t="shared" ca="1" si="389"/>
        <v>0</v>
      </c>
      <c r="DW82" s="48">
        <f t="shared" ca="1" si="389"/>
        <v>0</v>
      </c>
      <c r="DX82" s="48">
        <f t="shared" ca="1" si="389"/>
        <v>0</v>
      </c>
      <c r="DY82" s="48">
        <f t="shared" ca="1" si="389"/>
        <v>0</v>
      </c>
      <c r="DZ82" s="48">
        <f t="shared" ca="1" si="389"/>
        <v>0</v>
      </c>
      <c r="EA82" s="48">
        <f t="shared" ca="1" si="385"/>
        <v>0</v>
      </c>
      <c r="EB82" s="48">
        <f t="shared" ca="1" si="385"/>
        <v>0</v>
      </c>
      <c r="EC82" s="48">
        <f t="shared" ca="1" si="385"/>
        <v>0</v>
      </c>
      <c r="ED82" s="48">
        <f t="shared" ca="1" si="385"/>
        <v>0</v>
      </c>
      <c r="EE82" s="48">
        <f t="shared" ca="1" si="385"/>
        <v>0</v>
      </c>
      <c r="EF82" s="48">
        <f t="shared" ca="1" si="385"/>
        <v>0</v>
      </c>
      <c r="EG82" s="48">
        <f t="shared" ca="1" si="385"/>
        <v>0</v>
      </c>
      <c r="EH82" s="48">
        <f t="shared" ca="1" si="385"/>
        <v>0</v>
      </c>
      <c r="EI82" s="48">
        <f t="shared" ca="1" si="385"/>
        <v>0</v>
      </c>
      <c r="EJ82" s="48">
        <f t="shared" ca="1" si="385"/>
        <v>0</v>
      </c>
      <c r="EK82" s="48">
        <f t="shared" ca="1" si="385"/>
        <v>0</v>
      </c>
      <c r="EL82" s="48">
        <f t="shared" ca="1" si="385"/>
        <v>0</v>
      </c>
      <c r="EM82" s="48">
        <f t="shared" ca="1" si="385"/>
        <v>0</v>
      </c>
      <c r="EN82" s="48">
        <f t="shared" ca="1" si="385"/>
        <v>0</v>
      </c>
      <c r="EO82" s="48">
        <f t="shared" ca="1" si="385"/>
        <v>0</v>
      </c>
      <c r="EP82" s="48">
        <f t="shared" ca="1" si="385"/>
        <v>0</v>
      </c>
      <c r="EQ82" s="48">
        <f t="shared" ca="1" si="386"/>
        <v>0</v>
      </c>
      <c r="ER82" s="48">
        <f t="shared" ca="1" si="386"/>
        <v>0</v>
      </c>
      <c r="ES82" s="48">
        <f t="shared" ca="1" si="374"/>
        <v>0</v>
      </c>
      <c r="ET82" s="48">
        <f t="shared" ca="1" si="364"/>
        <v>0</v>
      </c>
      <c r="EU82" s="48">
        <f t="shared" ca="1" si="364"/>
        <v>0</v>
      </c>
      <c r="EV82" s="48">
        <f t="shared" ca="1" si="364"/>
        <v>0</v>
      </c>
      <c r="EW82" s="48">
        <f t="shared" ca="1" si="364"/>
        <v>0</v>
      </c>
      <c r="EX82" s="48">
        <f t="shared" ca="1" si="364"/>
        <v>0</v>
      </c>
      <c r="EY82" s="69"/>
      <c r="EZ82" s="48">
        <f t="shared" ca="1" si="392"/>
        <v>0</v>
      </c>
      <c r="FA82" s="48">
        <f t="shared" ca="1" si="392"/>
        <v>0</v>
      </c>
      <c r="FB82" s="48">
        <f t="shared" ca="1" si="392"/>
        <v>0</v>
      </c>
      <c r="FC82" s="48">
        <f t="shared" ca="1" si="392"/>
        <v>0</v>
      </c>
      <c r="FD82" s="48">
        <f t="shared" ca="1" si="392"/>
        <v>0</v>
      </c>
      <c r="FE82" s="48">
        <f t="shared" ca="1" si="392"/>
        <v>0</v>
      </c>
      <c r="FF82" s="48">
        <f t="shared" ca="1" si="392"/>
        <v>0</v>
      </c>
      <c r="FG82" s="48">
        <f t="shared" ca="1" si="392"/>
        <v>0</v>
      </c>
      <c r="FH82" s="48">
        <f t="shared" ca="1" si="392"/>
        <v>0</v>
      </c>
      <c r="FI82" s="48">
        <f t="shared" ca="1" si="392"/>
        <v>0</v>
      </c>
      <c r="FJ82" s="48">
        <f t="shared" ca="1" si="392"/>
        <v>0</v>
      </c>
      <c r="FK82" s="48">
        <f t="shared" ca="1" si="392"/>
        <v>0</v>
      </c>
      <c r="FL82" s="48">
        <f t="shared" ca="1" si="392"/>
        <v>0</v>
      </c>
      <c r="FM82" s="48">
        <f t="shared" ca="1" si="392"/>
        <v>0</v>
      </c>
      <c r="FN82" s="48">
        <f t="shared" ca="1" si="392"/>
        <v>0</v>
      </c>
      <c r="FO82" s="48">
        <f t="shared" ca="1" si="390"/>
        <v>0</v>
      </c>
      <c r="FP82" s="48">
        <f t="shared" ca="1" si="390"/>
        <v>0</v>
      </c>
      <c r="FQ82" s="48">
        <f t="shared" ca="1" si="390"/>
        <v>0</v>
      </c>
      <c r="FR82" s="48">
        <f t="shared" ca="1" si="390"/>
        <v>0</v>
      </c>
      <c r="FS82" s="48">
        <f t="shared" ca="1" si="390"/>
        <v>0</v>
      </c>
      <c r="FT82" s="48">
        <f t="shared" ca="1" si="390"/>
        <v>0</v>
      </c>
      <c r="FU82" s="48">
        <f t="shared" ca="1" si="390"/>
        <v>0</v>
      </c>
      <c r="FV82" s="48">
        <f t="shared" ca="1" si="390"/>
        <v>0</v>
      </c>
      <c r="FW82" s="48">
        <f t="shared" ca="1" si="390"/>
        <v>0</v>
      </c>
      <c r="FX82" s="48">
        <f t="shared" ca="1" si="390"/>
        <v>0</v>
      </c>
      <c r="FY82" s="48">
        <f t="shared" ca="1" si="390"/>
        <v>0</v>
      </c>
      <c r="FZ82" s="48">
        <f t="shared" ca="1" si="390"/>
        <v>0</v>
      </c>
      <c r="GA82" s="48">
        <f t="shared" ca="1" si="390"/>
        <v>0</v>
      </c>
      <c r="GB82" s="48">
        <f t="shared" ca="1" si="390"/>
        <v>0</v>
      </c>
      <c r="GC82" s="48">
        <f t="shared" ca="1" si="387"/>
        <v>0</v>
      </c>
      <c r="GD82" s="48">
        <f t="shared" ca="1" si="387"/>
        <v>0</v>
      </c>
      <c r="GE82" s="48">
        <f t="shared" ca="1" si="387"/>
        <v>0</v>
      </c>
      <c r="GF82" s="48">
        <f t="shared" ca="1" si="387"/>
        <v>0</v>
      </c>
      <c r="GG82" s="48">
        <f t="shared" ca="1" si="387"/>
        <v>0</v>
      </c>
      <c r="GH82" s="48">
        <f t="shared" ca="1" si="387"/>
        <v>0</v>
      </c>
      <c r="GI82" s="48">
        <f t="shared" ca="1" si="387"/>
        <v>0</v>
      </c>
      <c r="GJ82" s="48">
        <f t="shared" ca="1" si="387"/>
        <v>0</v>
      </c>
      <c r="GK82" s="48">
        <f t="shared" ca="1" si="387"/>
        <v>0</v>
      </c>
      <c r="GL82" s="48">
        <f t="shared" ca="1" si="387"/>
        <v>0</v>
      </c>
      <c r="GM82" s="48">
        <f t="shared" ca="1" si="387"/>
        <v>0</v>
      </c>
      <c r="GN82" s="48">
        <f t="shared" ca="1" si="387"/>
        <v>0</v>
      </c>
      <c r="GO82" s="48">
        <f t="shared" ca="1" si="387"/>
        <v>0</v>
      </c>
      <c r="GP82" s="48">
        <f t="shared" ca="1" si="387"/>
        <v>0</v>
      </c>
      <c r="GQ82" s="48">
        <f t="shared" ca="1" si="387"/>
        <v>0</v>
      </c>
      <c r="GR82" s="48">
        <f t="shared" ca="1" si="387"/>
        <v>0</v>
      </c>
      <c r="GS82" s="48">
        <f t="shared" ca="1" si="388"/>
        <v>0</v>
      </c>
      <c r="GT82" s="48">
        <f t="shared" ca="1" si="388"/>
        <v>0</v>
      </c>
      <c r="GU82" s="48">
        <f t="shared" ca="1" si="377"/>
        <v>0</v>
      </c>
      <c r="GV82" s="48">
        <f t="shared" ca="1" si="368"/>
        <v>0</v>
      </c>
      <c r="GW82" s="48">
        <f t="shared" ca="1" si="368"/>
        <v>0</v>
      </c>
      <c r="GX82" s="48">
        <f t="shared" ca="1" si="368"/>
        <v>0</v>
      </c>
      <c r="GY82" s="48">
        <f t="shared" ca="1" si="368"/>
        <v>0</v>
      </c>
      <c r="GZ82" s="48">
        <f t="shared" ca="1" si="368"/>
        <v>0</v>
      </c>
      <c r="HA82" s="69"/>
      <c r="HB82" s="150" t="str">
        <f t="shared" ca="1" si="380"/>
        <v>n/a</v>
      </c>
      <c r="HC82" s="150" t="str">
        <f t="shared" ca="1" si="369"/>
        <v>n/a</v>
      </c>
      <c r="HD82" s="150" t="str">
        <f t="shared" ca="1" si="381"/>
        <v>n/a</v>
      </c>
      <c r="HE82" s="150" t="str">
        <f t="shared" ca="1" si="370"/>
        <v>n/a</v>
      </c>
      <c r="HF82" s="150" t="str">
        <f t="shared" ca="1" si="371"/>
        <v>n/a</v>
      </c>
      <c r="HG82" s="148"/>
      <c r="HH82" s="149"/>
      <c r="HI82" s="149"/>
      <c r="HJ82" s="149"/>
      <c r="HK82" s="150"/>
      <c r="HL82" s="149"/>
      <c r="HM82" s="149"/>
      <c r="HN82" s="149"/>
      <c r="HO82" s="150"/>
      <c r="HP82" s="148"/>
      <c r="HQ82" s="149"/>
      <c r="HR82" s="149"/>
      <c r="HS82" s="149"/>
      <c r="HT82" s="150"/>
      <c r="HU82" s="149"/>
      <c r="HV82" s="149"/>
      <c r="HW82" s="149"/>
      <c r="HX82" s="150"/>
      <c r="HY82" s="151"/>
      <c r="HZ82" s="150"/>
      <c r="IA82" s="150"/>
      <c r="IB82" s="152"/>
      <c r="IC82" s="150"/>
      <c r="ID82" s="152"/>
      <c r="IE82" s="150"/>
      <c r="IF82" s="153"/>
    </row>
    <row r="83" spans="1:240" s="36" customFormat="1" ht="14.4" customHeight="1">
      <c r="A83" s="39"/>
      <c r="B83" s="50" t="str">
        <f t="shared" si="340"/>
        <v>C&amp;I_C&amp;I Prescriptive_Lighting_T8 (≤4 ft, 3-4 Lamp)_2017_Actual</v>
      </c>
      <c r="C83" s="50">
        <f>INDEX('Measure Inputs'!$D:$D,MATCH($B83,'Measure Inputs'!$B:$B,0))</f>
        <v>49</v>
      </c>
      <c r="D83" s="51" t="str">
        <f>'Measure Inputs'!G55</f>
        <v>C&amp;I</v>
      </c>
      <c r="E83" s="51" t="str">
        <f>'Measure Inputs'!H55</f>
        <v>C&amp;I Prescriptive</v>
      </c>
      <c r="F83" s="51" t="str">
        <f>'Measure Inputs'!I55</f>
        <v>Lighting</v>
      </c>
      <c r="G83" s="51" t="str">
        <f>'Measure Inputs'!J55</f>
        <v>T8 (≤4 ft, 3-4 Lamp)</v>
      </c>
      <c r="H83" s="51">
        <f>'Measure Inputs'!K55</f>
        <v>2017</v>
      </c>
      <c r="I83" s="51" t="str">
        <f>'Measure Inputs'!L55</f>
        <v>Actual</v>
      </c>
      <c r="J83" s="37"/>
      <c r="K83" s="99" t="str">
        <f ca="1">INDEX(OFFSET('Measure Inputs'!$O$7,,,InputRows),$C83)</f>
        <v>Units</v>
      </c>
      <c r="L83" s="38">
        <f ca="1">INDEX(OFFSET('Measure Inputs'!$Q$7,,,InputRows),$C83)</f>
        <v>0</v>
      </c>
      <c r="M83" s="167">
        <f>INDEX('General Inputs'!$E$14:$E$15,MATCH(D83,'General Inputs'!$D$14:$D$15,0))</f>
        <v>1.0469999999999999</v>
      </c>
      <c r="N83" s="54">
        <f ca="1">INDEX(OFFSET('Measure Inputs'!$Y$7,,,InputRows),$C83)</f>
        <v>1</v>
      </c>
      <c r="O83" s="54">
        <f ca="1">INDEX(OFFSET('Measure Inputs'!$Z$7,,,InputRows),$C83)</f>
        <v>1</v>
      </c>
      <c r="P83" s="37"/>
      <c r="Q83" s="127">
        <f ca="1">CONVERT(INDEX(OFFSET('Measure Inputs'!$AB$7,,,InputRows),$C83),'Measure Inputs'!$AB$6,Q$8)*$L83</f>
        <v>0</v>
      </c>
      <c r="R83" s="127">
        <f t="shared" ca="1" si="341"/>
        <v>0</v>
      </c>
      <c r="S83" s="127">
        <f t="shared" ca="1" si="342"/>
        <v>0</v>
      </c>
      <c r="T83" s="37"/>
      <c r="U83" s="127">
        <f ca="1">CONVERT(INDEX(OFFSET('Measure Inputs'!$AD$7,,,InputRows),$C83),'Measure Inputs'!$AD$6,U$8)*$L83</f>
        <v>0</v>
      </c>
      <c r="V83" s="127">
        <f t="shared" ca="1" si="343"/>
        <v>0</v>
      </c>
      <c r="W83" s="127">
        <f t="shared" ca="1" si="344"/>
        <v>0</v>
      </c>
      <c r="X83" s="37"/>
      <c r="Y83" s="127">
        <f ca="1">CONVERT(INDEX(OFFSET('Measure Inputs'!$AC$7,,,InputRows),$C83),'Measure Inputs'!$AC$6,Y$8)*$L83</f>
        <v>0</v>
      </c>
      <c r="Z83" s="127">
        <f t="shared" ca="1" si="345"/>
        <v>0</v>
      </c>
      <c r="AA83" s="127">
        <f t="shared" ca="1" si="346"/>
        <v>0</v>
      </c>
      <c r="AB83" s="37"/>
      <c r="AC83" s="127">
        <f ca="1">CONVERT(INDEX(OFFSET('Measure Inputs'!$AE$7,,,InputRows),$C83),'Measure Inputs'!$AE$6,AC$8)*$L83</f>
        <v>0</v>
      </c>
      <c r="AD83" s="127">
        <f t="shared" ca="1" si="347"/>
        <v>0</v>
      </c>
      <c r="AE83" s="127">
        <f t="shared" ca="1" si="348"/>
        <v>0</v>
      </c>
      <c r="AF83" s="37"/>
      <c r="AG83" s="97">
        <f ca="1">INDEX(OFFSET('Measure Inputs'!$R$7,,,InputRows),$C83)</f>
        <v>18</v>
      </c>
      <c r="AH83" s="97">
        <f ca="1">INDEX(OFFSET('Measure Inputs'!$S$7,,,InputRows),$C83)</f>
        <v>0</v>
      </c>
      <c r="AI83" s="97">
        <f t="shared" ca="1" si="349"/>
        <v>0</v>
      </c>
      <c r="AJ83" s="100">
        <f ca="1">INDEX(OFFSET('Measure Inputs'!$T$7,,,InputRows),$C83)*$L83*$N83*$O83</f>
        <v>0</v>
      </c>
      <c r="AK83" s="100">
        <f ca="1">INDEX(OFFSET('Measure Inputs'!$U$7,,,InputRows),$C83)*$L83*$N83*$O83</f>
        <v>0</v>
      </c>
      <c r="AL83" s="100">
        <f ca="1">INDEX(OFFSET('Measure Inputs'!$V$7,,,InputRows),$C83)*$L83*$N83*$O83</f>
        <v>0</v>
      </c>
      <c r="AM83" s="100">
        <f ca="1">INDEX(OFFSET('Measure Inputs'!$W$7,,,InputRows),$C83)*$L83*$N83*$O83</f>
        <v>0</v>
      </c>
      <c r="AN83" s="100">
        <f ca="1">INDEX(OFFSET('Measure Inputs'!$X$7,,,InputRows),$C83)*$L83</f>
        <v>0</v>
      </c>
      <c r="AO83" s="100"/>
      <c r="AP83" s="100">
        <f t="shared" ca="1" si="350"/>
        <v>0</v>
      </c>
      <c r="AQ83" s="37"/>
      <c r="AR83" s="100">
        <f ca="1">SUMPRODUCT(--($CX$9:$EX$9=$H83)*$AJ83,'General Inputs'!$K$40:$BK$40)+SUMPRODUCT(--($CX$9:$EX$9=$H83+$AH83)*-$AK83,'General Inputs'!$K$43:$BK$43)</f>
        <v>0</v>
      </c>
      <c r="AS83" s="100">
        <f ca="1">CONVERT(SUMPRODUCT($CX83:$EX83,'General Inputs'!$K$29:$BK$29,'General Inputs'!$K$40:$BK$40)*$M83,$Q$8,'General Inputs'!$E$17)</f>
        <v>0</v>
      </c>
      <c r="AT83" s="100">
        <f ca="1">SUMPRODUCT(--($CX$9:$EX$9=$H83)*$AN83,'General Inputs'!$K$40:$BK$40)</f>
        <v>0</v>
      </c>
      <c r="AU83" s="100">
        <f>SUMPRODUCT(--($CX$9:$EX$9=$H83)*$AO83,'General Inputs'!$K$40:$BK$40)</f>
        <v>0</v>
      </c>
      <c r="AV83" s="100">
        <f ca="1">CONVERT(SUMPRODUCT($CX83:$EX83,'General Inputs'!$K$40:$BK$40,OFFSET('General Inputs'!$K$34:$BK$34,MATCH($D83,'General Inputs'!$J$34:$J$35,0)-1,)),$Q$8,'General Inputs'!$G$32)</f>
        <v>0</v>
      </c>
      <c r="AW83" s="100">
        <f ca="1">CONVERT(SUMPRODUCT($CX83:$EX83,'General Inputs'!$K$27:$BK$27,'General Inputs'!$K$40:$BK$40)*$M83,$Q$8,'General Inputs'!$E$17)</f>
        <v>0</v>
      </c>
      <c r="AX83" s="100">
        <f ca="1">CONVERT(SUMPRODUCT($EZ83:$GZ83,'General Inputs'!$K$28:$BK$28,'General Inputs'!$K$40:$BK$40)*$M83,$Q$8,'General Inputs'!$E$17)</f>
        <v>0</v>
      </c>
      <c r="AY83" s="98">
        <f ca="1">SUMPRODUCT($CX83:$EX83,'General Inputs'!$K$40:$BK$40)</f>
        <v>0</v>
      </c>
      <c r="AZ83" s="37"/>
      <c r="BA83" s="100">
        <f t="shared" ca="1" si="351"/>
        <v>0</v>
      </c>
      <c r="BB83" s="102" t="e">
        <f t="shared" ca="1" si="352"/>
        <v>#DIV/0!</v>
      </c>
      <c r="BC83" s="100">
        <f t="shared" ca="1" si="273"/>
        <v>0</v>
      </c>
      <c r="BD83" s="100">
        <f t="shared" ca="1" si="274"/>
        <v>0</v>
      </c>
      <c r="BE83" s="100">
        <f t="shared" ca="1" si="275"/>
        <v>0</v>
      </c>
      <c r="BF83" s="100">
        <f t="shared" ca="1" si="276"/>
        <v>0</v>
      </c>
      <c r="BG83" s="100">
        <f t="shared" si="277"/>
        <v>0</v>
      </c>
      <c r="BH83" s="100">
        <f t="shared" ca="1" si="278"/>
        <v>0</v>
      </c>
      <c r="BI83" s="37"/>
      <c r="BJ83" s="100">
        <f t="shared" ca="1" si="353"/>
        <v>0</v>
      </c>
      <c r="BK83" s="102" t="e">
        <f t="shared" ca="1" si="354"/>
        <v>#DIV/0!</v>
      </c>
      <c r="BL83" s="100">
        <f t="shared" ca="1" si="279"/>
        <v>0</v>
      </c>
      <c r="BM83" s="100">
        <f t="shared" ca="1" si="164"/>
        <v>0</v>
      </c>
      <c r="BN83" s="100">
        <f t="shared" ca="1" si="280"/>
        <v>0</v>
      </c>
      <c r="BO83" s="100">
        <f t="shared" ca="1" si="281"/>
        <v>0</v>
      </c>
      <c r="BP83" s="100">
        <f t="shared" ca="1" si="282"/>
        <v>0</v>
      </c>
      <c r="BQ83" s="100">
        <f t="shared" si="283"/>
        <v>0</v>
      </c>
      <c r="BR83" s="100">
        <f t="shared" ca="1" si="284"/>
        <v>0</v>
      </c>
      <c r="BS83" s="37"/>
      <c r="BT83" s="100">
        <f t="shared" ca="1" si="355"/>
        <v>0</v>
      </c>
      <c r="BU83" s="102" t="e">
        <f t="shared" ca="1" si="356"/>
        <v>#DIV/0!</v>
      </c>
      <c r="BV83" s="102" t="e">
        <f t="shared" ca="1" si="285"/>
        <v>#DIV/0!</v>
      </c>
      <c r="BW83" s="100">
        <f t="shared" ca="1" si="286"/>
        <v>0</v>
      </c>
      <c r="BX83" s="100">
        <f t="shared" ca="1" si="287"/>
        <v>0</v>
      </c>
      <c r="BY83" s="100">
        <f t="shared" ca="1" si="288"/>
        <v>0</v>
      </c>
      <c r="BZ83" s="100">
        <f t="shared" ca="1" si="289"/>
        <v>0</v>
      </c>
      <c r="CA83" s="100">
        <f t="shared" ca="1" si="290"/>
        <v>0</v>
      </c>
      <c r="CB83" s="37"/>
      <c r="CC83" s="100">
        <f t="shared" ca="1" si="357"/>
        <v>0</v>
      </c>
      <c r="CD83" s="102" t="e">
        <f t="shared" ca="1" si="358"/>
        <v>#DIV/0!</v>
      </c>
      <c r="CE83" s="103" t="e">
        <f t="shared" ca="1" si="291"/>
        <v>#DIV/0!</v>
      </c>
      <c r="CF83" s="100">
        <f t="shared" ca="1" si="292"/>
        <v>0</v>
      </c>
      <c r="CG83" s="100">
        <f t="shared" ca="1" si="293"/>
        <v>0</v>
      </c>
      <c r="CH83" s="100">
        <f t="shared" ca="1" si="294"/>
        <v>0</v>
      </c>
      <c r="CI83" s="100">
        <f t="shared" ca="1" si="382"/>
        <v>0</v>
      </c>
      <c r="CJ83" s="100">
        <f t="shared" ca="1" si="383"/>
        <v>0</v>
      </c>
      <c r="CK83" s="100">
        <f t="shared" si="295"/>
        <v>0</v>
      </c>
      <c r="CL83" s="37"/>
      <c r="CM83" s="100">
        <f t="shared" ca="1" si="359"/>
        <v>0</v>
      </c>
      <c r="CN83" s="102" t="e">
        <f t="shared" ca="1" si="360"/>
        <v>#DIV/0!</v>
      </c>
      <c r="CO83" s="128"/>
      <c r="CP83" s="100">
        <f t="shared" ca="1" si="296"/>
        <v>0</v>
      </c>
      <c r="CQ83" s="100">
        <f t="shared" ca="1" si="297"/>
        <v>0</v>
      </c>
      <c r="CR83" s="100">
        <f t="shared" ca="1" si="298"/>
        <v>0</v>
      </c>
      <c r="CS83" s="100">
        <f t="shared" ca="1" si="384"/>
        <v>0</v>
      </c>
      <c r="CT83" s="100">
        <f t="shared" ca="1" si="299"/>
        <v>0</v>
      </c>
      <c r="CU83" s="100">
        <f t="shared" ca="1" si="300"/>
        <v>0</v>
      </c>
      <c r="CV83" s="100">
        <f t="shared" si="301"/>
        <v>0</v>
      </c>
      <c r="CW83" s="37"/>
      <c r="CX83" s="48">
        <f t="shared" ca="1" si="391"/>
        <v>0</v>
      </c>
      <c r="CY83" s="48">
        <f t="shared" ca="1" si="391"/>
        <v>0</v>
      </c>
      <c r="CZ83" s="48">
        <f t="shared" ca="1" si="391"/>
        <v>0</v>
      </c>
      <c r="DA83" s="48">
        <f t="shared" ca="1" si="391"/>
        <v>0</v>
      </c>
      <c r="DB83" s="48">
        <f t="shared" ca="1" si="391"/>
        <v>0</v>
      </c>
      <c r="DC83" s="48">
        <f t="shared" ca="1" si="391"/>
        <v>0</v>
      </c>
      <c r="DD83" s="48">
        <f t="shared" ca="1" si="391"/>
        <v>0</v>
      </c>
      <c r="DE83" s="48">
        <f t="shared" ca="1" si="391"/>
        <v>0</v>
      </c>
      <c r="DF83" s="48">
        <f t="shared" ca="1" si="391"/>
        <v>0</v>
      </c>
      <c r="DG83" s="48">
        <f t="shared" ca="1" si="391"/>
        <v>0</v>
      </c>
      <c r="DH83" s="48">
        <f t="shared" ca="1" si="391"/>
        <v>0</v>
      </c>
      <c r="DI83" s="48">
        <f t="shared" ca="1" si="391"/>
        <v>0</v>
      </c>
      <c r="DJ83" s="48">
        <f t="shared" ca="1" si="391"/>
        <v>0</v>
      </c>
      <c r="DK83" s="48">
        <f t="shared" ca="1" si="391"/>
        <v>0</v>
      </c>
      <c r="DL83" s="48">
        <f t="shared" ca="1" si="391"/>
        <v>0</v>
      </c>
      <c r="DM83" s="48">
        <f t="shared" ca="1" si="389"/>
        <v>0</v>
      </c>
      <c r="DN83" s="48">
        <f t="shared" ca="1" si="389"/>
        <v>0</v>
      </c>
      <c r="DO83" s="48">
        <f t="shared" ca="1" si="389"/>
        <v>0</v>
      </c>
      <c r="DP83" s="48">
        <f t="shared" ca="1" si="389"/>
        <v>0</v>
      </c>
      <c r="DQ83" s="48">
        <f t="shared" ca="1" si="389"/>
        <v>0</v>
      </c>
      <c r="DR83" s="48">
        <f t="shared" ca="1" si="389"/>
        <v>0</v>
      </c>
      <c r="DS83" s="48">
        <f t="shared" ca="1" si="389"/>
        <v>0</v>
      </c>
      <c r="DT83" s="48">
        <f t="shared" ca="1" si="389"/>
        <v>0</v>
      </c>
      <c r="DU83" s="48">
        <f t="shared" ca="1" si="389"/>
        <v>0</v>
      </c>
      <c r="DV83" s="48">
        <f t="shared" ca="1" si="389"/>
        <v>0</v>
      </c>
      <c r="DW83" s="48">
        <f t="shared" ca="1" si="389"/>
        <v>0</v>
      </c>
      <c r="DX83" s="48">
        <f t="shared" ca="1" si="389"/>
        <v>0</v>
      </c>
      <c r="DY83" s="48">
        <f t="shared" ca="1" si="389"/>
        <v>0</v>
      </c>
      <c r="DZ83" s="48">
        <f t="shared" ca="1" si="389"/>
        <v>0</v>
      </c>
      <c r="EA83" s="48">
        <f t="shared" ca="1" si="385"/>
        <v>0</v>
      </c>
      <c r="EB83" s="48">
        <f t="shared" ca="1" si="385"/>
        <v>0</v>
      </c>
      <c r="EC83" s="48">
        <f t="shared" ca="1" si="385"/>
        <v>0</v>
      </c>
      <c r="ED83" s="48">
        <f t="shared" ca="1" si="385"/>
        <v>0</v>
      </c>
      <c r="EE83" s="48">
        <f t="shared" ca="1" si="385"/>
        <v>0</v>
      </c>
      <c r="EF83" s="48">
        <f t="shared" ca="1" si="385"/>
        <v>0</v>
      </c>
      <c r="EG83" s="48">
        <f t="shared" ca="1" si="385"/>
        <v>0</v>
      </c>
      <c r="EH83" s="48">
        <f t="shared" ca="1" si="385"/>
        <v>0</v>
      </c>
      <c r="EI83" s="48">
        <f t="shared" ca="1" si="385"/>
        <v>0</v>
      </c>
      <c r="EJ83" s="48">
        <f t="shared" ca="1" si="385"/>
        <v>0</v>
      </c>
      <c r="EK83" s="48">
        <f t="shared" ca="1" si="385"/>
        <v>0</v>
      </c>
      <c r="EL83" s="48">
        <f t="shared" ca="1" si="385"/>
        <v>0</v>
      </c>
      <c r="EM83" s="48">
        <f t="shared" ca="1" si="385"/>
        <v>0</v>
      </c>
      <c r="EN83" s="48">
        <f t="shared" ca="1" si="385"/>
        <v>0</v>
      </c>
      <c r="EO83" s="48">
        <f t="shared" ca="1" si="385"/>
        <v>0</v>
      </c>
      <c r="EP83" s="48">
        <f t="shared" ca="1" si="385"/>
        <v>0</v>
      </c>
      <c r="EQ83" s="48">
        <f t="shared" ca="1" si="386"/>
        <v>0</v>
      </c>
      <c r="ER83" s="48">
        <f t="shared" ca="1" si="386"/>
        <v>0</v>
      </c>
      <c r="ES83" s="48">
        <f t="shared" ca="1" si="374"/>
        <v>0</v>
      </c>
      <c r="ET83" s="48">
        <f t="shared" ca="1" si="364"/>
        <v>0</v>
      </c>
      <c r="EU83" s="48">
        <f t="shared" ca="1" si="364"/>
        <v>0</v>
      </c>
      <c r="EV83" s="48">
        <f t="shared" ca="1" si="364"/>
        <v>0</v>
      </c>
      <c r="EW83" s="48">
        <f t="shared" ca="1" si="364"/>
        <v>0</v>
      </c>
      <c r="EX83" s="48">
        <f t="shared" ca="1" si="364"/>
        <v>0</v>
      </c>
      <c r="EY83" s="69"/>
      <c r="EZ83" s="48">
        <f t="shared" ca="1" si="392"/>
        <v>0</v>
      </c>
      <c r="FA83" s="48">
        <f t="shared" ca="1" si="392"/>
        <v>0</v>
      </c>
      <c r="FB83" s="48">
        <f t="shared" ca="1" si="392"/>
        <v>0</v>
      </c>
      <c r="FC83" s="48">
        <f t="shared" ca="1" si="392"/>
        <v>0</v>
      </c>
      <c r="FD83" s="48">
        <f t="shared" ca="1" si="392"/>
        <v>0</v>
      </c>
      <c r="FE83" s="48">
        <f t="shared" ca="1" si="392"/>
        <v>0</v>
      </c>
      <c r="FF83" s="48">
        <f t="shared" ca="1" si="392"/>
        <v>0</v>
      </c>
      <c r="FG83" s="48">
        <f t="shared" ca="1" si="392"/>
        <v>0</v>
      </c>
      <c r="FH83" s="48">
        <f t="shared" ca="1" si="392"/>
        <v>0</v>
      </c>
      <c r="FI83" s="48">
        <f t="shared" ca="1" si="392"/>
        <v>0</v>
      </c>
      <c r="FJ83" s="48">
        <f t="shared" ca="1" si="392"/>
        <v>0</v>
      </c>
      <c r="FK83" s="48">
        <f t="shared" ca="1" si="392"/>
        <v>0</v>
      </c>
      <c r="FL83" s="48">
        <f t="shared" ca="1" si="392"/>
        <v>0</v>
      </c>
      <c r="FM83" s="48">
        <f t="shared" ca="1" si="392"/>
        <v>0</v>
      </c>
      <c r="FN83" s="48">
        <f t="shared" ca="1" si="392"/>
        <v>0</v>
      </c>
      <c r="FO83" s="48">
        <f t="shared" ca="1" si="390"/>
        <v>0</v>
      </c>
      <c r="FP83" s="48">
        <f t="shared" ca="1" si="390"/>
        <v>0</v>
      </c>
      <c r="FQ83" s="48">
        <f t="shared" ca="1" si="390"/>
        <v>0</v>
      </c>
      <c r="FR83" s="48">
        <f t="shared" ca="1" si="390"/>
        <v>0</v>
      </c>
      <c r="FS83" s="48">
        <f t="shared" ca="1" si="390"/>
        <v>0</v>
      </c>
      <c r="FT83" s="48">
        <f t="shared" ca="1" si="390"/>
        <v>0</v>
      </c>
      <c r="FU83" s="48">
        <f t="shared" ca="1" si="390"/>
        <v>0</v>
      </c>
      <c r="FV83" s="48">
        <f t="shared" ca="1" si="390"/>
        <v>0</v>
      </c>
      <c r="FW83" s="48">
        <f t="shared" ca="1" si="390"/>
        <v>0</v>
      </c>
      <c r="FX83" s="48">
        <f t="shared" ca="1" si="390"/>
        <v>0</v>
      </c>
      <c r="FY83" s="48">
        <f t="shared" ca="1" si="390"/>
        <v>0</v>
      </c>
      <c r="FZ83" s="48">
        <f t="shared" ca="1" si="390"/>
        <v>0</v>
      </c>
      <c r="GA83" s="48">
        <f t="shared" ca="1" si="390"/>
        <v>0</v>
      </c>
      <c r="GB83" s="48">
        <f t="shared" ca="1" si="390"/>
        <v>0</v>
      </c>
      <c r="GC83" s="48">
        <f t="shared" ca="1" si="387"/>
        <v>0</v>
      </c>
      <c r="GD83" s="48">
        <f t="shared" ca="1" si="387"/>
        <v>0</v>
      </c>
      <c r="GE83" s="48">
        <f t="shared" ca="1" si="387"/>
        <v>0</v>
      </c>
      <c r="GF83" s="48">
        <f t="shared" ca="1" si="387"/>
        <v>0</v>
      </c>
      <c r="GG83" s="48">
        <f t="shared" ca="1" si="387"/>
        <v>0</v>
      </c>
      <c r="GH83" s="48">
        <f t="shared" ca="1" si="387"/>
        <v>0</v>
      </c>
      <c r="GI83" s="48">
        <f t="shared" ca="1" si="387"/>
        <v>0</v>
      </c>
      <c r="GJ83" s="48">
        <f t="shared" ca="1" si="387"/>
        <v>0</v>
      </c>
      <c r="GK83" s="48">
        <f t="shared" ca="1" si="387"/>
        <v>0</v>
      </c>
      <c r="GL83" s="48">
        <f t="shared" ca="1" si="387"/>
        <v>0</v>
      </c>
      <c r="GM83" s="48">
        <f t="shared" ca="1" si="387"/>
        <v>0</v>
      </c>
      <c r="GN83" s="48">
        <f t="shared" ca="1" si="387"/>
        <v>0</v>
      </c>
      <c r="GO83" s="48">
        <f t="shared" ca="1" si="387"/>
        <v>0</v>
      </c>
      <c r="GP83" s="48">
        <f t="shared" ca="1" si="387"/>
        <v>0</v>
      </c>
      <c r="GQ83" s="48">
        <f t="shared" ca="1" si="387"/>
        <v>0</v>
      </c>
      <c r="GR83" s="48">
        <f t="shared" ca="1" si="387"/>
        <v>0</v>
      </c>
      <c r="GS83" s="48">
        <f t="shared" ca="1" si="388"/>
        <v>0</v>
      </c>
      <c r="GT83" s="48">
        <f t="shared" ca="1" si="388"/>
        <v>0</v>
      </c>
      <c r="GU83" s="48">
        <f t="shared" ca="1" si="377"/>
        <v>0</v>
      </c>
      <c r="GV83" s="48">
        <f t="shared" ca="1" si="368"/>
        <v>0</v>
      </c>
      <c r="GW83" s="48">
        <f t="shared" ca="1" si="368"/>
        <v>0</v>
      </c>
      <c r="GX83" s="48">
        <f t="shared" ca="1" si="368"/>
        <v>0</v>
      </c>
      <c r="GY83" s="48">
        <f t="shared" ca="1" si="368"/>
        <v>0</v>
      </c>
      <c r="GZ83" s="48">
        <f t="shared" ca="1" si="368"/>
        <v>0</v>
      </c>
      <c r="HA83" s="69"/>
      <c r="HB83" s="150" t="str">
        <f t="shared" ca="1" si="380"/>
        <v>n/a</v>
      </c>
      <c r="HC83" s="150" t="str">
        <f t="shared" ca="1" si="369"/>
        <v>n/a</v>
      </c>
      <c r="HD83" s="150" t="str">
        <f t="shared" ca="1" si="381"/>
        <v>n/a</v>
      </c>
      <c r="HE83" s="150" t="str">
        <f t="shared" ca="1" si="370"/>
        <v>n/a</v>
      </c>
      <c r="HF83" s="150" t="str">
        <f t="shared" ca="1" si="371"/>
        <v>n/a</v>
      </c>
      <c r="HG83" s="148"/>
      <c r="HH83" s="149"/>
      <c r="HI83" s="149"/>
      <c r="HJ83" s="149"/>
      <c r="HK83" s="150"/>
      <c r="HL83" s="149"/>
      <c r="HM83" s="149"/>
      <c r="HN83" s="149"/>
      <c r="HO83" s="150"/>
      <c r="HP83" s="148"/>
      <c r="HQ83" s="149"/>
      <c r="HR83" s="149"/>
      <c r="HS83" s="149"/>
      <c r="HT83" s="150"/>
      <c r="HU83" s="149"/>
      <c r="HV83" s="149"/>
      <c r="HW83" s="149"/>
      <c r="HX83" s="150"/>
      <c r="HY83" s="151"/>
      <c r="HZ83" s="150"/>
      <c r="IA83" s="150"/>
      <c r="IB83" s="152"/>
      <c r="IC83" s="150"/>
      <c r="ID83" s="152"/>
      <c r="IE83" s="150"/>
      <c r="IF83" s="153"/>
    </row>
    <row r="84" spans="1:240" s="36" customFormat="1" ht="14.4" customHeight="1">
      <c r="A84" s="39"/>
      <c r="B84" s="50" t="str">
        <f t="shared" si="340"/>
        <v>C&amp;I_C&amp;I Prescriptive_Lighting_T8 (5-8 ft, 1-2 Lamp)_2017_Actual</v>
      </c>
      <c r="C84" s="50">
        <f>INDEX('Measure Inputs'!$D:$D,MATCH($B84,'Measure Inputs'!$B:$B,0))</f>
        <v>50</v>
      </c>
      <c r="D84" s="51" t="str">
        <f>'Measure Inputs'!G56</f>
        <v>C&amp;I</v>
      </c>
      <c r="E84" s="51" t="str">
        <f>'Measure Inputs'!H56</f>
        <v>C&amp;I Prescriptive</v>
      </c>
      <c r="F84" s="51" t="str">
        <f>'Measure Inputs'!I56</f>
        <v>Lighting</v>
      </c>
      <c r="G84" s="51" t="str">
        <f>'Measure Inputs'!J56</f>
        <v>T8 (5-8 ft, 1-2 Lamp)</v>
      </c>
      <c r="H84" s="51">
        <f>'Measure Inputs'!K56</f>
        <v>2017</v>
      </c>
      <c r="I84" s="51" t="str">
        <f>'Measure Inputs'!L56</f>
        <v>Actual</v>
      </c>
      <c r="J84" s="37"/>
      <c r="K84" s="99" t="str">
        <f ca="1">INDEX(OFFSET('Measure Inputs'!$O$7,,,InputRows),$C84)</f>
        <v>Units</v>
      </c>
      <c r="L84" s="38">
        <f ca="1">INDEX(OFFSET('Measure Inputs'!$Q$7,,,InputRows),$C84)</f>
        <v>0</v>
      </c>
      <c r="M84" s="167">
        <f>INDEX('General Inputs'!$E$14:$E$15,MATCH(D84,'General Inputs'!$D$14:$D$15,0))</f>
        <v>1.0469999999999999</v>
      </c>
      <c r="N84" s="54">
        <f ca="1">INDEX(OFFSET('Measure Inputs'!$Y$7,,,InputRows),$C84)</f>
        <v>1</v>
      </c>
      <c r="O84" s="54">
        <f ca="1">INDEX(OFFSET('Measure Inputs'!$Z$7,,,InputRows),$C84)</f>
        <v>1</v>
      </c>
      <c r="P84" s="37"/>
      <c r="Q84" s="127">
        <f ca="1">CONVERT(INDEX(OFFSET('Measure Inputs'!$AB$7,,,InputRows),$C84),'Measure Inputs'!$AB$6,Q$8)*$L84</f>
        <v>0</v>
      </c>
      <c r="R84" s="127">
        <f t="shared" ca="1" si="341"/>
        <v>0</v>
      </c>
      <c r="S84" s="127">
        <f t="shared" ca="1" si="342"/>
        <v>0</v>
      </c>
      <c r="T84" s="37"/>
      <c r="U84" s="127">
        <f ca="1">CONVERT(INDEX(OFFSET('Measure Inputs'!$AD$7,,,InputRows),$C84),'Measure Inputs'!$AD$6,U$8)*$L84</f>
        <v>0</v>
      </c>
      <c r="V84" s="127">
        <f t="shared" ca="1" si="343"/>
        <v>0</v>
      </c>
      <c r="W84" s="127">
        <f t="shared" ca="1" si="344"/>
        <v>0</v>
      </c>
      <c r="X84" s="37"/>
      <c r="Y84" s="127">
        <f ca="1">CONVERT(INDEX(OFFSET('Measure Inputs'!$AC$7,,,InputRows),$C84),'Measure Inputs'!$AC$6,Y$8)*$L84</f>
        <v>0</v>
      </c>
      <c r="Z84" s="127">
        <f t="shared" ca="1" si="345"/>
        <v>0</v>
      </c>
      <c r="AA84" s="127">
        <f t="shared" ca="1" si="346"/>
        <v>0</v>
      </c>
      <c r="AB84" s="37"/>
      <c r="AC84" s="127">
        <f ca="1">CONVERT(INDEX(OFFSET('Measure Inputs'!$AE$7,,,InputRows),$C84),'Measure Inputs'!$AE$6,AC$8)*$L84</f>
        <v>0</v>
      </c>
      <c r="AD84" s="127">
        <f t="shared" ca="1" si="347"/>
        <v>0</v>
      </c>
      <c r="AE84" s="127">
        <f t="shared" ca="1" si="348"/>
        <v>0</v>
      </c>
      <c r="AF84" s="37"/>
      <c r="AG84" s="97">
        <f ca="1">INDEX(OFFSET('Measure Inputs'!$R$7,,,InputRows),$C84)</f>
        <v>18</v>
      </c>
      <c r="AH84" s="97">
        <f ca="1">INDEX(OFFSET('Measure Inputs'!$S$7,,,InputRows),$C84)</f>
        <v>0</v>
      </c>
      <c r="AI84" s="97">
        <f t="shared" ca="1" si="349"/>
        <v>0</v>
      </c>
      <c r="AJ84" s="100">
        <f ca="1">INDEX(OFFSET('Measure Inputs'!$T$7,,,InputRows),$C84)*$L84*$N84*$O84</f>
        <v>0</v>
      </c>
      <c r="AK84" s="100">
        <f ca="1">INDEX(OFFSET('Measure Inputs'!$U$7,,,InputRows),$C84)*$L84*$N84*$O84</f>
        <v>0</v>
      </c>
      <c r="AL84" s="100">
        <f ca="1">INDEX(OFFSET('Measure Inputs'!$V$7,,,InputRows),$C84)*$L84*$N84*$O84</f>
        <v>0</v>
      </c>
      <c r="AM84" s="100">
        <f ca="1">INDEX(OFFSET('Measure Inputs'!$W$7,,,InputRows),$C84)*$L84*$N84*$O84</f>
        <v>0</v>
      </c>
      <c r="AN84" s="100">
        <f ca="1">INDEX(OFFSET('Measure Inputs'!$X$7,,,InputRows),$C84)*$L84</f>
        <v>0</v>
      </c>
      <c r="AO84" s="100"/>
      <c r="AP84" s="100">
        <f t="shared" ca="1" si="350"/>
        <v>0</v>
      </c>
      <c r="AQ84" s="37"/>
      <c r="AR84" s="100">
        <f ca="1">SUMPRODUCT(--($CX$9:$EX$9=$H84)*$AJ84,'General Inputs'!$K$40:$BK$40)+SUMPRODUCT(--($CX$9:$EX$9=$H84+$AH84)*-$AK84,'General Inputs'!$K$43:$BK$43)</f>
        <v>0</v>
      </c>
      <c r="AS84" s="100">
        <f ca="1">CONVERT(SUMPRODUCT($CX84:$EX84,'General Inputs'!$K$29:$BK$29,'General Inputs'!$K$40:$BK$40)*$M84,$Q$8,'General Inputs'!$E$17)</f>
        <v>0</v>
      </c>
      <c r="AT84" s="100">
        <f ca="1">SUMPRODUCT(--($CX$9:$EX$9=$H84)*$AN84,'General Inputs'!$K$40:$BK$40)</f>
        <v>0</v>
      </c>
      <c r="AU84" s="100">
        <f>SUMPRODUCT(--($CX$9:$EX$9=$H84)*$AO84,'General Inputs'!$K$40:$BK$40)</f>
        <v>0</v>
      </c>
      <c r="AV84" s="100">
        <f ca="1">CONVERT(SUMPRODUCT($CX84:$EX84,'General Inputs'!$K$40:$BK$40,OFFSET('General Inputs'!$K$34:$BK$34,MATCH($D84,'General Inputs'!$J$34:$J$35,0)-1,)),$Q$8,'General Inputs'!$G$32)</f>
        <v>0</v>
      </c>
      <c r="AW84" s="100">
        <f ca="1">CONVERT(SUMPRODUCT($CX84:$EX84,'General Inputs'!$K$27:$BK$27,'General Inputs'!$K$40:$BK$40)*$M84,$Q$8,'General Inputs'!$E$17)</f>
        <v>0</v>
      </c>
      <c r="AX84" s="100">
        <f ca="1">CONVERT(SUMPRODUCT($EZ84:$GZ84,'General Inputs'!$K$28:$BK$28,'General Inputs'!$K$40:$BK$40)*$M84,$Q$8,'General Inputs'!$E$17)</f>
        <v>0</v>
      </c>
      <c r="AY84" s="98">
        <f ca="1">SUMPRODUCT($CX84:$EX84,'General Inputs'!$K$40:$BK$40)</f>
        <v>0</v>
      </c>
      <c r="AZ84" s="37"/>
      <c r="BA84" s="100">
        <f t="shared" ca="1" si="351"/>
        <v>0</v>
      </c>
      <c r="BB84" s="102" t="e">
        <f t="shared" ca="1" si="352"/>
        <v>#DIV/0!</v>
      </c>
      <c r="BC84" s="100">
        <f t="shared" ca="1" si="273"/>
        <v>0</v>
      </c>
      <c r="BD84" s="100">
        <f t="shared" ca="1" si="274"/>
        <v>0</v>
      </c>
      <c r="BE84" s="100">
        <f t="shared" ca="1" si="275"/>
        <v>0</v>
      </c>
      <c r="BF84" s="100">
        <f t="shared" ca="1" si="276"/>
        <v>0</v>
      </c>
      <c r="BG84" s="100">
        <f t="shared" si="277"/>
        <v>0</v>
      </c>
      <c r="BH84" s="100">
        <f t="shared" ca="1" si="278"/>
        <v>0</v>
      </c>
      <c r="BI84" s="37"/>
      <c r="BJ84" s="100">
        <f t="shared" ca="1" si="353"/>
        <v>0</v>
      </c>
      <c r="BK84" s="102" t="e">
        <f t="shared" ca="1" si="354"/>
        <v>#DIV/0!</v>
      </c>
      <c r="BL84" s="100">
        <f t="shared" ca="1" si="279"/>
        <v>0</v>
      </c>
      <c r="BM84" s="100">
        <f t="shared" ref="BM84:BM97" ca="1" si="393">SUMIFS($BN84:$BR84,$BN$8:$BR$8,"BENEFIT")</f>
        <v>0</v>
      </c>
      <c r="BN84" s="100">
        <f t="shared" ca="1" si="280"/>
        <v>0</v>
      </c>
      <c r="BO84" s="100">
        <f t="shared" ca="1" si="281"/>
        <v>0</v>
      </c>
      <c r="BP84" s="100">
        <f t="shared" ca="1" si="282"/>
        <v>0</v>
      </c>
      <c r="BQ84" s="100">
        <f t="shared" si="283"/>
        <v>0</v>
      </c>
      <c r="BR84" s="100">
        <f t="shared" ca="1" si="284"/>
        <v>0</v>
      </c>
      <c r="BS84" s="37"/>
      <c r="BT84" s="100">
        <f t="shared" ca="1" si="355"/>
        <v>0</v>
      </c>
      <c r="BU84" s="102" t="e">
        <f t="shared" ca="1" si="356"/>
        <v>#DIV/0!</v>
      </c>
      <c r="BV84" s="102" t="e">
        <f t="shared" ca="1" si="285"/>
        <v>#DIV/0!</v>
      </c>
      <c r="BW84" s="100">
        <f t="shared" ca="1" si="286"/>
        <v>0</v>
      </c>
      <c r="BX84" s="100">
        <f t="shared" ca="1" si="287"/>
        <v>0</v>
      </c>
      <c r="BY84" s="100">
        <f t="shared" ca="1" si="288"/>
        <v>0</v>
      </c>
      <c r="BZ84" s="100">
        <f t="shared" ca="1" si="289"/>
        <v>0</v>
      </c>
      <c r="CA84" s="100">
        <f t="shared" ca="1" si="290"/>
        <v>0</v>
      </c>
      <c r="CB84" s="37"/>
      <c r="CC84" s="100">
        <f t="shared" ca="1" si="357"/>
        <v>0</v>
      </c>
      <c r="CD84" s="102" t="e">
        <f t="shared" ca="1" si="358"/>
        <v>#DIV/0!</v>
      </c>
      <c r="CE84" s="103" t="e">
        <f t="shared" ca="1" si="291"/>
        <v>#DIV/0!</v>
      </c>
      <c r="CF84" s="100">
        <f t="shared" ca="1" si="292"/>
        <v>0</v>
      </c>
      <c r="CG84" s="100">
        <f t="shared" ca="1" si="293"/>
        <v>0</v>
      </c>
      <c r="CH84" s="100">
        <f t="shared" ca="1" si="294"/>
        <v>0</v>
      </c>
      <c r="CI84" s="100">
        <f t="shared" ca="1" si="382"/>
        <v>0</v>
      </c>
      <c r="CJ84" s="100">
        <f t="shared" ca="1" si="383"/>
        <v>0</v>
      </c>
      <c r="CK84" s="100">
        <f t="shared" si="295"/>
        <v>0</v>
      </c>
      <c r="CL84" s="37"/>
      <c r="CM84" s="100">
        <f t="shared" ca="1" si="359"/>
        <v>0</v>
      </c>
      <c r="CN84" s="102" t="e">
        <f t="shared" ca="1" si="360"/>
        <v>#DIV/0!</v>
      </c>
      <c r="CO84" s="128"/>
      <c r="CP84" s="100">
        <f t="shared" ca="1" si="296"/>
        <v>0</v>
      </c>
      <c r="CQ84" s="100">
        <f t="shared" ca="1" si="297"/>
        <v>0</v>
      </c>
      <c r="CR84" s="100">
        <f t="shared" ca="1" si="298"/>
        <v>0</v>
      </c>
      <c r="CS84" s="100">
        <f t="shared" ca="1" si="384"/>
        <v>0</v>
      </c>
      <c r="CT84" s="100">
        <f t="shared" ca="1" si="299"/>
        <v>0</v>
      </c>
      <c r="CU84" s="100">
        <f t="shared" ca="1" si="300"/>
        <v>0</v>
      </c>
      <c r="CV84" s="100">
        <f t="shared" si="301"/>
        <v>0</v>
      </c>
      <c r="CW84" s="37"/>
      <c r="CX84" s="48">
        <f t="shared" ca="1" si="391"/>
        <v>0</v>
      </c>
      <c r="CY84" s="48">
        <f t="shared" ca="1" si="391"/>
        <v>0</v>
      </c>
      <c r="CZ84" s="48">
        <f t="shared" ca="1" si="391"/>
        <v>0</v>
      </c>
      <c r="DA84" s="48">
        <f t="shared" ca="1" si="391"/>
        <v>0</v>
      </c>
      <c r="DB84" s="48">
        <f t="shared" ca="1" si="391"/>
        <v>0</v>
      </c>
      <c r="DC84" s="48">
        <f t="shared" ca="1" si="391"/>
        <v>0</v>
      </c>
      <c r="DD84" s="48">
        <f t="shared" ca="1" si="391"/>
        <v>0</v>
      </c>
      <c r="DE84" s="48">
        <f t="shared" ca="1" si="391"/>
        <v>0</v>
      </c>
      <c r="DF84" s="48">
        <f t="shared" ca="1" si="391"/>
        <v>0</v>
      </c>
      <c r="DG84" s="48">
        <f t="shared" ca="1" si="391"/>
        <v>0</v>
      </c>
      <c r="DH84" s="48">
        <f t="shared" ca="1" si="391"/>
        <v>0</v>
      </c>
      <c r="DI84" s="48">
        <f t="shared" ca="1" si="391"/>
        <v>0</v>
      </c>
      <c r="DJ84" s="48">
        <f t="shared" ca="1" si="391"/>
        <v>0</v>
      </c>
      <c r="DK84" s="48">
        <f t="shared" ca="1" si="391"/>
        <v>0</v>
      </c>
      <c r="DL84" s="48">
        <f t="shared" ca="1" si="391"/>
        <v>0</v>
      </c>
      <c r="DM84" s="48">
        <f t="shared" ca="1" si="389"/>
        <v>0</v>
      </c>
      <c r="DN84" s="48">
        <f t="shared" ca="1" si="389"/>
        <v>0</v>
      </c>
      <c r="DO84" s="48">
        <f t="shared" ca="1" si="389"/>
        <v>0</v>
      </c>
      <c r="DP84" s="48">
        <f t="shared" ca="1" si="389"/>
        <v>0</v>
      </c>
      <c r="DQ84" s="48">
        <f t="shared" ca="1" si="389"/>
        <v>0</v>
      </c>
      <c r="DR84" s="48">
        <f t="shared" ca="1" si="389"/>
        <v>0</v>
      </c>
      <c r="DS84" s="48">
        <f t="shared" ca="1" si="389"/>
        <v>0</v>
      </c>
      <c r="DT84" s="48">
        <f t="shared" ca="1" si="389"/>
        <v>0</v>
      </c>
      <c r="DU84" s="48">
        <f t="shared" ca="1" si="389"/>
        <v>0</v>
      </c>
      <c r="DV84" s="48">
        <f t="shared" ca="1" si="389"/>
        <v>0</v>
      </c>
      <c r="DW84" s="48">
        <f t="shared" ca="1" si="389"/>
        <v>0</v>
      </c>
      <c r="DX84" s="48">
        <f t="shared" ca="1" si="389"/>
        <v>0</v>
      </c>
      <c r="DY84" s="48">
        <f t="shared" ca="1" si="389"/>
        <v>0</v>
      </c>
      <c r="DZ84" s="48">
        <f t="shared" ca="1" si="389"/>
        <v>0</v>
      </c>
      <c r="EA84" s="48">
        <f t="shared" ca="1" si="385"/>
        <v>0</v>
      </c>
      <c r="EB84" s="48">
        <f t="shared" ca="1" si="385"/>
        <v>0</v>
      </c>
      <c r="EC84" s="48">
        <f t="shared" ca="1" si="385"/>
        <v>0</v>
      </c>
      <c r="ED84" s="48">
        <f t="shared" ca="1" si="385"/>
        <v>0</v>
      </c>
      <c r="EE84" s="48">
        <f t="shared" ca="1" si="385"/>
        <v>0</v>
      </c>
      <c r="EF84" s="48">
        <f t="shared" ca="1" si="385"/>
        <v>0</v>
      </c>
      <c r="EG84" s="48">
        <f t="shared" ca="1" si="385"/>
        <v>0</v>
      </c>
      <c r="EH84" s="48">
        <f t="shared" ca="1" si="385"/>
        <v>0</v>
      </c>
      <c r="EI84" s="48">
        <f t="shared" ca="1" si="385"/>
        <v>0</v>
      </c>
      <c r="EJ84" s="48">
        <f t="shared" ca="1" si="385"/>
        <v>0</v>
      </c>
      <c r="EK84" s="48">
        <f t="shared" ca="1" si="385"/>
        <v>0</v>
      </c>
      <c r="EL84" s="48">
        <f t="shared" ca="1" si="385"/>
        <v>0</v>
      </c>
      <c r="EM84" s="48">
        <f t="shared" ca="1" si="385"/>
        <v>0</v>
      </c>
      <c r="EN84" s="48">
        <f t="shared" ca="1" si="385"/>
        <v>0</v>
      </c>
      <c r="EO84" s="48">
        <f t="shared" ca="1" si="385"/>
        <v>0</v>
      </c>
      <c r="EP84" s="48">
        <f t="shared" ca="1" si="385"/>
        <v>0</v>
      </c>
      <c r="EQ84" s="48">
        <f t="shared" ca="1" si="386"/>
        <v>0</v>
      </c>
      <c r="ER84" s="48">
        <f t="shared" ca="1" si="386"/>
        <v>0</v>
      </c>
      <c r="ES84" s="48">
        <f t="shared" ca="1" si="374"/>
        <v>0</v>
      </c>
      <c r="ET84" s="48">
        <f t="shared" ca="1" si="364"/>
        <v>0</v>
      </c>
      <c r="EU84" s="48">
        <f t="shared" ca="1" si="364"/>
        <v>0</v>
      </c>
      <c r="EV84" s="48">
        <f t="shared" ca="1" si="364"/>
        <v>0</v>
      </c>
      <c r="EW84" s="48">
        <f t="shared" ca="1" si="364"/>
        <v>0</v>
      </c>
      <c r="EX84" s="48">
        <f t="shared" ca="1" si="364"/>
        <v>0</v>
      </c>
      <c r="EY84" s="69"/>
      <c r="EZ84" s="48">
        <f t="shared" ca="1" si="392"/>
        <v>0</v>
      </c>
      <c r="FA84" s="48">
        <f t="shared" ca="1" si="392"/>
        <v>0</v>
      </c>
      <c r="FB84" s="48">
        <f t="shared" ca="1" si="392"/>
        <v>0</v>
      </c>
      <c r="FC84" s="48">
        <f t="shared" ca="1" si="392"/>
        <v>0</v>
      </c>
      <c r="FD84" s="48">
        <f t="shared" ca="1" si="392"/>
        <v>0</v>
      </c>
      <c r="FE84" s="48">
        <f t="shared" ca="1" si="392"/>
        <v>0</v>
      </c>
      <c r="FF84" s="48">
        <f t="shared" ca="1" si="392"/>
        <v>0</v>
      </c>
      <c r="FG84" s="48">
        <f t="shared" ca="1" si="392"/>
        <v>0</v>
      </c>
      <c r="FH84" s="48">
        <f t="shared" ca="1" si="392"/>
        <v>0</v>
      </c>
      <c r="FI84" s="48">
        <f t="shared" ca="1" si="392"/>
        <v>0</v>
      </c>
      <c r="FJ84" s="48">
        <f t="shared" ca="1" si="392"/>
        <v>0</v>
      </c>
      <c r="FK84" s="48">
        <f t="shared" ca="1" si="392"/>
        <v>0</v>
      </c>
      <c r="FL84" s="48">
        <f t="shared" ca="1" si="392"/>
        <v>0</v>
      </c>
      <c r="FM84" s="48">
        <f t="shared" ca="1" si="392"/>
        <v>0</v>
      </c>
      <c r="FN84" s="48">
        <f t="shared" ca="1" si="392"/>
        <v>0</v>
      </c>
      <c r="FO84" s="48">
        <f t="shared" ca="1" si="390"/>
        <v>0</v>
      </c>
      <c r="FP84" s="48">
        <f t="shared" ca="1" si="390"/>
        <v>0</v>
      </c>
      <c r="FQ84" s="48">
        <f t="shared" ca="1" si="390"/>
        <v>0</v>
      </c>
      <c r="FR84" s="48">
        <f t="shared" ca="1" si="390"/>
        <v>0</v>
      </c>
      <c r="FS84" s="48">
        <f t="shared" ca="1" si="390"/>
        <v>0</v>
      </c>
      <c r="FT84" s="48">
        <f t="shared" ca="1" si="390"/>
        <v>0</v>
      </c>
      <c r="FU84" s="48">
        <f t="shared" ca="1" si="390"/>
        <v>0</v>
      </c>
      <c r="FV84" s="48">
        <f t="shared" ca="1" si="390"/>
        <v>0</v>
      </c>
      <c r="FW84" s="48">
        <f t="shared" ca="1" si="390"/>
        <v>0</v>
      </c>
      <c r="FX84" s="48">
        <f t="shared" ca="1" si="390"/>
        <v>0</v>
      </c>
      <c r="FY84" s="48">
        <f t="shared" ca="1" si="390"/>
        <v>0</v>
      </c>
      <c r="FZ84" s="48">
        <f t="shared" ca="1" si="390"/>
        <v>0</v>
      </c>
      <c r="GA84" s="48">
        <f t="shared" ca="1" si="390"/>
        <v>0</v>
      </c>
      <c r="GB84" s="48">
        <f t="shared" ca="1" si="390"/>
        <v>0</v>
      </c>
      <c r="GC84" s="48">
        <f t="shared" ca="1" si="387"/>
        <v>0</v>
      </c>
      <c r="GD84" s="48">
        <f t="shared" ca="1" si="387"/>
        <v>0</v>
      </c>
      <c r="GE84" s="48">
        <f t="shared" ca="1" si="387"/>
        <v>0</v>
      </c>
      <c r="GF84" s="48">
        <f t="shared" ca="1" si="387"/>
        <v>0</v>
      </c>
      <c r="GG84" s="48">
        <f t="shared" ca="1" si="387"/>
        <v>0</v>
      </c>
      <c r="GH84" s="48">
        <f t="shared" ca="1" si="387"/>
        <v>0</v>
      </c>
      <c r="GI84" s="48">
        <f t="shared" ca="1" si="387"/>
        <v>0</v>
      </c>
      <c r="GJ84" s="48">
        <f t="shared" ca="1" si="387"/>
        <v>0</v>
      </c>
      <c r="GK84" s="48">
        <f t="shared" ca="1" si="387"/>
        <v>0</v>
      </c>
      <c r="GL84" s="48">
        <f t="shared" ca="1" si="387"/>
        <v>0</v>
      </c>
      <c r="GM84" s="48">
        <f t="shared" ca="1" si="387"/>
        <v>0</v>
      </c>
      <c r="GN84" s="48">
        <f t="shared" ca="1" si="387"/>
        <v>0</v>
      </c>
      <c r="GO84" s="48">
        <f t="shared" ca="1" si="387"/>
        <v>0</v>
      </c>
      <c r="GP84" s="48">
        <f t="shared" ca="1" si="387"/>
        <v>0</v>
      </c>
      <c r="GQ84" s="48">
        <f t="shared" ca="1" si="387"/>
        <v>0</v>
      </c>
      <c r="GR84" s="48">
        <f t="shared" ca="1" si="387"/>
        <v>0</v>
      </c>
      <c r="GS84" s="48">
        <f t="shared" ca="1" si="388"/>
        <v>0</v>
      </c>
      <c r="GT84" s="48">
        <f t="shared" ca="1" si="388"/>
        <v>0</v>
      </c>
      <c r="GU84" s="48">
        <f t="shared" ca="1" si="377"/>
        <v>0</v>
      </c>
      <c r="GV84" s="48">
        <f t="shared" ca="1" si="368"/>
        <v>0</v>
      </c>
      <c r="GW84" s="48">
        <f t="shared" ca="1" si="368"/>
        <v>0</v>
      </c>
      <c r="GX84" s="48">
        <f t="shared" ca="1" si="368"/>
        <v>0</v>
      </c>
      <c r="GY84" s="48">
        <f t="shared" ca="1" si="368"/>
        <v>0</v>
      </c>
      <c r="GZ84" s="48">
        <f t="shared" ca="1" si="368"/>
        <v>0</v>
      </c>
      <c r="HA84" s="69"/>
      <c r="HB84" s="150" t="str">
        <f t="shared" ca="1" si="380"/>
        <v>n/a</v>
      </c>
      <c r="HC84" s="150" t="str">
        <f t="shared" ca="1" si="369"/>
        <v>n/a</v>
      </c>
      <c r="HD84" s="150" t="str">
        <f t="shared" ca="1" si="381"/>
        <v>n/a</v>
      </c>
      <c r="HE84" s="150" t="str">
        <f t="shared" ca="1" si="370"/>
        <v>n/a</v>
      </c>
      <c r="HF84" s="150" t="str">
        <f t="shared" ca="1" si="371"/>
        <v>n/a</v>
      </c>
      <c r="HG84" s="148"/>
      <c r="HH84" s="149"/>
      <c r="HI84" s="149"/>
      <c r="HJ84" s="149"/>
      <c r="HK84" s="150"/>
      <c r="HL84" s="149"/>
      <c r="HM84" s="149"/>
      <c r="HN84" s="149"/>
      <c r="HO84" s="150"/>
      <c r="HP84" s="148"/>
      <c r="HQ84" s="149"/>
      <c r="HR84" s="149"/>
      <c r="HS84" s="149"/>
      <c r="HT84" s="150"/>
      <c r="HU84" s="149"/>
      <c r="HV84" s="149"/>
      <c r="HW84" s="149"/>
      <c r="HX84" s="150"/>
      <c r="HY84" s="151"/>
      <c r="HZ84" s="150"/>
      <c r="IA84" s="150"/>
      <c r="IB84" s="152"/>
      <c r="IC84" s="150"/>
      <c r="ID84" s="152"/>
      <c r="IE84" s="150"/>
      <c r="IF84" s="153"/>
    </row>
    <row r="85" spans="1:240" s="36" customFormat="1" ht="14.4" customHeight="1">
      <c r="A85" s="39"/>
      <c r="B85" s="50" t="str">
        <f t="shared" si="340"/>
        <v>C&amp;I_C&amp;I Prescriptive_Lighting_LED Linear Replacement Lamp (≤4ft)_2017_Actual</v>
      </c>
      <c r="C85" s="50">
        <f>INDEX('Measure Inputs'!$D:$D,MATCH($B85,'Measure Inputs'!$B:$B,0))</f>
        <v>51</v>
      </c>
      <c r="D85" s="51" t="str">
        <f>'Measure Inputs'!G57</f>
        <v>C&amp;I</v>
      </c>
      <c r="E85" s="51" t="str">
        <f>'Measure Inputs'!H57</f>
        <v>C&amp;I Prescriptive</v>
      </c>
      <c r="F85" s="51" t="str">
        <f>'Measure Inputs'!I57</f>
        <v>Lighting</v>
      </c>
      <c r="G85" s="51" t="str">
        <f>'Measure Inputs'!J57</f>
        <v>LED Linear Replacement Lamp (≤4ft)</v>
      </c>
      <c r="H85" s="51">
        <f>'Measure Inputs'!K57</f>
        <v>2017</v>
      </c>
      <c r="I85" s="51" t="str">
        <f>'Measure Inputs'!L57</f>
        <v>Actual</v>
      </c>
      <c r="J85" s="37"/>
      <c r="K85" s="99" t="str">
        <f ca="1">INDEX(OFFSET('Measure Inputs'!$O$7,,,InputRows),$C85)</f>
        <v>Units</v>
      </c>
      <c r="L85" s="38">
        <f ca="1">INDEX(OFFSET('Measure Inputs'!$Q$7,,,InputRows),$C85)</f>
        <v>13895</v>
      </c>
      <c r="M85" s="167">
        <f>INDEX('General Inputs'!$E$14:$E$15,MATCH(D85,'General Inputs'!$D$14:$D$15,0))</f>
        <v>1.0469999999999999</v>
      </c>
      <c r="N85" s="54">
        <f ca="1">INDEX(OFFSET('Measure Inputs'!$Y$7,,,InputRows),$C85)</f>
        <v>1</v>
      </c>
      <c r="O85" s="54">
        <f ca="1">INDEX(OFFSET('Measure Inputs'!$Z$7,,,InputRows),$C85)</f>
        <v>1</v>
      </c>
      <c r="P85" s="37"/>
      <c r="Q85" s="127">
        <f ca="1">CONVERT(INDEX(OFFSET('Measure Inputs'!$AB$7,,,InputRows),$C85),'Measure Inputs'!$AB$6,Q$8)*$L85</f>
        <v>999445.16199999955</v>
      </c>
      <c r="R85" s="127">
        <f t="shared" ca="1" si="341"/>
        <v>999445.16199999955</v>
      </c>
      <c r="S85" s="127">
        <f t="shared" ca="1" si="342"/>
        <v>999445.16199999955</v>
      </c>
      <c r="T85" s="37"/>
      <c r="U85" s="127">
        <f ca="1">CONVERT(INDEX(OFFSET('Measure Inputs'!$AD$7,,,InputRows),$C85),'Measure Inputs'!$AD$6,U$8)*$L85</f>
        <v>0</v>
      </c>
      <c r="V85" s="127">
        <f t="shared" ca="1" si="343"/>
        <v>0</v>
      </c>
      <c r="W85" s="127">
        <f t="shared" ca="1" si="344"/>
        <v>0</v>
      </c>
      <c r="X85" s="37"/>
      <c r="Y85" s="127">
        <f ca="1">CONVERT(INDEX(OFFSET('Measure Inputs'!$AC$7,,,InputRows),$C85),'Measure Inputs'!$AC$6,Y$8)*$L85</f>
        <v>236.89442999999991</v>
      </c>
      <c r="Z85" s="127">
        <f t="shared" ca="1" si="345"/>
        <v>236.89442999999991</v>
      </c>
      <c r="AA85" s="127">
        <f t="shared" ca="1" si="346"/>
        <v>236.89442999999991</v>
      </c>
      <c r="AB85" s="37"/>
      <c r="AC85" s="127">
        <f ca="1">CONVERT(INDEX(OFFSET('Measure Inputs'!$AE$7,,,InputRows),$C85),'Measure Inputs'!$AE$6,AC$8)*$L85</f>
        <v>0</v>
      </c>
      <c r="AD85" s="127">
        <f t="shared" ca="1" si="347"/>
        <v>0</v>
      </c>
      <c r="AE85" s="127">
        <f t="shared" ca="1" si="348"/>
        <v>0</v>
      </c>
      <c r="AF85" s="37"/>
      <c r="AG85" s="97">
        <f ca="1">INDEX(OFFSET('Measure Inputs'!$R$7,,,InputRows),$C85)</f>
        <v>16</v>
      </c>
      <c r="AH85" s="97">
        <f ca="1">INDEX(OFFSET('Measure Inputs'!$S$7,,,InputRows),$C85)</f>
        <v>0</v>
      </c>
      <c r="AI85" s="97">
        <f t="shared" ca="1" si="349"/>
        <v>15991122.592</v>
      </c>
      <c r="AJ85" s="100">
        <f ca="1">INDEX(OFFSET('Measure Inputs'!$T$7,,,InputRows),$C85)*$L85*$N85*$O85</f>
        <v>132002.5</v>
      </c>
      <c r="AK85" s="100">
        <f ca="1">INDEX(OFFSET('Measure Inputs'!$U$7,,,InputRows),$C85)*$L85*$N85*$O85</f>
        <v>0</v>
      </c>
      <c r="AL85" s="100">
        <f ca="1">INDEX(OFFSET('Measure Inputs'!$V$7,,,InputRows),$C85)*$L85*$N85*$O85</f>
        <v>0</v>
      </c>
      <c r="AM85" s="100">
        <f ca="1">INDEX(OFFSET('Measure Inputs'!$W$7,,,InputRows),$C85)*$L85*$N85*$O85</f>
        <v>0</v>
      </c>
      <c r="AN85" s="100">
        <f ca="1">INDEX(OFFSET('Measure Inputs'!$X$7,,,InputRows),$C85)*$L85</f>
        <v>144805.62026000003</v>
      </c>
      <c r="AO85" s="100"/>
      <c r="AP85" s="100">
        <f t="shared" ca="1" si="350"/>
        <v>144805.62026000003</v>
      </c>
      <c r="AQ85" s="37"/>
      <c r="AR85" s="100">
        <f ca="1">SUMPRODUCT(--($CX$9:$EX$9=$H85)*$AJ85,'General Inputs'!$K$40:$BK$40)+SUMPRODUCT(--($CX$9:$EX$9=$H85+$AH85)*-$AK85,'General Inputs'!$K$43:$BK$43)</f>
        <v>132002.5</v>
      </c>
      <c r="AS85" s="100">
        <f ca="1">CONVERT(SUMPRODUCT($CX85:$EX85,'General Inputs'!$K$29:$BK$29,'General Inputs'!$K$40:$BK$40)*$M85,$Q$8,'General Inputs'!$E$17)</f>
        <v>109001.57859757284</v>
      </c>
      <c r="AT85" s="100">
        <f ca="1">SUMPRODUCT(--($CX$9:$EX$9=$H85)*$AN85,'General Inputs'!$K$40:$BK$40)</f>
        <v>144805.62026000003</v>
      </c>
      <c r="AU85" s="100">
        <f>SUMPRODUCT(--($CX$9:$EX$9=$H85)*$AO85,'General Inputs'!$K$40:$BK$40)</f>
        <v>0</v>
      </c>
      <c r="AV85" s="100">
        <f ca="1">CONVERT(SUMPRODUCT($CX85:$EX85,'General Inputs'!$K$40:$BK$40,OFFSET('General Inputs'!$K$34:$BK$34,MATCH($D85,'General Inputs'!$J$34:$J$35,0)-1,)),$Q$8,'General Inputs'!$G$32)</f>
        <v>1073087.0319457792</v>
      </c>
      <c r="AW85" s="100">
        <f ca="1">CONVERT(SUMPRODUCT($CX85:$EX85,'General Inputs'!$K$27:$BK$27,'General Inputs'!$K$40:$BK$40)*$M85,$Q$8,'General Inputs'!$E$17)</f>
        <v>434596.38330821163</v>
      </c>
      <c r="AX85" s="100">
        <f ca="1">CONVERT(SUMPRODUCT($EZ85:$GZ85,'General Inputs'!$K$28:$BK$28,'General Inputs'!$K$40:$BK$40)*$M85,$Q$8,'General Inputs'!$E$17)</f>
        <v>38743.96868026536</v>
      </c>
      <c r="AY85" s="98">
        <f ca="1">SUMPRODUCT($CX85:$EX85,'General Inputs'!$K$40:$BK$40)</f>
        <v>9132322.8101654537</v>
      </c>
      <c r="AZ85" s="37"/>
      <c r="BA85" s="100">
        <f t="shared" ca="1" si="351"/>
        <v>341337.85198847699</v>
      </c>
      <c r="BB85" s="102">
        <f t="shared" ca="1" si="352"/>
        <v>3.5858438437792994</v>
      </c>
      <c r="BC85" s="100">
        <f t="shared" ca="1" si="273"/>
        <v>132002.5</v>
      </c>
      <c r="BD85" s="100">
        <f t="shared" ca="1" si="274"/>
        <v>473340.35198847699</v>
      </c>
      <c r="BE85" s="100">
        <f t="shared" ca="1" si="275"/>
        <v>434596.38330821163</v>
      </c>
      <c r="BF85" s="100">
        <f t="shared" ca="1" si="276"/>
        <v>38743.96868026536</v>
      </c>
      <c r="BG85" s="100">
        <f t="shared" si="277"/>
        <v>0</v>
      </c>
      <c r="BH85" s="100">
        <f t="shared" ca="1" si="278"/>
        <v>132002.5</v>
      </c>
      <c r="BI85" s="37"/>
      <c r="BJ85" s="100">
        <f t="shared" ca="1" si="353"/>
        <v>450339.4305860498</v>
      </c>
      <c r="BK85" s="102">
        <f t="shared" ca="1" si="354"/>
        <v>4.4115977393310715</v>
      </c>
      <c r="BL85" s="100">
        <f t="shared" ca="1" si="279"/>
        <v>132002.5</v>
      </c>
      <c r="BM85" s="100">
        <f t="shared" ca="1" si="393"/>
        <v>582341.9305860498</v>
      </c>
      <c r="BN85" s="100">
        <f t="shared" ca="1" si="280"/>
        <v>434596.38330821163</v>
      </c>
      <c r="BO85" s="100">
        <f t="shared" ca="1" si="281"/>
        <v>38743.96868026536</v>
      </c>
      <c r="BP85" s="100">
        <f t="shared" ca="1" si="282"/>
        <v>109001.57859757284</v>
      </c>
      <c r="BQ85" s="100">
        <f t="shared" si="283"/>
        <v>0</v>
      </c>
      <c r="BR85" s="100">
        <f t="shared" ca="1" si="284"/>
        <v>132002.5</v>
      </c>
      <c r="BS85" s="37"/>
      <c r="BT85" s="100">
        <f t="shared" ca="1" si="355"/>
        <v>1085890.1522057792</v>
      </c>
      <c r="BU85" s="102">
        <f t="shared" ca="1" si="356"/>
        <v>9.226284746166014</v>
      </c>
      <c r="BV85" s="102">
        <f t="shared" ca="1" si="285"/>
        <v>1.7341758291872367</v>
      </c>
      <c r="BW85" s="100">
        <f t="shared" ca="1" si="286"/>
        <v>132002.5</v>
      </c>
      <c r="BX85" s="100">
        <f t="shared" ca="1" si="287"/>
        <v>1217892.6522057792</v>
      </c>
      <c r="BY85" s="100">
        <f t="shared" ca="1" si="288"/>
        <v>1073087.0319457792</v>
      </c>
      <c r="BZ85" s="100">
        <f t="shared" ca="1" si="289"/>
        <v>144805.62026000003</v>
      </c>
      <c r="CA85" s="100">
        <f t="shared" ca="1" si="290"/>
        <v>132002.5</v>
      </c>
      <c r="CB85" s="37"/>
      <c r="CC85" s="100">
        <f t="shared" ca="1" si="357"/>
        <v>328534.73172847694</v>
      </c>
      <c r="CD85" s="102">
        <f t="shared" ca="1" si="358"/>
        <v>3.2687982078222473</v>
      </c>
      <c r="CE85" s="103">
        <f t="shared" ca="1" si="291"/>
        <v>-0.33736987926010176</v>
      </c>
      <c r="CF85" s="100">
        <f t="shared" ca="1" si="292"/>
        <v>144805.62026000003</v>
      </c>
      <c r="CG85" s="100">
        <f t="shared" ca="1" si="293"/>
        <v>473340.35198847699</v>
      </c>
      <c r="CH85" s="100">
        <f t="shared" ca="1" si="294"/>
        <v>434596.38330821163</v>
      </c>
      <c r="CI85" s="100">
        <f t="shared" ca="1" si="382"/>
        <v>38743.96868026536</v>
      </c>
      <c r="CJ85" s="100">
        <f t="shared" ca="1" si="383"/>
        <v>144805.62026000003</v>
      </c>
      <c r="CK85" s="100">
        <f t="shared" si="295"/>
        <v>0</v>
      </c>
      <c r="CL85" s="37"/>
      <c r="CM85" s="100">
        <f t="shared" ca="1" si="359"/>
        <v>-744552.30021730228</v>
      </c>
      <c r="CN85" s="102">
        <f t="shared" ca="1" si="360"/>
        <v>0.38865523257011969</v>
      </c>
      <c r="CO85" s="128"/>
      <c r="CP85" s="100">
        <f t="shared" ca="1" si="296"/>
        <v>1217892.6522057792</v>
      </c>
      <c r="CQ85" s="100">
        <f t="shared" ca="1" si="297"/>
        <v>473340.35198847699</v>
      </c>
      <c r="CR85" s="100">
        <f t="shared" ca="1" si="298"/>
        <v>434596.38330821163</v>
      </c>
      <c r="CS85" s="100">
        <f t="shared" ca="1" si="384"/>
        <v>38743.96868026536</v>
      </c>
      <c r="CT85" s="100">
        <f t="shared" ca="1" si="299"/>
        <v>1073087.0319457792</v>
      </c>
      <c r="CU85" s="100">
        <f t="shared" ca="1" si="300"/>
        <v>144805.62026000003</v>
      </c>
      <c r="CV85" s="100">
        <f t="shared" si="301"/>
        <v>0</v>
      </c>
      <c r="CW85" s="37"/>
      <c r="CX85" s="48">
        <f t="shared" ca="1" si="391"/>
        <v>999445.16199999955</v>
      </c>
      <c r="CY85" s="48">
        <f t="shared" ca="1" si="391"/>
        <v>999445.16199999955</v>
      </c>
      <c r="CZ85" s="48">
        <f t="shared" ca="1" si="391"/>
        <v>999445.16199999955</v>
      </c>
      <c r="DA85" s="48">
        <f t="shared" ca="1" si="391"/>
        <v>999445.16199999955</v>
      </c>
      <c r="DB85" s="48">
        <f t="shared" ca="1" si="391"/>
        <v>999445.16199999955</v>
      </c>
      <c r="DC85" s="48">
        <f t="shared" ca="1" si="391"/>
        <v>999445.16199999955</v>
      </c>
      <c r="DD85" s="48">
        <f t="shared" ca="1" si="391"/>
        <v>999445.16199999955</v>
      </c>
      <c r="DE85" s="48">
        <f t="shared" ca="1" si="391"/>
        <v>999445.16199999955</v>
      </c>
      <c r="DF85" s="48">
        <f t="shared" ca="1" si="391"/>
        <v>999445.16199999955</v>
      </c>
      <c r="DG85" s="48">
        <f t="shared" ca="1" si="391"/>
        <v>999445.16199999955</v>
      </c>
      <c r="DH85" s="48">
        <f t="shared" ca="1" si="391"/>
        <v>999445.16199999955</v>
      </c>
      <c r="DI85" s="48">
        <f t="shared" ca="1" si="391"/>
        <v>999445.16199999955</v>
      </c>
      <c r="DJ85" s="48">
        <f t="shared" ca="1" si="391"/>
        <v>999445.16199999955</v>
      </c>
      <c r="DK85" s="48">
        <f t="shared" ca="1" si="391"/>
        <v>999445.16199999955</v>
      </c>
      <c r="DL85" s="48">
        <f t="shared" ca="1" si="391"/>
        <v>999445.16199999955</v>
      </c>
      <c r="DM85" s="48">
        <f t="shared" ca="1" si="389"/>
        <v>999445.16199999955</v>
      </c>
      <c r="DN85" s="48">
        <f t="shared" ca="1" si="389"/>
        <v>0</v>
      </c>
      <c r="DO85" s="48">
        <f t="shared" ca="1" si="389"/>
        <v>0</v>
      </c>
      <c r="DP85" s="48">
        <f t="shared" ca="1" si="389"/>
        <v>0</v>
      </c>
      <c r="DQ85" s="48">
        <f t="shared" ca="1" si="389"/>
        <v>0</v>
      </c>
      <c r="DR85" s="48">
        <f t="shared" ca="1" si="389"/>
        <v>0</v>
      </c>
      <c r="DS85" s="48">
        <f t="shared" ca="1" si="389"/>
        <v>0</v>
      </c>
      <c r="DT85" s="48">
        <f t="shared" ca="1" si="389"/>
        <v>0</v>
      </c>
      <c r="DU85" s="48">
        <f t="shared" ca="1" si="389"/>
        <v>0</v>
      </c>
      <c r="DV85" s="48">
        <f t="shared" ca="1" si="389"/>
        <v>0</v>
      </c>
      <c r="DW85" s="48">
        <f t="shared" ca="1" si="389"/>
        <v>0</v>
      </c>
      <c r="DX85" s="48">
        <f t="shared" ca="1" si="389"/>
        <v>0</v>
      </c>
      <c r="DY85" s="48">
        <f t="shared" ca="1" si="389"/>
        <v>0</v>
      </c>
      <c r="DZ85" s="48">
        <f t="shared" ca="1" si="389"/>
        <v>0</v>
      </c>
      <c r="EA85" s="48">
        <f t="shared" ca="1" si="385"/>
        <v>0</v>
      </c>
      <c r="EB85" s="48">
        <f t="shared" ca="1" si="385"/>
        <v>0</v>
      </c>
      <c r="EC85" s="48">
        <f t="shared" ca="1" si="385"/>
        <v>0</v>
      </c>
      <c r="ED85" s="48">
        <f t="shared" ca="1" si="385"/>
        <v>0</v>
      </c>
      <c r="EE85" s="48">
        <f t="shared" ca="1" si="385"/>
        <v>0</v>
      </c>
      <c r="EF85" s="48">
        <f t="shared" ca="1" si="385"/>
        <v>0</v>
      </c>
      <c r="EG85" s="48">
        <f t="shared" ca="1" si="385"/>
        <v>0</v>
      </c>
      <c r="EH85" s="48">
        <f t="shared" ca="1" si="385"/>
        <v>0</v>
      </c>
      <c r="EI85" s="48">
        <f t="shared" ca="1" si="385"/>
        <v>0</v>
      </c>
      <c r="EJ85" s="48">
        <f t="shared" ca="1" si="385"/>
        <v>0</v>
      </c>
      <c r="EK85" s="48">
        <f t="shared" ca="1" si="385"/>
        <v>0</v>
      </c>
      <c r="EL85" s="48">
        <f t="shared" ca="1" si="385"/>
        <v>0</v>
      </c>
      <c r="EM85" s="48">
        <f t="shared" ca="1" si="385"/>
        <v>0</v>
      </c>
      <c r="EN85" s="48">
        <f t="shared" ca="1" si="385"/>
        <v>0</v>
      </c>
      <c r="EO85" s="48">
        <f t="shared" ca="1" si="385"/>
        <v>0</v>
      </c>
      <c r="EP85" s="48">
        <f t="shared" ca="1" si="385"/>
        <v>0</v>
      </c>
      <c r="EQ85" s="48">
        <f t="shared" ca="1" si="386"/>
        <v>0</v>
      </c>
      <c r="ER85" s="48">
        <f t="shared" ca="1" si="386"/>
        <v>0</v>
      </c>
      <c r="ES85" s="48">
        <f t="shared" ca="1" si="374"/>
        <v>0</v>
      </c>
      <c r="ET85" s="48">
        <f t="shared" ca="1" si="364"/>
        <v>0</v>
      </c>
      <c r="EU85" s="48">
        <f t="shared" ca="1" si="364"/>
        <v>0</v>
      </c>
      <c r="EV85" s="48">
        <f t="shared" ca="1" si="364"/>
        <v>0</v>
      </c>
      <c r="EW85" s="48">
        <f t="shared" ca="1" si="364"/>
        <v>0</v>
      </c>
      <c r="EX85" s="48">
        <f t="shared" ca="1" si="364"/>
        <v>0</v>
      </c>
      <c r="EY85" s="69"/>
      <c r="EZ85" s="48">
        <f t="shared" ca="1" si="392"/>
        <v>236.89442999999991</v>
      </c>
      <c r="FA85" s="48">
        <f t="shared" ca="1" si="392"/>
        <v>236.89442999999991</v>
      </c>
      <c r="FB85" s="48">
        <f t="shared" ca="1" si="392"/>
        <v>236.89442999999991</v>
      </c>
      <c r="FC85" s="48">
        <f t="shared" ca="1" si="392"/>
        <v>236.89442999999991</v>
      </c>
      <c r="FD85" s="48">
        <f t="shared" ca="1" si="392"/>
        <v>236.89442999999991</v>
      </c>
      <c r="FE85" s="48">
        <f t="shared" ca="1" si="392"/>
        <v>236.89442999999991</v>
      </c>
      <c r="FF85" s="48">
        <f t="shared" ca="1" si="392"/>
        <v>236.89442999999991</v>
      </c>
      <c r="FG85" s="48">
        <f t="shared" ca="1" si="392"/>
        <v>236.89442999999991</v>
      </c>
      <c r="FH85" s="48">
        <f t="shared" ca="1" si="392"/>
        <v>236.89442999999991</v>
      </c>
      <c r="FI85" s="48">
        <f t="shared" ca="1" si="392"/>
        <v>236.89442999999991</v>
      </c>
      <c r="FJ85" s="48">
        <f t="shared" ca="1" si="392"/>
        <v>236.89442999999991</v>
      </c>
      <c r="FK85" s="48">
        <f t="shared" ca="1" si="392"/>
        <v>236.89442999999991</v>
      </c>
      <c r="FL85" s="48">
        <f t="shared" ca="1" si="392"/>
        <v>236.89442999999991</v>
      </c>
      <c r="FM85" s="48">
        <f t="shared" ca="1" si="392"/>
        <v>236.89442999999991</v>
      </c>
      <c r="FN85" s="48">
        <f t="shared" ca="1" si="392"/>
        <v>236.89442999999991</v>
      </c>
      <c r="FO85" s="48">
        <f t="shared" ca="1" si="390"/>
        <v>236.89442999999991</v>
      </c>
      <c r="FP85" s="48">
        <f t="shared" ca="1" si="390"/>
        <v>0</v>
      </c>
      <c r="FQ85" s="48">
        <f t="shared" ca="1" si="390"/>
        <v>0</v>
      </c>
      <c r="FR85" s="48">
        <f t="shared" ca="1" si="390"/>
        <v>0</v>
      </c>
      <c r="FS85" s="48">
        <f t="shared" ca="1" si="390"/>
        <v>0</v>
      </c>
      <c r="FT85" s="48">
        <f t="shared" ca="1" si="390"/>
        <v>0</v>
      </c>
      <c r="FU85" s="48">
        <f t="shared" ca="1" si="390"/>
        <v>0</v>
      </c>
      <c r="FV85" s="48">
        <f t="shared" ca="1" si="390"/>
        <v>0</v>
      </c>
      <c r="FW85" s="48">
        <f t="shared" ca="1" si="390"/>
        <v>0</v>
      </c>
      <c r="FX85" s="48">
        <f t="shared" ca="1" si="390"/>
        <v>0</v>
      </c>
      <c r="FY85" s="48">
        <f t="shared" ca="1" si="390"/>
        <v>0</v>
      </c>
      <c r="FZ85" s="48">
        <f t="shared" ca="1" si="390"/>
        <v>0</v>
      </c>
      <c r="GA85" s="48">
        <f t="shared" ca="1" si="390"/>
        <v>0</v>
      </c>
      <c r="GB85" s="48">
        <f t="shared" ca="1" si="390"/>
        <v>0</v>
      </c>
      <c r="GC85" s="48">
        <f t="shared" ca="1" si="387"/>
        <v>0</v>
      </c>
      <c r="GD85" s="48">
        <f t="shared" ca="1" si="387"/>
        <v>0</v>
      </c>
      <c r="GE85" s="48">
        <f t="shared" ca="1" si="387"/>
        <v>0</v>
      </c>
      <c r="GF85" s="48">
        <f t="shared" ca="1" si="387"/>
        <v>0</v>
      </c>
      <c r="GG85" s="48">
        <f t="shared" ca="1" si="387"/>
        <v>0</v>
      </c>
      <c r="GH85" s="48">
        <f t="shared" ca="1" si="387"/>
        <v>0</v>
      </c>
      <c r="GI85" s="48">
        <f t="shared" ca="1" si="387"/>
        <v>0</v>
      </c>
      <c r="GJ85" s="48">
        <f t="shared" ca="1" si="387"/>
        <v>0</v>
      </c>
      <c r="GK85" s="48">
        <f t="shared" ca="1" si="387"/>
        <v>0</v>
      </c>
      <c r="GL85" s="48">
        <f t="shared" ca="1" si="387"/>
        <v>0</v>
      </c>
      <c r="GM85" s="48">
        <f t="shared" ca="1" si="387"/>
        <v>0</v>
      </c>
      <c r="GN85" s="48">
        <f t="shared" ca="1" si="387"/>
        <v>0</v>
      </c>
      <c r="GO85" s="48">
        <f t="shared" ca="1" si="387"/>
        <v>0</v>
      </c>
      <c r="GP85" s="48">
        <f t="shared" ca="1" si="387"/>
        <v>0</v>
      </c>
      <c r="GQ85" s="48">
        <f t="shared" ca="1" si="387"/>
        <v>0</v>
      </c>
      <c r="GR85" s="48">
        <f t="shared" ca="1" si="387"/>
        <v>0</v>
      </c>
      <c r="GS85" s="48">
        <f t="shared" ca="1" si="388"/>
        <v>0</v>
      </c>
      <c r="GT85" s="48">
        <f t="shared" ca="1" si="388"/>
        <v>0</v>
      </c>
      <c r="GU85" s="48">
        <f t="shared" ca="1" si="377"/>
        <v>0</v>
      </c>
      <c r="GV85" s="48">
        <f t="shared" ca="1" si="368"/>
        <v>0</v>
      </c>
      <c r="GW85" s="48">
        <f t="shared" ca="1" si="368"/>
        <v>0</v>
      </c>
      <c r="GX85" s="48">
        <f t="shared" ca="1" si="368"/>
        <v>0</v>
      </c>
      <c r="GY85" s="48">
        <f t="shared" ca="1" si="368"/>
        <v>0</v>
      </c>
      <c r="GZ85" s="48">
        <f t="shared" ca="1" si="368"/>
        <v>0</v>
      </c>
      <c r="HA85" s="69"/>
      <c r="HB85" s="150">
        <f t="shared" ca="1" si="380"/>
        <v>3.5858438437792994</v>
      </c>
      <c r="HC85" s="150">
        <f t="shared" ca="1" si="369"/>
        <v>3.2687982078222473</v>
      </c>
      <c r="HD85" s="150">
        <f t="shared" ca="1" si="381"/>
        <v>4.4115977393310715</v>
      </c>
      <c r="HE85" s="150">
        <f t="shared" ca="1" si="370"/>
        <v>9.226284746166014</v>
      </c>
      <c r="HF85" s="150">
        <f t="shared" ca="1" si="371"/>
        <v>0.38865523257011969</v>
      </c>
      <c r="HG85" s="148"/>
      <c r="HH85" s="149"/>
      <c r="HI85" s="149"/>
      <c r="HJ85" s="149"/>
      <c r="HK85" s="150"/>
      <c r="HL85" s="149"/>
      <c r="HM85" s="149"/>
      <c r="HN85" s="149"/>
      <c r="HO85" s="150"/>
      <c r="HP85" s="148"/>
      <c r="HQ85" s="149"/>
      <c r="HR85" s="149"/>
      <c r="HS85" s="149"/>
      <c r="HT85" s="150"/>
      <c r="HU85" s="149"/>
      <c r="HV85" s="149"/>
      <c r="HW85" s="149"/>
      <c r="HX85" s="150"/>
      <c r="HY85" s="151"/>
      <c r="HZ85" s="150"/>
      <c r="IA85" s="150"/>
      <c r="IB85" s="152"/>
      <c r="IC85" s="150"/>
      <c r="ID85" s="152"/>
      <c r="IE85" s="150"/>
      <c r="IF85" s="153"/>
    </row>
    <row r="86" spans="1:240" s="36" customFormat="1" ht="14.4" customHeight="1">
      <c r="A86" s="39"/>
      <c r="B86" s="50" t="str">
        <f t="shared" si="340"/>
        <v>C&amp;I_C&amp;I Prescriptive_Lighting_LED Linear Replacement Lamp (5-8ft)_2017_Actual</v>
      </c>
      <c r="C86" s="50">
        <f>INDEX('Measure Inputs'!$D:$D,MATCH($B86,'Measure Inputs'!$B:$B,0))</f>
        <v>52</v>
      </c>
      <c r="D86" s="51" t="str">
        <f>'Measure Inputs'!G58</f>
        <v>C&amp;I</v>
      </c>
      <c r="E86" s="51" t="str">
        <f>'Measure Inputs'!H58</f>
        <v>C&amp;I Prescriptive</v>
      </c>
      <c r="F86" s="51" t="str">
        <f>'Measure Inputs'!I58</f>
        <v>Lighting</v>
      </c>
      <c r="G86" s="51" t="str">
        <f>'Measure Inputs'!J58</f>
        <v>LED Linear Replacement Lamp (5-8ft)</v>
      </c>
      <c r="H86" s="51">
        <f>'Measure Inputs'!K58</f>
        <v>2017</v>
      </c>
      <c r="I86" s="51" t="str">
        <f>'Measure Inputs'!L58</f>
        <v>Actual</v>
      </c>
      <c r="J86" s="37"/>
      <c r="K86" s="99" t="str">
        <f ca="1">INDEX(OFFSET('Measure Inputs'!$O$7,,,InputRows),$C86)</f>
        <v>Units</v>
      </c>
      <c r="L86" s="38">
        <f ca="1">INDEX(OFFSET('Measure Inputs'!$Q$7,,,InputRows),$C86)</f>
        <v>653</v>
      </c>
      <c r="M86" s="167">
        <f>INDEX('General Inputs'!$E$14:$E$15,MATCH(D86,'General Inputs'!$D$14:$D$15,0))</f>
        <v>1.0469999999999999</v>
      </c>
      <c r="N86" s="54">
        <f ca="1">INDEX(OFFSET('Measure Inputs'!$Y$7,,,InputRows),$C86)</f>
        <v>1</v>
      </c>
      <c r="O86" s="54">
        <f ca="1">INDEX(OFFSET('Measure Inputs'!$Z$7,,,InputRows),$C86)</f>
        <v>1</v>
      </c>
      <c r="P86" s="37"/>
      <c r="Q86" s="127">
        <f ca="1">CONVERT(INDEX(OFFSET('Measure Inputs'!$AB$7,,,InputRows),$C86),'Measure Inputs'!$AB$6,Q$8)*$L86</f>
        <v>103978.61199999999</v>
      </c>
      <c r="R86" s="127">
        <f t="shared" ca="1" si="341"/>
        <v>103978.61199999999</v>
      </c>
      <c r="S86" s="127">
        <f t="shared" ca="1" si="342"/>
        <v>103978.61199999999</v>
      </c>
      <c r="T86" s="37"/>
      <c r="U86" s="127">
        <f ca="1">CONVERT(INDEX(OFFSET('Measure Inputs'!$AD$7,,,InputRows),$C86),'Measure Inputs'!$AD$6,U$8)*$L86</f>
        <v>0</v>
      </c>
      <c r="V86" s="127">
        <f t="shared" ca="1" si="343"/>
        <v>0</v>
      </c>
      <c r="W86" s="127">
        <f t="shared" ca="1" si="344"/>
        <v>0</v>
      </c>
      <c r="X86" s="37"/>
      <c r="Y86" s="127">
        <f ca="1">CONVERT(INDEX(OFFSET('Measure Inputs'!$AC$7,,,InputRows),$C86),'Measure Inputs'!$AC$6,Y$8)*$L86</f>
        <v>25.235385999999998</v>
      </c>
      <c r="Z86" s="127">
        <f t="shared" ca="1" si="345"/>
        <v>25.235385999999998</v>
      </c>
      <c r="AA86" s="127">
        <f t="shared" ca="1" si="346"/>
        <v>25.235385999999998</v>
      </c>
      <c r="AB86" s="37"/>
      <c r="AC86" s="127">
        <f ca="1">CONVERT(INDEX(OFFSET('Measure Inputs'!$AE$7,,,InputRows),$C86),'Measure Inputs'!$AE$6,AC$8)*$L86</f>
        <v>0</v>
      </c>
      <c r="AD86" s="127">
        <f t="shared" ca="1" si="347"/>
        <v>0</v>
      </c>
      <c r="AE86" s="127">
        <f t="shared" ca="1" si="348"/>
        <v>0</v>
      </c>
      <c r="AF86" s="37"/>
      <c r="AG86" s="97">
        <f ca="1">INDEX(OFFSET('Measure Inputs'!$R$7,,,InputRows),$C86)</f>
        <v>16</v>
      </c>
      <c r="AH86" s="97">
        <f ca="1">INDEX(OFFSET('Measure Inputs'!$S$7,,,InputRows),$C86)</f>
        <v>0</v>
      </c>
      <c r="AI86" s="97">
        <f t="shared" ca="1" si="349"/>
        <v>1663657.7919999997</v>
      </c>
      <c r="AJ86" s="100">
        <f ca="1">INDEX(OFFSET('Measure Inputs'!$T$7,,,InputRows),$C86)*$L86*$N86*$O86</f>
        <v>6203.5</v>
      </c>
      <c r="AK86" s="100">
        <f ca="1">INDEX(OFFSET('Measure Inputs'!$U$7,,,InputRows),$C86)*$L86*$N86*$O86</f>
        <v>0</v>
      </c>
      <c r="AL86" s="100">
        <f ca="1">INDEX(OFFSET('Measure Inputs'!$V$7,,,InputRows),$C86)*$L86*$N86*$O86</f>
        <v>0</v>
      </c>
      <c r="AM86" s="100">
        <f ca="1">INDEX(OFFSET('Measure Inputs'!$W$7,,,InputRows),$C86)*$L86*$N86*$O86</f>
        <v>0</v>
      </c>
      <c r="AN86" s="100">
        <f ca="1">INDEX(OFFSET('Measure Inputs'!$X$7,,,InputRows),$C86)*$L86</f>
        <v>15019</v>
      </c>
      <c r="AO86" s="100"/>
      <c r="AP86" s="100">
        <f t="shared" ca="1" si="350"/>
        <v>15019</v>
      </c>
      <c r="AQ86" s="37"/>
      <c r="AR86" s="100">
        <f ca="1">SUMPRODUCT(--($CX$9:$EX$9=$H86)*$AJ86,'General Inputs'!$K$40:$BK$40)+SUMPRODUCT(--($CX$9:$EX$9=$H86+$AH86)*-$AK86,'General Inputs'!$K$43:$BK$43)</f>
        <v>6203.5</v>
      </c>
      <c r="AS86" s="100">
        <f ca="1">CONVERT(SUMPRODUCT($CX86:$EX86,'General Inputs'!$K$29:$BK$29,'General Inputs'!$K$40:$BK$40)*$M86,$Q$8,'General Inputs'!$E$17)</f>
        <v>11340.124780537519</v>
      </c>
      <c r="AT86" s="100">
        <f ca="1">SUMPRODUCT(--($CX$9:$EX$9=$H86)*$AN86,'General Inputs'!$K$40:$BK$40)</f>
        <v>15019</v>
      </c>
      <c r="AU86" s="100">
        <f>SUMPRODUCT(--($CX$9:$EX$9=$H86)*$AO86,'General Inputs'!$K$40:$BK$40)</f>
        <v>0</v>
      </c>
      <c r="AV86" s="100">
        <f ca="1">CONVERT(SUMPRODUCT($CX86:$EX86,'General Inputs'!$K$40:$BK$40,OFFSET('General Inputs'!$K$34:$BK$34,MATCH($D86,'General Inputs'!$J$34:$J$35,0)-1,)),$Q$8,'General Inputs'!$G$32)</f>
        <v>111640.04227469741</v>
      </c>
      <c r="AW86" s="100">
        <f ca="1">CONVERT(SUMPRODUCT($CX86:$EX86,'General Inputs'!$K$27:$BK$27,'General Inputs'!$K$40:$BK$40)*$M86,$Q$8,'General Inputs'!$E$17)</f>
        <v>45213.815059327717</v>
      </c>
      <c r="AX86" s="100">
        <f ca="1">CONVERT(SUMPRODUCT($EZ86:$GZ86,'General Inputs'!$K$28:$BK$28,'General Inputs'!$K$40:$BK$40)*$M86,$Q$8,'General Inputs'!$E$17)</f>
        <v>4127.2350929416425</v>
      </c>
      <c r="AY86" s="98">
        <f ca="1">SUMPRODUCT($CX86:$EX86,'General Inputs'!$K$40:$BK$40)</f>
        <v>950093.39805773541</v>
      </c>
      <c r="AZ86" s="37"/>
      <c r="BA86" s="100">
        <f t="shared" ca="1" si="351"/>
        <v>43137.550152269359</v>
      </c>
      <c r="BB86" s="102">
        <f t="shared" ca="1" si="352"/>
        <v>7.9537438788215296</v>
      </c>
      <c r="BC86" s="100">
        <f t="shared" ca="1" si="273"/>
        <v>6203.5</v>
      </c>
      <c r="BD86" s="100">
        <f t="shared" ca="1" si="274"/>
        <v>49341.050152269359</v>
      </c>
      <c r="BE86" s="100">
        <f t="shared" ca="1" si="275"/>
        <v>45213.815059327717</v>
      </c>
      <c r="BF86" s="100">
        <f t="shared" ca="1" si="276"/>
        <v>4127.2350929416425</v>
      </c>
      <c r="BG86" s="100">
        <f t="shared" si="277"/>
        <v>0</v>
      </c>
      <c r="BH86" s="100">
        <f t="shared" ca="1" si="278"/>
        <v>6203.5</v>
      </c>
      <c r="BI86" s="37"/>
      <c r="BJ86" s="100">
        <f t="shared" ca="1" si="353"/>
        <v>54477.674932806876</v>
      </c>
      <c r="BK86" s="102">
        <f t="shared" ca="1" si="354"/>
        <v>9.7817643157583429</v>
      </c>
      <c r="BL86" s="100">
        <f t="shared" ca="1" si="279"/>
        <v>6203.5</v>
      </c>
      <c r="BM86" s="100">
        <f t="shared" ca="1" si="393"/>
        <v>60681.174932806876</v>
      </c>
      <c r="BN86" s="100">
        <f t="shared" ca="1" si="280"/>
        <v>45213.815059327717</v>
      </c>
      <c r="BO86" s="100">
        <f t="shared" ca="1" si="281"/>
        <v>4127.2350929416425</v>
      </c>
      <c r="BP86" s="100">
        <f t="shared" ca="1" si="282"/>
        <v>11340.124780537519</v>
      </c>
      <c r="BQ86" s="100">
        <f t="shared" si="283"/>
        <v>0</v>
      </c>
      <c r="BR86" s="100">
        <f t="shared" ca="1" si="284"/>
        <v>6203.5</v>
      </c>
      <c r="BS86" s="37"/>
      <c r="BT86" s="100">
        <f t="shared" ca="1" si="355"/>
        <v>120455.54227469741</v>
      </c>
      <c r="BU86" s="102">
        <f t="shared" ca="1" si="356"/>
        <v>20.417351861803404</v>
      </c>
      <c r="BV86" s="102">
        <f t="shared" ca="1" si="285"/>
        <v>0.78364716973569215</v>
      </c>
      <c r="BW86" s="100">
        <f t="shared" ca="1" si="286"/>
        <v>6203.5</v>
      </c>
      <c r="BX86" s="100">
        <f t="shared" ca="1" si="287"/>
        <v>126659.04227469741</v>
      </c>
      <c r="BY86" s="100">
        <f t="shared" ca="1" si="288"/>
        <v>111640.04227469741</v>
      </c>
      <c r="BZ86" s="100">
        <f t="shared" ca="1" si="289"/>
        <v>15019</v>
      </c>
      <c r="CA86" s="100">
        <f t="shared" ca="1" si="290"/>
        <v>6203.5</v>
      </c>
      <c r="CB86" s="37"/>
      <c r="CC86" s="100">
        <f t="shared" ca="1" si="357"/>
        <v>34322.050152269359</v>
      </c>
      <c r="CD86" s="102">
        <f t="shared" ca="1" si="358"/>
        <v>3.285242036904545</v>
      </c>
      <c r="CE86" s="103">
        <f t="shared" ca="1" si="291"/>
        <v>-0.33633871379658142</v>
      </c>
      <c r="CF86" s="100">
        <f t="shared" ca="1" si="292"/>
        <v>15019</v>
      </c>
      <c r="CG86" s="100">
        <f t="shared" ca="1" si="293"/>
        <v>49341.050152269359</v>
      </c>
      <c r="CH86" s="100">
        <f t="shared" ca="1" si="294"/>
        <v>45213.815059327717</v>
      </c>
      <c r="CI86" s="100">
        <f t="shared" ca="1" si="382"/>
        <v>4127.2350929416425</v>
      </c>
      <c r="CJ86" s="100">
        <f t="shared" ca="1" si="383"/>
        <v>15019</v>
      </c>
      <c r="CK86" s="100">
        <f t="shared" si="295"/>
        <v>0</v>
      </c>
      <c r="CL86" s="37"/>
      <c r="CM86" s="100">
        <f t="shared" ca="1" si="359"/>
        <v>-77317.992122428055</v>
      </c>
      <c r="CN86" s="102">
        <f t="shared" ca="1" si="360"/>
        <v>0.38955805496506735</v>
      </c>
      <c r="CO86" s="128"/>
      <c r="CP86" s="100">
        <f t="shared" ca="1" si="296"/>
        <v>126659.04227469741</v>
      </c>
      <c r="CQ86" s="100">
        <f t="shared" ca="1" si="297"/>
        <v>49341.050152269359</v>
      </c>
      <c r="CR86" s="100">
        <f t="shared" ca="1" si="298"/>
        <v>45213.815059327717</v>
      </c>
      <c r="CS86" s="100">
        <f t="shared" ca="1" si="384"/>
        <v>4127.2350929416425</v>
      </c>
      <c r="CT86" s="100">
        <f t="shared" ca="1" si="299"/>
        <v>111640.04227469741</v>
      </c>
      <c r="CU86" s="100">
        <f t="shared" ca="1" si="300"/>
        <v>15019</v>
      </c>
      <c r="CV86" s="100">
        <f t="shared" si="301"/>
        <v>0</v>
      </c>
      <c r="CW86" s="37"/>
      <c r="CX86" s="48">
        <f t="shared" ca="1" si="391"/>
        <v>103978.61199999999</v>
      </c>
      <c r="CY86" s="48">
        <f t="shared" ca="1" si="391"/>
        <v>103978.61199999999</v>
      </c>
      <c r="CZ86" s="48">
        <f t="shared" ca="1" si="391"/>
        <v>103978.61199999999</v>
      </c>
      <c r="DA86" s="48">
        <f t="shared" ca="1" si="391"/>
        <v>103978.61199999999</v>
      </c>
      <c r="DB86" s="48">
        <f t="shared" ca="1" si="391"/>
        <v>103978.61199999999</v>
      </c>
      <c r="DC86" s="48">
        <f t="shared" ca="1" si="391"/>
        <v>103978.61199999999</v>
      </c>
      <c r="DD86" s="48">
        <f t="shared" ca="1" si="391"/>
        <v>103978.61199999999</v>
      </c>
      <c r="DE86" s="48">
        <f t="shared" ca="1" si="391"/>
        <v>103978.61199999999</v>
      </c>
      <c r="DF86" s="48">
        <f t="shared" ca="1" si="391"/>
        <v>103978.61199999999</v>
      </c>
      <c r="DG86" s="48">
        <f t="shared" ca="1" si="391"/>
        <v>103978.61199999999</v>
      </c>
      <c r="DH86" s="48">
        <f t="shared" ca="1" si="391"/>
        <v>103978.61199999999</v>
      </c>
      <c r="DI86" s="48">
        <f t="shared" ca="1" si="391"/>
        <v>103978.61199999999</v>
      </c>
      <c r="DJ86" s="48">
        <f t="shared" ca="1" si="391"/>
        <v>103978.61199999999</v>
      </c>
      <c r="DK86" s="48">
        <f t="shared" ca="1" si="391"/>
        <v>103978.61199999999</v>
      </c>
      <c r="DL86" s="48">
        <f t="shared" ca="1" si="391"/>
        <v>103978.61199999999</v>
      </c>
      <c r="DM86" s="48">
        <f t="shared" ca="1" si="389"/>
        <v>103978.61199999999</v>
      </c>
      <c r="DN86" s="48">
        <f t="shared" ca="1" si="389"/>
        <v>0</v>
      </c>
      <c r="DO86" s="48">
        <f t="shared" ca="1" si="389"/>
        <v>0</v>
      </c>
      <c r="DP86" s="48">
        <f t="shared" ca="1" si="389"/>
        <v>0</v>
      </c>
      <c r="DQ86" s="48">
        <f t="shared" ca="1" si="389"/>
        <v>0</v>
      </c>
      <c r="DR86" s="48">
        <f t="shared" ca="1" si="389"/>
        <v>0</v>
      </c>
      <c r="DS86" s="48">
        <f t="shared" ca="1" si="389"/>
        <v>0</v>
      </c>
      <c r="DT86" s="48">
        <f t="shared" ca="1" si="389"/>
        <v>0</v>
      </c>
      <c r="DU86" s="48">
        <f t="shared" ca="1" si="389"/>
        <v>0</v>
      </c>
      <c r="DV86" s="48">
        <f t="shared" ca="1" si="389"/>
        <v>0</v>
      </c>
      <c r="DW86" s="48">
        <f t="shared" ca="1" si="389"/>
        <v>0</v>
      </c>
      <c r="DX86" s="48">
        <f t="shared" ca="1" si="389"/>
        <v>0</v>
      </c>
      <c r="DY86" s="48">
        <f t="shared" ca="1" si="389"/>
        <v>0</v>
      </c>
      <c r="DZ86" s="48">
        <f t="shared" ca="1" si="389"/>
        <v>0</v>
      </c>
      <c r="EA86" s="48">
        <f t="shared" ca="1" si="385"/>
        <v>0</v>
      </c>
      <c r="EB86" s="48">
        <f t="shared" ca="1" si="385"/>
        <v>0</v>
      </c>
      <c r="EC86" s="48">
        <f t="shared" ca="1" si="385"/>
        <v>0</v>
      </c>
      <c r="ED86" s="48">
        <f t="shared" ca="1" si="385"/>
        <v>0</v>
      </c>
      <c r="EE86" s="48">
        <f t="shared" ca="1" si="385"/>
        <v>0</v>
      </c>
      <c r="EF86" s="48">
        <f t="shared" ca="1" si="385"/>
        <v>0</v>
      </c>
      <c r="EG86" s="48">
        <f t="shared" ca="1" si="385"/>
        <v>0</v>
      </c>
      <c r="EH86" s="48">
        <f t="shared" ca="1" si="385"/>
        <v>0</v>
      </c>
      <c r="EI86" s="48">
        <f t="shared" ca="1" si="385"/>
        <v>0</v>
      </c>
      <c r="EJ86" s="48">
        <f t="shared" ca="1" si="385"/>
        <v>0</v>
      </c>
      <c r="EK86" s="48">
        <f t="shared" ca="1" si="385"/>
        <v>0</v>
      </c>
      <c r="EL86" s="48">
        <f t="shared" ca="1" si="385"/>
        <v>0</v>
      </c>
      <c r="EM86" s="48">
        <f t="shared" ca="1" si="385"/>
        <v>0</v>
      </c>
      <c r="EN86" s="48">
        <f t="shared" ca="1" si="385"/>
        <v>0</v>
      </c>
      <c r="EO86" s="48">
        <f t="shared" ca="1" si="385"/>
        <v>0</v>
      </c>
      <c r="EP86" s="48">
        <f t="shared" ca="1" si="385"/>
        <v>0</v>
      </c>
      <c r="EQ86" s="48">
        <f t="shared" ca="1" si="386"/>
        <v>0</v>
      </c>
      <c r="ER86" s="48">
        <f t="shared" ca="1" si="386"/>
        <v>0</v>
      </c>
      <c r="ES86" s="48">
        <f t="shared" ca="1" si="374"/>
        <v>0</v>
      </c>
      <c r="ET86" s="48">
        <f t="shared" ca="1" si="364"/>
        <v>0</v>
      </c>
      <c r="EU86" s="48">
        <f t="shared" ca="1" si="364"/>
        <v>0</v>
      </c>
      <c r="EV86" s="48">
        <f t="shared" ca="1" si="364"/>
        <v>0</v>
      </c>
      <c r="EW86" s="48">
        <f t="shared" ca="1" si="364"/>
        <v>0</v>
      </c>
      <c r="EX86" s="48">
        <f t="shared" ca="1" si="364"/>
        <v>0</v>
      </c>
      <c r="EY86" s="69"/>
      <c r="EZ86" s="48">
        <f t="shared" ca="1" si="392"/>
        <v>25.235385999999998</v>
      </c>
      <c r="FA86" s="48">
        <f t="shared" ca="1" si="392"/>
        <v>25.235385999999998</v>
      </c>
      <c r="FB86" s="48">
        <f t="shared" ca="1" si="392"/>
        <v>25.235385999999998</v>
      </c>
      <c r="FC86" s="48">
        <f t="shared" ca="1" si="392"/>
        <v>25.235385999999998</v>
      </c>
      <c r="FD86" s="48">
        <f t="shared" ca="1" si="392"/>
        <v>25.235385999999998</v>
      </c>
      <c r="FE86" s="48">
        <f t="shared" ca="1" si="392"/>
        <v>25.235385999999998</v>
      </c>
      <c r="FF86" s="48">
        <f t="shared" ca="1" si="392"/>
        <v>25.235385999999998</v>
      </c>
      <c r="FG86" s="48">
        <f t="shared" ca="1" si="392"/>
        <v>25.235385999999998</v>
      </c>
      <c r="FH86" s="48">
        <f t="shared" ca="1" si="392"/>
        <v>25.235385999999998</v>
      </c>
      <c r="FI86" s="48">
        <f t="shared" ca="1" si="392"/>
        <v>25.235385999999998</v>
      </c>
      <c r="FJ86" s="48">
        <f t="shared" ca="1" si="392"/>
        <v>25.235385999999998</v>
      </c>
      <c r="FK86" s="48">
        <f t="shared" ca="1" si="392"/>
        <v>25.235385999999998</v>
      </c>
      <c r="FL86" s="48">
        <f t="shared" ca="1" si="392"/>
        <v>25.235385999999998</v>
      </c>
      <c r="FM86" s="48">
        <f t="shared" ca="1" si="392"/>
        <v>25.235385999999998</v>
      </c>
      <c r="FN86" s="48">
        <f t="shared" ca="1" si="392"/>
        <v>25.235385999999998</v>
      </c>
      <c r="FO86" s="48">
        <f t="shared" ca="1" si="390"/>
        <v>25.235385999999998</v>
      </c>
      <c r="FP86" s="48">
        <f t="shared" ca="1" si="390"/>
        <v>0</v>
      </c>
      <c r="FQ86" s="48">
        <f t="shared" ca="1" si="390"/>
        <v>0</v>
      </c>
      <c r="FR86" s="48">
        <f t="shared" ca="1" si="390"/>
        <v>0</v>
      </c>
      <c r="FS86" s="48">
        <f t="shared" ca="1" si="390"/>
        <v>0</v>
      </c>
      <c r="FT86" s="48">
        <f t="shared" ca="1" si="390"/>
        <v>0</v>
      </c>
      <c r="FU86" s="48">
        <f t="shared" ca="1" si="390"/>
        <v>0</v>
      </c>
      <c r="FV86" s="48">
        <f t="shared" ca="1" si="390"/>
        <v>0</v>
      </c>
      <c r="FW86" s="48">
        <f t="shared" ca="1" si="390"/>
        <v>0</v>
      </c>
      <c r="FX86" s="48">
        <f t="shared" ca="1" si="390"/>
        <v>0</v>
      </c>
      <c r="FY86" s="48">
        <f t="shared" ca="1" si="390"/>
        <v>0</v>
      </c>
      <c r="FZ86" s="48">
        <f t="shared" ca="1" si="390"/>
        <v>0</v>
      </c>
      <c r="GA86" s="48">
        <f t="shared" ca="1" si="390"/>
        <v>0</v>
      </c>
      <c r="GB86" s="48">
        <f t="shared" ca="1" si="390"/>
        <v>0</v>
      </c>
      <c r="GC86" s="48">
        <f t="shared" ca="1" si="387"/>
        <v>0</v>
      </c>
      <c r="GD86" s="48">
        <f t="shared" ca="1" si="387"/>
        <v>0</v>
      </c>
      <c r="GE86" s="48">
        <f t="shared" ca="1" si="387"/>
        <v>0</v>
      </c>
      <c r="GF86" s="48">
        <f t="shared" ca="1" si="387"/>
        <v>0</v>
      </c>
      <c r="GG86" s="48">
        <f t="shared" ca="1" si="387"/>
        <v>0</v>
      </c>
      <c r="GH86" s="48">
        <f t="shared" ca="1" si="387"/>
        <v>0</v>
      </c>
      <c r="GI86" s="48">
        <f t="shared" ca="1" si="387"/>
        <v>0</v>
      </c>
      <c r="GJ86" s="48">
        <f t="shared" ca="1" si="387"/>
        <v>0</v>
      </c>
      <c r="GK86" s="48">
        <f t="shared" ca="1" si="387"/>
        <v>0</v>
      </c>
      <c r="GL86" s="48">
        <f t="shared" ca="1" si="387"/>
        <v>0</v>
      </c>
      <c r="GM86" s="48">
        <f t="shared" ca="1" si="387"/>
        <v>0</v>
      </c>
      <c r="GN86" s="48">
        <f t="shared" ca="1" si="387"/>
        <v>0</v>
      </c>
      <c r="GO86" s="48">
        <f t="shared" ca="1" si="387"/>
        <v>0</v>
      </c>
      <c r="GP86" s="48">
        <f t="shared" ca="1" si="387"/>
        <v>0</v>
      </c>
      <c r="GQ86" s="48">
        <f t="shared" ca="1" si="387"/>
        <v>0</v>
      </c>
      <c r="GR86" s="48">
        <f t="shared" ca="1" si="387"/>
        <v>0</v>
      </c>
      <c r="GS86" s="48">
        <f t="shared" ca="1" si="388"/>
        <v>0</v>
      </c>
      <c r="GT86" s="48">
        <f t="shared" ca="1" si="388"/>
        <v>0</v>
      </c>
      <c r="GU86" s="48">
        <f t="shared" ca="1" si="377"/>
        <v>0</v>
      </c>
      <c r="GV86" s="48">
        <f t="shared" ca="1" si="368"/>
        <v>0</v>
      </c>
      <c r="GW86" s="48">
        <f t="shared" ca="1" si="368"/>
        <v>0</v>
      </c>
      <c r="GX86" s="48">
        <f t="shared" ca="1" si="368"/>
        <v>0</v>
      </c>
      <c r="GY86" s="48">
        <f t="shared" ca="1" si="368"/>
        <v>0</v>
      </c>
      <c r="GZ86" s="48">
        <f t="shared" ca="1" si="368"/>
        <v>0</v>
      </c>
      <c r="HA86" s="69"/>
      <c r="HB86" s="150">
        <f t="shared" ca="1" si="380"/>
        <v>7.9537438788215296</v>
      </c>
      <c r="HC86" s="150">
        <f t="shared" ca="1" si="369"/>
        <v>3.285242036904545</v>
      </c>
      <c r="HD86" s="150">
        <f t="shared" ca="1" si="381"/>
        <v>9.7817643157583429</v>
      </c>
      <c r="HE86" s="150">
        <f t="shared" ca="1" si="370"/>
        <v>20.417351861803404</v>
      </c>
      <c r="HF86" s="150">
        <f t="shared" ca="1" si="371"/>
        <v>0.38955805496506735</v>
      </c>
      <c r="HG86" s="148"/>
      <c r="HH86" s="149"/>
      <c r="HI86" s="149"/>
      <c r="HJ86" s="149"/>
      <c r="HK86" s="150"/>
      <c r="HL86" s="149"/>
      <c r="HM86" s="149"/>
      <c r="HN86" s="149"/>
      <c r="HO86" s="150"/>
      <c r="HP86" s="148"/>
      <c r="HQ86" s="149"/>
      <c r="HR86" s="149"/>
      <c r="HS86" s="149"/>
      <c r="HT86" s="150"/>
      <c r="HU86" s="149"/>
      <c r="HV86" s="149"/>
      <c r="HW86" s="149"/>
      <c r="HX86" s="150"/>
      <c r="HY86" s="151"/>
      <c r="HZ86" s="150"/>
      <c r="IA86" s="150"/>
      <c r="IB86" s="152"/>
      <c r="IC86" s="150"/>
      <c r="ID86" s="152"/>
      <c r="IE86" s="150"/>
      <c r="IF86" s="153"/>
    </row>
    <row r="87" spans="1:240" s="36" customFormat="1" ht="14.4" customHeight="1">
      <c r="A87" s="39"/>
      <c r="B87" s="50" t="str">
        <f t="shared" si="340"/>
        <v>C&amp;I_C&amp;I Prescriptive_Lighting_Ceiling Mount Occupancy_2017_Actual</v>
      </c>
      <c r="C87" s="50">
        <f>INDEX('Measure Inputs'!$D:$D,MATCH($B87,'Measure Inputs'!$B:$B,0))</f>
        <v>53</v>
      </c>
      <c r="D87" s="51" t="str">
        <f>'Measure Inputs'!G59</f>
        <v>C&amp;I</v>
      </c>
      <c r="E87" s="51" t="str">
        <f>'Measure Inputs'!H59</f>
        <v>C&amp;I Prescriptive</v>
      </c>
      <c r="F87" s="51" t="str">
        <f>'Measure Inputs'!I59</f>
        <v>Lighting</v>
      </c>
      <c r="G87" s="51" t="str">
        <f>'Measure Inputs'!J59</f>
        <v>Ceiling Mount Occupancy</v>
      </c>
      <c r="H87" s="51">
        <f>'Measure Inputs'!K59</f>
        <v>2017</v>
      </c>
      <c r="I87" s="51" t="str">
        <f>'Measure Inputs'!L59</f>
        <v>Actual</v>
      </c>
      <c r="J87" s="37"/>
      <c r="K87" s="99" t="str">
        <f ca="1">INDEX(OFFSET('Measure Inputs'!$O$7,,,InputRows),$C87)</f>
        <v>Units</v>
      </c>
      <c r="L87" s="38">
        <f ca="1">INDEX(OFFSET('Measure Inputs'!$Q$7,,,InputRows),$C87)</f>
        <v>0</v>
      </c>
      <c r="M87" s="167">
        <f>INDEX('General Inputs'!$E$14:$E$15,MATCH(D87,'General Inputs'!$D$14:$D$15,0))</f>
        <v>1.0469999999999999</v>
      </c>
      <c r="N87" s="54">
        <f ca="1">INDEX(OFFSET('Measure Inputs'!$Y$7,,,InputRows),$C87)</f>
        <v>1</v>
      </c>
      <c r="O87" s="54">
        <f ca="1">INDEX(OFFSET('Measure Inputs'!$Z$7,,,InputRows),$C87)</f>
        <v>1</v>
      </c>
      <c r="P87" s="37"/>
      <c r="Q87" s="127">
        <f ca="1">CONVERT(INDEX(OFFSET('Measure Inputs'!$AB$7,,,InputRows),$C87),'Measure Inputs'!$AB$6,Q$8)*$L87</f>
        <v>0</v>
      </c>
      <c r="R87" s="127">
        <f t="shared" ca="1" si="341"/>
        <v>0</v>
      </c>
      <c r="S87" s="127">
        <f t="shared" ca="1" si="342"/>
        <v>0</v>
      </c>
      <c r="T87" s="37"/>
      <c r="U87" s="127">
        <f ca="1">CONVERT(INDEX(OFFSET('Measure Inputs'!$AD$7,,,InputRows),$C87),'Measure Inputs'!$AD$6,U$8)*$L87</f>
        <v>0</v>
      </c>
      <c r="V87" s="127">
        <f t="shared" ca="1" si="343"/>
        <v>0</v>
      </c>
      <c r="W87" s="127">
        <f t="shared" ca="1" si="344"/>
        <v>0</v>
      </c>
      <c r="X87" s="37"/>
      <c r="Y87" s="127">
        <f ca="1">CONVERT(INDEX(OFFSET('Measure Inputs'!$AC$7,,,InputRows),$C87),'Measure Inputs'!$AC$6,Y$8)*$L87</f>
        <v>0</v>
      </c>
      <c r="Z87" s="127">
        <f t="shared" ca="1" si="345"/>
        <v>0</v>
      </c>
      <c r="AA87" s="127">
        <f t="shared" ca="1" si="346"/>
        <v>0</v>
      </c>
      <c r="AB87" s="37"/>
      <c r="AC87" s="127">
        <f ca="1">CONVERT(INDEX(OFFSET('Measure Inputs'!$AE$7,,,InputRows),$C87),'Measure Inputs'!$AE$6,AC$8)*$L87</f>
        <v>0</v>
      </c>
      <c r="AD87" s="127">
        <f t="shared" ca="1" si="347"/>
        <v>0</v>
      </c>
      <c r="AE87" s="127">
        <f t="shared" ca="1" si="348"/>
        <v>0</v>
      </c>
      <c r="AF87" s="37"/>
      <c r="AG87" s="97">
        <f ca="1">INDEX(OFFSET('Measure Inputs'!$R$7,,,InputRows),$C87)</f>
        <v>8</v>
      </c>
      <c r="AH87" s="97">
        <f ca="1">INDEX(OFFSET('Measure Inputs'!$S$7,,,InputRows),$C87)</f>
        <v>0</v>
      </c>
      <c r="AI87" s="97">
        <f t="shared" ca="1" si="349"/>
        <v>0</v>
      </c>
      <c r="AJ87" s="100">
        <f ca="1">INDEX(OFFSET('Measure Inputs'!$T$7,,,InputRows),$C87)*$L87*$N87*$O87</f>
        <v>0</v>
      </c>
      <c r="AK87" s="100">
        <f ca="1">INDEX(OFFSET('Measure Inputs'!$U$7,,,InputRows),$C87)*$L87*$N87*$O87</f>
        <v>0</v>
      </c>
      <c r="AL87" s="100">
        <f ca="1">INDEX(OFFSET('Measure Inputs'!$V$7,,,InputRows),$C87)*$L87*$N87*$O87</f>
        <v>0</v>
      </c>
      <c r="AM87" s="100">
        <f ca="1">INDEX(OFFSET('Measure Inputs'!$W$7,,,InputRows),$C87)*$L87*$N87*$O87</f>
        <v>0</v>
      </c>
      <c r="AN87" s="100">
        <f ca="1">INDEX(OFFSET('Measure Inputs'!$X$7,,,InputRows),$C87)*$L87</f>
        <v>0</v>
      </c>
      <c r="AO87" s="100"/>
      <c r="AP87" s="100">
        <f t="shared" ca="1" si="350"/>
        <v>0</v>
      </c>
      <c r="AQ87" s="37"/>
      <c r="AR87" s="100">
        <f ca="1">SUMPRODUCT(--($CX$9:$EX$9=$H87)*$AJ87,'General Inputs'!$K$40:$BK$40)+SUMPRODUCT(--($CX$9:$EX$9=$H87+$AH87)*-$AK87,'General Inputs'!$K$43:$BK$43)</f>
        <v>0</v>
      </c>
      <c r="AS87" s="100">
        <f ca="1">CONVERT(SUMPRODUCT($CX87:$EX87,'General Inputs'!$K$29:$BK$29,'General Inputs'!$K$40:$BK$40)*$M87,$Q$8,'General Inputs'!$E$17)</f>
        <v>0</v>
      </c>
      <c r="AT87" s="100">
        <f ca="1">SUMPRODUCT(--($CX$9:$EX$9=$H87)*$AN87,'General Inputs'!$K$40:$BK$40)</f>
        <v>0</v>
      </c>
      <c r="AU87" s="100">
        <f>SUMPRODUCT(--($CX$9:$EX$9=$H87)*$AO87,'General Inputs'!$K$40:$BK$40)</f>
        <v>0</v>
      </c>
      <c r="AV87" s="100">
        <f ca="1">CONVERT(SUMPRODUCT($CX87:$EX87,'General Inputs'!$K$40:$BK$40,OFFSET('General Inputs'!$K$34:$BK$34,MATCH($D87,'General Inputs'!$J$34:$J$35,0)-1,)),$Q$8,'General Inputs'!$G$32)</f>
        <v>0</v>
      </c>
      <c r="AW87" s="100">
        <f ca="1">CONVERT(SUMPRODUCT($CX87:$EX87,'General Inputs'!$K$27:$BK$27,'General Inputs'!$K$40:$BK$40)*$M87,$Q$8,'General Inputs'!$E$17)</f>
        <v>0</v>
      </c>
      <c r="AX87" s="100">
        <f ca="1">CONVERT(SUMPRODUCT($EZ87:$GZ87,'General Inputs'!$K$28:$BK$28,'General Inputs'!$K$40:$BK$40)*$M87,$Q$8,'General Inputs'!$E$17)</f>
        <v>0</v>
      </c>
      <c r="AY87" s="98">
        <f ca="1">SUMPRODUCT($CX87:$EX87,'General Inputs'!$K$40:$BK$40)</f>
        <v>0</v>
      </c>
      <c r="AZ87" s="37"/>
      <c r="BA87" s="100">
        <f t="shared" ca="1" si="351"/>
        <v>0</v>
      </c>
      <c r="BB87" s="102" t="e">
        <f t="shared" ca="1" si="352"/>
        <v>#DIV/0!</v>
      </c>
      <c r="BC87" s="100">
        <f t="shared" ca="1" si="273"/>
        <v>0</v>
      </c>
      <c r="BD87" s="100">
        <f t="shared" ca="1" si="274"/>
        <v>0</v>
      </c>
      <c r="BE87" s="100">
        <f t="shared" ca="1" si="275"/>
        <v>0</v>
      </c>
      <c r="BF87" s="100">
        <f t="shared" ca="1" si="276"/>
        <v>0</v>
      </c>
      <c r="BG87" s="100">
        <f t="shared" si="277"/>
        <v>0</v>
      </c>
      <c r="BH87" s="100">
        <f t="shared" ca="1" si="278"/>
        <v>0</v>
      </c>
      <c r="BI87" s="37"/>
      <c r="BJ87" s="100">
        <f t="shared" ca="1" si="353"/>
        <v>0</v>
      </c>
      <c r="BK87" s="102" t="e">
        <f t="shared" ca="1" si="354"/>
        <v>#DIV/0!</v>
      </c>
      <c r="BL87" s="100">
        <f t="shared" ca="1" si="279"/>
        <v>0</v>
      </c>
      <c r="BM87" s="100">
        <f t="shared" ca="1" si="393"/>
        <v>0</v>
      </c>
      <c r="BN87" s="100">
        <f t="shared" ca="1" si="280"/>
        <v>0</v>
      </c>
      <c r="BO87" s="100">
        <f t="shared" ca="1" si="281"/>
        <v>0</v>
      </c>
      <c r="BP87" s="100">
        <f t="shared" ca="1" si="282"/>
        <v>0</v>
      </c>
      <c r="BQ87" s="100">
        <f t="shared" si="283"/>
        <v>0</v>
      </c>
      <c r="BR87" s="100">
        <f t="shared" ca="1" si="284"/>
        <v>0</v>
      </c>
      <c r="BS87" s="37"/>
      <c r="BT87" s="100">
        <f t="shared" ca="1" si="355"/>
        <v>0</v>
      </c>
      <c r="BU87" s="102" t="e">
        <f t="shared" ca="1" si="356"/>
        <v>#DIV/0!</v>
      </c>
      <c r="BV87" s="102" t="e">
        <f t="shared" ca="1" si="285"/>
        <v>#DIV/0!</v>
      </c>
      <c r="BW87" s="100">
        <f t="shared" ca="1" si="286"/>
        <v>0</v>
      </c>
      <c r="BX87" s="100">
        <f t="shared" ca="1" si="287"/>
        <v>0</v>
      </c>
      <c r="BY87" s="100">
        <f t="shared" ca="1" si="288"/>
        <v>0</v>
      </c>
      <c r="BZ87" s="100">
        <f t="shared" ca="1" si="289"/>
        <v>0</v>
      </c>
      <c r="CA87" s="100">
        <f t="shared" ca="1" si="290"/>
        <v>0</v>
      </c>
      <c r="CB87" s="37"/>
      <c r="CC87" s="100">
        <f t="shared" ca="1" si="357"/>
        <v>0</v>
      </c>
      <c r="CD87" s="102" t="e">
        <f t="shared" ca="1" si="358"/>
        <v>#DIV/0!</v>
      </c>
      <c r="CE87" s="103" t="e">
        <f t="shared" ca="1" si="291"/>
        <v>#DIV/0!</v>
      </c>
      <c r="CF87" s="100">
        <f t="shared" ca="1" si="292"/>
        <v>0</v>
      </c>
      <c r="CG87" s="100">
        <f t="shared" ca="1" si="293"/>
        <v>0</v>
      </c>
      <c r="CH87" s="100">
        <f t="shared" ca="1" si="294"/>
        <v>0</v>
      </c>
      <c r="CI87" s="100">
        <f t="shared" ca="1" si="382"/>
        <v>0</v>
      </c>
      <c r="CJ87" s="100">
        <f t="shared" ca="1" si="383"/>
        <v>0</v>
      </c>
      <c r="CK87" s="100">
        <f t="shared" si="295"/>
        <v>0</v>
      </c>
      <c r="CL87" s="37"/>
      <c r="CM87" s="100">
        <f t="shared" ca="1" si="359"/>
        <v>0</v>
      </c>
      <c r="CN87" s="102" t="e">
        <f t="shared" ca="1" si="360"/>
        <v>#DIV/0!</v>
      </c>
      <c r="CO87" s="128"/>
      <c r="CP87" s="100">
        <f t="shared" ca="1" si="296"/>
        <v>0</v>
      </c>
      <c r="CQ87" s="100">
        <f t="shared" ca="1" si="297"/>
        <v>0</v>
      </c>
      <c r="CR87" s="100">
        <f t="shared" ca="1" si="298"/>
        <v>0</v>
      </c>
      <c r="CS87" s="100">
        <f t="shared" ca="1" si="384"/>
        <v>0</v>
      </c>
      <c r="CT87" s="100">
        <f t="shared" ca="1" si="299"/>
        <v>0</v>
      </c>
      <c r="CU87" s="100">
        <f t="shared" ca="1" si="300"/>
        <v>0</v>
      </c>
      <c r="CV87" s="100">
        <f t="shared" si="301"/>
        <v>0</v>
      </c>
      <c r="CW87" s="37"/>
      <c r="CX87" s="48">
        <f t="shared" ca="1" si="391"/>
        <v>0</v>
      </c>
      <c r="CY87" s="48">
        <f t="shared" ca="1" si="391"/>
        <v>0</v>
      </c>
      <c r="CZ87" s="48">
        <f t="shared" ca="1" si="391"/>
        <v>0</v>
      </c>
      <c r="DA87" s="48">
        <f t="shared" ca="1" si="391"/>
        <v>0</v>
      </c>
      <c r="DB87" s="48">
        <f t="shared" ca="1" si="391"/>
        <v>0</v>
      </c>
      <c r="DC87" s="48">
        <f t="shared" ca="1" si="391"/>
        <v>0</v>
      </c>
      <c r="DD87" s="48">
        <f t="shared" ca="1" si="391"/>
        <v>0</v>
      </c>
      <c r="DE87" s="48">
        <f t="shared" ca="1" si="391"/>
        <v>0</v>
      </c>
      <c r="DF87" s="48">
        <f t="shared" ca="1" si="391"/>
        <v>0</v>
      </c>
      <c r="DG87" s="48">
        <f t="shared" ca="1" si="391"/>
        <v>0</v>
      </c>
      <c r="DH87" s="48">
        <f t="shared" ca="1" si="391"/>
        <v>0</v>
      </c>
      <c r="DI87" s="48">
        <f t="shared" ca="1" si="391"/>
        <v>0</v>
      </c>
      <c r="DJ87" s="48">
        <f t="shared" ca="1" si="391"/>
        <v>0</v>
      </c>
      <c r="DK87" s="48">
        <f t="shared" ca="1" si="391"/>
        <v>0</v>
      </c>
      <c r="DL87" s="48">
        <f t="shared" ca="1" si="391"/>
        <v>0</v>
      </c>
      <c r="DM87" s="48">
        <f t="shared" ca="1" si="389"/>
        <v>0</v>
      </c>
      <c r="DN87" s="48">
        <f t="shared" ca="1" si="389"/>
        <v>0</v>
      </c>
      <c r="DO87" s="48">
        <f t="shared" ca="1" si="389"/>
        <v>0</v>
      </c>
      <c r="DP87" s="48">
        <f t="shared" ca="1" si="389"/>
        <v>0</v>
      </c>
      <c r="DQ87" s="48">
        <f t="shared" ca="1" si="389"/>
        <v>0</v>
      </c>
      <c r="DR87" s="48">
        <f t="shared" ca="1" si="389"/>
        <v>0</v>
      </c>
      <c r="DS87" s="48">
        <f t="shared" ca="1" si="389"/>
        <v>0</v>
      </c>
      <c r="DT87" s="48">
        <f t="shared" ca="1" si="389"/>
        <v>0</v>
      </c>
      <c r="DU87" s="48">
        <f t="shared" ca="1" si="389"/>
        <v>0</v>
      </c>
      <c r="DV87" s="48">
        <f t="shared" ca="1" si="389"/>
        <v>0</v>
      </c>
      <c r="DW87" s="48">
        <f t="shared" ca="1" si="389"/>
        <v>0</v>
      </c>
      <c r="DX87" s="48">
        <f t="shared" ca="1" si="389"/>
        <v>0</v>
      </c>
      <c r="DY87" s="48">
        <f t="shared" ca="1" si="389"/>
        <v>0</v>
      </c>
      <c r="DZ87" s="48">
        <f t="shared" ca="1" si="389"/>
        <v>0</v>
      </c>
      <c r="EA87" s="48">
        <f t="shared" ca="1" si="385"/>
        <v>0</v>
      </c>
      <c r="EB87" s="48">
        <f t="shared" ca="1" si="385"/>
        <v>0</v>
      </c>
      <c r="EC87" s="48">
        <f t="shared" ca="1" si="385"/>
        <v>0</v>
      </c>
      <c r="ED87" s="48">
        <f t="shared" ca="1" si="385"/>
        <v>0</v>
      </c>
      <c r="EE87" s="48">
        <f t="shared" ca="1" si="385"/>
        <v>0</v>
      </c>
      <c r="EF87" s="48">
        <f t="shared" ca="1" si="385"/>
        <v>0</v>
      </c>
      <c r="EG87" s="48">
        <f t="shared" ca="1" si="385"/>
        <v>0</v>
      </c>
      <c r="EH87" s="48">
        <f t="shared" ca="1" si="385"/>
        <v>0</v>
      </c>
      <c r="EI87" s="48">
        <f t="shared" ca="1" si="385"/>
        <v>0</v>
      </c>
      <c r="EJ87" s="48">
        <f t="shared" ca="1" si="385"/>
        <v>0</v>
      </c>
      <c r="EK87" s="48">
        <f t="shared" ca="1" si="385"/>
        <v>0</v>
      </c>
      <c r="EL87" s="48">
        <f t="shared" ca="1" si="385"/>
        <v>0</v>
      </c>
      <c r="EM87" s="48">
        <f t="shared" ca="1" si="385"/>
        <v>0</v>
      </c>
      <c r="EN87" s="48">
        <f t="shared" ca="1" si="385"/>
        <v>0</v>
      </c>
      <c r="EO87" s="48">
        <f t="shared" ca="1" si="385"/>
        <v>0</v>
      </c>
      <c r="EP87" s="48">
        <f t="shared" ca="1" si="385"/>
        <v>0</v>
      </c>
      <c r="EQ87" s="48">
        <f t="shared" ca="1" si="386"/>
        <v>0</v>
      </c>
      <c r="ER87" s="48">
        <f t="shared" ca="1" si="386"/>
        <v>0</v>
      </c>
      <c r="ES87" s="48">
        <f t="shared" ca="1" si="374"/>
        <v>0</v>
      </c>
      <c r="ET87" s="48">
        <f t="shared" ca="1" si="364"/>
        <v>0</v>
      </c>
      <c r="EU87" s="48">
        <f t="shared" ca="1" si="364"/>
        <v>0</v>
      </c>
      <c r="EV87" s="48">
        <f t="shared" ca="1" si="364"/>
        <v>0</v>
      </c>
      <c r="EW87" s="48">
        <f t="shared" ca="1" si="364"/>
        <v>0</v>
      </c>
      <c r="EX87" s="48">
        <f t="shared" ca="1" si="364"/>
        <v>0</v>
      </c>
      <c r="EY87" s="69"/>
      <c r="EZ87" s="48">
        <f t="shared" ca="1" si="392"/>
        <v>0</v>
      </c>
      <c r="FA87" s="48">
        <f t="shared" ca="1" si="392"/>
        <v>0</v>
      </c>
      <c r="FB87" s="48">
        <f t="shared" ca="1" si="392"/>
        <v>0</v>
      </c>
      <c r="FC87" s="48">
        <f t="shared" ca="1" si="392"/>
        <v>0</v>
      </c>
      <c r="FD87" s="48">
        <f t="shared" ca="1" si="392"/>
        <v>0</v>
      </c>
      <c r="FE87" s="48">
        <f t="shared" ca="1" si="392"/>
        <v>0</v>
      </c>
      <c r="FF87" s="48">
        <f t="shared" ca="1" si="392"/>
        <v>0</v>
      </c>
      <c r="FG87" s="48">
        <f t="shared" ca="1" si="392"/>
        <v>0</v>
      </c>
      <c r="FH87" s="48">
        <f t="shared" ca="1" si="392"/>
        <v>0</v>
      </c>
      <c r="FI87" s="48">
        <f t="shared" ca="1" si="392"/>
        <v>0</v>
      </c>
      <c r="FJ87" s="48">
        <f t="shared" ca="1" si="392"/>
        <v>0</v>
      </c>
      <c r="FK87" s="48">
        <f t="shared" ca="1" si="392"/>
        <v>0</v>
      </c>
      <c r="FL87" s="48">
        <f t="shared" ca="1" si="392"/>
        <v>0</v>
      </c>
      <c r="FM87" s="48">
        <f t="shared" ca="1" si="392"/>
        <v>0</v>
      </c>
      <c r="FN87" s="48">
        <f t="shared" ca="1" si="392"/>
        <v>0</v>
      </c>
      <c r="FO87" s="48">
        <f t="shared" ca="1" si="390"/>
        <v>0</v>
      </c>
      <c r="FP87" s="48">
        <f t="shared" ca="1" si="390"/>
        <v>0</v>
      </c>
      <c r="FQ87" s="48">
        <f t="shared" ca="1" si="390"/>
        <v>0</v>
      </c>
      <c r="FR87" s="48">
        <f t="shared" ca="1" si="390"/>
        <v>0</v>
      </c>
      <c r="FS87" s="48">
        <f t="shared" ca="1" si="390"/>
        <v>0</v>
      </c>
      <c r="FT87" s="48">
        <f t="shared" ca="1" si="390"/>
        <v>0</v>
      </c>
      <c r="FU87" s="48">
        <f t="shared" ca="1" si="390"/>
        <v>0</v>
      </c>
      <c r="FV87" s="48">
        <f t="shared" ca="1" si="390"/>
        <v>0</v>
      </c>
      <c r="FW87" s="48">
        <f t="shared" ca="1" si="390"/>
        <v>0</v>
      </c>
      <c r="FX87" s="48">
        <f t="shared" ca="1" si="390"/>
        <v>0</v>
      </c>
      <c r="FY87" s="48">
        <f t="shared" ca="1" si="390"/>
        <v>0</v>
      </c>
      <c r="FZ87" s="48">
        <f t="shared" ca="1" si="390"/>
        <v>0</v>
      </c>
      <c r="GA87" s="48">
        <f t="shared" ca="1" si="390"/>
        <v>0</v>
      </c>
      <c r="GB87" s="48">
        <f t="shared" ca="1" si="390"/>
        <v>0</v>
      </c>
      <c r="GC87" s="48">
        <f t="shared" ca="1" si="387"/>
        <v>0</v>
      </c>
      <c r="GD87" s="48">
        <f t="shared" ca="1" si="387"/>
        <v>0</v>
      </c>
      <c r="GE87" s="48">
        <f t="shared" ca="1" si="387"/>
        <v>0</v>
      </c>
      <c r="GF87" s="48">
        <f t="shared" ca="1" si="387"/>
        <v>0</v>
      </c>
      <c r="GG87" s="48">
        <f t="shared" ca="1" si="387"/>
        <v>0</v>
      </c>
      <c r="GH87" s="48">
        <f t="shared" ca="1" si="387"/>
        <v>0</v>
      </c>
      <c r="GI87" s="48">
        <f t="shared" ca="1" si="387"/>
        <v>0</v>
      </c>
      <c r="GJ87" s="48">
        <f t="shared" ca="1" si="387"/>
        <v>0</v>
      </c>
      <c r="GK87" s="48">
        <f t="shared" ca="1" si="387"/>
        <v>0</v>
      </c>
      <c r="GL87" s="48">
        <f t="shared" ca="1" si="387"/>
        <v>0</v>
      </c>
      <c r="GM87" s="48">
        <f t="shared" ca="1" si="387"/>
        <v>0</v>
      </c>
      <c r="GN87" s="48">
        <f t="shared" ca="1" si="387"/>
        <v>0</v>
      </c>
      <c r="GO87" s="48">
        <f t="shared" ca="1" si="387"/>
        <v>0</v>
      </c>
      <c r="GP87" s="48">
        <f t="shared" ca="1" si="387"/>
        <v>0</v>
      </c>
      <c r="GQ87" s="48">
        <f t="shared" ca="1" si="387"/>
        <v>0</v>
      </c>
      <c r="GR87" s="48">
        <f t="shared" ca="1" si="387"/>
        <v>0</v>
      </c>
      <c r="GS87" s="48">
        <f t="shared" ca="1" si="388"/>
        <v>0</v>
      </c>
      <c r="GT87" s="48">
        <f t="shared" ca="1" si="388"/>
        <v>0</v>
      </c>
      <c r="GU87" s="48">
        <f t="shared" ca="1" si="377"/>
        <v>0</v>
      </c>
      <c r="GV87" s="48">
        <f t="shared" ca="1" si="368"/>
        <v>0</v>
      </c>
      <c r="GW87" s="48">
        <f t="shared" ca="1" si="368"/>
        <v>0</v>
      </c>
      <c r="GX87" s="48">
        <f t="shared" ca="1" si="368"/>
        <v>0</v>
      </c>
      <c r="GY87" s="48">
        <f t="shared" ca="1" si="368"/>
        <v>0</v>
      </c>
      <c r="GZ87" s="48">
        <f t="shared" ca="1" si="368"/>
        <v>0</v>
      </c>
      <c r="HA87" s="69"/>
      <c r="HB87" s="150" t="str">
        <f t="shared" ca="1" si="380"/>
        <v>n/a</v>
      </c>
      <c r="HC87" s="150" t="str">
        <f t="shared" ca="1" si="369"/>
        <v>n/a</v>
      </c>
      <c r="HD87" s="150" t="str">
        <f t="shared" ca="1" si="381"/>
        <v>n/a</v>
      </c>
      <c r="HE87" s="150" t="str">
        <f t="shared" ca="1" si="370"/>
        <v>n/a</v>
      </c>
      <c r="HF87" s="150" t="str">
        <f t="shared" ca="1" si="371"/>
        <v>n/a</v>
      </c>
      <c r="HG87" s="148"/>
      <c r="HH87" s="149"/>
      <c r="HI87" s="149"/>
      <c r="HJ87" s="149"/>
      <c r="HK87" s="150"/>
      <c r="HL87" s="149"/>
      <c r="HM87" s="149"/>
      <c r="HN87" s="149"/>
      <c r="HO87" s="150"/>
      <c r="HP87" s="148"/>
      <c r="HQ87" s="149"/>
      <c r="HR87" s="149"/>
      <c r="HS87" s="149"/>
      <c r="HT87" s="150"/>
      <c r="HU87" s="149"/>
      <c r="HV87" s="149"/>
      <c r="HW87" s="149"/>
      <c r="HX87" s="150"/>
      <c r="HY87" s="151"/>
      <c r="HZ87" s="150"/>
      <c r="IA87" s="150"/>
      <c r="IB87" s="152"/>
      <c r="IC87" s="150"/>
      <c r="ID87" s="152"/>
      <c r="IE87" s="150"/>
      <c r="IF87" s="153"/>
    </row>
    <row r="88" spans="1:240" s="36" customFormat="1" ht="14.4" customHeight="1">
      <c r="A88" s="39"/>
      <c r="B88" s="50" t="str">
        <f t="shared" si="340"/>
        <v>C&amp;I_C&amp;I Prescriptive_Lighting_Wall Mount Occupancy_2017_Actual</v>
      </c>
      <c r="C88" s="50">
        <f>INDEX('Measure Inputs'!$D:$D,MATCH($B88,'Measure Inputs'!$B:$B,0))</f>
        <v>54</v>
      </c>
      <c r="D88" s="51" t="str">
        <f>'Measure Inputs'!G60</f>
        <v>C&amp;I</v>
      </c>
      <c r="E88" s="51" t="str">
        <f>'Measure Inputs'!H60</f>
        <v>C&amp;I Prescriptive</v>
      </c>
      <c r="F88" s="51" t="str">
        <f>'Measure Inputs'!I60</f>
        <v>Lighting</v>
      </c>
      <c r="G88" s="51" t="str">
        <f>'Measure Inputs'!J60</f>
        <v>Wall Mount Occupancy</v>
      </c>
      <c r="H88" s="51">
        <f>'Measure Inputs'!K60</f>
        <v>2017</v>
      </c>
      <c r="I88" s="51" t="str">
        <f>'Measure Inputs'!L60</f>
        <v>Actual</v>
      </c>
      <c r="J88" s="37"/>
      <c r="K88" s="99" t="str">
        <f ca="1">INDEX(OFFSET('Measure Inputs'!$O$7,,,InputRows),$C88)</f>
        <v>Units</v>
      </c>
      <c r="L88" s="38">
        <f ca="1">INDEX(OFFSET('Measure Inputs'!$Q$7,,,InputRows),$C88)</f>
        <v>0</v>
      </c>
      <c r="M88" s="167">
        <f>INDEX('General Inputs'!$E$14:$E$15,MATCH(D88,'General Inputs'!$D$14:$D$15,0))</f>
        <v>1.0469999999999999</v>
      </c>
      <c r="N88" s="54">
        <f ca="1">INDEX(OFFSET('Measure Inputs'!$Y$7,,,InputRows),$C88)</f>
        <v>1</v>
      </c>
      <c r="O88" s="54">
        <f ca="1">INDEX(OFFSET('Measure Inputs'!$Z$7,,,InputRows),$C88)</f>
        <v>1</v>
      </c>
      <c r="P88" s="37"/>
      <c r="Q88" s="127">
        <f ca="1">CONVERT(INDEX(OFFSET('Measure Inputs'!$AB$7,,,InputRows),$C88),'Measure Inputs'!$AB$6,Q$8)*$L88</f>
        <v>0</v>
      </c>
      <c r="R88" s="127">
        <f t="shared" ca="1" si="341"/>
        <v>0</v>
      </c>
      <c r="S88" s="127">
        <f t="shared" ca="1" si="342"/>
        <v>0</v>
      </c>
      <c r="T88" s="37"/>
      <c r="U88" s="127">
        <f ca="1">CONVERT(INDEX(OFFSET('Measure Inputs'!$AD$7,,,InputRows),$C88),'Measure Inputs'!$AD$6,U$8)*$L88</f>
        <v>0</v>
      </c>
      <c r="V88" s="127">
        <f t="shared" ca="1" si="343"/>
        <v>0</v>
      </c>
      <c r="W88" s="127">
        <f t="shared" ca="1" si="344"/>
        <v>0</v>
      </c>
      <c r="X88" s="37"/>
      <c r="Y88" s="127">
        <f ca="1">CONVERT(INDEX(OFFSET('Measure Inputs'!$AC$7,,,InputRows),$C88),'Measure Inputs'!$AC$6,Y$8)*$L88</f>
        <v>0</v>
      </c>
      <c r="Z88" s="127">
        <f t="shared" ca="1" si="345"/>
        <v>0</v>
      </c>
      <c r="AA88" s="127">
        <f t="shared" ca="1" si="346"/>
        <v>0</v>
      </c>
      <c r="AB88" s="37"/>
      <c r="AC88" s="127">
        <f ca="1">CONVERT(INDEX(OFFSET('Measure Inputs'!$AE$7,,,InputRows),$C88),'Measure Inputs'!$AE$6,AC$8)*$L88</f>
        <v>0</v>
      </c>
      <c r="AD88" s="127">
        <f t="shared" ca="1" si="347"/>
        <v>0</v>
      </c>
      <c r="AE88" s="127">
        <f t="shared" ca="1" si="348"/>
        <v>0</v>
      </c>
      <c r="AF88" s="37"/>
      <c r="AG88" s="97">
        <f ca="1">INDEX(OFFSET('Measure Inputs'!$R$7,,,InputRows),$C88)</f>
        <v>8</v>
      </c>
      <c r="AH88" s="97">
        <f ca="1">INDEX(OFFSET('Measure Inputs'!$S$7,,,InputRows),$C88)</f>
        <v>0</v>
      </c>
      <c r="AI88" s="97">
        <f t="shared" ca="1" si="349"/>
        <v>0</v>
      </c>
      <c r="AJ88" s="100">
        <f ca="1">INDEX(OFFSET('Measure Inputs'!$T$7,,,InputRows),$C88)*$L88*$N88*$O88</f>
        <v>0</v>
      </c>
      <c r="AK88" s="100">
        <f ca="1">INDEX(OFFSET('Measure Inputs'!$U$7,,,InputRows),$C88)*$L88*$N88*$O88</f>
        <v>0</v>
      </c>
      <c r="AL88" s="100">
        <f ca="1">INDEX(OFFSET('Measure Inputs'!$V$7,,,InputRows),$C88)*$L88*$N88*$O88</f>
        <v>0</v>
      </c>
      <c r="AM88" s="100">
        <f ca="1">INDEX(OFFSET('Measure Inputs'!$W$7,,,InputRows),$C88)*$L88*$N88*$O88</f>
        <v>0</v>
      </c>
      <c r="AN88" s="100">
        <f ca="1">INDEX(OFFSET('Measure Inputs'!$X$7,,,InputRows),$C88)*$L88</f>
        <v>0</v>
      </c>
      <c r="AO88" s="100"/>
      <c r="AP88" s="100">
        <f t="shared" ca="1" si="350"/>
        <v>0</v>
      </c>
      <c r="AQ88" s="37"/>
      <c r="AR88" s="100">
        <f ca="1">SUMPRODUCT(--($CX$9:$EX$9=$H88)*$AJ88,'General Inputs'!$K$40:$BK$40)+SUMPRODUCT(--($CX$9:$EX$9=$H88+$AH88)*-$AK88,'General Inputs'!$K$43:$BK$43)</f>
        <v>0</v>
      </c>
      <c r="AS88" s="100">
        <f ca="1">CONVERT(SUMPRODUCT($CX88:$EX88,'General Inputs'!$K$29:$BK$29,'General Inputs'!$K$40:$BK$40)*$M88,$Q$8,'General Inputs'!$E$17)</f>
        <v>0</v>
      </c>
      <c r="AT88" s="100">
        <f ca="1">SUMPRODUCT(--($CX$9:$EX$9=$H88)*$AN88,'General Inputs'!$K$40:$BK$40)</f>
        <v>0</v>
      </c>
      <c r="AU88" s="100">
        <f>SUMPRODUCT(--($CX$9:$EX$9=$H88)*$AO88,'General Inputs'!$K$40:$BK$40)</f>
        <v>0</v>
      </c>
      <c r="AV88" s="100">
        <f ca="1">CONVERT(SUMPRODUCT($CX88:$EX88,'General Inputs'!$K$40:$BK$40,OFFSET('General Inputs'!$K$34:$BK$34,MATCH($D88,'General Inputs'!$J$34:$J$35,0)-1,)),$Q$8,'General Inputs'!$G$32)</f>
        <v>0</v>
      </c>
      <c r="AW88" s="100">
        <f ca="1">CONVERT(SUMPRODUCT($CX88:$EX88,'General Inputs'!$K$27:$BK$27,'General Inputs'!$K$40:$BK$40)*$M88,$Q$8,'General Inputs'!$E$17)</f>
        <v>0</v>
      </c>
      <c r="AX88" s="100">
        <f ca="1">CONVERT(SUMPRODUCT($EZ88:$GZ88,'General Inputs'!$K$28:$BK$28,'General Inputs'!$K$40:$BK$40)*$M88,$Q$8,'General Inputs'!$E$17)</f>
        <v>0</v>
      </c>
      <c r="AY88" s="98">
        <f ca="1">SUMPRODUCT($CX88:$EX88,'General Inputs'!$K$40:$BK$40)</f>
        <v>0</v>
      </c>
      <c r="AZ88" s="37"/>
      <c r="BA88" s="100">
        <f t="shared" ca="1" si="351"/>
        <v>0</v>
      </c>
      <c r="BB88" s="102" t="e">
        <f t="shared" ca="1" si="352"/>
        <v>#DIV/0!</v>
      </c>
      <c r="BC88" s="100">
        <f t="shared" ca="1" si="273"/>
        <v>0</v>
      </c>
      <c r="BD88" s="100">
        <f t="shared" ca="1" si="274"/>
        <v>0</v>
      </c>
      <c r="BE88" s="100">
        <f t="shared" ca="1" si="275"/>
        <v>0</v>
      </c>
      <c r="BF88" s="100">
        <f t="shared" ref="BF88:BF97" ca="1" si="394">$AX88</f>
        <v>0</v>
      </c>
      <c r="BG88" s="100">
        <f t="shared" si="277"/>
        <v>0</v>
      </c>
      <c r="BH88" s="100">
        <f t="shared" ca="1" si="278"/>
        <v>0</v>
      </c>
      <c r="BI88" s="37"/>
      <c r="BJ88" s="100">
        <f t="shared" ca="1" si="353"/>
        <v>0</v>
      </c>
      <c r="BK88" s="102" t="e">
        <f t="shared" ca="1" si="354"/>
        <v>#DIV/0!</v>
      </c>
      <c r="BL88" s="100">
        <f t="shared" ca="1" si="279"/>
        <v>0</v>
      </c>
      <c r="BM88" s="100">
        <f t="shared" ca="1" si="393"/>
        <v>0</v>
      </c>
      <c r="BN88" s="100">
        <f t="shared" ca="1" si="280"/>
        <v>0</v>
      </c>
      <c r="BO88" s="100">
        <f t="shared" ca="1" si="281"/>
        <v>0</v>
      </c>
      <c r="BP88" s="100">
        <f t="shared" ca="1" si="282"/>
        <v>0</v>
      </c>
      <c r="BQ88" s="100">
        <f t="shared" si="283"/>
        <v>0</v>
      </c>
      <c r="BR88" s="100">
        <f t="shared" ca="1" si="284"/>
        <v>0</v>
      </c>
      <c r="BS88" s="37"/>
      <c r="BT88" s="100">
        <f t="shared" ca="1" si="355"/>
        <v>0</v>
      </c>
      <c r="BU88" s="102" t="e">
        <f t="shared" ca="1" si="356"/>
        <v>#DIV/0!</v>
      </c>
      <c r="BV88" s="102" t="e">
        <f t="shared" ca="1" si="285"/>
        <v>#DIV/0!</v>
      </c>
      <c r="BW88" s="100">
        <f t="shared" ca="1" si="286"/>
        <v>0</v>
      </c>
      <c r="BX88" s="100">
        <f t="shared" ca="1" si="287"/>
        <v>0</v>
      </c>
      <c r="BY88" s="100">
        <f t="shared" ca="1" si="288"/>
        <v>0</v>
      </c>
      <c r="BZ88" s="100">
        <f t="shared" ca="1" si="289"/>
        <v>0</v>
      </c>
      <c r="CA88" s="100">
        <f t="shared" ca="1" si="290"/>
        <v>0</v>
      </c>
      <c r="CB88" s="37"/>
      <c r="CC88" s="100">
        <f t="shared" ca="1" si="357"/>
        <v>0</v>
      </c>
      <c r="CD88" s="102" t="e">
        <f t="shared" ca="1" si="358"/>
        <v>#DIV/0!</v>
      </c>
      <c r="CE88" s="103" t="e">
        <f t="shared" ca="1" si="291"/>
        <v>#DIV/0!</v>
      </c>
      <c r="CF88" s="100">
        <f t="shared" ca="1" si="292"/>
        <v>0</v>
      </c>
      <c r="CG88" s="100">
        <f t="shared" ca="1" si="293"/>
        <v>0</v>
      </c>
      <c r="CH88" s="100">
        <f t="shared" ca="1" si="294"/>
        <v>0</v>
      </c>
      <c r="CI88" s="100">
        <f t="shared" ca="1" si="382"/>
        <v>0</v>
      </c>
      <c r="CJ88" s="100">
        <f t="shared" ca="1" si="383"/>
        <v>0</v>
      </c>
      <c r="CK88" s="100">
        <f t="shared" si="295"/>
        <v>0</v>
      </c>
      <c r="CL88" s="37"/>
      <c r="CM88" s="100">
        <f t="shared" ca="1" si="359"/>
        <v>0</v>
      </c>
      <c r="CN88" s="102" t="e">
        <f t="shared" ca="1" si="360"/>
        <v>#DIV/0!</v>
      </c>
      <c r="CO88" s="128"/>
      <c r="CP88" s="100">
        <f t="shared" ca="1" si="296"/>
        <v>0</v>
      </c>
      <c r="CQ88" s="100">
        <f t="shared" ca="1" si="297"/>
        <v>0</v>
      </c>
      <c r="CR88" s="100">
        <f t="shared" ca="1" si="298"/>
        <v>0</v>
      </c>
      <c r="CS88" s="100">
        <f t="shared" ca="1" si="384"/>
        <v>0</v>
      </c>
      <c r="CT88" s="100">
        <f t="shared" ca="1" si="299"/>
        <v>0</v>
      </c>
      <c r="CU88" s="100">
        <f t="shared" ca="1" si="300"/>
        <v>0</v>
      </c>
      <c r="CV88" s="100">
        <f t="shared" si="301"/>
        <v>0</v>
      </c>
      <c r="CW88" s="37"/>
      <c r="CX88" s="48">
        <f t="shared" ca="1" si="391"/>
        <v>0</v>
      </c>
      <c r="CY88" s="48">
        <f t="shared" ca="1" si="391"/>
        <v>0</v>
      </c>
      <c r="CZ88" s="48">
        <f t="shared" ca="1" si="391"/>
        <v>0</v>
      </c>
      <c r="DA88" s="48">
        <f t="shared" ca="1" si="391"/>
        <v>0</v>
      </c>
      <c r="DB88" s="48">
        <f t="shared" ca="1" si="391"/>
        <v>0</v>
      </c>
      <c r="DC88" s="48">
        <f t="shared" ca="1" si="391"/>
        <v>0</v>
      </c>
      <c r="DD88" s="48">
        <f t="shared" ca="1" si="391"/>
        <v>0</v>
      </c>
      <c r="DE88" s="48">
        <f t="shared" ca="1" si="391"/>
        <v>0</v>
      </c>
      <c r="DF88" s="48">
        <f t="shared" ca="1" si="391"/>
        <v>0</v>
      </c>
      <c r="DG88" s="48">
        <f t="shared" ca="1" si="391"/>
        <v>0</v>
      </c>
      <c r="DH88" s="48">
        <f t="shared" ca="1" si="391"/>
        <v>0</v>
      </c>
      <c r="DI88" s="48">
        <f t="shared" ca="1" si="391"/>
        <v>0</v>
      </c>
      <c r="DJ88" s="48">
        <f t="shared" ca="1" si="391"/>
        <v>0</v>
      </c>
      <c r="DK88" s="48">
        <f t="shared" ca="1" si="391"/>
        <v>0</v>
      </c>
      <c r="DL88" s="48">
        <f t="shared" ca="1" si="391"/>
        <v>0</v>
      </c>
      <c r="DM88" s="48">
        <f t="shared" ca="1" si="389"/>
        <v>0</v>
      </c>
      <c r="DN88" s="48">
        <f t="shared" ca="1" si="389"/>
        <v>0</v>
      </c>
      <c r="DO88" s="48">
        <f t="shared" ca="1" si="389"/>
        <v>0</v>
      </c>
      <c r="DP88" s="48">
        <f t="shared" ca="1" si="389"/>
        <v>0</v>
      </c>
      <c r="DQ88" s="48">
        <f t="shared" ca="1" si="389"/>
        <v>0</v>
      </c>
      <c r="DR88" s="48">
        <f t="shared" ca="1" si="389"/>
        <v>0</v>
      </c>
      <c r="DS88" s="48">
        <f t="shared" ca="1" si="389"/>
        <v>0</v>
      </c>
      <c r="DT88" s="48">
        <f t="shared" ca="1" si="389"/>
        <v>0</v>
      </c>
      <c r="DU88" s="48">
        <f t="shared" ca="1" si="389"/>
        <v>0</v>
      </c>
      <c r="DV88" s="48">
        <f t="shared" ca="1" si="389"/>
        <v>0</v>
      </c>
      <c r="DW88" s="48">
        <f t="shared" ca="1" si="389"/>
        <v>0</v>
      </c>
      <c r="DX88" s="48">
        <f t="shared" ca="1" si="389"/>
        <v>0</v>
      </c>
      <c r="DY88" s="48">
        <f t="shared" ca="1" si="389"/>
        <v>0</v>
      </c>
      <c r="DZ88" s="48">
        <f t="shared" ca="1" si="389"/>
        <v>0</v>
      </c>
      <c r="EA88" s="48">
        <f t="shared" ca="1" si="385"/>
        <v>0</v>
      </c>
      <c r="EB88" s="48">
        <f t="shared" ca="1" si="385"/>
        <v>0</v>
      </c>
      <c r="EC88" s="48">
        <f t="shared" ca="1" si="385"/>
        <v>0</v>
      </c>
      <c r="ED88" s="48">
        <f t="shared" ca="1" si="385"/>
        <v>0</v>
      </c>
      <c r="EE88" s="48">
        <f t="shared" ca="1" si="385"/>
        <v>0</v>
      </c>
      <c r="EF88" s="48">
        <f t="shared" ca="1" si="385"/>
        <v>0</v>
      </c>
      <c r="EG88" s="48">
        <f t="shared" ca="1" si="385"/>
        <v>0</v>
      </c>
      <c r="EH88" s="48">
        <f t="shared" ca="1" si="385"/>
        <v>0</v>
      </c>
      <c r="EI88" s="48">
        <f t="shared" ca="1" si="385"/>
        <v>0</v>
      </c>
      <c r="EJ88" s="48">
        <f t="shared" ca="1" si="385"/>
        <v>0</v>
      </c>
      <c r="EK88" s="48">
        <f t="shared" ca="1" si="385"/>
        <v>0</v>
      </c>
      <c r="EL88" s="48">
        <f t="shared" ca="1" si="385"/>
        <v>0</v>
      </c>
      <c r="EM88" s="48">
        <f t="shared" ca="1" si="385"/>
        <v>0</v>
      </c>
      <c r="EN88" s="48">
        <f t="shared" ca="1" si="385"/>
        <v>0</v>
      </c>
      <c r="EO88" s="48">
        <f t="shared" ca="1" si="385"/>
        <v>0</v>
      </c>
      <c r="EP88" s="48">
        <f t="shared" ca="1" si="385"/>
        <v>0</v>
      </c>
      <c r="EQ88" s="48">
        <f t="shared" ca="1" si="386"/>
        <v>0</v>
      </c>
      <c r="ER88" s="48">
        <f t="shared" ca="1" si="386"/>
        <v>0</v>
      </c>
      <c r="ES88" s="48">
        <f t="shared" ca="1" si="374"/>
        <v>0</v>
      </c>
      <c r="ET88" s="48">
        <f t="shared" ca="1" si="364"/>
        <v>0</v>
      </c>
      <c r="EU88" s="48">
        <f t="shared" ca="1" si="364"/>
        <v>0</v>
      </c>
      <c r="EV88" s="48">
        <f t="shared" ca="1" si="364"/>
        <v>0</v>
      </c>
      <c r="EW88" s="48">
        <f t="shared" ca="1" si="364"/>
        <v>0</v>
      </c>
      <c r="EX88" s="48">
        <f t="shared" ca="1" si="364"/>
        <v>0</v>
      </c>
      <c r="EY88" s="69"/>
      <c r="EZ88" s="48">
        <f t="shared" ca="1" si="392"/>
        <v>0</v>
      </c>
      <c r="FA88" s="48">
        <f t="shared" ca="1" si="392"/>
        <v>0</v>
      </c>
      <c r="FB88" s="48">
        <f t="shared" ca="1" si="392"/>
        <v>0</v>
      </c>
      <c r="FC88" s="48">
        <f t="shared" ca="1" si="392"/>
        <v>0</v>
      </c>
      <c r="FD88" s="48">
        <f t="shared" ca="1" si="392"/>
        <v>0</v>
      </c>
      <c r="FE88" s="48">
        <f t="shared" ca="1" si="392"/>
        <v>0</v>
      </c>
      <c r="FF88" s="48">
        <f t="shared" ca="1" si="392"/>
        <v>0</v>
      </c>
      <c r="FG88" s="48">
        <f t="shared" ca="1" si="392"/>
        <v>0</v>
      </c>
      <c r="FH88" s="48">
        <f t="shared" ca="1" si="392"/>
        <v>0</v>
      </c>
      <c r="FI88" s="48">
        <f t="shared" ca="1" si="392"/>
        <v>0</v>
      </c>
      <c r="FJ88" s="48">
        <f t="shared" ca="1" si="392"/>
        <v>0</v>
      </c>
      <c r="FK88" s="48">
        <f t="shared" ca="1" si="392"/>
        <v>0</v>
      </c>
      <c r="FL88" s="48">
        <f t="shared" ca="1" si="392"/>
        <v>0</v>
      </c>
      <c r="FM88" s="48">
        <f t="shared" ca="1" si="392"/>
        <v>0</v>
      </c>
      <c r="FN88" s="48">
        <f t="shared" ca="1" si="392"/>
        <v>0</v>
      </c>
      <c r="FO88" s="48">
        <f t="shared" ca="1" si="390"/>
        <v>0</v>
      </c>
      <c r="FP88" s="48">
        <f t="shared" ca="1" si="390"/>
        <v>0</v>
      </c>
      <c r="FQ88" s="48">
        <f t="shared" ca="1" si="390"/>
        <v>0</v>
      </c>
      <c r="FR88" s="48">
        <f t="shared" ca="1" si="390"/>
        <v>0</v>
      </c>
      <c r="FS88" s="48">
        <f t="shared" ca="1" si="390"/>
        <v>0</v>
      </c>
      <c r="FT88" s="48">
        <f t="shared" ca="1" si="390"/>
        <v>0</v>
      </c>
      <c r="FU88" s="48">
        <f t="shared" ca="1" si="390"/>
        <v>0</v>
      </c>
      <c r="FV88" s="48">
        <f t="shared" ca="1" si="390"/>
        <v>0</v>
      </c>
      <c r="FW88" s="48">
        <f t="shared" ca="1" si="390"/>
        <v>0</v>
      </c>
      <c r="FX88" s="48">
        <f t="shared" ca="1" si="390"/>
        <v>0</v>
      </c>
      <c r="FY88" s="48">
        <f t="shared" ca="1" si="390"/>
        <v>0</v>
      </c>
      <c r="FZ88" s="48">
        <f t="shared" ca="1" si="390"/>
        <v>0</v>
      </c>
      <c r="GA88" s="48">
        <f t="shared" ca="1" si="390"/>
        <v>0</v>
      </c>
      <c r="GB88" s="48">
        <f t="shared" ca="1" si="390"/>
        <v>0</v>
      </c>
      <c r="GC88" s="48">
        <f t="shared" ca="1" si="387"/>
        <v>0</v>
      </c>
      <c r="GD88" s="48">
        <f t="shared" ca="1" si="387"/>
        <v>0</v>
      </c>
      <c r="GE88" s="48">
        <f t="shared" ca="1" si="387"/>
        <v>0</v>
      </c>
      <c r="GF88" s="48">
        <f t="shared" ca="1" si="387"/>
        <v>0</v>
      </c>
      <c r="GG88" s="48">
        <f t="shared" ca="1" si="387"/>
        <v>0</v>
      </c>
      <c r="GH88" s="48">
        <f t="shared" ca="1" si="387"/>
        <v>0</v>
      </c>
      <c r="GI88" s="48">
        <f t="shared" ca="1" si="387"/>
        <v>0</v>
      </c>
      <c r="GJ88" s="48">
        <f t="shared" ca="1" si="387"/>
        <v>0</v>
      </c>
      <c r="GK88" s="48">
        <f t="shared" ca="1" si="387"/>
        <v>0</v>
      </c>
      <c r="GL88" s="48">
        <f t="shared" ca="1" si="387"/>
        <v>0</v>
      </c>
      <c r="GM88" s="48">
        <f t="shared" ca="1" si="387"/>
        <v>0</v>
      </c>
      <c r="GN88" s="48">
        <f t="shared" ca="1" si="387"/>
        <v>0</v>
      </c>
      <c r="GO88" s="48">
        <f t="shared" ca="1" si="387"/>
        <v>0</v>
      </c>
      <c r="GP88" s="48">
        <f t="shared" ca="1" si="387"/>
        <v>0</v>
      </c>
      <c r="GQ88" s="48">
        <f t="shared" ca="1" si="387"/>
        <v>0</v>
      </c>
      <c r="GR88" s="48">
        <f t="shared" ca="1" si="387"/>
        <v>0</v>
      </c>
      <c r="GS88" s="48">
        <f t="shared" ca="1" si="388"/>
        <v>0</v>
      </c>
      <c r="GT88" s="48">
        <f t="shared" ca="1" si="388"/>
        <v>0</v>
      </c>
      <c r="GU88" s="48">
        <f t="shared" ca="1" si="377"/>
        <v>0</v>
      </c>
      <c r="GV88" s="48">
        <f t="shared" ca="1" si="368"/>
        <v>0</v>
      </c>
      <c r="GW88" s="48">
        <f t="shared" ca="1" si="368"/>
        <v>0</v>
      </c>
      <c r="GX88" s="48">
        <f t="shared" ca="1" si="368"/>
        <v>0</v>
      </c>
      <c r="GY88" s="48">
        <f t="shared" ca="1" si="368"/>
        <v>0</v>
      </c>
      <c r="GZ88" s="48">
        <f t="shared" ca="1" si="368"/>
        <v>0</v>
      </c>
      <c r="HA88" s="69"/>
      <c r="HB88" s="150" t="str">
        <f t="shared" ca="1" si="380"/>
        <v>n/a</v>
      </c>
      <c r="HC88" s="150" t="str">
        <f t="shared" ca="1" si="369"/>
        <v>n/a</v>
      </c>
      <c r="HD88" s="150" t="str">
        <f t="shared" ca="1" si="381"/>
        <v>n/a</v>
      </c>
      <c r="HE88" s="150" t="str">
        <f t="shared" ca="1" si="370"/>
        <v>n/a</v>
      </c>
      <c r="HF88" s="150" t="str">
        <f t="shared" ca="1" si="371"/>
        <v>n/a</v>
      </c>
      <c r="HG88" s="148"/>
      <c r="HH88" s="149"/>
      <c r="HI88" s="149"/>
      <c r="HJ88" s="149"/>
      <c r="HK88" s="150"/>
      <c r="HL88" s="149"/>
      <c r="HM88" s="149"/>
      <c r="HN88" s="149"/>
      <c r="HO88" s="150"/>
      <c r="HP88" s="148"/>
      <c r="HQ88" s="149"/>
      <c r="HR88" s="149"/>
      <c r="HS88" s="149"/>
      <c r="HT88" s="150"/>
      <c r="HU88" s="149"/>
      <c r="HV88" s="149"/>
      <c r="HW88" s="149"/>
      <c r="HX88" s="150"/>
      <c r="HY88" s="151"/>
      <c r="HZ88" s="150"/>
      <c r="IA88" s="150"/>
      <c r="IB88" s="152"/>
      <c r="IC88" s="150"/>
      <c r="ID88" s="152"/>
      <c r="IE88" s="150"/>
      <c r="IF88" s="153"/>
    </row>
    <row r="89" spans="1:240" s="36" customFormat="1" ht="14.4" customHeight="1">
      <c r="A89" s="39"/>
      <c r="B89" s="50" t="str">
        <f t="shared" si="340"/>
        <v>C&amp;I_C&amp;I Prescriptive_Lighting_Fixture Mount Occupancy_2017_Actual</v>
      </c>
      <c r="C89" s="50">
        <f>INDEX('Measure Inputs'!$D:$D,MATCH($B89,'Measure Inputs'!$B:$B,0))</f>
        <v>55</v>
      </c>
      <c r="D89" s="51" t="str">
        <f>'Measure Inputs'!G61</f>
        <v>C&amp;I</v>
      </c>
      <c r="E89" s="51" t="str">
        <f>'Measure Inputs'!H61</f>
        <v>C&amp;I Prescriptive</v>
      </c>
      <c r="F89" s="51" t="str">
        <f>'Measure Inputs'!I61</f>
        <v>Lighting</v>
      </c>
      <c r="G89" s="51" t="str">
        <f>'Measure Inputs'!J61</f>
        <v>Fixture Mount Occupancy</v>
      </c>
      <c r="H89" s="51">
        <f>'Measure Inputs'!K61</f>
        <v>2017</v>
      </c>
      <c r="I89" s="51" t="str">
        <f>'Measure Inputs'!L61</f>
        <v>Actual</v>
      </c>
      <c r="J89" s="37"/>
      <c r="K89" s="99" t="str">
        <f ca="1">INDEX(OFFSET('Measure Inputs'!$O$7,,,InputRows),$C89)</f>
        <v>Units</v>
      </c>
      <c r="L89" s="38">
        <f ca="1">INDEX(OFFSET('Measure Inputs'!$Q$7,,,InputRows),$C89)</f>
        <v>8</v>
      </c>
      <c r="M89" s="167">
        <f>INDEX('General Inputs'!$E$14:$E$15,MATCH(D89,'General Inputs'!$D$14:$D$15,0))</f>
        <v>1.0469999999999999</v>
      </c>
      <c r="N89" s="54">
        <f ca="1">INDEX(OFFSET('Measure Inputs'!$Y$7,,,InputRows),$C89)</f>
        <v>1</v>
      </c>
      <c r="O89" s="54">
        <f ca="1">INDEX(OFFSET('Measure Inputs'!$Z$7,,,InputRows),$C89)</f>
        <v>1</v>
      </c>
      <c r="P89" s="37"/>
      <c r="Q89" s="127">
        <f ca="1">CONVERT(INDEX(OFFSET('Measure Inputs'!$AB$7,,,InputRows),$C89),'Measure Inputs'!$AB$6,Q$8)*$L89</f>
        <v>3141.864</v>
      </c>
      <c r="R89" s="127">
        <f t="shared" ca="1" si="341"/>
        <v>3141.864</v>
      </c>
      <c r="S89" s="127">
        <f t="shared" ca="1" si="342"/>
        <v>3141.864</v>
      </c>
      <c r="T89" s="37"/>
      <c r="U89" s="127">
        <f ca="1">CONVERT(INDEX(OFFSET('Measure Inputs'!$AD$7,,,InputRows),$C89),'Measure Inputs'!$AD$6,U$8)*$L89</f>
        <v>0</v>
      </c>
      <c r="V89" s="127">
        <f t="shared" ca="1" si="343"/>
        <v>0</v>
      </c>
      <c r="W89" s="127">
        <f t="shared" ca="1" si="344"/>
        <v>0</v>
      </c>
      <c r="X89" s="37"/>
      <c r="Y89" s="127">
        <f ca="1">CONVERT(INDEX(OFFSET('Measure Inputs'!$AC$7,,,InputRows),$C89),'Measure Inputs'!$AC$6,Y$8)*$L89</f>
        <v>0.67050699999999996</v>
      </c>
      <c r="Z89" s="127">
        <f t="shared" ca="1" si="345"/>
        <v>0.67050699999999996</v>
      </c>
      <c r="AA89" s="127">
        <f t="shared" ca="1" si="346"/>
        <v>0.67050699999999996</v>
      </c>
      <c r="AB89" s="37"/>
      <c r="AC89" s="127">
        <f ca="1">CONVERT(INDEX(OFFSET('Measure Inputs'!$AE$7,,,InputRows),$C89),'Measure Inputs'!$AE$6,AC$8)*$L89</f>
        <v>0</v>
      </c>
      <c r="AD89" s="127">
        <f t="shared" ca="1" si="347"/>
        <v>0</v>
      </c>
      <c r="AE89" s="127">
        <f t="shared" ca="1" si="348"/>
        <v>0</v>
      </c>
      <c r="AF89" s="37"/>
      <c r="AG89" s="97">
        <f ca="1">INDEX(OFFSET('Measure Inputs'!$R$7,,,InputRows),$C89)</f>
        <v>8</v>
      </c>
      <c r="AH89" s="97">
        <f ca="1">INDEX(OFFSET('Measure Inputs'!$S$7,,,InputRows),$C89)</f>
        <v>0</v>
      </c>
      <c r="AI89" s="97">
        <f t="shared" ca="1" si="349"/>
        <v>25134.912000000004</v>
      </c>
      <c r="AJ89" s="100">
        <f ca="1">INDEX(OFFSET('Measure Inputs'!$T$7,,,InputRows),$C89)*$L89*$N89*$O89</f>
        <v>440</v>
      </c>
      <c r="AK89" s="100">
        <f ca="1">INDEX(OFFSET('Measure Inputs'!$U$7,,,InputRows),$C89)*$L89*$N89*$O89</f>
        <v>0</v>
      </c>
      <c r="AL89" s="100">
        <f ca="1">INDEX(OFFSET('Measure Inputs'!$V$7,,,InputRows),$C89)*$L89*$N89*$O89</f>
        <v>0</v>
      </c>
      <c r="AM89" s="100">
        <f ca="1">INDEX(OFFSET('Measure Inputs'!$W$7,,,InputRows),$C89)*$L89*$N89*$O89</f>
        <v>0</v>
      </c>
      <c r="AN89" s="100">
        <f ca="1">INDEX(OFFSET('Measure Inputs'!$X$7,,,InputRows),$C89)*$L89</f>
        <v>224</v>
      </c>
      <c r="AO89" s="100"/>
      <c r="AP89" s="100">
        <f t="shared" ca="1" si="350"/>
        <v>224</v>
      </c>
      <c r="AQ89" s="37"/>
      <c r="AR89" s="100">
        <f ca="1">SUMPRODUCT(--($CX$9:$EX$9=$H89)*$AJ89,'General Inputs'!$K$40:$BK$40)+SUMPRODUCT(--($CX$9:$EX$9=$H89+$AH89)*-$AK89,'General Inputs'!$K$43:$BK$43)</f>
        <v>440</v>
      </c>
      <c r="AS89" s="100">
        <f ca="1">CONVERT(SUMPRODUCT($CX89:$EX89,'General Inputs'!$K$29:$BK$29,'General Inputs'!$K$40:$BK$40)*$M89,$Q$8,'General Inputs'!$E$17)</f>
        <v>227.25726954768467</v>
      </c>
      <c r="AT89" s="100">
        <f ca="1">SUMPRODUCT(--($CX$9:$EX$9=$H89)*$AN89,'General Inputs'!$K$40:$BK$40)</f>
        <v>224</v>
      </c>
      <c r="AU89" s="100">
        <f>SUMPRODUCT(--($CX$9:$EX$9=$H89)*$AO89,'General Inputs'!$K$40:$BK$40)</f>
        <v>0</v>
      </c>
      <c r="AV89" s="100">
        <f ca="1">CONVERT(SUMPRODUCT($CX89:$EX89,'General Inputs'!$K$40:$BK$40,OFFSET('General Inputs'!$K$34:$BK$34,MATCH($D89,'General Inputs'!$J$34:$J$35,0)-1,)),$Q$8,'General Inputs'!$G$32)</f>
        <v>2145.8633766116222</v>
      </c>
      <c r="AW89" s="100">
        <f ca="1">CONVERT(SUMPRODUCT($CX89:$EX89,'General Inputs'!$K$27:$BK$27,'General Inputs'!$K$40:$BK$40)*$M89,$Q$8,'General Inputs'!$E$17)</f>
        <v>869.06693938696242</v>
      </c>
      <c r="AX89" s="100">
        <f ca="1">CONVERT(SUMPRODUCT($EZ89:$GZ89,'General Inputs'!$K$28:$BK$28,'General Inputs'!$K$40:$BK$40)*$M89,$Q$8,'General Inputs'!$E$17)</f>
        <v>69.757559930026744</v>
      </c>
      <c r="AY89" s="98">
        <f ca="1">SUMPRODUCT($CX89:$EX89,'General Inputs'!$K$40:$BK$40)</f>
        <v>19039.969633177891</v>
      </c>
      <c r="AZ89" s="37"/>
      <c r="BA89" s="100">
        <f t="shared" ca="1" si="351"/>
        <v>498.8244993169892</v>
      </c>
      <c r="BB89" s="102">
        <f t="shared" ca="1" si="352"/>
        <v>2.133692043902248</v>
      </c>
      <c r="BC89" s="100">
        <f t="shared" ca="1" si="273"/>
        <v>440</v>
      </c>
      <c r="BD89" s="100">
        <f t="shared" ca="1" si="274"/>
        <v>938.8244993169892</v>
      </c>
      <c r="BE89" s="100">
        <f t="shared" ca="1" si="275"/>
        <v>869.06693938696242</v>
      </c>
      <c r="BF89" s="100">
        <f t="shared" ca="1" si="394"/>
        <v>69.757559930026744</v>
      </c>
      <c r="BG89" s="100">
        <f t="shared" si="277"/>
        <v>0</v>
      </c>
      <c r="BH89" s="100">
        <f t="shared" ca="1" si="278"/>
        <v>440</v>
      </c>
      <c r="BI89" s="37"/>
      <c r="BJ89" s="100">
        <f t="shared" ca="1" si="353"/>
        <v>726.0817688646739</v>
      </c>
      <c r="BK89" s="102">
        <f t="shared" ca="1" si="354"/>
        <v>2.6501858383288042</v>
      </c>
      <c r="BL89" s="100">
        <f t="shared" ca="1" si="279"/>
        <v>440</v>
      </c>
      <c r="BM89" s="100">
        <f t="shared" ca="1" si="393"/>
        <v>1166.0817688646739</v>
      </c>
      <c r="BN89" s="100">
        <f t="shared" ca="1" si="280"/>
        <v>869.06693938696242</v>
      </c>
      <c r="BO89" s="100">
        <f t="shared" ca="1" si="281"/>
        <v>69.757559930026744</v>
      </c>
      <c r="BP89" s="100">
        <f t="shared" ca="1" si="282"/>
        <v>227.25726954768467</v>
      </c>
      <c r="BQ89" s="100">
        <f t="shared" si="283"/>
        <v>0</v>
      </c>
      <c r="BR89" s="100">
        <f t="shared" ca="1" si="284"/>
        <v>440</v>
      </c>
      <c r="BS89" s="37"/>
      <c r="BT89" s="100">
        <f t="shared" ca="1" si="355"/>
        <v>1929.8633766116222</v>
      </c>
      <c r="BU89" s="102">
        <f t="shared" ca="1" si="356"/>
        <v>5.3860531286627777</v>
      </c>
      <c r="BV89" s="102">
        <f t="shared" ca="1" si="285"/>
        <v>1.4853176916185005</v>
      </c>
      <c r="BW89" s="100">
        <f t="shared" ca="1" si="286"/>
        <v>440</v>
      </c>
      <c r="BX89" s="100">
        <f t="shared" ca="1" si="287"/>
        <v>2369.8633766116222</v>
      </c>
      <c r="BY89" s="100">
        <f t="shared" ca="1" si="288"/>
        <v>2145.8633766116222</v>
      </c>
      <c r="BZ89" s="100">
        <f t="shared" ca="1" si="289"/>
        <v>224</v>
      </c>
      <c r="CA89" s="100">
        <f t="shared" ca="1" si="290"/>
        <v>440</v>
      </c>
      <c r="CB89" s="37"/>
      <c r="CC89" s="100">
        <f t="shared" ca="1" si="357"/>
        <v>714.8244993169892</v>
      </c>
      <c r="CD89" s="102">
        <f t="shared" ca="1" si="358"/>
        <v>4.1911808005222735</v>
      </c>
      <c r="CE89" s="103">
        <f t="shared" ca="1" si="291"/>
        <v>-0.25031329033758809</v>
      </c>
      <c r="CF89" s="100">
        <f t="shared" ca="1" si="292"/>
        <v>224</v>
      </c>
      <c r="CG89" s="100">
        <f t="shared" ca="1" si="293"/>
        <v>938.8244993169892</v>
      </c>
      <c r="CH89" s="100">
        <f t="shared" ca="1" si="294"/>
        <v>869.06693938696242</v>
      </c>
      <c r="CI89" s="100">
        <f t="shared" ca="1" si="382"/>
        <v>69.757559930026744</v>
      </c>
      <c r="CJ89" s="100">
        <f t="shared" ca="1" si="383"/>
        <v>224</v>
      </c>
      <c r="CK89" s="100">
        <f t="shared" si="295"/>
        <v>0</v>
      </c>
      <c r="CL89" s="37"/>
      <c r="CM89" s="100">
        <f t="shared" ca="1" si="359"/>
        <v>-1431.038877294633</v>
      </c>
      <c r="CN89" s="102">
        <f t="shared" ca="1" si="360"/>
        <v>0.39615131765920597</v>
      </c>
      <c r="CO89" s="128"/>
      <c r="CP89" s="100">
        <f t="shared" ca="1" si="296"/>
        <v>2369.8633766116222</v>
      </c>
      <c r="CQ89" s="100">
        <f t="shared" ca="1" si="297"/>
        <v>938.8244993169892</v>
      </c>
      <c r="CR89" s="100">
        <f t="shared" ca="1" si="298"/>
        <v>869.06693938696242</v>
      </c>
      <c r="CS89" s="100">
        <f t="shared" ca="1" si="384"/>
        <v>69.757559930026744</v>
      </c>
      <c r="CT89" s="100">
        <f t="shared" ca="1" si="299"/>
        <v>2145.8633766116222</v>
      </c>
      <c r="CU89" s="100">
        <f t="shared" ca="1" si="300"/>
        <v>224</v>
      </c>
      <c r="CV89" s="100">
        <f t="shared" si="301"/>
        <v>0</v>
      </c>
      <c r="CW89" s="37"/>
      <c r="CX89" s="48">
        <f t="shared" ca="1" si="391"/>
        <v>3141.864</v>
      </c>
      <c r="CY89" s="48">
        <f t="shared" ca="1" si="391"/>
        <v>3141.864</v>
      </c>
      <c r="CZ89" s="48">
        <f t="shared" ca="1" si="391"/>
        <v>3141.864</v>
      </c>
      <c r="DA89" s="48">
        <f t="shared" ca="1" si="391"/>
        <v>3141.864</v>
      </c>
      <c r="DB89" s="48">
        <f t="shared" ca="1" si="391"/>
        <v>3141.864</v>
      </c>
      <c r="DC89" s="48">
        <f t="shared" ca="1" si="391"/>
        <v>3141.864</v>
      </c>
      <c r="DD89" s="48">
        <f t="shared" ca="1" si="391"/>
        <v>3141.864</v>
      </c>
      <c r="DE89" s="48">
        <f t="shared" ca="1" si="391"/>
        <v>3141.864</v>
      </c>
      <c r="DF89" s="48">
        <f t="shared" ca="1" si="391"/>
        <v>0</v>
      </c>
      <c r="DG89" s="48">
        <f t="shared" ca="1" si="391"/>
        <v>0</v>
      </c>
      <c r="DH89" s="48">
        <f t="shared" ca="1" si="391"/>
        <v>0</v>
      </c>
      <c r="DI89" s="48">
        <f t="shared" ca="1" si="391"/>
        <v>0</v>
      </c>
      <c r="DJ89" s="48">
        <f t="shared" ca="1" si="391"/>
        <v>0</v>
      </c>
      <c r="DK89" s="48">
        <f t="shared" ca="1" si="391"/>
        <v>0</v>
      </c>
      <c r="DL89" s="48">
        <f t="shared" ca="1" si="391"/>
        <v>0</v>
      </c>
      <c r="DM89" s="48">
        <f t="shared" ca="1" si="389"/>
        <v>0</v>
      </c>
      <c r="DN89" s="48">
        <f t="shared" ca="1" si="389"/>
        <v>0</v>
      </c>
      <c r="DO89" s="48">
        <f t="shared" ca="1" si="389"/>
        <v>0</v>
      </c>
      <c r="DP89" s="48">
        <f t="shared" ca="1" si="389"/>
        <v>0</v>
      </c>
      <c r="DQ89" s="48">
        <f t="shared" ca="1" si="389"/>
        <v>0</v>
      </c>
      <c r="DR89" s="48">
        <f t="shared" ca="1" si="389"/>
        <v>0</v>
      </c>
      <c r="DS89" s="48">
        <f t="shared" ca="1" si="389"/>
        <v>0</v>
      </c>
      <c r="DT89" s="48">
        <f t="shared" ca="1" si="389"/>
        <v>0</v>
      </c>
      <c r="DU89" s="48">
        <f t="shared" ca="1" si="389"/>
        <v>0</v>
      </c>
      <c r="DV89" s="48">
        <f t="shared" ca="1" si="389"/>
        <v>0</v>
      </c>
      <c r="DW89" s="48">
        <f t="shared" ca="1" si="389"/>
        <v>0</v>
      </c>
      <c r="DX89" s="48">
        <f t="shared" ca="1" si="389"/>
        <v>0</v>
      </c>
      <c r="DY89" s="48">
        <f t="shared" ca="1" si="389"/>
        <v>0</v>
      </c>
      <c r="DZ89" s="48">
        <f t="shared" ca="1" si="389"/>
        <v>0</v>
      </c>
      <c r="EA89" s="48">
        <f t="shared" ca="1" si="385"/>
        <v>0</v>
      </c>
      <c r="EB89" s="48">
        <f t="shared" ca="1" si="385"/>
        <v>0</v>
      </c>
      <c r="EC89" s="48">
        <f t="shared" ca="1" si="385"/>
        <v>0</v>
      </c>
      <c r="ED89" s="48">
        <f t="shared" ca="1" si="385"/>
        <v>0</v>
      </c>
      <c r="EE89" s="48">
        <f t="shared" ca="1" si="385"/>
        <v>0</v>
      </c>
      <c r="EF89" s="48">
        <f t="shared" ca="1" si="385"/>
        <v>0</v>
      </c>
      <c r="EG89" s="48">
        <f t="shared" ca="1" si="385"/>
        <v>0</v>
      </c>
      <c r="EH89" s="48">
        <f t="shared" ca="1" si="385"/>
        <v>0</v>
      </c>
      <c r="EI89" s="48">
        <f t="shared" ca="1" si="385"/>
        <v>0</v>
      </c>
      <c r="EJ89" s="48">
        <f t="shared" ca="1" si="385"/>
        <v>0</v>
      </c>
      <c r="EK89" s="48">
        <f t="shared" ca="1" si="385"/>
        <v>0</v>
      </c>
      <c r="EL89" s="48">
        <f t="shared" ca="1" si="385"/>
        <v>0</v>
      </c>
      <c r="EM89" s="48">
        <f t="shared" ca="1" si="385"/>
        <v>0</v>
      </c>
      <c r="EN89" s="48">
        <f t="shared" ref="EN89:EP97" ca="1" si="395">IF(AND($H89&lt;=EN$9,$H89+$AG89&gt;EN$9),IF(AND($H89+$AH89&lt;=EN$9,$AH89&gt;0),$W89,$S89),0)</f>
        <v>0</v>
      </c>
      <c r="EO89" s="48">
        <f t="shared" ca="1" si="395"/>
        <v>0</v>
      </c>
      <c r="EP89" s="48">
        <f t="shared" ca="1" si="395"/>
        <v>0</v>
      </c>
      <c r="EQ89" s="48">
        <f t="shared" ca="1" si="386"/>
        <v>0</v>
      </c>
      <c r="ER89" s="48">
        <f t="shared" ca="1" si="386"/>
        <v>0</v>
      </c>
      <c r="ES89" s="48">
        <f t="shared" ca="1" si="374"/>
        <v>0</v>
      </c>
      <c r="ET89" s="48">
        <f t="shared" ca="1" si="364"/>
        <v>0</v>
      </c>
      <c r="EU89" s="48">
        <f t="shared" ca="1" si="364"/>
        <v>0</v>
      </c>
      <c r="EV89" s="48">
        <f t="shared" ca="1" si="364"/>
        <v>0</v>
      </c>
      <c r="EW89" s="48">
        <f t="shared" ca="1" si="364"/>
        <v>0</v>
      </c>
      <c r="EX89" s="48">
        <f t="shared" ca="1" si="364"/>
        <v>0</v>
      </c>
      <c r="EY89" s="69"/>
      <c r="EZ89" s="48">
        <f t="shared" ca="1" si="392"/>
        <v>0.67050699999999996</v>
      </c>
      <c r="FA89" s="48">
        <f t="shared" ca="1" si="392"/>
        <v>0.67050699999999996</v>
      </c>
      <c r="FB89" s="48">
        <f t="shared" ca="1" si="392"/>
        <v>0.67050699999999996</v>
      </c>
      <c r="FC89" s="48">
        <f t="shared" ca="1" si="392"/>
        <v>0.67050699999999996</v>
      </c>
      <c r="FD89" s="48">
        <f t="shared" ca="1" si="392"/>
        <v>0.67050699999999996</v>
      </c>
      <c r="FE89" s="48">
        <f t="shared" ca="1" si="392"/>
        <v>0.67050699999999996</v>
      </c>
      <c r="FF89" s="48">
        <f t="shared" ca="1" si="392"/>
        <v>0.67050699999999996</v>
      </c>
      <c r="FG89" s="48">
        <f t="shared" ca="1" si="392"/>
        <v>0.67050699999999996</v>
      </c>
      <c r="FH89" s="48">
        <f t="shared" ca="1" si="392"/>
        <v>0</v>
      </c>
      <c r="FI89" s="48">
        <f t="shared" ca="1" si="392"/>
        <v>0</v>
      </c>
      <c r="FJ89" s="48">
        <f t="shared" ca="1" si="392"/>
        <v>0</v>
      </c>
      <c r="FK89" s="48">
        <f t="shared" ca="1" si="392"/>
        <v>0</v>
      </c>
      <c r="FL89" s="48">
        <f t="shared" ca="1" si="392"/>
        <v>0</v>
      </c>
      <c r="FM89" s="48">
        <f t="shared" ca="1" si="392"/>
        <v>0</v>
      </c>
      <c r="FN89" s="48">
        <f t="shared" ca="1" si="392"/>
        <v>0</v>
      </c>
      <c r="FO89" s="48">
        <f t="shared" ca="1" si="390"/>
        <v>0</v>
      </c>
      <c r="FP89" s="48">
        <f t="shared" ca="1" si="390"/>
        <v>0</v>
      </c>
      <c r="FQ89" s="48">
        <f t="shared" ca="1" si="390"/>
        <v>0</v>
      </c>
      <c r="FR89" s="48">
        <f t="shared" ca="1" si="390"/>
        <v>0</v>
      </c>
      <c r="FS89" s="48">
        <f t="shared" ca="1" si="390"/>
        <v>0</v>
      </c>
      <c r="FT89" s="48">
        <f t="shared" ca="1" si="390"/>
        <v>0</v>
      </c>
      <c r="FU89" s="48">
        <f t="shared" ca="1" si="390"/>
        <v>0</v>
      </c>
      <c r="FV89" s="48">
        <f t="shared" ca="1" si="390"/>
        <v>0</v>
      </c>
      <c r="FW89" s="48">
        <f t="shared" ca="1" si="390"/>
        <v>0</v>
      </c>
      <c r="FX89" s="48">
        <f t="shared" ca="1" si="390"/>
        <v>0</v>
      </c>
      <c r="FY89" s="48">
        <f t="shared" ca="1" si="390"/>
        <v>0</v>
      </c>
      <c r="FZ89" s="48">
        <f t="shared" ca="1" si="390"/>
        <v>0</v>
      </c>
      <c r="GA89" s="48">
        <f t="shared" ca="1" si="390"/>
        <v>0</v>
      </c>
      <c r="GB89" s="48">
        <f t="shared" ca="1" si="390"/>
        <v>0</v>
      </c>
      <c r="GC89" s="48">
        <f t="shared" ca="1" si="387"/>
        <v>0</v>
      </c>
      <c r="GD89" s="48">
        <f t="shared" ca="1" si="387"/>
        <v>0</v>
      </c>
      <c r="GE89" s="48">
        <f t="shared" ca="1" si="387"/>
        <v>0</v>
      </c>
      <c r="GF89" s="48">
        <f t="shared" ca="1" si="387"/>
        <v>0</v>
      </c>
      <c r="GG89" s="48">
        <f t="shared" ca="1" si="387"/>
        <v>0</v>
      </c>
      <c r="GH89" s="48">
        <f t="shared" ca="1" si="387"/>
        <v>0</v>
      </c>
      <c r="GI89" s="48">
        <f t="shared" ca="1" si="387"/>
        <v>0</v>
      </c>
      <c r="GJ89" s="48">
        <f t="shared" ca="1" si="387"/>
        <v>0</v>
      </c>
      <c r="GK89" s="48">
        <f t="shared" ca="1" si="387"/>
        <v>0</v>
      </c>
      <c r="GL89" s="48">
        <f t="shared" ca="1" si="387"/>
        <v>0</v>
      </c>
      <c r="GM89" s="48">
        <f t="shared" ca="1" si="387"/>
        <v>0</v>
      </c>
      <c r="GN89" s="48">
        <f t="shared" ca="1" si="387"/>
        <v>0</v>
      </c>
      <c r="GO89" s="48">
        <f t="shared" ca="1" si="387"/>
        <v>0</v>
      </c>
      <c r="GP89" s="48">
        <f t="shared" ref="GP89:GR97" ca="1" si="396">IF(AND($H89&lt;=GP$9,$H89+$AG89&gt;GP$9),IF(AND($H89+$AH89&lt;=GP$9,$AH89&gt;0),$AE89,$AA89),0)</f>
        <v>0</v>
      </c>
      <c r="GQ89" s="48">
        <f t="shared" ca="1" si="396"/>
        <v>0</v>
      </c>
      <c r="GR89" s="48">
        <f t="shared" ca="1" si="396"/>
        <v>0</v>
      </c>
      <c r="GS89" s="48">
        <f t="shared" ca="1" si="388"/>
        <v>0</v>
      </c>
      <c r="GT89" s="48">
        <f t="shared" ca="1" si="388"/>
        <v>0</v>
      </c>
      <c r="GU89" s="48">
        <f t="shared" ca="1" si="377"/>
        <v>0</v>
      </c>
      <c r="GV89" s="48">
        <f t="shared" ca="1" si="368"/>
        <v>0</v>
      </c>
      <c r="GW89" s="48">
        <f t="shared" ca="1" si="368"/>
        <v>0</v>
      </c>
      <c r="GX89" s="48">
        <f t="shared" ca="1" si="368"/>
        <v>0</v>
      </c>
      <c r="GY89" s="48">
        <f t="shared" ca="1" si="368"/>
        <v>0</v>
      </c>
      <c r="GZ89" s="48">
        <f t="shared" ca="1" si="368"/>
        <v>0</v>
      </c>
      <c r="HA89" s="69"/>
      <c r="HB89" s="150">
        <f t="shared" ca="1" si="380"/>
        <v>2.133692043902248</v>
      </c>
      <c r="HC89" s="150">
        <f t="shared" ca="1" si="369"/>
        <v>4.1911808005222735</v>
      </c>
      <c r="HD89" s="150">
        <f t="shared" ca="1" si="381"/>
        <v>2.6501858383288042</v>
      </c>
      <c r="HE89" s="150">
        <f t="shared" ca="1" si="370"/>
        <v>5.3860531286627777</v>
      </c>
      <c r="HF89" s="150">
        <f t="shared" ca="1" si="371"/>
        <v>0.39615131765920597</v>
      </c>
      <c r="HG89" s="148"/>
      <c r="HH89" s="149"/>
      <c r="HI89" s="149"/>
      <c r="HJ89" s="149"/>
      <c r="HK89" s="150"/>
      <c r="HL89" s="149"/>
      <c r="HM89" s="149"/>
      <c r="HN89" s="149"/>
      <c r="HO89" s="150"/>
      <c r="HP89" s="148"/>
      <c r="HQ89" s="149"/>
      <c r="HR89" s="149"/>
      <c r="HS89" s="149"/>
      <c r="HT89" s="150"/>
      <c r="HU89" s="149"/>
      <c r="HV89" s="149"/>
      <c r="HW89" s="149"/>
      <c r="HX89" s="150"/>
      <c r="HY89" s="151"/>
      <c r="HZ89" s="150"/>
      <c r="IA89" s="150"/>
      <c r="IB89" s="152"/>
      <c r="IC89" s="150"/>
      <c r="ID89" s="152"/>
      <c r="IE89" s="150"/>
      <c r="IF89" s="153"/>
    </row>
    <row r="90" spans="1:240" s="36" customFormat="1" ht="14.4" customHeight="1">
      <c r="A90" s="39"/>
      <c r="B90" s="50" t="str">
        <f t="shared" si="340"/>
        <v>C&amp;I_C&amp;I Prescriptive_Lighting_Exit Sign_2017_Actual</v>
      </c>
      <c r="C90" s="50">
        <f>INDEX('Measure Inputs'!$D:$D,MATCH($B90,'Measure Inputs'!$B:$B,0))</f>
        <v>56</v>
      </c>
      <c r="D90" s="51" t="str">
        <f>'Measure Inputs'!G62</f>
        <v>C&amp;I</v>
      </c>
      <c r="E90" s="51" t="str">
        <f>'Measure Inputs'!H62</f>
        <v>C&amp;I Prescriptive</v>
      </c>
      <c r="F90" s="51" t="str">
        <f>'Measure Inputs'!I62</f>
        <v>Lighting</v>
      </c>
      <c r="G90" s="51" t="str">
        <f>'Measure Inputs'!J62</f>
        <v>Exit Sign</v>
      </c>
      <c r="H90" s="51">
        <f>'Measure Inputs'!K62</f>
        <v>2017</v>
      </c>
      <c r="I90" s="51" t="str">
        <f>'Measure Inputs'!L62</f>
        <v>Actual</v>
      </c>
      <c r="J90" s="37"/>
      <c r="K90" s="99" t="str">
        <f ca="1">INDEX(OFFSET('Measure Inputs'!$O$7,,,InputRows),$C90)</f>
        <v>Units</v>
      </c>
      <c r="L90" s="38">
        <f ca="1">INDEX(OFFSET('Measure Inputs'!$Q$7,,,InputRows),$C90)</f>
        <v>0</v>
      </c>
      <c r="M90" s="167">
        <f>INDEX('General Inputs'!$E$14:$E$15,MATCH(D90,'General Inputs'!$D$14:$D$15,0))</f>
        <v>1.0469999999999999</v>
      </c>
      <c r="N90" s="54">
        <f ca="1">INDEX(OFFSET('Measure Inputs'!$Y$7,,,InputRows),$C90)</f>
        <v>1</v>
      </c>
      <c r="O90" s="54">
        <f ca="1">INDEX(OFFSET('Measure Inputs'!$Z$7,,,InputRows),$C90)</f>
        <v>1</v>
      </c>
      <c r="P90" s="37"/>
      <c r="Q90" s="127">
        <f ca="1">CONVERT(INDEX(OFFSET('Measure Inputs'!$AB$7,,,InputRows),$C90),'Measure Inputs'!$AB$6,Q$8)*$L90</f>
        <v>0</v>
      </c>
      <c r="R90" s="127">
        <f t="shared" ca="1" si="341"/>
        <v>0</v>
      </c>
      <c r="S90" s="127">
        <f t="shared" ca="1" si="342"/>
        <v>0</v>
      </c>
      <c r="T90" s="37"/>
      <c r="U90" s="127">
        <f ca="1">CONVERT(INDEX(OFFSET('Measure Inputs'!$AD$7,,,InputRows),$C90),'Measure Inputs'!$AD$6,U$8)*$L90</f>
        <v>0</v>
      </c>
      <c r="V90" s="127">
        <f t="shared" ca="1" si="343"/>
        <v>0</v>
      </c>
      <c r="W90" s="127">
        <f t="shared" ca="1" si="344"/>
        <v>0</v>
      </c>
      <c r="X90" s="37"/>
      <c r="Y90" s="127">
        <f ca="1">CONVERT(INDEX(OFFSET('Measure Inputs'!$AC$7,,,InputRows),$C90),'Measure Inputs'!$AC$6,Y$8)*$L90</f>
        <v>0</v>
      </c>
      <c r="Z90" s="127">
        <f t="shared" ca="1" si="345"/>
        <v>0</v>
      </c>
      <c r="AA90" s="127">
        <f t="shared" ca="1" si="346"/>
        <v>0</v>
      </c>
      <c r="AB90" s="37"/>
      <c r="AC90" s="127">
        <f ca="1">CONVERT(INDEX(OFFSET('Measure Inputs'!$AE$7,,,InputRows),$C90),'Measure Inputs'!$AE$6,AC$8)*$L90</f>
        <v>0</v>
      </c>
      <c r="AD90" s="127">
        <f t="shared" ca="1" si="347"/>
        <v>0</v>
      </c>
      <c r="AE90" s="127">
        <f t="shared" ca="1" si="348"/>
        <v>0</v>
      </c>
      <c r="AF90" s="37"/>
      <c r="AG90" s="97">
        <f ca="1">INDEX(OFFSET('Measure Inputs'!$R$7,,,InputRows),$C90)</f>
        <v>15</v>
      </c>
      <c r="AH90" s="97">
        <f ca="1">INDEX(OFFSET('Measure Inputs'!$S$7,,,InputRows),$C90)</f>
        <v>0</v>
      </c>
      <c r="AI90" s="97">
        <f t="shared" ca="1" si="349"/>
        <v>0</v>
      </c>
      <c r="AJ90" s="100">
        <f ca="1">INDEX(OFFSET('Measure Inputs'!$T$7,,,InputRows),$C90)*$L90*$N90*$O90</f>
        <v>0</v>
      </c>
      <c r="AK90" s="100">
        <f ca="1">INDEX(OFFSET('Measure Inputs'!$U$7,,,InputRows),$C90)*$L90*$N90*$O90</f>
        <v>0</v>
      </c>
      <c r="AL90" s="100">
        <f ca="1">INDEX(OFFSET('Measure Inputs'!$V$7,,,InputRows),$C90)*$L90*$N90*$O90</f>
        <v>0</v>
      </c>
      <c r="AM90" s="100">
        <f ca="1">INDEX(OFFSET('Measure Inputs'!$W$7,,,InputRows),$C90)*$L90*$N90*$O90</f>
        <v>0</v>
      </c>
      <c r="AN90" s="100">
        <f ca="1">INDEX(OFFSET('Measure Inputs'!$X$7,,,InputRows),$C90)*$L90</f>
        <v>0</v>
      </c>
      <c r="AO90" s="100"/>
      <c r="AP90" s="100">
        <f t="shared" ca="1" si="350"/>
        <v>0</v>
      </c>
      <c r="AQ90" s="37"/>
      <c r="AR90" s="100">
        <f ca="1">SUMPRODUCT(--($CX$9:$EX$9=$H90)*$AJ90,'General Inputs'!$K$40:$BK$40)+SUMPRODUCT(--($CX$9:$EX$9=$H90+$AH90)*-$AK90,'General Inputs'!$K$43:$BK$43)</f>
        <v>0</v>
      </c>
      <c r="AS90" s="100">
        <f ca="1">CONVERT(SUMPRODUCT($CX90:$EX90,'General Inputs'!$K$29:$BK$29,'General Inputs'!$K$40:$BK$40)*$M90,$Q$8,'General Inputs'!$E$17)</f>
        <v>0</v>
      </c>
      <c r="AT90" s="100">
        <f ca="1">SUMPRODUCT(--($CX$9:$EX$9=$H90)*$AN90,'General Inputs'!$K$40:$BK$40)</f>
        <v>0</v>
      </c>
      <c r="AU90" s="100">
        <f>SUMPRODUCT(--($CX$9:$EX$9=$H90)*$AO90,'General Inputs'!$K$40:$BK$40)</f>
        <v>0</v>
      </c>
      <c r="AV90" s="100">
        <f ca="1">CONVERT(SUMPRODUCT($CX90:$EX90,'General Inputs'!$K$40:$BK$40,OFFSET('General Inputs'!$K$34:$BK$34,MATCH($D90,'General Inputs'!$J$34:$J$35,0)-1,)),$Q$8,'General Inputs'!$G$32)</f>
        <v>0</v>
      </c>
      <c r="AW90" s="100">
        <f ca="1">CONVERT(SUMPRODUCT($CX90:$EX90,'General Inputs'!$K$27:$BK$27,'General Inputs'!$K$40:$BK$40)*$M90,$Q$8,'General Inputs'!$E$17)</f>
        <v>0</v>
      </c>
      <c r="AX90" s="100">
        <f ca="1">CONVERT(SUMPRODUCT($EZ90:$GZ90,'General Inputs'!$K$28:$BK$28,'General Inputs'!$K$40:$BK$40)*$M90,$Q$8,'General Inputs'!$E$17)</f>
        <v>0</v>
      </c>
      <c r="AY90" s="98">
        <f ca="1">SUMPRODUCT($CX90:$EX90,'General Inputs'!$K$40:$BK$40)</f>
        <v>0</v>
      </c>
      <c r="AZ90" s="37"/>
      <c r="BA90" s="100">
        <f t="shared" ca="1" si="351"/>
        <v>0</v>
      </c>
      <c r="BB90" s="102" t="e">
        <f t="shared" ca="1" si="352"/>
        <v>#DIV/0!</v>
      </c>
      <c r="BC90" s="100">
        <f t="shared" ca="1" si="273"/>
        <v>0</v>
      </c>
      <c r="BD90" s="100">
        <f t="shared" ca="1" si="274"/>
        <v>0</v>
      </c>
      <c r="BE90" s="100">
        <f t="shared" ca="1" si="275"/>
        <v>0</v>
      </c>
      <c r="BF90" s="100">
        <f t="shared" ca="1" si="394"/>
        <v>0</v>
      </c>
      <c r="BG90" s="100">
        <f t="shared" si="277"/>
        <v>0</v>
      </c>
      <c r="BH90" s="100">
        <f t="shared" ca="1" si="278"/>
        <v>0</v>
      </c>
      <c r="BI90" s="37"/>
      <c r="BJ90" s="100">
        <f t="shared" ca="1" si="353"/>
        <v>0</v>
      </c>
      <c r="BK90" s="102" t="e">
        <f t="shared" ca="1" si="354"/>
        <v>#DIV/0!</v>
      </c>
      <c r="BL90" s="100">
        <f t="shared" ca="1" si="279"/>
        <v>0</v>
      </c>
      <c r="BM90" s="100">
        <f t="shared" ca="1" si="393"/>
        <v>0</v>
      </c>
      <c r="BN90" s="100">
        <f t="shared" ca="1" si="280"/>
        <v>0</v>
      </c>
      <c r="BO90" s="100">
        <f t="shared" ca="1" si="281"/>
        <v>0</v>
      </c>
      <c r="BP90" s="100">
        <f t="shared" ca="1" si="282"/>
        <v>0</v>
      </c>
      <c r="BQ90" s="100">
        <f t="shared" si="283"/>
        <v>0</v>
      </c>
      <c r="BR90" s="100">
        <f t="shared" ca="1" si="284"/>
        <v>0</v>
      </c>
      <c r="BS90" s="37"/>
      <c r="BT90" s="100">
        <f t="shared" ca="1" si="355"/>
        <v>0</v>
      </c>
      <c r="BU90" s="102" t="e">
        <f t="shared" ca="1" si="356"/>
        <v>#DIV/0!</v>
      </c>
      <c r="BV90" s="102" t="e">
        <f t="shared" ca="1" si="285"/>
        <v>#DIV/0!</v>
      </c>
      <c r="BW90" s="100">
        <f t="shared" ca="1" si="286"/>
        <v>0</v>
      </c>
      <c r="BX90" s="100">
        <f t="shared" ca="1" si="287"/>
        <v>0</v>
      </c>
      <c r="BY90" s="100">
        <f t="shared" ca="1" si="288"/>
        <v>0</v>
      </c>
      <c r="BZ90" s="100">
        <f t="shared" ca="1" si="289"/>
        <v>0</v>
      </c>
      <c r="CA90" s="100">
        <f t="shared" ca="1" si="290"/>
        <v>0</v>
      </c>
      <c r="CB90" s="37"/>
      <c r="CC90" s="100">
        <f t="shared" ca="1" si="357"/>
        <v>0</v>
      </c>
      <c r="CD90" s="102" t="e">
        <f t="shared" ca="1" si="358"/>
        <v>#DIV/0!</v>
      </c>
      <c r="CE90" s="103" t="e">
        <f t="shared" ca="1" si="291"/>
        <v>#DIV/0!</v>
      </c>
      <c r="CF90" s="100">
        <f t="shared" ca="1" si="292"/>
        <v>0</v>
      </c>
      <c r="CG90" s="100">
        <f t="shared" ca="1" si="293"/>
        <v>0</v>
      </c>
      <c r="CH90" s="100">
        <f t="shared" ca="1" si="294"/>
        <v>0</v>
      </c>
      <c r="CI90" s="100">
        <f t="shared" ca="1" si="382"/>
        <v>0</v>
      </c>
      <c r="CJ90" s="100">
        <f t="shared" ca="1" si="383"/>
        <v>0</v>
      </c>
      <c r="CK90" s="100">
        <f t="shared" si="295"/>
        <v>0</v>
      </c>
      <c r="CL90" s="37"/>
      <c r="CM90" s="100">
        <f t="shared" ca="1" si="359"/>
        <v>0</v>
      </c>
      <c r="CN90" s="102" t="e">
        <f t="shared" ca="1" si="360"/>
        <v>#DIV/0!</v>
      </c>
      <c r="CO90" s="128"/>
      <c r="CP90" s="100">
        <f t="shared" ca="1" si="296"/>
        <v>0</v>
      </c>
      <c r="CQ90" s="100">
        <f t="shared" ca="1" si="297"/>
        <v>0</v>
      </c>
      <c r="CR90" s="100">
        <f t="shared" ca="1" si="298"/>
        <v>0</v>
      </c>
      <c r="CS90" s="100">
        <f t="shared" ca="1" si="384"/>
        <v>0</v>
      </c>
      <c r="CT90" s="100">
        <f t="shared" ca="1" si="299"/>
        <v>0</v>
      </c>
      <c r="CU90" s="100">
        <f t="shared" ca="1" si="300"/>
        <v>0</v>
      </c>
      <c r="CV90" s="100">
        <f t="shared" si="301"/>
        <v>0</v>
      </c>
      <c r="CW90" s="37"/>
      <c r="CX90" s="48">
        <f t="shared" ca="1" si="391"/>
        <v>0</v>
      </c>
      <c r="CY90" s="48">
        <f t="shared" ca="1" si="391"/>
        <v>0</v>
      </c>
      <c r="CZ90" s="48">
        <f t="shared" ca="1" si="391"/>
        <v>0</v>
      </c>
      <c r="DA90" s="48">
        <f t="shared" ca="1" si="391"/>
        <v>0</v>
      </c>
      <c r="DB90" s="48">
        <f t="shared" ca="1" si="391"/>
        <v>0</v>
      </c>
      <c r="DC90" s="48">
        <f t="shared" ca="1" si="391"/>
        <v>0</v>
      </c>
      <c r="DD90" s="48">
        <f t="shared" ca="1" si="391"/>
        <v>0</v>
      </c>
      <c r="DE90" s="48">
        <f t="shared" ca="1" si="391"/>
        <v>0</v>
      </c>
      <c r="DF90" s="48">
        <f t="shared" ca="1" si="391"/>
        <v>0</v>
      </c>
      <c r="DG90" s="48">
        <f t="shared" ca="1" si="391"/>
        <v>0</v>
      </c>
      <c r="DH90" s="48">
        <f t="shared" ca="1" si="391"/>
        <v>0</v>
      </c>
      <c r="DI90" s="48">
        <f t="shared" ca="1" si="391"/>
        <v>0</v>
      </c>
      <c r="DJ90" s="48">
        <f t="shared" ca="1" si="391"/>
        <v>0</v>
      </c>
      <c r="DK90" s="48">
        <f t="shared" ca="1" si="391"/>
        <v>0</v>
      </c>
      <c r="DL90" s="48">
        <f t="shared" ca="1" si="391"/>
        <v>0</v>
      </c>
      <c r="DM90" s="48">
        <f t="shared" ca="1" si="389"/>
        <v>0</v>
      </c>
      <c r="DN90" s="48">
        <f t="shared" ca="1" si="389"/>
        <v>0</v>
      </c>
      <c r="DO90" s="48">
        <f t="shared" ca="1" si="389"/>
        <v>0</v>
      </c>
      <c r="DP90" s="48">
        <f t="shared" ca="1" si="389"/>
        <v>0</v>
      </c>
      <c r="DQ90" s="48">
        <f t="shared" ca="1" si="389"/>
        <v>0</v>
      </c>
      <c r="DR90" s="48">
        <f t="shared" ca="1" si="389"/>
        <v>0</v>
      </c>
      <c r="DS90" s="48">
        <f t="shared" ca="1" si="389"/>
        <v>0</v>
      </c>
      <c r="DT90" s="48">
        <f t="shared" ca="1" si="389"/>
        <v>0</v>
      </c>
      <c r="DU90" s="48">
        <f t="shared" ca="1" si="389"/>
        <v>0</v>
      </c>
      <c r="DV90" s="48">
        <f t="shared" ca="1" si="389"/>
        <v>0</v>
      </c>
      <c r="DW90" s="48">
        <f t="shared" ca="1" si="389"/>
        <v>0</v>
      </c>
      <c r="DX90" s="48">
        <f t="shared" ca="1" si="389"/>
        <v>0</v>
      </c>
      <c r="DY90" s="48">
        <f t="shared" ca="1" si="389"/>
        <v>0</v>
      </c>
      <c r="DZ90" s="48">
        <f t="shared" ca="1" si="389"/>
        <v>0</v>
      </c>
      <c r="EA90" s="48">
        <f t="shared" ca="1" si="389"/>
        <v>0</v>
      </c>
      <c r="EB90" s="48">
        <f t="shared" ca="1" si="389"/>
        <v>0</v>
      </c>
      <c r="EC90" s="48">
        <f t="shared" ref="EC90:EM97" ca="1" si="397">IF(AND($H90&lt;=EC$9,$H90+$AG90&gt;EC$9),IF(AND($H90+$AH90&lt;=EC$9,$AH90&gt;0),$W90,$S90),0)</f>
        <v>0</v>
      </c>
      <c r="ED90" s="48">
        <f t="shared" ca="1" si="397"/>
        <v>0</v>
      </c>
      <c r="EE90" s="48">
        <f t="shared" ca="1" si="397"/>
        <v>0</v>
      </c>
      <c r="EF90" s="48">
        <f t="shared" ca="1" si="397"/>
        <v>0</v>
      </c>
      <c r="EG90" s="48">
        <f t="shared" ca="1" si="397"/>
        <v>0</v>
      </c>
      <c r="EH90" s="48">
        <f t="shared" ca="1" si="397"/>
        <v>0</v>
      </c>
      <c r="EI90" s="48">
        <f t="shared" ca="1" si="397"/>
        <v>0</v>
      </c>
      <c r="EJ90" s="48">
        <f t="shared" ca="1" si="397"/>
        <v>0</v>
      </c>
      <c r="EK90" s="48">
        <f t="shared" ca="1" si="397"/>
        <v>0</v>
      </c>
      <c r="EL90" s="48">
        <f t="shared" ca="1" si="397"/>
        <v>0</v>
      </c>
      <c r="EM90" s="48">
        <f t="shared" ca="1" si="397"/>
        <v>0</v>
      </c>
      <c r="EN90" s="48">
        <f t="shared" ca="1" si="395"/>
        <v>0</v>
      </c>
      <c r="EO90" s="48">
        <f t="shared" ca="1" si="395"/>
        <v>0</v>
      </c>
      <c r="EP90" s="48">
        <f t="shared" ca="1" si="395"/>
        <v>0</v>
      </c>
      <c r="EQ90" s="48">
        <f t="shared" ca="1" si="386"/>
        <v>0</v>
      </c>
      <c r="ER90" s="48">
        <f t="shared" ca="1" si="386"/>
        <v>0</v>
      </c>
      <c r="ES90" s="48">
        <f t="shared" ca="1" si="374"/>
        <v>0</v>
      </c>
      <c r="ET90" s="48">
        <f t="shared" ca="1" si="364"/>
        <v>0</v>
      </c>
      <c r="EU90" s="48">
        <f t="shared" ca="1" si="364"/>
        <v>0</v>
      </c>
      <c r="EV90" s="48">
        <f t="shared" ca="1" si="364"/>
        <v>0</v>
      </c>
      <c r="EW90" s="48">
        <f t="shared" ca="1" si="364"/>
        <v>0</v>
      </c>
      <c r="EX90" s="48">
        <f t="shared" ca="1" si="364"/>
        <v>0</v>
      </c>
      <c r="EY90" s="69"/>
      <c r="EZ90" s="48">
        <f t="shared" ca="1" si="392"/>
        <v>0</v>
      </c>
      <c r="FA90" s="48">
        <f t="shared" ca="1" si="392"/>
        <v>0</v>
      </c>
      <c r="FB90" s="48">
        <f t="shared" ca="1" si="392"/>
        <v>0</v>
      </c>
      <c r="FC90" s="48">
        <f t="shared" ca="1" si="392"/>
        <v>0</v>
      </c>
      <c r="FD90" s="48">
        <f t="shared" ca="1" si="392"/>
        <v>0</v>
      </c>
      <c r="FE90" s="48">
        <f t="shared" ca="1" si="392"/>
        <v>0</v>
      </c>
      <c r="FF90" s="48">
        <f t="shared" ca="1" si="392"/>
        <v>0</v>
      </c>
      <c r="FG90" s="48">
        <f t="shared" ca="1" si="392"/>
        <v>0</v>
      </c>
      <c r="FH90" s="48">
        <f t="shared" ca="1" si="392"/>
        <v>0</v>
      </c>
      <c r="FI90" s="48">
        <f t="shared" ca="1" si="392"/>
        <v>0</v>
      </c>
      <c r="FJ90" s="48">
        <f t="shared" ca="1" si="392"/>
        <v>0</v>
      </c>
      <c r="FK90" s="48">
        <f t="shared" ca="1" si="392"/>
        <v>0</v>
      </c>
      <c r="FL90" s="48">
        <f t="shared" ca="1" si="392"/>
        <v>0</v>
      </c>
      <c r="FM90" s="48">
        <f t="shared" ca="1" si="392"/>
        <v>0</v>
      </c>
      <c r="FN90" s="48">
        <f t="shared" ca="1" si="392"/>
        <v>0</v>
      </c>
      <c r="FO90" s="48">
        <f t="shared" ca="1" si="390"/>
        <v>0</v>
      </c>
      <c r="FP90" s="48">
        <f t="shared" ca="1" si="390"/>
        <v>0</v>
      </c>
      <c r="FQ90" s="48">
        <f t="shared" ca="1" si="390"/>
        <v>0</v>
      </c>
      <c r="FR90" s="48">
        <f t="shared" ca="1" si="390"/>
        <v>0</v>
      </c>
      <c r="FS90" s="48">
        <f t="shared" ca="1" si="390"/>
        <v>0</v>
      </c>
      <c r="FT90" s="48">
        <f t="shared" ca="1" si="390"/>
        <v>0</v>
      </c>
      <c r="FU90" s="48">
        <f t="shared" ca="1" si="390"/>
        <v>0</v>
      </c>
      <c r="FV90" s="48">
        <f t="shared" ca="1" si="390"/>
        <v>0</v>
      </c>
      <c r="FW90" s="48">
        <f t="shared" ca="1" si="390"/>
        <v>0</v>
      </c>
      <c r="FX90" s="48">
        <f t="shared" ca="1" si="390"/>
        <v>0</v>
      </c>
      <c r="FY90" s="48">
        <f t="shared" ca="1" si="390"/>
        <v>0</v>
      </c>
      <c r="FZ90" s="48">
        <f t="shared" ca="1" si="390"/>
        <v>0</v>
      </c>
      <c r="GA90" s="48">
        <f t="shared" ca="1" si="390"/>
        <v>0</v>
      </c>
      <c r="GB90" s="48">
        <f t="shared" ca="1" si="390"/>
        <v>0</v>
      </c>
      <c r="GC90" s="48">
        <f t="shared" ca="1" si="390"/>
        <v>0</v>
      </c>
      <c r="GD90" s="48">
        <f t="shared" ca="1" si="390"/>
        <v>0</v>
      </c>
      <c r="GE90" s="48">
        <f t="shared" ref="GE90:GO97" ca="1" si="398">IF(AND($H90&lt;=GE$9,$H90+$AG90&gt;GE$9),IF(AND($H90+$AH90&lt;=GE$9,$AH90&gt;0),$AE90,$AA90),0)</f>
        <v>0</v>
      </c>
      <c r="GF90" s="48">
        <f t="shared" ca="1" si="398"/>
        <v>0</v>
      </c>
      <c r="GG90" s="48">
        <f t="shared" ca="1" si="398"/>
        <v>0</v>
      </c>
      <c r="GH90" s="48">
        <f t="shared" ca="1" si="398"/>
        <v>0</v>
      </c>
      <c r="GI90" s="48">
        <f t="shared" ca="1" si="398"/>
        <v>0</v>
      </c>
      <c r="GJ90" s="48">
        <f t="shared" ca="1" si="398"/>
        <v>0</v>
      </c>
      <c r="GK90" s="48">
        <f t="shared" ca="1" si="398"/>
        <v>0</v>
      </c>
      <c r="GL90" s="48">
        <f t="shared" ca="1" si="398"/>
        <v>0</v>
      </c>
      <c r="GM90" s="48">
        <f t="shared" ca="1" si="398"/>
        <v>0</v>
      </c>
      <c r="GN90" s="48">
        <f t="shared" ca="1" si="398"/>
        <v>0</v>
      </c>
      <c r="GO90" s="48">
        <f t="shared" ca="1" si="398"/>
        <v>0</v>
      </c>
      <c r="GP90" s="48">
        <f t="shared" ca="1" si="396"/>
        <v>0</v>
      </c>
      <c r="GQ90" s="48">
        <f t="shared" ca="1" si="396"/>
        <v>0</v>
      </c>
      <c r="GR90" s="48">
        <f t="shared" ca="1" si="396"/>
        <v>0</v>
      </c>
      <c r="GS90" s="48">
        <f t="shared" ca="1" si="388"/>
        <v>0</v>
      </c>
      <c r="GT90" s="48">
        <f t="shared" ca="1" si="388"/>
        <v>0</v>
      </c>
      <c r="GU90" s="48">
        <f t="shared" ca="1" si="377"/>
        <v>0</v>
      </c>
      <c r="GV90" s="48">
        <f t="shared" ca="1" si="368"/>
        <v>0</v>
      </c>
      <c r="GW90" s="48">
        <f t="shared" ca="1" si="368"/>
        <v>0</v>
      </c>
      <c r="GX90" s="48">
        <f t="shared" ca="1" si="368"/>
        <v>0</v>
      </c>
      <c r="GY90" s="48">
        <f t="shared" ca="1" si="368"/>
        <v>0</v>
      </c>
      <c r="GZ90" s="48">
        <f t="shared" ca="1" si="368"/>
        <v>0</v>
      </c>
      <c r="HA90" s="69"/>
      <c r="HB90" s="150" t="str">
        <f t="shared" ca="1" si="380"/>
        <v>n/a</v>
      </c>
      <c r="HC90" s="150" t="str">
        <f t="shared" ca="1" si="369"/>
        <v>n/a</v>
      </c>
      <c r="HD90" s="150" t="str">
        <f t="shared" ca="1" si="381"/>
        <v>n/a</v>
      </c>
      <c r="HE90" s="150" t="str">
        <f t="shared" ca="1" si="370"/>
        <v>n/a</v>
      </c>
      <c r="HF90" s="150" t="str">
        <f t="shared" ca="1" si="371"/>
        <v>n/a</v>
      </c>
      <c r="HG90" s="148"/>
      <c r="HH90" s="149"/>
      <c r="HI90" s="149"/>
      <c r="HJ90" s="149"/>
      <c r="HK90" s="150"/>
      <c r="HL90" s="149"/>
      <c r="HM90" s="149"/>
      <c r="HN90" s="149"/>
      <c r="HO90" s="150"/>
      <c r="HP90" s="148"/>
      <c r="HQ90" s="149"/>
      <c r="HR90" s="149"/>
      <c r="HS90" s="149"/>
      <c r="HT90" s="150"/>
      <c r="HU90" s="149"/>
      <c r="HV90" s="149"/>
      <c r="HW90" s="149"/>
      <c r="HX90" s="150"/>
      <c r="HY90" s="151"/>
      <c r="HZ90" s="150"/>
      <c r="IA90" s="150"/>
      <c r="IB90" s="152"/>
      <c r="IC90" s="150"/>
      <c r="ID90" s="152"/>
      <c r="IE90" s="150"/>
      <c r="IF90" s="153"/>
    </row>
    <row r="91" spans="1:240" s="36" customFormat="1" ht="14.4" customHeight="1">
      <c r="A91" s="39"/>
      <c r="B91" s="50" t="str">
        <f t="shared" si="340"/>
        <v>C&amp;I_C&amp;I Prescriptive_HVAC_Split Package Heat Pump_2017_Actual</v>
      </c>
      <c r="C91" s="50">
        <f>INDEX('Measure Inputs'!$D:$D,MATCH($B91,'Measure Inputs'!$B:$B,0))</f>
        <v>57</v>
      </c>
      <c r="D91" s="51" t="str">
        <f>'Measure Inputs'!G63</f>
        <v>C&amp;I</v>
      </c>
      <c r="E91" s="51" t="str">
        <f>'Measure Inputs'!H63</f>
        <v>C&amp;I Prescriptive</v>
      </c>
      <c r="F91" s="51" t="str">
        <f>'Measure Inputs'!I63</f>
        <v>HVAC</v>
      </c>
      <c r="G91" s="51" t="str">
        <f>'Measure Inputs'!J63</f>
        <v>Split Package Heat Pump</v>
      </c>
      <c r="H91" s="51">
        <f>'Measure Inputs'!K63</f>
        <v>2017</v>
      </c>
      <c r="I91" s="51" t="str">
        <f>'Measure Inputs'!L63</f>
        <v>Actual</v>
      </c>
      <c r="J91" s="37"/>
      <c r="K91" s="99" t="str">
        <f ca="1">INDEX(OFFSET('Measure Inputs'!$O$7,,,InputRows),$C91)</f>
        <v>Units</v>
      </c>
      <c r="L91" s="38">
        <f ca="1">INDEX(OFFSET('Measure Inputs'!$Q$7,,,InputRows),$C91)</f>
        <v>0</v>
      </c>
      <c r="M91" s="167">
        <f>INDEX('General Inputs'!$E$14:$E$15,MATCH(D91,'General Inputs'!$D$14:$D$15,0))</f>
        <v>1.0469999999999999</v>
      </c>
      <c r="N91" s="54">
        <f ca="1">INDEX(OFFSET('Measure Inputs'!$Y$7,,,InputRows),$C91)</f>
        <v>1</v>
      </c>
      <c r="O91" s="54">
        <f ca="1">INDEX(OFFSET('Measure Inputs'!$Z$7,,,InputRows),$C91)</f>
        <v>1</v>
      </c>
      <c r="P91" s="37"/>
      <c r="Q91" s="127">
        <f ca="1">CONVERT(INDEX(OFFSET('Measure Inputs'!$AB$7,,,InputRows),$C91),'Measure Inputs'!$AB$6,Q$8)*$L91</f>
        <v>0</v>
      </c>
      <c r="R91" s="127">
        <f t="shared" ca="1" si="341"/>
        <v>0</v>
      </c>
      <c r="S91" s="127">
        <f t="shared" ca="1" si="342"/>
        <v>0</v>
      </c>
      <c r="T91" s="37"/>
      <c r="U91" s="127">
        <f ca="1">CONVERT(INDEX(OFFSET('Measure Inputs'!$AD$7,,,InputRows),$C91),'Measure Inputs'!$AD$6,U$8)*$L91</f>
        <v>0</v>
      </c>
      <c r="V91" s="127">
        <f t="shared" ca="1" si="343"/>
        <v>0</v>
      </c>
      <c r="W91" s="127">
        <f t="shared" ca="1" si="344"/>
        <v>0</v>
      </c>
      <c r="X91" s="37"/>
      <c r="Y91" s="127">
        <f ca="1">CONVERT(INDEX(OFFSET('Measure Inputs'!$AC$7,,,InputRows),$C91),'Measure Inputs'!$AC$6,Y$8)*$L91</f>
        <v>0</v>
      </c>
      <c r="Z91" s="127">
        <f t="shared" ca="1" si="345"/>
        <v>0</v>
      </c>
      <c r="AA91" s="127">
        <f t="shared" ca="1" si="346"/>
        <v>0</v>
      </c>
      <c r="AB91" s="37"/>
      <c r="AC91" s="127">
        <f ca="1">CONVERT(INDEX(OFFSET('Measure Inputs'!$AE$7,,,InputRows),$C91),'Measure Inputs'!$AE$6,AC$8)*$L91</f>
        <v>0</v>
      </c>
      <c r="AD91" s="127">
        <f t="shared" ca="1" si="347"/>
        <v>0</v>
      </c>
      <c r="AE91" s="127">
        <f t="shared" ca="1" si="348"/>
        <v>0</v>
      </c>
      <c r="AF91" s="37"/>
      <c r="AG91" s="97">
        <f ca="1">INDEX(OFFSET('Measure Inputs'!$R$7,,,InputRows),$C91)</f>
        <v>15</v>
      </c>
      <c r="AH91" s="97">
        <f ca="1">INDEX(OFFSET('Measure Inputs'!$S$7,,,InputRows),$C91)</f>
        <v>0</v>
      </c>
      <c r="AI91" s="97">
        <f t="shared" ca="1" si="349"/>
        <v>0</v>
      </c>
      <c r="AJ91" s="100">
        <f ca="1">INDEX(OFFSET('Measure Inputs'!$T$7,,,InputRows),$C91)*$L91*$N91*$O91</f>
        <v>0</v>
      </c>
      <c r="AK91" s="100">
        <f ca="1">INDEX(OFFSET('Measure Inputs'!$U$7,,,InputRows),$C91)*$L91*$N91*$O91</f>
        <v>0</v>
      </c>
      <c r="AL91" s="100">
        <f ca="1">INDEX(OFFSET('Measure Inputs'!$V$7,,,InputRows),$C91)*$L91*$N91*$O91</f>
        <v>0</v>
      </c>
      <c r="AM91" s="100">
        <f ca="1">INDEX(OFFSET('Measure Inputs'!$W$7,,,InputRows),$C91)*$L91*$N91*$O91</f>
        <v>0</v>
      </c>
      <c r="AN91" s="100">
        <f ca="1">INDEX(OFFSET('Measure Inputs'!$X$7,,,InputRows),$C91)*$L91</f>
        <v>0</v>
      </c>
      <c r="AO91" s="100"/>
      <c r="AP91" s="100">
        <f t="shared" ca="1" si="350"/>
        <v>0</v>
      </c>
      <c r="AQ91" s="37"/>
      <c r="AR91" s="100">
        <f ca="1">SUMPRODUCT(--($CX$9:$EX$9=$H91)*$AJ91,'General Inputs'!$K$40:$BK$40)+SUMPRODUCT(--($CX$9:$EX$9=$H91+$AH91)*-$AK91,'General Inputs'!$K$43:$BK$43)</f>
        <v>0</v>
      </c>
      <c r="AS91" s="100">
        <f ca="1">CONVERT(SUMPRODUCT($CX91:$EX91,'General Inputs'!$K$29:$BK$29,'General Inputs'!$K$40:$BK$40)*$M91,$Q$8,'General Inputs'!$E$17)</f>
        <v>0</v>
      </c>
      <c r="AT91" s="100">
        <f ca="1">SUMPRODUCT(--($CX$9:$EX$9=$H91)*$AN91,'General Inputs'!$K$40:$BK$40)</f>
        <v>0</v>
      </c>
      <c r="AU91" s="100">
        <f>SUMPRODUCT(--($CX$9:$EX$9=$H91)*$AO91,'General Inputs'!$K$40:$BK$40)</f>
        <v>0</v>
      </c>
      <c r="AV91" s="100">
        <f ca="1">CONVERT(SUMPRODUCT($CX91:$EX91,'General Inputs'!$K$40:$BK$40,OFFSET('General Inputs'!$K$34:$BK$34,MATCH($D91,'General Inputs'!$J$34:$J$35,0)-1,)),$Q$8,'General Inputs'!$G$32)</f>
        <v>0</v>
      </c>
      <c r="AW91" s="100">
        <f ca="1">CONVERT(SUMPRODUCT($CX91:$EX91,'General Inputs'!$K$27:$BK$27,'General Inputs'!$K$40:$BK$40)*$M91,$Q$8,'General Inputs'!$E$17)</f>
        <v>0</v>
      </c>
      <c r="AX91" s="100">
        <f ca="1">CONVERT(SUMPRODUCT($EZ91:$GZ91,'General Inputs'!$K$28:$BK$28,'General Inputs'!$K$40:$BK$40)*$M91,$Q$8,'General Inputs'!$E$17)</f>
        <v>0</v>
      </c>
      <c r="AY91" s="98">
        <f ca="1">SUMPRODUCT($CX91:$EX91,'General Inputs'!$K$40:$BK$40)</f>
        <v>0</v>
      </c>
      <c r="AZ91" s="37"/>
      <c r="BA91" s="100">
        <f t="shared" ca="1" si="351"/>
        <v>0</v>
      </c>
      <c r="BB91" s="102" t="e">
        <f t="shared" ca="1" si="352"/>
        <v>#DIV/0!</v>
      </c>
      <c r="BC91" s="100">
        <f t="shared" ca="1" si="273"/>
        <v>0</v>
      </c>
      <c r="BD91" s="100">
        <f t="shared" ca="1" si="274"/>
        <v>0</v>
      </c>
      <c r="BE91" s="100">
        <f t="shared" ca="1" si="275"/>
        <v>0</v>
      </c>
      <c r="BF91" s="100">
        <f t="shared" ca="1" si="394"/>
        <v>0</v>
      </c>
      <c r="BG91" s="100">
        <f t="shared" si="277"/>
        <v>0</v>
      </c>
      <c r="BH91" s="100">
        <f t="shared" ca="1" si="278"/>
        <v>0</v>
      </c>
      <c r="BI91" s="37"/>
      <c r="BJ91" s="100">
        <f t="shared" ca="1" si="353"/>
        <v>0</v>
      </c>
      <c r="BK91" s="102" t="e">
        <f t="shared" ca="1" si="354"/>
        <v>#DIV/0!</v>
      </c>
      <c r="BL91" s="100">
        <f t="shared" ca="1" si="279"/>
        <v>0</v>
      </c>
      <c r="BM91" s="100">
        <f t="shared" ca="1" si="393"/>
        <v>0</v>
      </c>
      <c r="BN91" s="100">
        <f t="shared" ca="1" si="280"/>
        <v>0</v>
      </c>
      <c r="BO91" s="100">
        <f t="shared" ca="1" si="281"/>
        <v>0</v>
      </c>
      <c r="BP91" s="100">
        <f t="shared" ca="1" si="282"/>
        <v>0</v>
      </c>
      <c r="BQ91" s="100">
        <f t="shared" si="283"/>
        <v>0</v>
      </c>
      <c r="BR91" s="100">
        <f t="shared" ca="1" si="284"/>
        <v>0</v>
      </c>
      <c r="BS91" s="37"/>
      <c r="BT91" s="100">
        <f t="shared" ca="1" si="355"/>
        <v>0</v>
      </c>
      <c r="BU91" s="102" t="e">
        <f t="shared" ca="1" si="356"/>
        <v>#DIV/0!</v>
      </c>
      <c r="BV91" s="102" t="e">
        <f t="shared" ca="1" si="285"/>
        <v>#DIV/0!</v>
      </c>
      <c r="BW91" s="100">
        <f t="shared" ca="1" si="286"/>
        <v>0</v>
      </c>
      <c r="BX91" s="100">
        <f t="shared" ca="1" si="287"/>
        <v>0</v>
      </c>
      <c r="BY91" s="100">
        <f t="shared" ca="1" si="288"/>
        <v>0</v>
      </c>
      <c r="BZ91" s="100">
        <f t="shared" ca="1" si="289"/>
        <v>0</v>
      </c>
      <c r="CA91" s="100">
        <f t="shared" ca="1" si="290"/>
        <v>0</v>
      </c>
      <c r="CB91" s="37"/>
      <c r="CC91" s="100">
        <f t="shared" ca="1" si="357"/>
        <v>0</v>
      </c>
      <c r="CD91" s="102" t="e">
        <f t="shared" ca="1" si="358"/>
        <v>#DIV/0!</v>
      </c>
      <c r="CE91" s="103" t="e">
        <f t="shared" ca="1" si="291"/>
        <v>#DIV/0!</v>
      </c>
      <c r="CF91" s="100">
        <f t="shared" ca="1" si="292"/>
        <v>0</v>
      </c>
      <c r="CG91" s="100">
        <f t="shared" ca="1" si="293"/>
        <v>0</v>
      </c>
      <c r="CH91" s="100">
        <f t="shared" ca="1" si="294"/>
        <v>0</v>
      </c>
      <c r="CI91" s="100">
        <f t="shared" ca="1" si="382"/>
        <v>0</v>
      </c>
      <c r="CJ91" s="100">
        <f t="shared" ca="1" si="383"/>
        <v>0</v>
      </c>
      <c r="CK91" s="100">
        <f t="shared" si="295"/>
        <v>0</v>
      </c>
      <c r="CL91" s="37"/>
      <c r="CM91" s="100">
        <f t="shared" ca="1" si="359"/>
        <v>0</v>
      </c>
      <c r="CN91" s="102" t="e">
        <f t="shared" ca="1" si="360"/>
        <v>#DIV/0!</v>
      </c>
      <c r="CO91" s="128"/>
      <c r="CP91" s="100">
        <f t="shared" ca="1" si="296"/>
        <v>0</v>
      </c>
      <c r="CQ91" s="100">
        <f t="shared" ca="1" si="297"/>
        <v>0</v>
      </c>
      <c r="CR91" s="100">
        <f t="shared" ca="1" si="298"/>
        <v>0</v>
      </c>
      <c r="CS91" s="100">
        <f t="shared" ca="1" si="384"/>
        <v>0</v>
      </c>
      <c r="CT91" s="100">
        <f t="shared" ca="1" si="299"/>
        <v>0</v>
      </c>
      <c r="CU91" s="100">
        <f t="shared" ca="1" si="300"/>
        <v>0</v>
      </c>
      <c r="CV91" s="100">
        <f t="shared" si="301"/>
        <v>0</v>
      </c>
      <c r="CW91" s="37"/>
      <c r="CX91" s="48">
        <f t="shared" ca="1" si="391"/>
        <v>0</v>
      </c>
      <c r="CY91" s="48">
        <f t="shared" ca="1" si="391"/>
        <v>0</v>
      </c>
      <c r="CZ91" s="48">
        <f t="shared" ca="1" si="391"/>
        <v>0</v>
      </c>
      <c r="DA91" s="48">
        <f t="shared" ca="1" si="391"/>
        <v>0</v>
      </c>
      <c r="DB91" s="48">
        <f t="shared" ca="1" si="391"/>
        <v>0</v>
      </c>
      <c r="DC91" s="48">
        <f t="shared" ca="1" si="391"/>
        <v>0</v>
      </c>
      <c r="DD91" s="48">
        <f t="shared" ca="1" si="391"/>
        <v>0</v>
      </c>
      <c r="DE91" s="48">
        <f t="shared" ca="1" si="391"/>
        <v>0</v>
      </c>
      <c r="DF91" s="48">
        <f t="shared" ca="1" si="391"/>
        <v>0</v>
      </c>
      <c r="DG91" s="48">
        <f t="shared" ca="1" si="391"/>
        <v>0</v>
      </c>
      <c r="DH91" s="48">
        <f t="shared" ca="1" si="391"/>
        <v>0</v>
      </c>
      <c r="DI91" s="48">
        <f t="shared" ca="1" si="391"/>
        <v>0</v>
      </c>
      <c r="DJ91" s="48">
        <f t="shared" ca="1" si="391"/>
        <v>0</v>
      </c>
      <c r="DK91" s="48">
        <f t="shared" ca="1" si="391"/>
        <v>0</v>
      </c>
      <c r="DL91" s="48">
        <f t="shared" ca="1" si="391"/>
        <v>0</v>
      </c>
      <c r="DM91" s="48">
        <f t="shared" ca="1" si="389"/>
        <v>0</v>
      </c>
      <c r="DN91" s="48">
        <f t="shared" ca="1" si="389"/>
        <v>0</v>
      </c>
      <c r="DO91" s="48">
        <f t="shared" ca="1" si="389"/>
        <v>0</v>
      </c>
      <c r="DP91" s="48">
        <f t="shared" ca="1" si="389"/>
        <v>0</v>
      </c>
      <c r="DQ91" s="48">
        <f t="shared" ca="1" si="389"/>
        <v>0</v>
      </c>
      <c r="DR91" s="48">
        <f t="shared" ca="1" si="389"/>
        <v>0</v>
      </c>
      <c r="DS91" s="48">
        <f t="shared" ca="1" si="389"/>
        <v>0</v>
      </c>
      <c r="DT91" s="48">
        <f t="shared" ca="1" si="389"/>
        <v>0</v>
      </c>
      <c r="DU91" s="48">
        <f t="shared" ca="1" si="389"/>
        <v>0</v>
      </c>
      <c r="DV91" s="48">
        <f t="shared" ca="1" si="389"/>
        <v>0</v>
      </c>
      <c r="DW91" s="48">
        <f t="shared" ca="1" si="389"/>
        <v>0</v>
      </c>
      <c r="DX91" s="48">
        <f t="shared" ca="1" si="389"/>
        <v>0</v>
      </c>
      <c r="DY91" s="48">
        <f t="shared" ca="1" si="389"/>
        <v>0</v>
      </c>
      <c r="DZ91" s="48">
        <f t="shared" ca="1" si="389"/>
        <v>0</v>
      </c>
      <c r="EA91" s="48">
        <f t="shared" ca="1" si="389"/>
        <v>0</v>
      </c>
      <c r="EB91" s="48">
        <f t="shared" ref="EB91:EB97" ca="1" si="399">IF(AND($H91&lt;=EB$9,$H91+$AG91&gt;EB$9),IF(AND($H91+$AH91&lt;=EB$9,$AH91&gt;0),$W91,$S91),0)</f>
        <v>0</v>
      </c>
      <c r="EC91" s="48">
        <f t="shared" ca="1" si="397"/>
        <v>0</v>
      </c>
      <c r="ED91" s="48">
        <f t="shared" ca="1" si="397"/>
        <v>0</v>
      </c>
      <c r="EE91" s="48">
        <f t="shared" ca="1" si="397"/>
        <v>0</v>
      </c>
      <c r="EF91" s="48">
        <f t="shared" ca="1" si="397"/>
        <v>0</v>
      </c>
      <c r="EG91" s="48">
        <f t="shared" ca="1" si="397"/>
        <v>0</v>
      </c>
      <c r="EH91" s="48">
        <f t="shared" ca="1" si="397"/>
        <v>0</v>
      </c>
      <c r="EI91" s="48">
        <f t="shared" ca="1" si="397"/>
        <v>0</v>
      </c>
      <c r="EJ91" s="48">
        <f t="shared" ca="1" si="397"/>
        <v>0</v>
      </c>
      <c r="EK91" s="48">
        <f t="shared" ca="1" si="397"/>
        <v>0</v>
      </c>
      <c r="EL91" s="48">
        <f t="shared" ca="1" si="397"/>
        <v>0</v>
      </c>
      <c r="EM91" s="48">
        <f t="shared" ca="1" si="397"/>
        <v>0</v>
      </c>
      <c r="EN91" s="48">
        <f t="shared" ca="1" si="395"/>
        <v>0</v>
      </c>
      <c r="EO91" s="48">
        <f t="shared" ca="1" si="395"/>
        <v>0</v>
      </c>
      <c r="EP91" s="48">
        <f t="shared" ca="1" si="395"/>
        <v>0</v>
      </c>
      <c r="EQ91" s="48">
        <f t="shared" ca="1" si="386"/>
        <v>0</v>
      </c>
      <c r="ER91" s="48">
        <f t="shared" ca="1" si="386"/>
        <v>0</v>
      </c>
      <c r="ES91" s="48">
        <f t="shared" ca="1" si="374"/>
        <v>0</v>
      </c>
      <c r="ET91" s="48">
        <f t="shared" ca="1" si="364"/>
        <v>0</v>
      </c>
      <c r="EU91" s="48">
        <f t="shared" ca="1" si="364"/>
        <v>0</v>
      </c>
      <c r="EV91" s="48">
        <f t="shared" ca="1" si="364"/>
        <v>0</v>
      </c>
      <c r="EW91" s="48">
        <f t="shared" ca="1" si="364"/>
        <v>0</v>
      </c>
      <c r="EX91" s="48">
        <f t="shared" ca="1" si="364"/>
        <v>0</v>
      </c>
      <c r="EY91" s="69"/>
      <c r="EZ91" s="48">
        <f t="shared" ca="1" si="392"/>
        <v>0</v>
      </c>
      <c r="FA91" s="48">
        <f t="shared" ca="1" si="392"/>
        <v>0</v>
      </c>
      <c r="FB91" s="48">
        <f t="shared" ca="1" si="392"/>
        <v>0</v>
      </c>
      <c r="FC91" s="48">
        <f t="shared" ca="1" si="392"/>
        <v>0</v>
      </c>
      <c r="FD91" s="48">
        <f t="shared" ca="1" si="392"/>
        <v>0</v>
      </c>
      <c r="FE91" s="48">
        <f t="shared" ca="1" si="392"/>
        <v>0</v>
      </c>
      <c r="FF91" s="48">
        <f t="shared" ca="1" si="392"/>
        <v>0</v>
      </c>
      <c r="FG91" s="48">
        <f t="shared" ca="1" si="392"/>
        <v>0</v>
      </c>
      <c r="FH91" s="48">
        <f t="shared" ca="1" si="392"/>
        <v>0</v>
      </c>
      <c r="FI91" s="48">
        <f t="shared" ca="1" si="392"/>
        <v>0</v>
      </c>
      <c r="FJ91" s="48">
        <f t="shared" ca="1" si="392"/>
        <v>0</v>
      </c>
      <c r="FK91" s="48">
        <f t="shared" ca="1" si="392"/>
        <v>0</v>
      </c>
      <c r="FL91" s="48">
        <f t="shared" ca="1" si="392"/>
        <v>0</v>
      </c>
      <c r="FM91" s="48">
        <f t="shared" ca="1" si="392"/>
        <v>0</v>
      </c>
      <c r="FN91" s="48">
        <f t="shared" ca="1" si="392"/>
        <v>0</v>
      </c>
      <c r="FO91" s="48">
        <f t="shared" ca="1" si="390"/>
        <v>0</v>
      </c>
      <c r="FP91" s="48">
        <f t="shared" ca="1" si="390"/>
        <v>0</v>
      </c>
      <c r="FQ91" s="48">
        <f t="shared" ca="1" si="390"/>
        <v>0</v>
      </c>
      <c r="FR91" s="48">
        <f t="shared" ca="1" si="390"/>
        <v>0</v>
      </c>
      <c r="FS91" s="48">
        <f t="shared" ca="1" si="390"/>
        <v>0</v>
      </c>
      <c r="FT91" s="48">
        <f t="shared" ca="1" si="390"/>
        <v>0</v>
      </c>
      <c r="FU91" s="48">
        <f t="shared" ca="1" si="390"/>
        <v>0</v>
      </c>
      <c r="FV91" s="48">
        <f t="shared" ca="1" si="390"/>
        <v>0</v>
      </c>
      <c r="FW91" s="48">
        <f t="shared" ca="1" si="390"/>
        <v>0</v>
      </c>
      <c r="FX91" s="48">
        <f t="shared" ca="1" si="390"/>
        <v>0</v>
      </c>
      <c r="FY91" s="48">
        <f t="shared" ca="1" si="390"/>
        <v>0</v>
      </c>
      <c r="FZ91" s="48">
        <f t="shared" ca="1" si="390"/>
        <v>0</v>
      </c>
      <c r="GA91" s="48">
        <f t="shared" ca="1" si="390"/>
        <v>0</v>
      </c>
      <c r="GB91" s="48">
        <f t="shared" ca="1" si="390"/>
        <v>0</v>
      </c>
      <c r="GC91" s="48">
        <f t="shared" ca="1" si="390"/>
        <v>0</v>
      </c>
      <c r="GD91" s="48">
        <f t="shared" ref="GD91:GD97" ca="1" si="400">IF(AND($H91&lt;=GD$9,$H91+$AG91&gt;GD$9),IF(AND($H91+$AH91&lt;=GD$9,$AH91&gt;0),$AE91,$AA91),0)</f>
        <v>0</v>
      </c>
      <c r="GE91" s="48">
        <f t="shared" ca="1" si="398"/>
        <v>0</v>
      </c>
      <c r="GF91" s="48">
        <f t="shared" ca="1" si="398"/>
        <v>0</v>
      </c>
      <c r="GG91" s="48">
        <f t="shared" ca="1" si="398"/>
        <v>0</v>
      </c>
      <c r="GH91" s="48">
        <f t="shared" ca="1" si="398"/>
        <v>0</v>
      </c>
      <c r="GI91" s="48">
        <f t="shared" ca="1" si="398"/>
        <v>0</v>
      </c>
      <c r="GJ91" s="48">
        <f t="shared" ca="1" si="398"/>
        <v>0</v>
      </c>
      <c r="GK91" s="48">
        <f t="shared" ca="1" si="398"/>
        <v>0</v>
      </c>
      <c r="GL91" s="48">
        <f t="shared" ca="1" si="398"/>
        <v>0</v>
      </c>
      <c r="GM91" s="48">
        <f t="shared" ca="1" si="398"/>
        <v>0</v>
      </c>
      <c r="GN91" s="48">
        <f t="shared" ca="1" si="398"/>
        <v>0</v>
      </c>
      <c r="GO91" s="48">
        <f t="shared" ca="1" si="398"/>
        <v>0</v>
      </c>
      <c r="GP91" s="48">
        <f t="shared" ca="1" si="396"/>
        <v>0</v>
      </c>
      <c r="GQ91" s="48">
        <f t="shared" ca="1" si="396"/>
        <v>0</v>
      </c>
      <c r="GR91" s="48">
        <f t="shared" ca="1" si="396"/>
        <v>0</v>
      </c>
      <c r="GS91" s="48">
        <f t="shared" ca="1" si="388"/>
        <v>0</v>
      </c>
      <c r="GT91" s="48">
        <f t="shared" ca="1" si="388"/>
        <v>0</v>
      </c>
      <c r="GU91" s="48">
        <f t="shared" ca="1" si="377"/>
        <v>0</v>
      </c>
      <c r="GV91" s="48">
        <f t="shared" ca="1" si="368"/>
        <v>0</v>
      </c>
      <c r="GW91" s="48">
        <f t="shared" ca="1" si="368"/>
        <v>0</v>
      </c>
      <c r="GX91" s="48">
        <f t="shared" ca="1" si="368"/>
        <v>0</v>
      </c>
      <c r="GY91" s="48">
        <f t="shared" ca="1" si="368"/>
        <v>0</v>
      </c>
      <c r="GZ91" s="48">
        <f t="shared" ca="1" si="368"/>
        <v>0</v>
      </c>
      <c r="HA91" s="69"/>
      <c r="HB91" s="150" t="str">
        <f t="shared" ca="1" si="380"/>
        <v>n/a</v>
      </c>
      <c r="HC91" s="150" t="str">
        <f t="shared" ca="1" si="369"/>
        <v>n/a</v>
      </c>
      <c r="HD91" s="150" t="str">
        <f t="shared" ca="1" si="381"/>
        <v>n/a</v>
      </c>
      <c r="HE91" s="150" t="str">
        <f t="shared" ca="1" si="370"/>
        <v>n/a</v>
      </c>
      <c r="HF91" s="150" t="str">
        <f t="shared" ca="1" si="371"/>
        <v>n/a</v>
      </c>
      <c r="HG91" s="148"/>
      <c r="HH91" s="149"/>
      <c r="HI91" s="149"/>
      <c r="HJ91" s="149"/>
      <c r="HK91" s="150"/>
      <c r="HL91" s="149"/>
      <c r="HM91" s="149"/>
      <c r="HN91" s="149"/>
      <c r="HO91" s="150"/>
      <c r="HP91" s="148"/>
      <c r="HQ91" s="149"/>
      <c r="HR91" s="149"/>
      <c r="HS91" s="149"/>
      <c r="HT91" s="150"/>
      <c r="HU91" s="149"/>
      <c r="HV91" s="149"/>
      <c r="HW91" s="149"/>
      <c r="HX91" s="150"/>
      <c r="HY91" s="151"/>
      <c r="HZ91" s="150"/>
      <c r="IA91" s="150"/>
      <c r="IB91" s="152"/>
      <c r="IC91" s="150"/>
      <c r="ID91" s="152"/>
      <c r="IE91" s="150"/>
      <c r="IF91" s="153"/>
    </row>
    <row r="92" spans="1:240" s="36" customFormat="1" ht="14.4" customHeight="1">
      <c r="A92" s="39"/>
      <c r="B92" s="50" t="str">
        <f t="shared" si="340"/>
        <v>C&amp;I_C&amp;I Prescriptive_HVAC_Single System Heat Pump_2017_Actual</v>
      </c>
      <c r="C92" s="50">
        <f>INDEX('Measure Inputs'!$D:$D,MATCH($B92,'Measure Inputs'!$B:$B,0))</f>
        <v>58</v>
      </c>
      <c r="D92" s="51" t="str">
        <f>'Measure Inputs'!G64</f>
        <v>C&amp;I</v>
      </c>
      <c r="E92" s="51" t="str">
        <f>'Measure Inputs'!H64</f>
        <v>C&amp;I Prescriptive</v>
      </c>
      <c r="F92" s="51" t="str">
        <f>'Measure Inputs'!I64</f>
        <v>HVAC</v>
      </c>
      <c r="G92" s="51" t="str">
        <f>'Measure Inputs'!J64</f>
        <v>Single System Heat Pump</v>
      </c>
      <c r="H92" s="51">
        <f>'Measure Inputs'!K64</f>
        <v>2017</v>
      </c>
      <c r="I92" s="51" t="str">
        <f>'Measure Inputs'!L64</f>
        <v>Actual</v>
      </c>
      <c r="J92" s="37"/>
      <c r="K92" s="99" t="str">
        <f ca="1">INDEX(OFFSET('Measure Inputs'!$O$7,,,InputRows),$C92)</f>
        <v>Units</v>
      </c>
      <c r="L92" s="38">
        <f ca="1">INDEX(OFFSET('Measure Inputs'!$Q$7,,,InputRows),$C92)</f>
        <v>0</v>
      </c>
      <c r="M92" s="167">
        <f>INDEX('General Inputs'!$E$14:$E$15,MATCH(D92,'General Inputs'!$D$14:$D$15,0))</f>
        <v>1.0469999999999999</v>
      </c>
      <c r="N92" s="54">
        <f ca="1">INDEX(OFFSET('Measure Inputs'!$Y$7,,,InputRows),$C92)</f>
        <v>1</v>
      </c>
      <c r="O92" s="54">
        <f ca="1">INDEX(OFFSET('Measure Inputs'!$Z$7,,,InputRows),$C92)</f>
        <v>1</v>
      </c>
      <c r="P92" s="37"/>
      <c r="Q92" s="127">
        <f ca="1">CONVERT(INDEX(OFFSET('Measure Inputs'!$AB$7,,,InputRows),$C92),'Measure Inputs'!$AB$6,Q$8)*$L92</f>
        <v>0</v>
      </c>
      <c r="R92" s="127">
        <f t="shared" ca="1" si="341"/>
        <v>0</v>
      </c>
      <c r="S92" s="127">
        <f t="shared" ca="1" si="342"/>
        <v>0</v>
      </c>
      <c r="T92" s="37"/>
      <c r="U92" s="127">
        <f ca="1">CONVERT(INDEX(OFFSET('Measure Inputs'!$AD$7,,,InputRows),$C92),'Measure Inputs'!$AD$6,U$8)*$L92</f>
        <v>0</v>
      </c>
      <c r="V92" s="127">
        <f t="shared" ca="1" si="343"/>
        <v>0</v>
      </c>
      <c r="W92" s="127">
        <f t="shared" ca="1" si="344"/>
        <v>0</v>
      </c>
      <c r="X92" s="37"/>
      <c r="Y92" s="127">
        <f ca="1">CONVERT(INDEX(OFFSET('Measure Inputs'!$AC$7,,,InputRows),$C92),'Measure Inputs'!$AC$6,Y$8)*$L92</f>
        <v>0</v>
      </c>
      <c r="Z92" s="127">
        <f t="shared" ca="1" si="345"/>
        <v>0</v>
      </c>
      <c r="AA92" s="127">
        <f t="shared" ca="1" si="346"/>
        <v>0</v>
      </c>
      <c r="AB92" s="37"/>
      <c r="AC92" s="127">
        <f ca="1">CONVERT(INDEX(OFFSET('Measure Inputs'!$AE$7,,,InputRows),$C92),'Measure Inputs'!$AE$6,AC$8)*$L92</f>
        <v>0</v>
      </c>
      <c r="AD92" s="127">
        <f t="shared" ca="1" si="347"/>
        <v>0</v>
      </c>
      <c r="AE92" s="127">
        <f t="shared" ca="1" si="348"/>
        <v>0</v>
      </c>
      <c r="AF92" s="37"/>
      <c r="AG92" s="97">
        <f ca="1">INDEX(OFFSET('Measure Inputs'!$R$7,,,InputRows),$C92)</f>
        <v>15</v>
      </c>
      <c r="AH92" s="97">
        <f ca="1">INDEX(OFFSET('Measure Inputs'!$S$7,,,InputRows),$C92)</f>
        <v>0</v>
      </c>
      <c r="AI92" s="97">
        <f t="shared" ca="1" si="349"/>
        <v>0</v>
      </c>
      <c r="AJ92" s="100">
        <f ca="1">INDEX(OFFSET('Measure Inputs'!$T$7,,,InputRows),$C92)*$L92*$N92*$O92</f>
        <v>0</v>
      </c>
      <c r="AK92" s="100">
        <f ca="1">INDEX(OFFSET('Measure Inputs'!$U$7,,,InputRows),$C92)*$L92*$N92*$O92</f>
        <v>0</v>
      </c>
      <c r="AL92" s="100">
        <f ca="1">INDEX(OFFSET('Measure Inputs'!$V$7,,,InputRows),$C92)*$L92*$N92*$O92</f>
        <v>0</v>
      </c>
      <c r="AM92" s="100">
        <f ca="1">INDEX(OFFSET('Measure Inputs'!$W$7,,,InputRows),$C92)*$L92*$N92*$O92</f>
        <v>0</v>
      </c>
      <c r="AN92" s="100">
        <f ca="1">INDEX(OFFSET('Measure Inputs'!$X$7,,,InputRows),$C92)*$L92</f>
        <v>0</v>
      </c>
      <c r="AO92" s="100"/>
      <c r="AP92" s="100">
        <f t="shared" ca="1" si="350"/>
        <v>0</v>
      </c>
      <c r="AQ92" s="37"/>
      <c r="AR92" s="100">
        <f ca="1">SUMPRODUCT(--($CX$9:$EX$9=$H92)*$AJ92,'General Inputs'!$K$40:$BK$40)+SUMPRODUCT(--($CX$9:$EX$9=$H92+$AH92)*-$AK92,'General Inputs'!$K$43:$BK$43)</f>
        <v>0</v>
      </c>
      <c r="AS92" s="100">
        <f ca="1">CONVERT(SUMPRODUCT($CX92:$EX92,'General Inputs'!$K$29:$BK$29,'General Inputs'!$K$40:$BK$40)*$M92,$Q$8,'General Inputs'!$E$17)</f>
        <v>0</v>
      </c>
      <c r="AT92" s="100">
        <f ca="1">SUMPRODUCT(--($CX$9:$EX$9=$H92)*$AN92,'General Inputs'!$K$40:$BK$40)</f>
        <v>0</v>
      </c>
      <c r="AU92" s="100">
        <f>SUMPRODUCT(--($CX$9:$EX$9=$H92)*$AO92,'General Inputs'!$K$40:$BK$40)</f>
        <v>0</v>
      </c>
      <c r="AV92" s="100">
        <f ca="1">CONVERT(SUMPRODUCT($CX92:$EX92,'General Inputs'!$K$40:$BK$40,OFFSET('General Inputs'!$K$34:$BK$34,MATCH($D92,'General Inputs'!$J$34:$J$35,0)-1,)),$Q$8,'General Inputs'!$G$32)</f>
        <v>0</v>
      </c>
      <c r="AW92" s="100">
        <f ca="1">CONVERT(SUMPRODUCT($CX92:$EX92,'General Inputs'!$K$27:$BK$27,'General Inputs'!$K$40:$BK$40)*$M92,$Q$8,'General Inputs'!$E$17)</f>
        <v>0</v>
      </c>
      <c r="AX92" s="100">
        <f ca="1">CONVERT(SUMPRODUCT($EZ92:$GZ92,'General Inputs'!$K$28:$BK$28,'General Inputs'!$K$40:$BK$40)*$M92,$Q$8,'General Inputs'!$E$17)</f>
        <v>0</v>
      </c>
      <c r="AY92" s="98">
        <f ca="1">SUMPRODUCT($CX92:$EX92,'General Inputs'!$K$40:$BK$40)</f>
        <v>0</v>
      </c>
      <c r="AZ92" s="37"/>
      <c r="BA92" s="100">
        <f t="shared" ca="1" si="351"/>
        <v>0</v>
      </c>
      <c r="BB92" s="102" t="e">
        <f t="shared" ca="1" si="352"/>
        <v>#DIV/0!</v>
      </c>
      <c r="BC92" s="100">
        <f t="shared" ca="1" si="273"/>
        <v>0</v>
      </c>
      <c r="BD92" s="100">
        <f t="shared" ca="1" si="274"/>
        <v>0</v>
      </c>
      <c r="BE92" s="100">
        <f t="shared" ca="1" si="275"/>
        <v>0</v>
      </c>
      <c r="BF92" s="100">
        <f t="shared" ca="1" si="394"/>
        <v>0</v>
      </c>
      <c r="BG92" s="100">
        <f t="shared" si="277"/>
        <v>0</v>
      </c>
      <c r="BH92" s="100">
        <f t="shared" ca="1" si="278"/>
        <v>0</v>
      </c>
      <c r="BI92" s="37"/>
      <c r="BJ92" s="100">
        <f t="shared" ca="1" si="353"/>
        <v>0</v>
      </c>
      <c r="BK92" s="102" t="e">
        <f t="shared" ca="1" si="354"/>
        <v>#DIV/0!</v>
      </c>
      <c r="BL92" s="100">
        <f t="shared" ca="1" si="279"/>
        <v>0</v>
      </c>
      <c r="BM92" s="100">
        <f t="shared" ca="1" si="393"/>
        <v>0</v>
      </c>
      <c r="BN92" s="100">
        <f t="shared" ca="1" si="280"/>
        <v>0</v>
      </c>
      <c r="BO92" s="100">
        <f t="shared" ca="1" si="281"/>
        <v>0</v>
      </c>
      <c r="BP92" s="100">
        <f t="shared" ca="1" si="282"/>
        <v>0</v>
      </c>
      <c r="BQ92" s="100">
        <f t="shared" si="283"/>
        <v>0</v>
      </c>
      <c r="BR92" s="100">
        <f t="shared" ca="1" si="284"/>
        <v>0</v>
      </c>
      <c r="BS92" s="37"/>
      <c r="BT92" s="100">
        <f t="shared" ca="1" si="355"/>
        <v>0</v>
      </c>
      <c r="BU92" s="102" t="e">
        <f t="shared" ca="1" si="356"/>
        <v>#DIV/0!</v>
      </c>
      <c r="BV92" s="102" t="e">
        <f t="shared" ca="1" si="285"/>
        <v>#DIV/0!</v>
      </c>
      <c r="BW92" s="100">
        <f t="shared" ca="1" si="286"/>
        <v>0</v>
      </c>
      <c r="BX92" s="100">
        <f t="shared" ca="1" si="287"/>
        <v>0</v>
      </c>
      <c r="BY92" s="100">
        <f t="shared" ca="1" si="288"/>
        <v>0</v>
      </c>
      <c r="BZ92" s="100">
        <f t="shared" ca="1" si="289"/>
        <v>0</v>
      </c>
      <c r="CA92" s="100">
        <f t="shared" ca="1" si="290"/>
        <v>0</v>
      </c>
      <c r="CB92" s="37"/>
      <c r="CC92" s="100">
        <f t="shared" ca="1" si="357"/>
        <v>0</v>
      </c>
      <c r="CD92" s="102" t="e">
        <f t="shared" ca="1" si="358"/>
        <v>#DIV/0!</v>
      </c>
      <c r="CE92" s="103" t="e">
        <f t="shared" ca="1" si="291"/>
        <v>#DIV/0!</v>
      </c>
      <c r="CF92" s="100">
        <f t="shared" ca="1" si="292"/>
        <v>0</v>
      </c>
      <c r="CG92" s="100">
        <f t="shared" ca="1" si="293"/>
        <v>0</v>
      </c>
      <c r="CH92" s="100">
        <f t="shared" ca="1" si="294"/>
        <v>0</v>
      </c>
      <c r="CI92" s="100">
        <f t="shared" ca="1" si="382"/>
        <v>0</v>
      </c>
      <c r="CJ92" s="100">
        <f t="shared" ca="1" si="383"/>
        <v>0</v>
      </c>
      <c r="CK92" s="100">
        <f t="shared" si="295"/>
        <v>0</v>
      </c>
      <c r="CL92" s="37"/>
      <c r="CM92" s="100">
        <f t="shared" ca="1" si="359"/>
        <v>0</v>
      </c>
      <c r="CN92" s="102" t="e">
        <f t="shared" ca="1" si="360"/>
        <v>#DIV/0!</v>
      </c>
      <c r="CO92" s="128"/>
      <c r="CP92" s="100">
        <f t="shared" ca="1" si="296"/>
        <v>0</v>
      </c>
      <c r="CQ92" s="100">
        <f t="shared" ca="1" si="297"/>
        <v>0</v>
      </c>
      <c r="CR92" s="100">
        <f t="shared" ca="1" si="298"/>
        <v>0</v>
      </c>
      <c r="CS92" s="100">
        <f t="shared" ca="1" si="384"/>
        <v>0</v>
      </c>
      <c r="CT92" s="100">
        <f t="shared" ca="1" si="299"/>
        <v>0</v>
      </c>
      <c r="CU92" s="100">
        <f t="shared" ca="1" si="300"/>
        <v>0</v>
      </c>
      <c r="CV92" s="100">
        <f t="shared" si="301"/>
        <v>0</v>
      </c>
      <c r="CW92" s="37"/>
      <c r="CX92" s="48">
        <f t="shared" ref="CX92:DM97" ca="1" si="401">IF(AND($H92&lt;=CX$9,$H92+$AG92&gt;CX$9),IF(AND($H92+$AH92&lt;=CX$9,$AH92&gt;0),$W92,$S92),0)</f>
        <v>0</v>
      </c>
      <c r="CY92" s="48">
        <f t="shared" ca="1" si="401"/>
        <v>0</v>
      </c>
      <c r="CZ92" s="48">
        <f t="shared" ca="1" si="401"/>
        <v>0</v>
      </c>
      <c r="DA92" s="48">
        <f t="shared" ca="1" si="401"/>
        <v>0</v>
      </c>
      <c r="DB92" s="48">
        <f t="shared" ca="1" si="401"/>
        <v>0</v>
      </c>
      <c r="DC92" s="48">
        <f t="shared" ca="1" si="401"/>
        <v>0</v>
      </c>
      <c r="DD92" s="48">
        <f t="shared" ca="1" si="401"/>
        <v>0</v>
      </c>
      <c r="DE92" s="48">
        <f t="shared" ca="1" si="401"/>
        <v>0</v>
      </c>
      <c r="DF92" s="48">
        <f t="shared" ca="1" si="401"/>
        <v>0</v>
      </c>
      <c r="DG92" s="48">
        <f t="shared" ca="1" si="401"/>
        <v>0</v>
      </c>
      <c r="DH92" s="48">
        <f t="shared" ca="1" si="401"/>
        <v>0</v>
      </c>
      <c r="DI92" s="48">
        <f t="shared" ca="1" si="401"/>
        <v>0</v>
      </c>
      <c r="DJ92" s="48">
        <f t="shared" ca="1" si="401"/>
        <v>0</v>
      </c>
      <c r="DK92" s="48">
        <f t="shared" ca="1" si="401"/>
        <v>0</v>
      </c>
      <c r="DL92" s="48">
        <f t="shared" ca="1" si="401"/>
        <v>0</v>
      </c>
      <c r="DM92" s="48">
        <f t="shared" ca="1" si="401"/>
        <v>0</v>
      </c>
      <c r="DN92" s="48">
        <f t="shared" ref="DN92:EA97" ca="1" si="402">IF(AND($H92&lt;=DN$9,$H92+$AG92&gt;DN$9),IF(AND($H92+$AH92&lt;=DN$9,$AH92&gt;0),$W92,$S92),0)</f>
        <v>0</v>
      </c>
      <c r="DO92" s="48">
        <f t="shared" ca="1" si="402"/>
        <v>0</v>
      </c>
      <c r="DP92" s="48">
        <f t="shared" ca="1" si="402"/>
        <v>0</v>
      </c>
      <c r="DQ92" s="48">
        <f t="shared" ca="1" si="402"/>
        <v>0</v>
      </c>
      <c r="DR92" s="48">
        <f t="shared" ca="1" si="402"/>
        <v>0</v>
      </c>
      <c r="DS92" s="48">
        <f t="shared" ca="1" si="402"/>
        <v>0</v>
      </c>
      <c r="DT92" s="48">
        <f t="shared" ca="1" si="402"/>
        <v>0</v>
      </c>
      <c r="DU92" s="48">
        <f t="shared" ca="1" si="402"/>
        <v>0</v>
      </c>
      <c r="DV92" s="48">
        <f t="shared" ca="1" si="402"/>
        <v>0</v>
      </c>
      <c r="DW92" s="48">
        <f t="shared" ca="1" si="402"/>
        <v>0</v>
      </c>
      <c r="DX92" s="48">
        <f t="shared" ca="1" si="402"/>
        <v>0</v>
      </c>
      <c r="DY92" s="48">
        <f t="shared" ca="1" si="402"/>
        <v>0</v>
      </c>
      <c r="DZ92" s="48">
        <f t="shared" ca="1" si="402"/>
        <v>0</v>
      </c>
      <c r="EA92" s="48">
        <f t="shared" ca="1" si="402"/>
        <v>0</v>
      </c>
      <c r="EB92" s="48">
        <f t="shared" ca="1" si="399"/>
        <v>0</v>
      </c>
      <c r="EC92" s="48">
        <f t="shared" ca="1" si="397"/>
        <v>0</v>
      </c>
      <c r="ED92" s="48">
        <f t="shared" ca="1" si="397"/>
        <v>0</v>
      </c>
      <c r="EE92" s="48">
        <f t="shared" ca="1" si="397"/>
        <v>0</v>
      </c>
      <c r="EF92" s="48">
        <f t="shared" ca="1" si="397"/>
        <v>0</v>
      </c>
      <c r="EG92" s="48">
        <f t="shared" ca="1" si="397"/>
        <v>0</v>
      </c>
      <c r="EH92" s="48">
        <f t="shared" ca="1" si="397"/>
        <v>0</v>
      </c>
      <c r="EI92" s="48">
        <f t="shared" ca="1" si="397"/>
        <v>0</v>
      </c>
      <c r="EJ92" s="48">
        <f t="shared" ca="1" si="397"/>
        <v>0</v>
      </c>
      <c r="EK92" s="48">
        <f t="shared" ca="1" si="397"/>
        <v>0</v>
      </c>
      <c r="EL92" s="48">
        <f t="shared" ca="1" si="397"/>
        <v>0</v>
      </c>
      <c r="EM92" s="48">
        <f t="shared" ca="1" si="397"/>
        <v>0</v>
      </c>
      <c r="EN92" s="48">
        <f t="shared" ca="1" si="395"/>
        <v>0</v>
      </c>
      <c r="EO92" s="48">
        <f t="shared" ca="1" si="395"/>
        <v>0</v>
      </c>
      <c r="EP92" s="48">
        <f t="shared" ca="1" si="395"/>
        <v>0</v>
      </c>
      <c r="EQ92" s="48">
        <f t="shared" ca="1" si="386"/>
        <v>0</v>
      </c>
      <c r="ER92" s="48">
        <f t="shared" ca="1" si="386"/>
        <v>0</v>
      </c>
      <c r="ES92" s="48">
        <f t="shared" ca="1" si="374"/>
        <v>0</v>
      </c>
      <c r="ET92" s="48">
        <f t="shared" ca="1" si="364"/>
        <v>0</v>
      </c>
      <c r="EU92" s="48">
        <f t="shared" ca="1" si="364"/>
        <v>0</v>
      </c>
      <c r="EV92" s="48">
        <f t="shared" ca="1" si="364"/>
        <v>0</v>
      </c>
      <c r="EW92" s="48">
        <f t="shared" ca="1" si="364"/>
        <v>0</v>
      </c>
      <c r="EX92" s="48">
        <f t="shared" ca="1" si="364"/>
        <v>0</v>
      </c>
      <c r="EY92" s="69"/>
      <c r="EZ92" s="48">
        <f t="shared" ref="EZ92:FO97" ca="1" si="403">IF(AND($H92&lt;=EZ$9,$H92+$AG92&gt;EZ$9),IF(AND($H92+$AH92&lt;=EZ$9,$AH92&gt;0),$AE92,$AA92),0)</f>
        <v>0</v>
      </c>
      <c r="FA92" s="48">
        <f t="shared" ca="1" si="403"/>
        <v>0</v>
      </c>
      <c r="FB92" s="48">
        <f t="shared" ca="1" si="403"/>
        <v>0</v>
      </c>
      <c r="FC92" s="48">
        <f t="shared" ca="1" si="403"/>
        <v>0</v>
      </c>
      <c r="FD92" s="48">
        <f t="shared" ca="1" si="403"/>
        <v>0</v>
      </c>
      <c r="FE92" s="48">
        <f t="shared" ca="1" si="403"/>
        <v>0</v>
      </c>
      <c r="FF92" s="48">
        <f t="shared" ca="1" si="403"/>
        <v>0</v>
      </c>
      <c r="FG92" s="48">
        <f t="shared" ca="1" si="403"/>
        <v>0</v>
      </c>
      <c r="FH92" s="48">
        <f t="shared" ca="1" si="403"/>
        <v>0</v>
      </c>
      <c r="FI92" s="48">
        <f t="shared" ca="1" si="403"/>
        <v>0</v>
      </c>
      <c r="FJ92" s="48">
        <f t="shared" ca="1" si="403"/>
        <v>0</v>
      </c>
      <c r="FK92" s="48">
        <f t="shared" ca="1" si="403"/>
        <v>0</v>
      </c>
      <c r="FL92" s="48">
        <f t="shared" ca="1" si="403"/>
        <v>0</v>
      </c>
      <c r="FM92" s="48">
        <f t="shared" ca="1" si="403"/>
        <v>0</v>
      </c>
      <c r="FN92" s="48">
        <f t="shared" ca="1" si="403"/>
        <v>0</v>
      </c>
      <c r="FO92" s="48">
        <f t="shared" ca="1" si="403"/>
        <v>0</v>
      </c>
      <c r="FP92" s="48">
        <f t="shared" ref="FP92:GC97" ca="1" si="404">IF(AND($H92&lt;=FP$9,$H92+$AG92&gt;FP$9),IF(AND($H92+$AH92&lt;=FP$9,$AH92&gt;0),$AE92,$AA92),0)</f>
        <v>0</v>
      </c>
      <c r="FQ92" s="48">
        <f t="shared" ca="1" si="404"/>
        <v>0</v>
      </c>
      <c r="FR92" s="48">
        <f t="shared" ca="1" si="404"/>
        <v>0</v>
      </c>
      <c r="FS92" s="48">
        <f t="shared" ca="1" si="404"/>
        <v>0</v>
      </c>
      <c r="FT92" s="48">
        <f t="shared" ca="1" si="404"/>
        <v>0</v>
      </c>
      <c r="FU92" s="48">
        <f t="shared" ca="1" si="404"/>
        <v>0</v>
      </c>
      <c r="FV92" s="48">
        <f t="shared" ca="1" si="404"/>
        <v>0</v>
      </c>
      <c r="FW92" s="48">
        <f t="shared" ca="1" si="404"/>
        <v>0</v>
      </c>
      <c r="FX92" s="48">
        <f t="shared" ca="1" si="404"/>
        <v>0</v>
      </c>
      <c r="FY92" s="48">
        <f t="shared" ca="1" si="404"/>
        <v>0</v>
      </c>
      <c r="FZ92" s="48">
        <f t="shared" ca="1" si="404"/>
        <v>0</v>
      </c>
      <c r="GA92" s="48">
        <f t="shared" ca="1" si="404"/>
        <v>0</v>
      </c>
      <c r="GB92" s="48">
        <f t="shared" ca="1" si="404"/>
        <v>0</v>
      </c>
      <c r="GC92" s="48">
        <f t="shared" ca="1" si="404"/>
        <v>0</v>
      </c>
      <c r="GD92" s="48">
        <f t="shared" ca="1" si="400"/>
        <v>0</v>
      </c>
      <c r="GE92" s="48">
        <f t="shared" ca="1" si="398"/>
        <v>0</v>
      </c>
      <c r="GF92" s="48">
        <f t="shared" ca="1" si="398"/>
        <v>0</v>
      </c>
      <c r="GG92" s="48">
        <f t="shared" ca="1" si="398"/>
        <v>0</v>
      </c>
      <c r="GH92" s="48">
        <f t="shared" ca="1" si="398"/>
        <v>0</v>
      </c>
      <c r="GI92" s="48">
        <f t="shared" ca="1" si="398"/>
        <v>0</v>
      </c>
      <c r="GJ92" s="48">
        <f t="shared" ca="1" si="398"/>
        <v>0</v>
      </c>
      <c r="GK92" s="48">
        <f t="shared" ca="1" si="398"/>
        <v>0</v>
      </c>
      <c r="GL92" s="48">
        <f t="shared" ca="1" si="398"/>
        <v>0</v>
      </c>
      <c r="GM92" s="48">
        <f t="shared" ca="1" si="398"/>
        <v>0</v>
      </c>
      <c r="GN92" s="48">
        <f t="shared" ca="1" si="398"/>
        <v>0</v>
      </c>
      <c r="GO92" s="48">
        <f t="shared" ca="1" si="398"/>
        <v>0</v>
      </c>
      <c r="GP92" s="48">
        <f t="shared" ca="1" si="396"/>
        <v>0</v>
      </c>
      <c r="GQ92" s="48">
        <f t="shared" ca="1" si="396"/>
        <v>0</v>
      </c>
      <c r="GR92" s="48">
        <f t="shared" ca="1" si="396"/>
        <v>0</v>
      </c>
      <c r="GS92" s="48">
        <f t="shared" ca="1" si="388"/>
        <v>0</v>
      </c>
      <c r="GT92" s="48">
        <f t="shared" ca="1" si="388"/>
        <v>0</v>
      </c>
      <c r="GU92" s="48">
        <f t="shared" ca="1" si="377"/>
        <v>0</v>
      </c>
      <c r="GV92" s="48">
        <f t="shared" ca="1" si="368"/>
        <v>0</v>
      </c>
      <c r="GW92" s="48">
        <f t="shared" ca="1" si="368"/>
        <v>0</v>
      </c>
      <c r="GX92" s="48">
        <f t="shared" ca="1" si="368"/>
        <v>0</v>
      </c>
      <c r="GY92" s="48">
        <f t="shared" ca="1" si="368"/>
        <v>0</v>
      </c>
      <c r="GZ92" s="48">
        <f t="shared" ca="1" si="368"/>
        <v>0</v>
      </c>
      <c r="HA92" s="69"/>
      <c r="HB92" s="150" t="str">
        <f t="shared" ca="1" si="380"/>
        <v>n/a</v>
      </c>
      <c r="HC92" s="150" t="str">
        <f t="shared" ca="1" si="369"/>
        <v>n/a</v>
      </c>
      <c r="HD92" s="150" t="str">
        <f t="shared" ca="1" si="381"/>
        <v>n/a</v>
      </c>
      <c r="HE92" s="150" t="str">
        <f t="shared" ca="1" si="370"/>
        <v>n/a</v>
      </c>
      <c r="HF92" s="150" t="str">
        <f t="shared" ca="1" si="371"/>
        <v>n/a</v>
      </c>
      <c r="HG92" s="148"/>
      <c r="HH92" s="149"/>
      <c r="HI92" s="149"/>
      <c r="HJ92" s="149"/>
      <c r="HK92" s="150"/>
      <c r="HL92" s="149"/>
      <c r="HM92" s="149"/>
      <c r="HN92" s="149"/>
      <c r="HO92" s="150"/>
      <c r="HP92" s="148"/>
      <c r="HQ92" s="149"/>
      <c r="HR92" s="149"/>
      <c r="HS92" s="149"/>
      <c r="HT92" s="150"/>
      <c r="HU92" s="149"/>
      <c r="HV92" s="149"/>
      <c r="HW92" s="149"/>
      <c r="HX92" s="150"/>
      <c r="HY92" s="151"/>
      <c r="HZ92" s="150"/>
      <c r="IA92" s="150"/>
      <c r="IB92" s="152"/>
      <c r="IC92" s="150"/>
      <c r="ID92" s="152"/>
      <c r="IE92" s="150"/>
      <c r="IF92" s="153"/>
    </row>
    <row r="93" spans="1:240" s="36" customFormat="1" ht="14.4" customHeight="1">
      <c r="A93" s="39"/>
      <c r="B93" s="50" t="str">
        <f t="shared" si="340"/>
        <v>C&amp;I_C&amp;I Prescriptive_HVAC_Geothermal Heat Pump_2017_Actual</v>
      </c>
      <c r="C93" s="50">
        <f>INDEX('Measure Inputs'!$D:$D,MATCH($B93,'Measure Inputs'!$B:$B,0))</f>
        <v>59</v>
      </c>
      <c r="D93" s="51" t="str">
        <f>'Measure Inputs'!G65</f>
        <v>C&amp;I</v>
      </c>
      <c r="E93" s="51" t="str">
        <f>'Measure Inputs'!H65</f>
        <v>C&amp;I Prescriptive</v>
      </c>
      <c r="F93" s="51" t="str">
        <f>'Measure Inputs'!I65</f>
        <v>HVAC</v>
      </c>
      <c r="G93" s="51" t="str">
        <f>'Measure Inputs'!J65</f>
        <v>Geothermal Heat Pump</v>
      </c>
      <c r="H93" s="51">
        <f>'Measure Inputs'!K65</f>
        <v>2017</v>
      </c>
      <c r="I93" s="51" t="str">
        <f>'Measure Inputs'!L65</f>
        <v>Actual</v>
      </c>
      <c r="J93" s="37"/>
      <c r="K93" s="99" t="str">
        <f ca="1">INDEX(OFFSET('Measure Inputs'!$O$7,,,InputRows),$C93)</f>
        <v>Units</v>
      </c>
      <c r="L93" s="38">
        <f ca="1">INDEX(OFFSET('Measure Inputs'!$Q$7,,,InputRows),$C93)</f>
        <v>0</v>
      </c>
      <c r="M93" s="167">
        <f>INDEX('General Inputs'!$E$14:$E$15,MATCH(D93,'General Inputs'!$D$14:$D$15,0))</f>
        <v>1.0469999999999999</v>
      </c>
      <c r="N93" s="54">
        <f ca="1">INDEX(OFFSET('Measure Inputs'!$Y$7,,,InputRows),$C93)</f>
        <v>1</v>
      </c>
      <c r="O93" s="54">
        <f ca="1">INDEX(OFFSET('Measure Inputs'!$Z$7,,,InputRows),$C93)</f>
        <v>1</v>
      </c>
      <c r="P93" s="37"/>
      <c r="Q93" s="127">
        <f ca="1">CONVERT(INDEX(OFFSET('Measure Inputs'!$AB$7,,,InputRows),$C93),'Measure Inputs'!$AB$6,Q$8)*$L93</f>
        <v>0</v>
      </c>
      <c r="R93" s="127">
        <f t="shared" ca="1" si="341"/>
        <v>0</v>
      </c>
      <c r="S93" s="127">
        <f t="shared" ca="1" si="342"/>
        <v>0</v>
      </c>
      <c r="T93" s="37"/>
      <c r="U93" s="127">
        <f ca="1">CONVERT(INDEX(OFFSET('Measure Inputs'!$AD$7,,,InputRows),$C93),'Measure Inputs'!$AD$6,U$8)*$L93</f>
        <v>0</v>
      </c>
      <c r="V93" s="127">
        <f t="shared" ca="1" si="343"/>
        <v>0</v>
      </c>
      <c r="W93" s="127">
        <f t="shared" ca="1" si="344"/>
        <v>0</v>
      </c>
      <c r="X93" s="37"/>
      <c r="Y93" s="127">
        <f ca="1">CONVERT(INDEX(OFFSET('Measure Inputs'!$AC$7,,,InputRows),$C93),'Measure Inputs'!$AC$6,Y$8)*$L93</f>
        <v>0</v>
      </c>
      <c r="Z93" s="127">
        <f t="shared" ca="1" si="345"/>
        <v>0</v>
      </c>
      <c r="AA93" s="127">
        <f t="shared" ca="1" si="346"/>
        <v>0</v>
      </c>
      <c r="AB93" s="37"/>
      <c r="AC93" s="127">
        <f ca="1">CONVERT(INDEX(OFFSET('Measure Inputs'!$AE$7,,,InputRows),$C93),'Measure Inputs'!$AE$6,AC$8)*$L93</f>
        <v>0</v>
      </c>
      <c r="AD93" s="127">
        <f t="shared" ca="1" si="347"/>
        <v>0</v>
      </c>
      <c r="AE93" s="127">
        <f t="shared" ca="1" si="348"/>
        <v>0</v>
      </c>
      <c r="AF93" s="37"/>
      <c r="AG93" s="97">
        <f ca="1">INDEX(OFFSET('Measure Inputs'!$R$7,,,InputRows),$C93)</f>
        <v>15</v>
      </c>
      <c r="AH93" s="97">
        <f ca="1">INDEX(OFFSET('Measure Inputs'!$S$7,,,InputRows),$C93)</f>
        <v>0</v>
      </c>
      <c r="AI93" s="97">
        <f t="shared" ca="1" si="349"/>
        <v>0</v>
      </c>
      <c r="AJ93" s="100">
        <f ca="1">INDEX(OFFSET('Measure Inputs'!$T$7,,,InputRows),$C93)*$L93*$N93*$O93</f>
        <v>0</v>
      </c>
      <c r="AK93" s="100">
        <f ca="1">INDEX(OFFSET('Measure Inputs'!$U$7,,,InputRows),$C93)*$L93*$N93*$O93</f>
        <v>0</v>
      </c>
      <c r="AL93" s="100">
        <f ca="1">INDEX(OFFSET('Measure Inputs'!$V$7,,,InputRows),$C93)*$L93*$N93*$O93</f>
        <v>0</v>
      </c>
      <c r="AM93" s="100">
        <f ca="1">INDEX(OFFSET('Measure Inputs'!$W$7,,,InputRows),$C93)*$L93*$N93*$O93</f>
        <v>0</v>
      </c>
      <c r="AN93" s="100">
        <f ca="1">INDEX(OFFSET('Measure Inputs'!$X$7,,,InputRows),$C93)*$L93</f>
        <v>0</v>
      </c>
      <c r="AO93" s="100"/>
      <c r="AP93" s="100">
        <f t="shared" ca="1" si="350"/>
        <v>0</v>
      </c>
      <c r="AQ93" s="37"/>
      <c r="AR93" s="100">
        <f ca="1">SUMPRODUCT(--($CX$9:$EX$9=$H93)*$AJ93,'General Inputs'!$K$40:$BK$40)+SUMPRODUCT(--($CX$9:$EX$9=$H93+$AH93)*-$AK93,'General Inputs'!$K$43:$BK$43)</f>
        <v>0</v>
      </c>
      <c r="AS93" s="100">
        <f ca="1">CONVERT(SUMPRODUCT($CX93:$EX93,'General Inputs'!$K$29:$BK$29,'General Inputs'!$K$40:$BK$40)*$M93,$Q$8,'General Inputs'!$E$17)</f>
        <v>0</v>
      </c>
      <c r="AT93" s="100">
        <f ca="1">SUMPRODUCT(--($CX$9:$EX$9=$H93)*$AN93,'General Inputs'!$K$40:$BK$40)</f>
        <v>0</v>
      </c>
      <c r="AU93" s="100">
        <f>SUMPRODUCT(--($CX$9:$EX$9=$H93)*$AO93,'General Inputs'!$K$40:$BK$40)</f>
        <v>0</v>
      </c>
      <c r="AV93" s="100">
        <f ca="1">CONVERT(SUMPRODUCT($CX93:$EX93,'General Inputs'!$K$40:$BK$40,OFFSET('General Inputs'!$K$34:$BK$34,MATCH($D93,'General Inputs'!$J$34:$J$35,0)-1,)),$Q$8,'General Inputs'!$G$32)</f>
        <v>0</v>
      </c>
      <c r="AW93" s="100">
        <f ca="1">CONVERT(SUMPRODUCT($CX93:$EX93,'General Inputs'!$K$27:$BK$27,'General Inputs'!$K$40:$BK$40)*$M93,$Q$8,'General Inputs'!$E$17)</f>
        <v>0</v>
      </c>
      <c r="AX93" s="100">
        <f ca="1">CONVERT(SUMPRODUCT($EZ93:$GZ93,'General Inputs'!$K$28:$BK$28,'General Inputs'!$K$40:$BK$40)*$M93,$Q$8,'General Inputs'!$E$17)</f>
        <v>0</v>
      </c>
      <c r="AY93" s="98">
        <f ca="1">SUMPRODUCT($CX93:$EX93,'General Inputs'!$K$40:$BK$40)</f>
        <v>0</v>
      </c>
      <c r="AZ93" s="37"/>
      <c r="BA93" s="100">
        <f t="shared" ca="1" si="351"/>
        <v>0</v>
      </c>
      <c r="BB93" s="102" t="e">
        <f t="shared" ca="1" si="352"/>
        <v>#DIV/0!</v>
      </c>
      <c r="BC93" s="100">
        <f t="shared" ca="1" si="273"/>
        <v>0</v>
      </c>
      <c r="BD93" s="100">
        <f t="shared" ca="1" si="274"/>
        <v>0</v>
      </c>
      <c r="BE93" s="100">
        <f t="shared" ca="1" si="275"/>
        <v>0</v>
      </c>
      <c r="BF93" s="100">
        <f t="shared" ca="1" si="394"/>
        <v>0</v>
      </c>
      <c r="BG93" s="100">
        <f t="shared" si="277"/>
        <v>0</v>
      </c>
      <c r="BH93" s="100">
        <f t="shared" ca="1" si="278"/>
        <v>0</v>
      </c>
      <c r="BI93" s="37"/>
      <c r="BJ93" s="100">
        <f t="shared" ca="1" si="353"/>
        <v>0</v>
      </c>
      <c r="BK93" s="102" t="e">
        <f t="shared" ca="1" si="354"/>
        <v>#DIV/0!</v>
      </c>
      <c r="BL93" s="100">
        <f t="shared" ca="1" si="279"/>
        <v>0</v>
      </c>
      <c r="BM93" s="100">
        <f t="shared" ca="1" si="393"/>
        <v>0</v>
      </c>
      <c r="BN93" s="100">
        <f t="shared" ca="1" si="280"/>
        <v>0</v>
      </c>
      <c r="BO93" s="100">
        <f t="shared" ca="1" si="281"/>
        <v>0</v>
      </c>
      <c r="BP93" s="100">
        <f t="shared" ca="1" si="282"/>
        <v>0</v>
      </c>
      <c r="BQ93" s="100">
        <f t="shared" si="283"/>
        <v>0</v>
      </c>
      <c r="BR93" s="100">
        <f t="shared" ca="1" si="284"/>
        <v>0</v>
      </c>
      <c r="BS93" s="37"/>
      <c r="BT93" s="100">
        <f t="shared" ca="1" si="355"/>
        <v>0</v>
      </c>
      <c r="BU93" s="102" t="e">
        <f t="shared" ca="1" si="356"/>
        <v>#DIV/0!</v>
      </c>
      <c r="BV93" s="102" t="e">
        <f t="shared" ca="1" si="285"/>
        <v>#DIV/0!</v>
      </c>
      <c r="BW93" s="100">
        <f t="shared" ca="1" si="286"/>
        <v>0</v>
      </c>
      <c r="BX93" s="100">
        <f t="shared" ca="1" si="287"/>
        <v>0</v>
      </c>
      <c r="BY93" s="100">
        <f t="shared" ca="1" si="288"/>
        <v>0</v>
      </c>
      <c r="BZ93" s="100">
        <f t="shared" ca="1" si="289"/>
        <v>0</v>
      </c>
      <c r="CA93" s="100">
        <f t="shared" ca="1" si="290"/>
        <v>0</v>
      </c>
      <c r="CB93" s="37"/>
      <c r="CC93" s="100">
        <f t="shared" ca="1" si="357"/>
        <v>0</v>
      </c>
      <c r="CD93" s="102" t="e">
        <f t="shared" ca="1" si="358"/>
        <v>#DIV/0!</v>
      </c>
      <c r="CE93" s="103" t="e">
        <f t="shared" ca="1" si="291"/>
        <v>#DIV/0!</v>
      </c>
      <c r="CF93" s="100">
        <f t="shared" ca="1" si="292"/>
        <v>0</v>
      </c>
      <c r="CG93" s="100">
        <f t="shared" ca="1" si="293"/>
        <v>0</v>
      </c>
      <c r="CH93" s="100">
        <f t="shared" ca="1" si="294"/>
        <v>0</v>
      </c>
      <c r="CI93" s="100">
        <f t="shared" ca="1" si="382"/>
        <v>0</v>
      </c>
      <c r="CJ93" s="100">
        <f t="shared" ca="1" si="383"/>
        <v>0</v>
      </c>
      <c r="CK93" s="100">
        <f t="shared" si="295"/>
        <v>0</v>
      </c>
      <c r="CL93" s="37"/>
      <c r="CM93" s="100">
        <f t="shared" ca="1" si="359"/>
        <v>0</v>
      </c>
      <c r="CN93" s="102" t="e">
        <f t="shared" ca="1" si="360"/>
        <v>#DIV/0!</v>
      </c>
      <c r="CO93" s="128"/>
      <c r="CP93" s="100">
        <f t="shared" ca="1" si="296"/>
        <v>0</v>
      </c>
      <c r="CQ93" s="100">
        <f t="shared" ca="1" si="297"/>
        <v>0</v>
      </c>
      <c r="CR93" s="100">
        <f t="shared" ca="1" si="298"/>
        <v>0</v>
      </c>
      <c r="CS93" s="100">
        <f t="shared" ca="1" si="384"/>
        <v>0</v>
      </c>
      <c r="CT93" s="100">
        <f t="shared" ca="1" si="299"/>
        <v>0</v>
      </c>
      <c r="CU93" s="100">
        <f t="shared" ca="1" si="300"/>
        <v>0</v>
      </c>
      <c r="CV93" s="100">
        <f t="shared" si="301"/>
        <v>0</v>
      </c>
      <c r="CW93" s="37"/>
      <c r="CX93" s="48">
        <f t="shared" ca="1" si="401"/>
        <v>0</v>
      </c>
      <c r="CY93" s="48">
        <f t="shared" ca="1" si="401"/>
        <v>0</v>
      </c>
      <c r="CZ93" s="48">
        <f t="shared" ca="1" si="401"/>
        <v>0</v>
      </c>
      <c r="DA93" s="48">
        <f t="shared" ca="1" si="401"/>
        <v>0</v>
      </c>
      <c r="DB93" s="48">
        <f t="shared" ca="1" si="401"/>
        <v>0</v>
      </c>
      <c r="DC93" s="48">
        <f t="shared" ca="1" si="401"/>
        <v>0</v>
      </c>
      <c r="DD93" s="48">
        <f t="shared" ca="1" si="401"/>
        <v>0</v>
      </c>
      <c r="DE93" s="48">
        <f t="shared" ca="1" si="401"/>
        <v>0</v>
      </c>
      <c r="DF93" s="48">
        <f t="shared" ca="1" si="401"/>
        <v>0</v>
      </c>
      <c r="DG93" s="48">
        <f t="shared" ca="1" si="401"/>
        <v>0</v>
      </c>
      <c r="DH93" s="48">
        <f t="shared" ca="1" si="401"/>
        <v>0</v>
      </c>
      <c r="DI93" s="48">
        <f t="shared" ca="1" si="401"/>
        <v>0</v>
      </c>
      <c r="DJ93" s="48">
        <f t="shared" ca="1" si="401"/>
        <v>0</v>
      </c>
      <c r="DK93" s="48">
        <f t="shared" ca="1" si="401"/>
        <v>0</v>
      </c>
      <c r="DL93" s="48">
        <f t="shared" ca="1" si="401"/>
        <v>0</v>
      </c>
      <c r="DM93" s="48">
        <f t="shared" ca="1" si="401"/>
        <v>0</v>
      </c>
      <c r="DN93" s="48">
        <f t="shared" ca="1" si="402"/>
        <v>0</v>
      </c>
      <c r="DO93" s="48">
        <f t="shared" ca="1" si="402"/>
        <v>0</v>
      </c>
      <c r="DP93" s="48">
        <f t="shared" ca="1" si="402"/>
        <v>0</v>
      </c>
      <c r="DQ93" s="48">
        <f t="shared" ca="1" si="402"/>
        <v>0</v>
      </c>
      <c r="DR93" s="48">
        <f t="shared" ca="1" si="402"/>
        <v>0</v>
      </c>
      <c r="DS93" s="48">
        <f t="shared" ca="1" si="402"/>
        <v>0</v>
      </c>
      <c r="DT93" s="48">
        <f t="shared" ca="1" si="402"/>
        <v>0</v>
      </c>
      <c r="DU93" s="48">
        <f t="shared" ca="1" si="402"/>
        <v>0</v>
      </c>
      <c r="DV93" s="48">
        <f t="shared" ca="1" si="402"/>
        <v>0</v>
      </c>
      <c r="DW93" s="48">
        <f t="shared" ca="1" si="402"/>
        <v>0</v>
      </c>
      <c r="DX93" s="48">
        <f t="shared" ca="1" si="402"/>
        <v>0</v>
      </c>
      <c r="DY93" s="48">
        <f t="shared" ca="1" si="402"/>
        <v>0</v>
      </c>
      <c r="DZ93" s="48">
        <f t="shared" ca="1" si="402"/>
        <v>0</v>
      </c>
      <c r="EA93" s="48">
        <f t="shared" ca="1" si="402"/>
        <v>0</v>
      </c>
      <c r="EB93" s="48">
        <f t="shared" ca="1" si="399"/>
        <v>0</v>
      </c>
      <c r="EC93" s="48">
        <f t="shared" ca="1" si="397"/>
        <v>0</v>
      </c>
      <c r="ED93" s="48">
        <f t="shared" ca="1" si="397"/>
        <v>0</v>
      </c>
      <c r="EE93" s="48">
        <f t="shared" ca="1" si="397"/>
        <v>0</v>
      </c>
      <c r="EF93" s="48">
        <f t="shared" ca="1" si="397"/>
        <v>0</v>
      </c>
      <c r="EG93" s="48">
        <f t="shared" ca="1" si="397"/>
        <v>0</v>
      </c>
      <c r="EH93" s="48">
        <f t="shared" ca="1" si="397"/>
        <v>0</v>
      </c>
      <c r="EI93" s="48">
        <f t="shared" ca="1" si="397"/>
        <v>0</v>
      </c>
      <c r="EJ93" s="48">
        <f t="shared" ca="1" si="397"/>
        <v>0</v>
      </c>
      <c r="EK93" s="48">
        <f t="shared" ca="1" si="397"/>
        <v>0</v>
      </c>
      <c r="EL93" s="48">
        <f t="shared" ca="1" si="397"/>
        <v>0</v>
      </c>
      <c r="EM93" s="48">
        <f t="shared" ca="1" si="397"/>
        <v>0</v>
      </c>
      <c r="EN93" s="48">
        <f t="shared" ca="1" si="395"/>
        <v>0</v>
      </c>
      <c r="EO93" s="48">
        <f t="shared" ca="1" si="395"/>
        <v>0</v>
      </c>
      <c r="EP93" s="48">
        <f t="shared" ca="1" si="395"/>
        <v>0</v>
      </c>
      <c r="EQ93" s="48">
        <f t="shared" ca="1" si="386"/>
        <v>0</v>
      </c>
      <c r="ER93" s="48">
        <f t="shared" ca="1" si="386"/>
        <v>0</v>
      </c>
      <c r="ES93" s="48">
        <f t="shared" ca="1" si="374"/>
        <v>0</v>
      </c>
      <c r="ET93" s="48">
        <f t="shared" ca="1" si="374"/>
        <v>0</v>
      </c>
      <c r="EU93" s="48">
        <f t="shared" ca="1" si="374"/>
        <v>0</v>
      </c>
      <c r="EV93" s="48">
        <f t="shared" ca="1" si="374"/>
        <v>0</v>
      </c>
      <c r="EW93" s="48">
        <f t="shared" ca="1" si="374"/>
        <v>0</v>
      </c>
      <c r="EX93" s="48">
        <f t="shared" ca="1" si="374"/>
        <v>0</v>
      </c>
      <c r="EY93" s="69"/>
      <c r="EZ93" s="48">
        <f t="shared" ca="1" si="403"/>
        <v>0</v>
      </c>
      <c r="FA93" s="48">
        <f t="shared" ca="1" si="403"/>
        <v>0</v>
      </c>
      <c r="FB93" s="48">
        <f t="shared" ca="1" si="403"/>
        <v>0</v>
      </c>
      <c r="FC93" s="48">
        <f t="shared" ca="1" si="403"/>
        <v>0</v>
      </c>
      <c r="FD93" s="48">
        <f t="shared" ca="1" si="403"/>
        <v>0</v>
      </c>
      <c r="FE93" s="48">
        <f t="shared" ca="1" si="403"/>
        <v>0</v>
      </c>
      <c r="FF93" s="48">
        <f t="shared" ca="1" si="403"/>
        <v>0</v>
      </c>
      <c r="FG93" s="48">
        <f t="shared" ca="1" si="403"/>
        <v>0</v>
      </c>
      <c r="FH93" s="48">
        <f t="shared" ca="1" si="403"/>
        <v>0</v>
      </c>
      <c r="FI93" s="48">
        <f t="shared" ca="1" si="403"/>
        <v>0</v>
      </c>
      <c r="FJ93" s="48">
        <f t="shared" ca="1" si="403"/>
        <v>0</v>
      </c>
      <c r="FK93" s="48">
        <f t="shared" ca="1" si="403"/>
        <v>0</v>
      </c>
      <c r="FL93" s="48">
        <f t="shared" ca="1" si="403"/>
        <v>0</v>
      </c>
      <c r="FM93" s="48">
        <f t="shared" ca="1" si="403"/>
        <v>0</v>
      </c>
      <c r="FN93" s="48">
        <f t="shared" ca="1" si="403"/>
        <v>0</v>
      </c>
      <c r="FO93" s="48">
        <f t="shared" ca="1" si="403"/>
        <v>0</v>
      </c>
      <c r="FP93" s="48">
        <f t="shared" ca="1" si="404"/>
        <v>0</v>
      </c>
      <c r="FQ93" s="48">
        <f t="shared" ca="1" si="404"/>
        <v>0</v>
      </c>
      <c r="FR93" s="48">
        <f t="shared" ca="1" si="404"/>
        <v>0</v>
      </c>
      <c r="FS93" s="48">
        <f t="shared" ca="1" si="404"/>
        <v>0</v>
      </c>
      <c r="FT93" s="48">
        <f t="shared" ca="1" si="404"/>
        <v>0</v>
      </c>
      <c r="FU93" s="48">
        <f t="shared" ca="1" si="404"/>
        <v>0</v>
      </c>
      <c r="FV93" s="48">
        <f t="shared" ca="1" si="404"/>
        <v>0</v>
      </c>
      <c r="FW93" s="48">
        <f t="shared" ca="1" si="404"/>
        <v>0</v>
      </c>
      <c r="FX93" s="48">
        <f t="shared" ca="1" si="404"/>
        <v>0</v>
      </c>
      <c r="FY93" s="48">
        <f t="shared" ca="1" si="404"/>
        <v>0</v>
      </c>
      <c r="FZ93" s="48">
        <f t="shared" ca="1" si="404"/>
        <v>0</v>
      </c>
      <c r="GA93" s="48">
        <f t="shared" ca="1" si="404"/>
        <v>0</v>
      </c>
      <c r="GB93" s="48">
        <f t="shared" ca="1" si="404"/>
        <v>0</v>
      </c>
      <c r="GC93" s="48">
        <f t="shared" ca="1" si="404"/>
        <v>0</v>
      </c>
      <c r="GD93" s="48">
        <f t="shared" ca="1" si="400"/>
        <v>0</v>
      </c>
      <c r="GE93" s="48">
        <f t="shared" ca="1" si="398"/>
        <v>0</v>
      </c>
      <c r="GF93" s="48">
        <f t="shared" ca="1" si="398"/>
        <v>0</v>
      </c>
      <c r="GG93" s="48">
        <f t="shared" ca="1" si="398"/>
        <v>0</v>
      </c>
      <c r="GH93" s="48">
        <f t="shared" ca="1" si="398"/>
        <v>0</v>
      </c>
      <c r="GI93" s="48">
        <f t="shared" ca="1" si="398"/>
        <v>0</v>
      </c>
      <c r="GJ93" s="48">
        <f t="shared" ca="1" si="398"/>
        <v>0</v>
      </c>
      <c r="GK93" s="48">
        <f t="shared" ca="1" si="398"/>
        <v>0</v>
      </c>
      <c r="GL93" s="48">
        <f t="shared" ca="1" si="398"/>
        <v>0</v>
      </c>
      <c r="GM93" s="48">
        <f t="shared" ca="1" si="398"/>
        <v>0</v>
      </c>
      <c r="GN93" s="48">
        <f t="shared" ca="1" si="398"/>
        <v>0</v>
      </c>
      <c r="GO93" s="48">
        <f t="shared" ca="1" si="398"/>
        <v>0</v>
      </c>
      <c r="GP93" s="48">
        <f t="shared" ca="1" si="396"/>
        <v>0</v>
      </c>
      <c r="GQ93" s="48">
        <f t="shared" ca="1" si="396"/>
        <v>0</v>
      </c>
      <c r="GR93" s="48">
        <f t="shared" ca="1" si="396"/>
        <v>0</v>
      </c>
      <c r="GS93" s="48">
        <f t="shared" ca="1" si="388"/>
        <v>0</v>
      </c>
      <c r="GT93" s="48">
        <f t="shared" ca="1" si="388"/>
        <v>0</v>
      </c>
      <c r="GU93" s="48">
        <f t="shared" ca="1" si="377"/>
        <v>0</v>
      </c>
      <c r="GV93" s="48">
        <f t="shared" ca="1" si="377"/>
        <v>0</v>
      </c>
      <c r="GW93" s="48">
        <f t="shared" ca="1" si="377"/>
        <v>0</v>
      </c>
      <c r="GX93" s="48">
        <f t="shared" ca="1" si="377"/>
        <v>0</v>
      </c>
      <c r="GY93" s="48">
        <f t="shared" ca="1" si="377"/>
        <v>0</v>
      </c>
      <c r="GZ93" s="48">
        <f t="shared" ca="1" si="377"/>
        <v>0</v>
      </c>
      <c r="HA93" s="69"/>
      <c r="HB93" s="150" t="str">
        <f t="shared" ca="1" si="380"/>
        <v>n/a</v>
      </c>
      <c r="HC93" s="150" t="str">
        <f t="shared" ca="1" si="369"/>
        <v>n/a</v>
      </c>
      <c r="HD93" s="150" t="str">
        <f t="shared" ca="1" si="381"/>
        <v>n/a</v>
      </c>
      <c r="HE93" s="150" t="str">
        <f t="shared" ca="1" si="370"/>
        <v>n/a</v>
      </c>
      <c r="HF93" s="150" t="str">
        <f t="shared" ca="1" si="371"/>
        <v>n/a</v>
      </c>
      <c r="HG93" s="148"/>
      <c r="HH93" s="149"/>
      <c r="HI93" s="149"/>
      <c r="HJ93" s="149"/>
      <c r="HK93" s="150"/>
      <c r="HL93" s="149"/>
      <c r="HM93" s="149"/>
      <c r="HN93" s="149"/>
      <c r="HO93" s="150"/>
      <c r="HP93" s="148"/>
      <c r="HQ93" s="149"/>
      <c r="HR93" s="149"/>
      <c r="HS93" s="149"/>
      <c r="HT93" s="150"/>
      <c r="HU93" s="149"/>
      <c r="HV93" s="149"/>
      <c r="HW93" s="149"/>
      <c r="HX93" s="150"/>
      <c r="HY93" s="151"/>
      <c r="HZ93" s="150"/>
      <c r="IA93" s="150"/>
      <c r="IB93" s="152"/>
      <c r="IC93" s="150"/>
      <c r="ID93" s="152"/>
      <c r="IE93" s="150"/>
      <c r="IF93" s="153"/>
    </row>
    <row r="94" spans="1:240" s="36" customFormat="1" ht="14.4" customHeight="1">
      <c r="A94" s="39"/>
      <c r="B94" s="50" t="str">
        <f t="shared" si="340"/>
        <v>C&amp;I_C&amp;I Prescriptive_HVAC_Heat Pump Water Heater_2017_Actual</v>
      </c>
      <c r="C94" s="50">
        <f>INDEX('Measure Inputs'!$D:$D,MATCH($B94,'Measure Inputs'!$B:$B,0))</f>
        <v>60</v>
      </c>
      <c r="D94" s="51" t="str">
        <f>'Measure Inputs'!G66</f>
        <v>C&amp;I</v>
      </c>
      <c r="E94" s="51" t="str">
        <f>'Measure Inputs'!H66</f>
        <v>C&amp;I Prescriptive</v>
      </c>
      <c r="F94" s="51" t="str">
        <f>'Measure Inputs'!I66</f>
        <v>HVAC</v>
      </c>
      <c r="G94" s="51" t="str">
        <f>'Measure Inputs'!J66</f>
        <v>Heat Pump Water Heater</v>
      </c>
      <c r="H94" s="51">
        <f>'Measure Inputs'!K66</f>
        <v>2017</v>
      </c>
      <c r="I94" s="51" t="str">
        <f>'Measure Inputs'!L66</f>
        <v>Actual</v>
      </c>
      <c r="J94" s="37"/>
      <c r="K94" s="99" t="str">
        <f ca="1">INDEX(OFFSET('Measure Inputs'!$O$7,,,InputRows),$C94)</f>
        <v>Units</v>
      </c>
      <c r="L94" s="38">
        <f ca="1">INDEX(OFFSET('Measure Inputs'!$Q$7,,,InputRows),$C94)</f>
        <v>0</v>
      </c>
      <c r="M94" s="167">
        <f>INDEX('General Inputs'!$E$14:$E$15,MATCH(D94,'General Inputs'!$D$14:$D$15,0))</f>
        <v>1.0469999999999999</v>
      </c>
      <c r="N94" s="54">
        <f ca="1">INDEX(OFFSET('Measure Inputs'!$Y$7,,,InputRows),$C94)</f>
        <v>1</v>
      </c>
      <c r="O94" s="54">
        <f ca="1">INDEX(OFFSET('Measure Inputs'!$Z$7,,,InputRows),$C94)</f>
        <v>1</v>
      </c>
      <c r="P94" s="37"/>
      <c r="Q94" s="127">
        <f ca="1">CONVERT(INDEX(OFFSET('Measure Inputs'!$AB$7,,,InputRows),$C94),'Measure Inputs'!$AB$6,Q$8)*$L94</f>
        <v>0</v>
      </c>
      <c r="R94" s="127">
        <f t="shared" ca="1" si="341"/>
        <v>0</v>
      </c>
      <c r="S94" s="127">
        <f t="shared" ca="1" si="342"/>
        <v>0</v>
      </c>
      <c r="T94" s="37"/>
      <c r="U94" s="127">
        <f ca="1">CONVERT(INDEX(OFFSET('Measure Inputs'!$AD$7,,,InputRows),$C94),'Measure Inputs'!$AD$6,U$8)*$L94</f>
        <v>0</v>
      </c>
      <c r="V94" s="127">
        <f t="shared" ca="1" si="343"/>
        <v>0</v>
      </c>
      <c r="W94" s="127">
        <f t="shared" ca="1" si="344"/>
        <v>0</v>
      </c>
      <c r="X94" s="37"/>
      <c r="Y94" s="127">
        <f ca="1">CONVERT(INDEX(OFFSET('Measure Inputs'!$AC$7,,,InputRows),$C94),'Measure Inputs'!$AC$6,Y$8)*$L94</f>
        <v>0</v>
      </c>
      <c r="Z94" s="127">
        <f t="shared" ca="1" si="345"/>
        <v>0</v>
      </c>
      <c r="AA94" s="127">
        <f t="shared" ca="1" si="346"/>
        <v>0</v>
      </c>
      <c r="AB94" s="37"/>
      <c r="AC94" s="127">
        <f ca="1">CONVERT(INDEX(OFFSET('Measure Inputs'!$AE$7,,,InputRows),$C94),'Measure Inputs'!$AE$6,AC$8)*$L94</f>
        <v>0</v>
      </c>
      <c r="AD94" s="127">
        <f t="shared" ca="1" si="347"/>
        <v>0</v>
      </c>
      <c r="AE94" s="127">
        <f t="shared" ca="1" si="348"/>
        <v>0</v>
      </c>
      <c r="AF94" s="37"/>
      <c r="AG94" s="97">
        <f ca="1">INDEX(OFFSET('Measure Inputs'!$R$7,,,InputRows),$C94)</f>
        <v>15</v>
      </c>
      <c r="AH94" s="97">
        <f ca="1">INDEX(OFFSET('Measure Inputs'!$S$7,,,InputRows),$C94)</f>
        <v>0</v>
      </c>
      <c r="AI94" s="97">
        <f t="shared" ca="1" si="349"/>
        <v>0</v>
      </c>
      <c r="AJ94" s="100">
        <f ca="1">INDEX(OFFSET('Measure Inputs'!$T$7,,,InputRows),$C94)*$L94*$N94*$O94</f>
        <v>0</v>
      </c>
      <c r="AK94" s="100">
        <f ca="1">INDEX(OFFSET('Measure Inputs'!$U$7,,,InputRows),$C94)*$L94*$N94*$O94</f>
        <v>0</v>
      </c>
      <c r="AL94" s="100">
        <f ca="1">INDEX(OFFSET('Measure Inputs'!$V$7,,,InputRows),$C94)*$L94*$N94*$O94</f>
        <v>0</v>
      </c>
      <c r="AM94" s="100">
        <f ca="1">INDEX(OFFSET('Measure Inputs'!$W$7,,,InputRows),$C94)*$L94*$N94*$O94</f>
        <v>0</v>
      </c>
      <c r="AN94" s="100">
        <f ca="1">INDEX(OFFSET('Measure Inputs'!$X$7,,,InputRows),$C94)*$L94</f>
        <v>0</v>
      </c>
      <c r="AO94" s="100"/>
      <c r="AP94" s="100">
        <f t="shared" ca="1" si="350"/>
        <v>0</v>
      </c>
      <c r="AQ94" s="37"/>
      <c r="AR94" s="100">
        <f ca="1">SUMPRODUCT(--($CX$9:$EX$9=$H94)*$AJ94,'General Inputs'!$K$40:$BK$40)+SUMPRODUCT(--($CX$9:$EX$9=$H94+$AH94)*-$AK94,'General Inputs'!$K$43:$BK$43)</f>
        <v>0</v>
      </c>
      <c r="AS94" s="100">
        <f ca="1">CONVERT(SUMPRODUCT($CX94:$EX94,'General Inputs'!$K$29:$BK$29,'General Inputs'!$K$40:$BK$40)*$M94,$Q$8,'General Inputs'!$E$17)</f>
        <v>0</v>
      </c>
      <c r="AT94" s="100">
        <f ca="1">SUMPRODUCT(--($CX$9:$EX$9=$H94)*$AN94,'General Inputs'!$K$40:$BK$40)</f>
        <v>0</v>
      </c>
      <c r="AU94" s="100">
        <f>SUMPRODUCT(--($CX$9:$EX$9=$H94)*$AO94,'General Inputs'!$K$40:$BK$40)</f>
        <v>0</v>
      </c>
      <c r="AV94" s="100">
        <f ca="1">CONVERT(SUMPRODUCT($CX94:$EX94,'General Inputs'!$K$40:$BK$40,OFFSET('General Inputs'!$K$34:$BK$34,MATCH($D94,'General Inputs'!$J$34:$J$35,0)-1,)),$Q$8,'General Inputs'!$G$32)</f>
        <v>0</v>
      </c>
      <c r="AW94" s="100">
        <f ca="1">CONVERT(SUMPRODUCT($CX94:$EX94,'General Inputs'!$K$27:$BK$27,'General Inputs'!$K$40:$BK$40)*$M94,$Q$8,'General Inputs'!$E$17)</f>
        <v>0</v>
      </c>
      <c r="AX94" s="100">
        <f ca="1">CONVERT(SUMPRODUCT($EZ94:$GZ94,'General Inputs'!$K$28:$BK$28,'General Inputs'!$K$40:$BK$40)*$M94,$Q$8,'General Inputs'!$E$17)</f>
        <v>0</v>
      </c>
      <c r="AY94" s="98">
        <f ca="1">SUMPRODUCT($CX94:$EX94,'General Inputs'!$K$40:$BK$40)</f>
        <v>0</v>
      </c>
      <c r="AZ94" s="37"/>
      <c r="BA94" s="100">
        <f t="shared" ca="1" si="351"/>
        <v>0</v>
      </c>
      <c r="BB94" s="102" t="e">
        <f t="shared" ca="1" si="352"/>
        <v>#DIV/0!</v>
      </c>
      <c r="BC94" s="100">
        <f t="shared" ca="1" si="273"/>
        <v>0</v>
      </c>
      <c r="BD94" s="100">
        <f t="shared" ca="1" si="274"/>
        <v>0</v>
      </c>
      <c r="BE94" s="100">
        <f t="shared" ca="1" si="275"/>
        <v>0</v>
      </c>
      <c r="BF94" s="100">
        <f t="shared" ca="1" si="394"/>
        <v>0</v>
      </c>
      <c r="BG94" s="100">
        <f t="shared" si="277"/>
        <v>0</v>
      </c>
      <c r="BH94" s="100">
        <f t="shared" ca="1" si="278"/>
        <v>0</v>
      </c>
      <c r="BI94" s="37"/>
      <c r="BJ94" s="100">
        <f t="shared" ca="1" si="353"/>
        <v>0</v>
      </c>
      <c r="BK94" s="102" t="e">
        <f t="shared" ca="1" si="354"/>
        <v>#DIV/0!</v>
      </c>
      <c r="BL94" s="100">
        <f t="shared" ca="1" si="279"/>
        <v>0</v>
      </c>
      <c r="BM94" s="100">
        <f t="shared" ca="1" si="393"/>
        <v>0</v>
      </c>
      <c r="BN94" s="100">
        <f t="shared" ca="1" si="280"/>
        <v>0</v>
      </c>
      <c r="BO94" s="100">
        <f t="shared" ca="1" si="281"/>
        <v>0</v>
      </c>
      <c r="BP94" s="100">
        <f t="shared" ca="1" si="282"/>
        <v>0</v>
      </c>
      <c r="BQ94" s="100">
        <f t="shared" si="283"/>
        <v>0</v>
      </c>
      <c r="BR94" s="100">
        <f t="shared" ca="1" si="284"/>
        <v>0</v>
      </c>
      <c r="BS94" s="37"/>
      <c r="BT94" s="100">
        <f t="shared" ca="1" si="355"/>
        <v>0</v>
      </c>
      <c r="BU94" s="102" t="e">
        <f t="shared" ca="1" si="356"/>
        <v>#DIV/0!</v>
      </c>
      <c r="BV94" s="102" t="e">
        <f t="shared" ca="1" si="285"/>
        <v>#DIV/0!</v>
      </c>
      <c r="BW94" s="100">
        <f t="shared" ca="1" si="286"/>
        <v>0</v>
      </c>
      <c r="BX94" s="100">
        <f t="shared" ca="1" si="287"/>
        <v>0</v>
      </c>
      <c r="BY94" s="100">
        <f t="shared" ca="1" si="288"/>
        <v>0</v>
      </c>
      <c r="BZ94" s="100">
        <f t="shared" ca="1" si="289"/>
        <v>0</v>
      </c>
      <c r="CA94" s="100">
        <f t="shared" ca="1" si="290"/>
        <v>0</v>
      </c>
      <c r="CB94" s="37"/>
      <c r="CC94" s="100">
        <f t="shared" ca="1" si="357"/>
        <v>0</v>
      </c>
      <c r="CD94" s="102" t="e">
        <f t="shared" ca="1" si="358"/>
        <v>#DIV/0!</v>
      </c>
      <c r="CE94" s="103" t="e">
        <f t="shared" ca="1" si="291"/>
        <v>#DIV/0!</v>
      </c>
      <c r="CF94" s="100">
        <f t="shared" ca="1" si="292"/>
        <v>0</v>
      </c>
      <c r="CG94" s="100">
        <f t="shared" ca="1" si="293"/>
        <v>0</v>
      </c>
      <c r="CH94" s="100">
        <f t="shared" ca="1" si="294"/>
        <v>0</v>
      </c>
      <c r="CI94" s="100">
        <f t="shared" ca="1" si="382"/>
        <v>0</v>
      </c>
      <c r="CJ94" s="100">
        <f t="shared" ca="1" si="383"/>
        <v>0</v>
      </c>
      <c r="CK94" s="100">
        <f t="shared" si="295"/>
        <v>0</v>
      </c>
      <c r="CL94" s="37"/>
      <c r="CM94" s="100">
        <f t="shared" ca="1" si="359"/>
        <v>0</v>
      </c>
      <c r="CN94" s="102" t="e">
        <f t="shared" ca="1" si="360"/>
        <v>#DIV/0!</v>
      </c>
      <c r="CO94" s="128"/>
      <c r="CP94" s="100">
        <f t="shared" ca="1" si="296"/>
        <v>0</v>
      </c>
      <c r="CQ94" s="100">
        <f t="shared" ca="1" si="297"/>
        <v>0</v>
      </c>
      <c r="CR94" s="100">
        <f t="shared" ca="1" si="298"/>
        <v>0</v>
      </c>
      <c r="CS94" s="100">
        <f t="shared" ca="1" si="384"/>
        <v>0</v>
      </c>
      <c r="CT94" s="100">
        <f t="shared" ca="1" si="299"/>
        <v>0</v>
      </c>
      <c r="CU94" s="100">
        <f t="shared" ca="1" si="300"/>
        <v>0</v>
      </c>
      <c r="CV94" s="100">
        <f t="shared" si="301"/>
        <v>0</v>
      </c>
      <c r="CW94" s="37"/>
      <c r="CX94" s="48">
        <f t="shared" ca="1" si="401"/>
        <v>0</v>
      </c>
      <c r="CY94" s="48">
        <f t="shared" ca="1" si="401"/>
        <v>0</v>
      </c>
      <c r="CZ94" s="48">
        <f t="shared" ca="1" si="401"/>
        <v>0</v>
      </c>
      <c r="DA94" s="48">
        <f t="shared" ca="1" si="401"/>
        <v>0</v>
      </c>
      <c r="DB94" s="48">
        <f t="shared" ca="1" si="401"/>
        <v>0</v>
      </c>
      <c r="DC94" s="48">
        <f t="shared" ca="1" si="401"/>
        <v>0</v>
      </c>
      <c r="DD94" s="48">
        <f t="shared" ca="1" si="401"/>
        <v>0</v>
      </c>
      <c r="DE94" s="48">
        <f t="shared" ca="1" si="401"/>
        <v>0</v>
      </c>
      <c r="DF94" s="48">
        <f t="shared" ca="1" si="401"/>
        <v>0</v>
      </c>
      <c r="DG94" s="48">
        <f t="shared" ca="1" si="401"/>
        <v>0</v>
      </c>
      <c r="DH94" s="48">
        <f t="shared" ca="1" si="401"/>
        <v>0</v>
      </c>
      <c r="DI94" s="48">
        <f t="shared" ca="1" si="401"/>
        <v>0</v>
      </c>
      <c r="DJ94" s="48">
        <f t="shared" ca="1" si="401"/>
        <v>0</v>
      </c>
      <c r="DK94" s="48">
        <f t="shared" ca="1" si="401"/>
        <v>0</v>
      </c>
      <c r="DL94" s="48">
        <f t="shared" ca="1" si="401"/>
        <v>0</v>
      </c>
      <c r="DM94" s="48">
        <f t="shared" ca="1" si="401"/>
        <v>0</v>
      </c>
      <c r="DN94" s="48">
        <f t="shared" ca="1" si="402"/>
        <v>0</v>
      </c>
      <c r="DO94" s="48">
        <f t="shared" ca="1" si="402"/>
        <v>0</v>
      </c>
      <c r="DP94" s="48">
        <f t="shared" ca="1" si="402"/>
        <v>0</v>
      </c>
      <c r="DQ94" s="48">
        <f t="shared" ca="1" si="402"/>
        <v>0</v>
      </c>
      <c r="DR94" s="48">
        <f t="shared" ca="1" si="402"/>
        <v>0</v>
      </c>
      <c r="DS94" s="48">
        <f t="shared" ca="1" si="402"/>
        <v>0</v>
      </c>
      <c r="DT94" s="48">
        <f t="shared" ca="1" si="402"/>
        <v>0</v>
      </c>
      <c r="DU94" s="48">
        <f t="shared" ca="1" si="402"/>
        <v>0</v>
      </c>
      <c r="DV94" s="48">
        <f t="shared" ca="1" si="402"/>
        <v>0</v>
      </c>
      <c r="DW94" s="48">
        <f t="shared" ca="1" si="402"/>
        <v>0</v>
      </c>
      <c r="DX94" s="48">
        <f t="shared" ca="1" si="402"/>
        <v>0</v>
      </c>
      <c r="DY94" s="48">
        <f t="shared" ca="1" si="402"/>
        <v>0</v>
      </c>
      <c r="DZ94" s="48">
        <f t="shared" ca="1" si="402"/>
        <v>0</v>
      </c>
      <c r="EA94" s="48">
        <f t="shared" ca="1" si="402"/>
        <v>0</v>
      </c>
      <c r="EB94" s="48">
        <f t="shared" ca="1" si="399"/>
        <v>0</v>
      </c>
      <c r="EC94" s="48">
        <f t="shared" ca="1" si="397"/>
        <v>0</v>
      </c>
      <c r="ED94" s="48">
        <f t="shared" ca="1" si="397"/>
        <v>0</v>
      </c>
      <c r="EE94" s="48">
        <f t="shared" ca="1" si="397"/>
        <v>0</v>
      </c>
      <c r="EF94" s="48">
        <f t="shared" ca="1" si="397"/>
        <v>0</v>
      </c>
      <c r="EG94" s="48">
        <f t="shared" ca="1" si="397"/>
        <v>0</v>
      </c>
      <c r="EH94" s="48">
        <f t="shared" ca="1" si="397"/>
        <v>0</v>
      </c>
      <c r="EI94" s="48">
        <f t="shared" ca="1" si="397"/>
        <v>0</v>
      </c>
      <c r="EJ94" s="48">
        <f t="shared" ca="1" si="397"/>
        <v>0</v>
      </c>
      <c r="EK94" s="48">
        <f t="shared" ca="1" si="397"/>
        <v>0</v>
      </c>
      <c r="EL94" s="48">
        <f t="shared" ca="1" si="397"/>
        <v>0</v>
      </c>
      <c r="EM94" s="48">
        <f t="shared" ca="1" si="397"/>
        <v>0</v>
      </c>
      <c r="EN94" s="48">
        <f t="shared" ca="1" si="395"/>
        <v>0</v>
      </c>
      <c r="EO94" s="48">
        <f t="shared" ca="1" si="395"/>
        <v>0</v>
      </c>
      <c r="EP94" s="48">
        <f t="shared" ca="1" si="395"/>
        <v>0</v>
      </c>
      <c r="EQ94" s="48">
        <f t="shared" ca="1" si="386"/>
        <v>0</v>
      </c>
      <c r="ER94" s="48">
        <f t="shared" ca="1" si="386"/>
        <v>0</v>
      </c>
      <c r="ES94" s="48">
        <f t="shared" ca="1" si="374"/>
        <v>0</v>
      </c>
      <c r="ET94" s="48">
        <f t="shared" ca="1" si="374"/>
        <v>0</v>
      </c>
      <c r="EU94" s="48">
        <f t="shared" ca="1" si="374"/>
        <v>0</v>
      </c>
      <c r="EV94" s="48">
        <f t="shared" ca="1" si="374"/>
        <v>0</v>
      </c>
      <c r="EW94" s="48">
        <f t="shared" ca="1" si="374"/>
        <v>0</v>
      </c>
      <c r="EX94" s="48">
        <f t="shared" ca="1" si="374"/>
        <v>0</v>
      </c>
      <c r="EY94" s="69"/>
      <c r="EZ94" s="48">
        <f t="shared" ca="1" si="403"/>
        <v>0</v>
      </c>
      <c r="FA94" s="48">
        <f t="shared" ca="1" si="403"/>
        <v>0</v>
      </c>
      <c r="FB94" s="48">
        <f t="shared" ca="1" si="403"/>
        <v>0</v>
      </c>
      <c r="FC94" s="48">
        <f t="shared" ca="1" si="403"/>
        <v>0</v>
      </c>
      <c r="FD94" s="48">
        <f t="shared" ca="1" si="403"/>
        <v>0</v>
      </c>
      <c r="FE94" s="48">
        <f t="shared" ca="1" si="403"/>
        <v>0</v>
      </c>
      <c r="FF94" s="48">
        <f t="shared" ca="1" si="403"/>
        <v>0</v>
      </c>
      <c r="FG94" s="48">
        <f t="shared" ca="1" si="403"/>
        <v>0</v>
      </c>
      <c r="FH94" s="48">
        <f t="shared" ca="1" si="403"/>
        <v>0</v>
      </c>
      <c r="FI94" s="48">
        <f t="shared" ca="1" si="403"/>
        <v>0</v>
      </c>
      <c r="FJ94" s="48">
        <f t="shared" ca="1" si="403"/>
        <v>0</v>
      </c>
      <c r="FK94" s="48">
        <f t="shared" ca="1" si="403"/>
        <v>0</v>
      </c>
      <c r="FL94" s="48">
        <f t="shared" ca="1" si="403"/>
        <v>0</v>
      </c>
      <c r="FM94" s="48">
        <f t="shared" ca="1" si="403"/>
        <v>0</v>
      </c>
      <c r="FN94" s="48">
        <f t="shared" ca="1" si="403"/>
        <v>0</v>
      </c>
      <c r="FO94" s="48">
        <f t="shared" ca="1" si="403"/>
        <v>0</v>
      </c>
      <c r="FP94" s="48">
        <f t="shared" ca="1" si="404"/>
        <v>0</v>
      </c>
      <c r="FQ94" s="48">
        <f t="shared" ca="1" si="404"/>
        <v>0</v>
      </c>
      <c r="FR94" s="48">
        <f t="shared" ca="1" si="404"/>
        <v>0</v>
      </c>
      <c r="FS94" s="48">
        <f t="shared" ca="1" si="404"/>
        <v>0</v>
      </c>
      <c r="FT94" s="48">
        <f t="shared" ca="1" si="404"/>
        <v>0</v>
      </c>
      <c r="FU94" s="48">
        <f t="shared" ca="1" si="404"/>
        <v>0</v>
      </c>
      <c r="FV94" s="48">
        <f t="shared" ca="1" si="404"/>
        <v>0</v>
      </c>
      <c r="FW94" s="48">
        <f t="shared" ca="1" si="404"/>
        <v>0</v>
      </c>
      <c r="FX94" s="48">
        <f t="shared" ca="1" si="404"/>
        <v>0</v>
      </c>
      <c r="FY94" s="48">
        <f t="shared" ca="1" si="404"/>
        <v>0</v>
      </c>
      <c r="FZ94" s="48">
        <f t="shared" ca="1" si="404"/>
        <v>0</v>
      </c>
      <c r="GA94" s="48">
        <f t="shared" ca="1" si="404"/>
        <v>0</v>
      </c>
      <c r="GB94" s="48">
        <f t="shared" ca="1" si="404"/>
        <v>0</v>
      </c>
      <c r="GC94" s="48">
        <f t="shared" ca="1" si="404"/>
        <v>0</v>
      </c>
      <c r="GD94" s="48">
        <f t="shared" ca="1" si="400"/>
        <v>0</v>
      </c>
      <c r="GE94" s="48">
        <f t="shared" ca="1" si="398"/>
        <v>0</v>
      </c>
      <c r="GF94" s="48">
        <f t="shared" ca="1" si="398"/>
        <v>0</v>
      </c>
      <c r="GG94" s="48">
        <f t="shared" ca="1" si="398"/>
        <v>0</v>
      </c>
      <c r="GH94" s="48">
        <f t="shared" ca="1" si="398"/>
        <v>0</v>
      </c>
      <c r="GI94" s="48">
        <f t="shared" ca="1" si="398"/>
        <v>0</v>
      </c>
      <c r="GJ94" s="48">
        <f t="shared" ca="1" si="398"/>
        <v>0</v>
      </c>
      <c r="GK94" s="48">
        <f t="shared" ca="1" si="398"/>
        <v>0</v>
      </c>
      <c r="GL94" s="48">
        <f t="shared" ca="1" si="398"/>
        <v>0</v>
      </c>
      <c r="GM94" s="48">
        <f t="shared" ca="1" si="398"/>
        <v>0</v>
      </c>
      <c r="GN94" s="48">
        <f t="shared" ca="1" si="398"/>
        <v>0</v>
      </c>
      <c r="GO94" s="48">
        <f t="shared" ca="1" si="398"/>
        <v>0</v>
      </c>
      <c r="GP94" s="48">
        <f t="shared" ca="1" si="396"/>
        <v>0</v>
      </c>
      <c r="GQ94" s="48">
        <f t="shared" ca="1" si="396"/>
        <v>0</v>
      </c>
      <c r="GR94" s="48">
        <f t="shared" ca="1" si="396"/>
        <v>0</v>
      </c>
      <c r="GS94" s="48">
        <f t="shared" ca="1" si="388"/>
        <v>0</v>
      </c>
      <c r="GT94" s="48">
        <f t="shared" ca="1" si="388"/>
        <v>0</v>
      </c>
      <c r="GU94" s="48">
        <f t="shared" ca="1" si="377"/>
        <v>0</v>
      </c>
      <c r="GV94" s="48">
        <f t="shared" ca="1" si="377"/>
        <v>0</v>
      </c>
      <c r="GW94" s="48">
        <f t="shared" ca="1" si="377"/>
        <v>0</v>
      </c>
      <c r="GX94" s="48">
        <f t="shared" ca="1" si="377"/>
        <v>0</v>
      </c>
      <c r="GY94" s="48">
        <f t="shared" ca="1" si="377"/>
        <v>0</v>
      </c>
      <c r="GZ94" s="48">
        <f t="shared" ca="1" si="377"/>
        <v>0</v>
      </c>
      <c r="HA94" s="69"/>
      <c r="HB94" s="150" t="str">
        <f t="shared" ca="1" si="380"/>
        <v>n/a</v>
      </c>
      <c r="HC94" s="150" t="str">
        <f t="shared" ca="1" si="369"/>
        <v>n/a</v>
      </c>
      <c r="HD94" s="150" t="str">
        <f t="shared" ca="1" si="381"/>
        <v>n/a</v>
      </c>
      <c r="HE94" s="150" t="str">
        <f t="shared" ca="1" si="370"/>
        <v>n/a</v>
      </c>
      <c r="HF94" s="150" t="str">
        <f t="shared" ca="1" si="371"/>
        <v>n/a</v>
      </c>
      <c r="HG94" s="148"/>
      <c r="HH94" s="149"/>
      <c r="HI94" s="149"/>
      <c r="HJ94" s="149"/>
      <c r="HK94" s="150"/>
      <c r="HL94" s="149"/>
      <c r="HM94" s="149"/>
      <c r="HN94" s="149"/>
      <c r="HO94" s="150"/>
      <c r="HP94" s="148"/>
      <c r="HQ94" s="149"/>
      <c r="HR94" s="149"/>
      <c r="HS94" s="149"/>
      <c r="HT94" s="150"/>
      <c r="HU94" s="149"/>
      <c r="HV94" s="149"/>
      <c r="HW94" s="149"/>
      <c r="HX94" s="150"/>
      <c r="HY94" s="151"/>
      <c r="HZ94" s="150"/>
      <c r="IA94" s="150"/>
      <c r="IB94" s="152"/>
      <c r="IC94" s="150"/>
      <c r="ID94" s="152"/>
      <c r="IE94" s="150"/>
      <c r="IF94" s="153"/>
    </row>
    <row r="95" spans="1:240" s="36" customFormat="1" ht="14.4" customHeight="1">
      <c r="A95" s="39"/>
      <c r="B95" s="50" t="str">
        <f t="shared" si="340"/>
        <v>C&amp;I_C&amp;I Prescriptive_Motors_ODC Motor_2017_Actual</v>
      </c>
      <c r="C95" s="50">
        <f>INDEX('Measure Inputs'!$D:$D,MATCH($B95,'Measure Inputs'!$B:$B,0))</f>
        <v>61</v>
      </c>
      <c r="D95" s="51" t="str">
        <f>'Measure Inputs'!G67</f>
        <v>C&amp;I</v>
      </c>
      <c r="E95" s="51" t="str">
        <f>'Measure Inputs'!H67</f>
        <v>C&amp;I Prescriptive</v>
      </c>
      <c r="F95" s="51" t="str">
        <f>'Measure Inputs'!I67</f>
        <v>Motors</v>
      </c>
      <c r="G95" s="51" t="str">
        <f>'Measure Inputs'!J67</f>
        <v>ODC Motor</v>
      </c>
      <c r="H95" s="51">
        <f>'Measure Inputs'!K67</f>
        <v>2017</v>
      </c>
      <c r="I95" s="51" t="str">
        <f>'Measure Inputs'!L67</f>
        <v>Actual</v>
      </c>
      <c r="J95" s="37"/>
      <c r="K95" s="99" t="str">
        <f ca="1">INDEX(OFFSET('Measure Inputs'!$O$7,,,InputRows),$C95)</f>
        <v>Units</v>
      </c>
      <c r="L95" s="38">
        <f ca="1">INDEX(OFFSET('Measure Inputs'!$Q$7,,,InputRows),$C95)</f>
        <v>0</v>
      </c>
      <c r="M95" s="167">
        <f>INDEX('General Inputs'!$E$14:$E$15,MATCH(D95,'General Inputs'!$D$14:$D$15,0))</f>
        <v>1.0469999999999999</v>
      </c>
      <c r="N95" s="54">
        <f ca="1">INDEX(OFFSET('Measure Inputs'!$Y$7,,,InputRows),$C95)</f>
        <v>1</v>
      </c>
      <c r="O95" s="54">
        <f ca="1">INDEX(OFFSET('Measure Inputs'!$Z$7,,,InputRows),$C95)</f>
        <v>1</v>
      </c>
      <c r="P95" s="37"/>
      <c r="Q95" s="127">
        <f ca="1">CONVERT(INDEX(OFFSET('Measure Inputs'!$AB$7,,,InputRows),$C95),'Measure Inputs'!$AB$6,Q$8)*$L95</f>
        <v>0</v>
      </c>
      <c r="R95" s="127">
        <f t="shared" ca="1" si="341"/>
        <v>0</v>
      </c>
      <c r="S95" s="127">
        <f t="shared" ca="1" si="342"/>
        <v>0</v>
      </c>
      <c r="T95" s="37"/>
      <c r="U95" s="127">
        <f ca="1">CONVERT(INDEX(OFFSET('Measure Inputs'!$AD$7,,,InputRows),$C95),'Measure Inputs'!$AD$6,U$8)*$L95</f>
        <v>0</v>
      </c>
      <c r="V95" s="127">
        <f t="shared" ca="1" si="343"/>
        <v>0</v>
      </c>
      <c r="W95" s="127">
        <f t="shared" ca="1" si="344"/>
        <v>0</v>
      </c>
      <c r="X95" s="37"/>
      <c r="Y95" s="127">
        <f ca="1">CONVERT(INDEX(OFFSET('Measure Inputs'!$AC$7,,,InputRows),$C95),'Measure Inputs'!$AC$6,Y$8)*$L95</f>
        <v>0</v>
      </c>
      <c r="Z95" s="127">
        <f t="shared" ca="1" si="345"/>
        <v>0</v>
      </c>
      <c r="AA95" s="127">
        <f t="shared" ca="1" si="346"/>
        <v>0</v>
      </c>
      <c r="AB95" s="37"/>
      <c r="AC95" s="127">
        <f ca="1">CONVERT(INDEX(OFFSET('Measure Inputs'!$AE$7,,,InputRows),$C95),'Measure Inputs'!$AE$6,AC$8)*$L95</f>
        <v>0</v>
      </c>
      <c r="AD95" s="127">
        <f t="shared" ca="1" si="347"/>
        <v>0</v>
      </c>
      <c r="AE95" s="127">
        <f t="shared" ca="1" si="348"/>
        <v>0</v>
      </c>
      <c r="AF95" s="37"/>
      <c r="AG95" s="97">
        <f ca="1">INDEX(OFFSET('Measure Inputs'!$R$7,,,InputRows),$C95)</f>
        <v>15</v>
      </c>
      <c r="AH95" s="97">
        <f ca="1">INDEX(OFFSET('Measure Inputs'!$S$7,,,InputRows),$C95)</f>
        <v>0</v>
      </c>
      <c r="AI95" s="97">
        <f t="shared" ca="1" si="349"/>
        <v>0</v>
      </c>
      <c r="AJ95" s="100">
        <f ca="1">INDEX(OFFSET('Measure Inputs'!$T$7,,,InputRows),$C95)*$L95*$N95*$O95</f>
        <v>0</v>
      </c>
      <c r="AK95" s="100">
        <f ca="1">INDEX(OFFSET('Measure Inputs'!$U$7,,,InputRows),$C95)*$L95*$N95*$O95</f>
        <v>0</v>
      </c>
      <c r="AL95" s="100">
        <f ca="1">INDEX(OFFSET('Measure Inputs'!$V$7,,,InputRows),$C95)*$L95*$N95*$O95</f>
        <v>0</v>
      </c>
      <c r="AM95" s="100">
        <f ca="1">INDEX(OFFSET('Measure Inputs'!$W$7,,,InputRows),$C95)*$L95*$N95*$O95</f>
        <v>0</v>
      </c>
      <c r="AN95" s="100">
        <f ca="1">INDEX(OFFSET('Measure Inputs'!$X$7,,,InputRows),$C95)*$L95</f>
        <v>0</v>
      </c>
      <c r="AO95" s="100"/>
      <c r="AP95" s="100">
        <f t="shared" ca="1" si="350"/>
        <v>0</v>
      </c>
      <c r="AQ95" s="37"/>
      <c r="AR95" s="100">
        <f ca="1">SUMPRODUCT(--($CX$9:$EX$9=$H95)*$AJ95,'General Inputs'!$K$40:$BK$40)+SUMPRODUCT(--($CX$9:$EX$9=$H95+$AH95)*-$AK95,'General Inputs'!$K$43:$BK$43)</f>
        <v>0</v>
      </c>
      <c r="AS95" s="100">
        <f ca="1">CONVERT(SUMPRODUCT($CX95:$EX95,'General Inputs'!$K$29:$BK$29,'General Inputs'!$K$40:$BK$40)*$M95,$Q$8,'General Inputs'!$E$17)</f>
        <v>0</v>
      </c>
      <c r="AT95" s="100">
        <f ca="1">SUMPRODUCT(--($CX$9:$EX$9=$H95)*$AN95,'General Inputs'!$K$40:$BK$40)</f>
        <v>0</v>
      </c>
      <c r="AU95" s="100">
        <f>SUMPRODUCT(--($CX$9:$EX$9=$H95)*$AO95,'General Inputs'!$K$40:$BK$40)</f>
        <v>0</v>
      </c>
      <c r="AV95" s="100">
        <f ca="1">CONVERT(SUMPRODUCT($CX95:$EX95,'General Inputs'!$K$40:$BK$40,OFFSET('General Inputs'!$K$34:$BK$34,MATCH($D95,'General Inputs'!$J$34:$J$35,0)-1,)),$Q$8,'General Inputs'!$G$32)</f>
        <v>0</v>
      </c>
      <c r="AW95" s="100">
        <f ca="1">CONVERT(SUMPRODUCT($CX95:$EX95,'General Inputs'!$K$27:$BK$27,'General Inputs'!$K$40:$BK$40)*$M95,$Q$8,'General Inputs'!$E$17)</f>
        <v>0</v>
      </c>
      <c r="AX95" s="100">
        <f ca="1">CONVERT(SUMPRODUCT($EZ95:$GZ95,'General Inputs'!$K$28:$BK$28,'General Inputs'!$K$40:$BK$40)*$M95,$Q$8,'General Inputs'!$E$17)</f>
        <v>0</v>
      </c>
      <c r="AY95" s="98">
        <f ca="1">SUMPRODUCT($CX95:$EX95,'General Inputs'!$K$40:$BK$40)</f>
        <v>0</v>
      </c>
      <c r="AZ95" s="37"/>
      <c r="BA95" s="100">
        <f t="shared" ca="1" si="351"/>
        <v>0</v>
      </c>
      <c r="BB95" s="102" t="e">
        <f t="shared" ca="1" si="352"/>
        <v>#DIV/0!</v>
      </c>
      <c r="BC95" s="100">
        <f t="shared" ca="1" si="273"/>
        <v>0</v>
      </c>
      <c r="BD95" s="100">
        <f t="shared" ca="1" si="274"/>
        <v>0</v>
      </c>
      <c r="BE95" s="100">
        <f t="shared" ca="1" si="275"/>
        <v>0</v>
      </c>
      <c r="BF95" s="100">
        <f t="shared" ca="1" si="394"/>
        <v>0</v>
      </c>
      <c r="BG95" s="100">
        <f t="shared" si="277"/>
        <v>0</v>
      </c>
      <c r="BH95" s="100">
        <f t="shared" ca="1" si="278"/>
        <v>0</v>
      </c>
      <c r="BI95" s="37"/>
      <c r="BJ95" s="100">
        <f t="shared" ca="1" si="353"/>
        <v>0</v>
      </c>
      <c r="BK95" s="102" t="e">
        <f t="shared" ca="1" si="354"/>
        <v>#DIV/0!</v>
      </c>
      <c r="BL95" s="100">
        <f t="shared" ca="1" si="279"/>
        <v>0</v>
      </c>
      <c r="BM95" s="100">
        <f t="shared" ca="1" si="393"/>
        <v>0</v>
      </c>
      <c r="BN95" s="100">
        <f t="shared" ca="1" si="280"/>
        <v>0</v>
      </c>
      <c r="BO95" s="100">
        <f t="shared" ca="1" si="281"/>
        <v>0</v>
      </c>
      <c r="BP95" s="100">
        <f t="shared" ca="1" si="282"/>
        <v>0</v>
      </c>
      <c r="BQ95" s="100">
        <f t="shared" si="283"/>
        <v>0</v>
      </c>
      <c r="BR95" s="100">
        <f t="shared" ca="1" si="284"/>
        <v>0</v>
      </c>
      <c r="BS95" s="37"/>
      <c r="BT95" s="100">
        <f t="shared" ca="1" si="355"/>
        <v>0</v>
      </c>
      <c r="BU95" s="102" t="e">
        <f t="shared" ca="1" si="356"/>
        <v>#DIV/0!</v>
      </c>
      <c r="BV95" s="102" t="e">
        <f t="shared" ca="1" si="285"/>
        <v>#DIV/0!</v>
      </c>
      <c r="BW95" s="100">
        <f t="shared" ca="1" si="286"/>
        <v>0</v>
      </c>
      <c r="BX95" s="100">
        <f t="shared" ca="1" si="287"/>
        <v>0</v>
      </c>
      <c r="BY95" s="100">
        <f t="shared" ca="1" si="288"/>
        <v>0</v>
      </c>
      <c r="BZ95" s="100">
        <f t="shared" ca="1" si="289"/>
        <v>0</v>
      </c>
      <c r="CA95" s="100">
        <f t="shared" ca="1" si="290"/>
        <v>0</v>
      </c>
      <c r="CB95" s="37"/>
      <c r="CC95" s="100">
        <f t="shared" ca="1" si="357"/>
        <v>0</v>
      </c>
      <c r="CD95" s="102" t="e">
        <f t="shared" ca="1" si="358"/>
        <v>#DIV/0!</v>
      </c>
      <c r="CE95" s="103" t="e">
        <f t="shared" ca="1" si="291"/>
        <v>#DIV/0!</v>
      </c>
      <c r="CF95" s="100">
        <f t="shared" ca="1" si="292"/>
        <v>0</v>
      </c>
      <c r="CG95" s="100">
        <f t="shared" ca="1" si="293"/>
        <v>0</v>
      </c>
      <c r="CH95" s="100">
        <f t="shared" ca="1" si="294"/>
        <v>0</v>
      </c>
      <c r="CI95" s="100">
        <f t="shared" ca="1" si="382"/>
        <v>0</v>
      </c>
      <c r="CJ95" s="100">
        <f t="shared" ca="1" si="383"/>
        <v>0</v>
      </c>
      <c r="CK95" s="100">
        <f t="shared" si="295"/>
        <v>0</v>
      </c>
      <c r="CL95" s="37"/>
      <c r="CM95" s="100">
        <f t="shared" ca="1" si="359"/>
        <v>0</v>
      </c>
      <c r="CN95" s="102" t="e">
        <f t="shared" ca="1" si="360"/>
        <v>#DIV/0!</v>
      </c>
      <c r="CO95" s="128"/>
      <c r="CP95" s="100">
        <f t="shared" ca="1" si="296"/>
        <v>0</v>
      </c>
      <c r="CQ95" s="100">
        <f t="shared" ca="1" si="297"/>
        <v>0</v>
      </c>
      <c r="CR95" s="100">
        <f t="shared" ca="1" si="298"/>
        <v>0</v>
      </c>
      <c r="CS95" s="100">
        <f t="shared" ca="1" si="384"/>
        <v>0</v>
      </c>
      <c r="CT95" s="100">
        <f t="shared" ca="1" si="299"/>
        <v>0</v>
      </c>
      <c r="CU95" s="100">
        <f t="shared" ca="1" si="300"/>
        <v>0</v>
      </c>
      <c r="CV95" s="100">
        <f t="shared" si="301"/>
        <v>0</v>
      </c>
      <c r="CW95" s="37"/>
      <c r="CX95" s="48">
        <f t="shared" ca="1" si="401"/>
        <v>0</v>
      </c>
      <c r="CY95" s="48">
        <f t="shared" ca="1" si="401"/>
        <v>0</v>
      </c>
      <c r="CZ95" s="48">
        <f t="shared" ca="1" si="401"/>
        <v>0</v>
      </c>
      <c r="DA95" s="48">
        <f t="shared" ca="1" si="401"/>
        <v>0</v>
      </c>
      <c r="DB95" s="48">
        <f t="shared" ca="1" si="401"/>
        <v>0</v>
      </c>
      <c r="DC95" s="48">
        <f t="shared" ca="1" si="401"/>
        <v>0</v>
      </c>
      <c r="DD95" s="48">
        <f t="shared" ca="1" si="401"/>
        <v>0</v>
      </c>
      <c r="DE95" s="48">
        <f t="shared" ca="1" si="401"/>
        <v>0</v>
      </c>
      <c r="DF95" s="48">
        <f t="shared" ca="1" si="401"/>
        <v>0</v>
      </c>
      <c r="DG95" s="48">
        <f t="shared" ca="1" si="401"/>
        <v>0</v>
      </c>
      <c r="DH95" s="48">
        <f t="shared" ca="1" si="401"/>
        <v>0</v>
      </c>
      <c r="DI95" s="48">
        <f t="shared" ca="1" si="401"/>
        <v>0</v>
      </c>
      <c r="DJ95" s="48">
        <f t="shared" ca="1" si="401"/>
        <v>0</v>
      </c>
      <c r="DK95" s="48">
        <f t="shared" ca="1" si="401"/>
        <v>0</v>
      </c>
      <c r="DL95" s="48">
        <f t="shared" ca="1" si="401"/>
        <v>0</v>
      </c>
      <c r="DM95" s="48">
        <f t="shared" ca="1" si="401"/>
        <v>0</v>
      </c>
      <c r="DN95" s="48">
        <f t="shared" ca="1" si="402"/>
        <v>0</v>
      </c>
      <c r="DO95" s="48">
        <f t="shared" ca="1" si="402"/>
        <v>0</v>
      </c>
      <c r="DP95" s="48">
        <f t="shared" ca="1" si="402"/>
        <v>0</v>
      </c>
      <c r="DQ95" s="48">
        <f t="shared" ca="1" si="402"/>
        <v>0</v>
      </c>
      <c r="DR95" s="48">
        <f t="shared" ca="1" si="402"/>
        <v>0</v>
      </c>
      <c r="DS95" s="48">
        <f t="shared" ca="1" si="402"/>
        <v>0</v>
      </c>
      <c r="DT95" s="48">
        <f t="shared" ca="1" si="402"/>
        <v>0</v>
      </c>
      <c r="DU95" s="48">
        <f t="shared" ca="1" si="402"/>
        <v>0</v>
      </c>
      <c r="DV95" s="48">
        <f t="shared" ca="1" si="402"/>
        <v>0</v>
      </c>
      <c r="DW95" s="48">
        <f t="shared" ca="1" si="402"/>
        <v>0</v>
      </c>
      <c r="DX95" s="48">
        <f t="shared" ca="1" si="402"/>
        <v>0</v>
      </c>
      <c r="DY95" s="48">
        <f t="shared" ca="1" si="402"/>
        <v>0</v>
      </c>
      <c r="DZ95" s="48">
        <f t="shared" ca="1" si="402"/>
        <v>0</v>
      </c>
      <c r="EA95" s="48">
        <f t="shared" ca="1" si="402"/>
        <v>0</v>
      </c>
      <c r="EB95" s="48">
        <f t="shared" ca="1" si="399"/>
        <v>0</v>
      </c>
      <c r="EC95" s="48">
        <f t="shared" ca="1" si="397"/>
        <v>0</v>
      </c>
      <c r="ED95" s="48">
        <f t="shared" ca="1" si="397"/>
        <v>0</v>
      </c>
      <c r="EE95" s="48">
        <f t="shared" ca="1" si="397"/>
        <v>0</v>
      </c>
      <c r="EF95" s="48">
        <f t="shared" ca="1" si="397"/>
        <v>0</v>
      </c>
      <c r="EG95" s="48">
        <f t="shared" ca="1" si="397"/>
        <v>0</v>
      </c>
      <c r="EH95" s="48">
        <f t="shared" ca="1" si="397"/>
        <v>0</v>
      </c>
      <c r="EI95" s="48">
        <f t="shared" ca="1" si="397"/>
        <v>0</v>
      </c>
      <c r="EJ95" s="48">
        <f t="shared" ca="1" si="397"/>
        <v>0</v>
      </c>
      <c r="EK95" s="48">
        <f t="shared" ca="1" si="397"/>
        <v>0</v>
      </c>
      <c r="EL95" s="48">
        <f t="shared" ca="1" si="397"/>
        <v>0</v>
      </c>
      <c r="EM95" s="48">
        <f t="shared" ca="1" si="397"/>
        <v>0</v>
      </c>
      <c r="EN95" s="48">
        <f t="shared" ca="1" si="395"/>
        <v>0</v>
      </c>
      <c r="EO95" s="48">
        <f t="shared" ca="1" si="395"/>
        <v>0</v>
      </c>
      <c r="EP95" s="48">
        <f t="shared" ca="1" si="395"/>
        <v>0</v>
      </c>
      <c r="EQ95" s="48">
        <f t="shared" ca="1" si="386"/>
        <v>0</v>
      </c>
      <c r="ER95" s="48">
        <f t="shared" ca="1" si="386"/>
        <v>0</v>
      </c>
      <c r="ES95" s="48">
        <f t="shared" ca="1" si="374"/>
        <v>0</v>
      </c>
      <c r="ET95" s="48">
        <f t="shared" ca="1" si="374"/>
        <v>0</v>
      </c>
      <c r="EU95" s="48">
        <f t="shared" ca="1" si="374"/>
        <v>0</v>
      </c>
      <c r="EV95" s="48">
        <f t="shared" ca="1" si="374"/>
        <v>0</v>
      </c>
      <c r="EW95" s="48">
        <f t="shared" ca="1" si="374"/>
        <v>0</v>
      </c>
      <c r="EX95" s="48">
        <f t="shared" ca="1" si="374"/>
        <v>0</v>
      </c>
      <c r="EY95" s="69"/>
      <c r="EZ95" s="48">
        <f t="shared" ca="1" si="403"/>
        <v>0</v>
      </c>
      <c r="FA95" s="48">
        <f t="shared" ca="1" si="403"/>
        <v>0</v>
      </c>
      <c r="FB95" s="48">
        <f t="shared" ca="1" si="403"/>
        <v>0</v>
      </c>
      <c r="FC95" s="48">
        <f t="shared" ca="1" si="403"/>
        <v>0</v>
      </c>
      <c r="FD95" s="48">
        <f t="shared" ca="1" si="403"/>
        <v>0</v>
      </c>
      <c r="FE95" s="48">
        <f t="shared" ca="1" si="403"/>
        <v>0</v>
      </c>
      <c r="FF95" s="48">
        <f t="shared" ca="1" si="403"/>
        <v>0</v>
      </c>
      <c r="FG95" s="48">
        <f t="shared" ca="1" si="403"/>
        <v>0</v>
      </c>
      <c r="FH95" s="48">
        <f t="shared" ca="1" si="403"/>
        <v>0</v>
      </c>
      <c r="FI95" s="48">
        <f t="shared" ca="1" si="403"/>
        <v>0</v>
      </c>
      <c r="FJ95" s="48">
        <f t="shared" ca="1" si="403"/>
        <v>0</v>
      </c>
      <c r="FK95" s="48">
        <f t="shared" ca="1" si="403"/>
        <v>0</v>
      </c>
      <c r="FL95" s="48">
        <f t="shared" ca="1" si="403"/>
        <v>0</v>
      </c>
      <c r="FM95" s="48">
        <f t="shared" ca="1" si="403"/>
        <v>0</v>
      </c>
      <c r="FN95" s="48">
        <f t="shared" ca="1" si="403"/>
        <v>0</v>
      </c>
      <c r="FO95" s="48">
        <f t="shared" ca="1" si="403"/>
        <v>0</v>
      </c>
      <c r="FP95" s="48">
        <f t="shared" ca="1" si="404"/>
        <v>0</v>
      </c>
      <c r="FQ95" s="48">
        <f t="shared" ca="1" si="404"/>
        <v>0</v>
      </c>
      <c r="FR95" s="48">
        <f t="shared" ca="1" si="404"/>
        <v>0</v>
      </c>
      <c r="FS95" s="48">
        <f t="shared" ca="1" si="404"/>
        <v>0</v>
      </c>
      <c r="FT95" s="48">
        <f t="shared" ca="1" si="404"/>
        <v>0</v>
      </c>
      <c r="FU95" s="48">
        <f t="shared" ca="1" si="404"/>
        <v>0</v>
      </c>
      <c r="FV95" s="48">
        <f t="shared" ca="1" si="404"/>
        <v>0</v>
      </c>
      <c r="FW95" s="48">
        <f t="shared" ca="1" si="404"/>
        <v>0</v>
      </c>
      <c r="FX95" s="48">
        <f t="shared" ca="1" si="404"/>
        <v>0</v>
      </c>
      <c r="FY95" s="48">
        <f t="shared" ca="1" si="404"/>
        <v>0</v>
      </c>
      <c r="FZ95" s="48">
        <f t="shared" ca="1" si="404"/>
        <v>0</v>
      </c>
      <c r="GA95" s="48">
        <f t="shared" ca="1" si="404"/>
        <v>0</v>
      </c>
      <c r="GB95" s="48">
        <f t="shared" ca="1" si="404"/>
        <v>0</v>
      </c>
      <c r="GC95" s="48">
        <f t="shared" ca="1" si="404"/>
        <v>0</v>
      </c>
      <c r="GD95" s="48">
        <f t="shared" ca="1" si="400"/>
        <v>0</v>
      </c>
      <c r="GE95" s="48">
        <f t="shared" ca="1" si="398"/>
        <v>0</v>
      </c>
      <c r="GF95" s="48">
        <f t="shared" ca="1" si="398"/>
        <v>0</v>
      </c>
      <c r="GG95" s="48">
        <f t="shared" ca="1" si="398"/>
        <v>0</v>
      </c>
      <c r="GH95" s="48">
        <f t="shared" ca="1" si="398"/>
        <v>0</v>
      </c>
      <c r="GI95" s="48">
        <f t="shared" ca="1" si="398"/>
        <v>0</v>
      </c>
      <c r="GJ95" s="48">
        <f t="shared" ca="1" si="398"/>
        <v>0</v>
      </c>
      <c r="GK95" s="48">
        <f t="shared" ca="1" si="398"/>
        <v>0</v>
      </c>
      <c r="GL95" s="48">
        <f t="shared" ca="1" si="398"/>
        <v>0</v>
      </c>
      <c r="GM95" s="48">
        <f t="shared" ca="1" si="398"/>
        <v>0</v>
      </c>
      <c r="GN95" s="48">
        <f t="shared" ca="1" si="398"/>
        <v>0</v>
      </c>
      <c r="GO95" s="48">
        <f t="shared" ca="1" si="398"/>
        <v>0</v>
      </c>
      <c r="GP95" s="48">
        <f t="shared" ca="1" si="396"/>
        <v>0</v>
      </c>
      <c r="GQ95" s="48">
        <f t="shared" ca="1" si="396"/>
        <v>0</v>
      </c>
      <c r="GR95" s="48">
        <f t="shared" ca="1" si="396"/>
        <v>0</v>
      </c>
      <c r="GS95" s="48">
        <f t="shared" ca="1" si="388"/>
        <v>0</v>
      </c>
      <c r="GT95" s="48">
        <f t="shared" ca="1" si="388"/>
        <v>0</v>
      </c>
      <c r="GU95" s="48">
        <f t="shared" ca="1" si="377"/>
        <v>0</v>
      </c>
      <c r="GV95" s="48">
        <f t="shared" ca="1" si="377"/>
        <v>0</v>
      </c>
      <c r="GW95" s="48">
        <f t="shared" ca="1" si="377"/>
        <v>0</v>
      </c>
      <c r="GX95" s="48">
        <f t="shared" ca="1" si="377"/>
        <v>0</v>
      </c>
      <c r="GY95" s="48">
        <f t="shared" ca="1" si="377"/>
        <v>0</v>
      </c>
      <c r="GZ95" s="48">
        <f t="shared" ca="1" si="377"/>
        <v>0</v>
      </c>
      <c r="HA95" s="69"/>
      <c r="HB95" s="150" t="str">
        <f t="shared" ca="1" si="380"/>
        <v>n/a</v>
      </c>
      <c r="HC95" s="150" t="str">
        <f t="shared" ca="1" si="369"/>
        <v>n/a</v>
      </c>
      <c r="HD95" s="150" t="str">
        <f t="shared" ca="1" si="381"/>
        <v>n/a</v>
      </c>
      <c r="HE95" s="150" t="str">
        <f t="shared" ca="1" si="370"/>
        <v>n/a</v>
      </c>
      <c r="HF95" s="150" t="str">
        <f t="shared" ca="1" si="371"/>
        <v>n/a</v>
      </c>
      <c r="HG95" s="148"/>
      <c r="HH95" s="149"/>
      <c r="HI95" s="149"/>
      <c r="HJ95" s="149"/>
      <c r="HK95" s="150"/>
      <c r="HL95" s="149"/>
      <c r="HM95" s="149"/>
      <c r="HN95" s="149"/>
      <c r="HO95" s="150"/>
      <c r="HP95" s="148"/>
      <c r="HQ95" s="149"/>
      <c r="HR95" s="149"/>
      <c r="HS95" s="149"/>
      <c r="HT95" s="150"/>
      <c r="HU95" s="149"/>
      <c r="HV95" s="149"/>
      <c r="HW95" s="149"/>
      <c r="HX95" s="150"/>
      <c r="HY95" s="151"/>
      <c r="HZ95" s="150"/>
      <c r="IA95" s="150"/>
      <c r="IB95" s="152"/>
      <c r="IC95" s="150"/>
      <c r="ID95" s="152"/>
      <c r="IE95" s="150"/>
      <c r="IF95" s="153"/>
    </row>
    <row r="96" spans="1:240" s="36" customFormat="1" ht="14.4" customHeight="1">
      <c r="A96" s="39"/>
      <c r="B96" s="50" t="str">
        <f t="shared" si="340"/>
        <v>C&amp;I_C&amp;I Prescriptive_Motors_TEFC Motor_2017_Actual</v>
      </c>
      <c r="C96" s="50">
        <f>INDEX('Measure Inputs'!$D:$D,MATCH($B96,'Measure Inputs'!$B:$B,0))</f>
        <v>62</v>
      </c>
      <c r="D96" s="51" t="str">
        <f>'Measure Inputs'!G68</f>
        <v>C&amp;I</v>
      </c>
      <c r="E96" s="51" t="str">
        <f>'Measure Inputs'!H68</f>
        <v>C&amp;I Prescriptive</v>
      </c>
      <c r="F96" s="51" t="str">
        <f>'Measure Inputs'!I68</f>
        <v>Motors</v>
      </c>
      <c r="G96" s="51" t="str">
        <f>'Measure Inputs'!J68</f>
        <v>TEFC Motor</v>
      </c>
      <c r="H96" s="51">
        <f>'Measure Inputs'!K68</f>
        <v>2017</v>
      </c>
      <c r="I96" s="51" t="str">
        <f>'Measure Inputs'!L68</f>
        <v>Actual</v>
      </c>
      <c r="J96" s="37"/>
      <c r="K96" s="99" t="str">
        <f ca="1">INDEX(OFFSET('Measure Inputs'!$O$7,,,InputRows),$C96)</f>
        <v>Units</v>
      </c>
      <c r="L96" s="38">
        <f ca="1">INDEX(OFFSET('Measure Inputs'!$Q$7,,,InputRows),$C96)</f>
        <v>0</v>
      </c>
      <c r="M96" s="167">
        <f>INDEX('General Inputs'!$E$14:$E$15,MATCH(D96,'General Inputs'!$D$14:$D$15,0))</f>
        <v>1.0469999999999999</v>
      </c>
      <c r="N96" s="54">
        <f ca="1">INDEX(OFFSET('Measure Inputs'!$Y$7,,,InputRows),$C96)</f>
        <v>1</v>
      </c>
      <c r="O96" s="54">
        <f ca="1">INDEX(OFFSET('Measure Inputs'!$Z$7,,,InputRows),$C96)</f>
        <v>1</v>
      </c>
      <c r="P96" s="37"/>
      <c r="Q96" s="127">
        <f ca="1">CONVERT(INDEX(OFFSET('Measure Inputs'!$AB$7,,,InputRows),$C96),'Measure Inputs'!$AB$6,Q$8)*$L96</f>
        <v>0</v>
      </c>
      <c r="R96" s="127">
        <f t="shared" ca="1" si="341"/>
        <v>0</v>
      </c>
      <c r="S96" s="127">
        <f t="shared" ca="1" si="342"/>
        <v>0</v>
      </c>
      <c r="T96" s="37"/>
      <c r="U96" s="127">
        <f ca="1">CONVERT(INDEX(OFFSET('Measure Inputs'!$AD$7,,,InputRows),$C96),'Measure Inputs'!$AD$6,U$8)*$L96</f>
        <v>0</v>
      </c>
      <c r="V96" s="127">
        <f t="shared" ca="1" si="343"/>
        <v>0</v>
      </c>
      <c r="W96" s="127">
        <f t="shared" ca="1" si="344"/>
        <v>0</v>
      </c>
      <c r="X96" s="37"/>
      <c r="Y96" s="127">
        <f ca="1">CONVERT(INDEX(OFFSET('Measure Inputs'!$AC$7,,,InputRows),$C96),'Measure Inputs'!$AC$6,Y$8)*$L96</f>
        <v>0</v>
      </c>
      <c r="Z96" s="127">
        <f t="shared" ca="1" si="345"/>
        <v>0</v>
      </c>
      <c r="AA96" s="127">
        <f t="shared" ca="1" si="346"/>
        <v>0</v>
      </c>
      <c r="AB96" s="37"/>
      <c r="AC96" s="127">
        <f ca="1">CONVERT(INDEX(OFFSET('Measure Inputs'!$AE$7,,,InputRows),$C96),'Measure Inputs'!$AE$6,AC$8)*$L96</f>
        <v>0</v>
      </c>
      <c r="AD96" s="127">
        <f t="shared" ca="1" si="347"/>
        <v>0</v>
      </c>
      <c r="AE96" s="127">
        <f t="shared" ca="1" si="348"/>
        <v>0</v>
      </c>
      <c r="AF96" s="37"/>
      <c r="AG96" s="97">
        <f ca="1">INDEX(OFFSET('Measure Inputs'!$R$7,,,InputRows),$C96)</f>
        <v>15</v>
      </c>
      <c r="AH96" s="97">
        <f ca="1">INDEX(OFFSET('Measure Inputs'!$S$7,,,InputRows),$C96)</f>
        <v>0</v>
      </c>
      <c r="AI96" s="97">
        <f t="shared" ca="1" si="349"/>
        <v>0</v>
      </c>
      <c r="AJ96" s="100">
        <f ca="1">INDEX(OFFSET('Measure Inputs'!$T$7,,,InputRows),$C96)*$L96*$N96*$O96</f>
        <v>0</v>
      </c>
      <c r="AK96" s="100">
        <f ca="1">INDEX(OFFSET('Measure Inputs'!$U$7,,,InputRows),$C96)*$L96*$N96*$O96</f>
        <v>0</v>
      </c>
      <c r="AL96" s="100">
        <f ca="1">INDEX(OFFSET('Measure Inputs'!$V$7,,,InputRows),$C96)*$L96*$N96*$O96</f>
        <v>0</v>
      </c>
      <c r="AM96" s="100">
        <f ca="1">INDEX(OFFSET('Measure Inputs'!$W$7,,,InputRows),$C96)*$L96*$N96*$O96</f>
        <v>0</v>
      </c>
      <c r="AN96" s="100">
        <f ca="1">INDEX(OFFSET('Measure Inputs'!$X$7,,,InputRows),$C96)*$L96</f>
        <v>0</v>
      </c>
      <c r="AO96" s="100"/>
      <c r="AP96" s="100">
        <f t="shared" ca="1" si="350"/>
        <v>0</v>
      </c>
      <c r="AQ96" s="37"/>
      <c r="AR96" s="100">
        <f ca="1">SUMPRODUCT(--($CX$9:$EX$9=$H96)*$AJ96,'General Inputs'!$K$40:$BK$40)+SUMPRODUCT(--($CX$9:$EX$9=$H96+$AH96)*-$AK96,'General Inputs'!$K$43:$BK$43)</f>
        <v>0</v>
      </c>
      <c r="AS96" s="100">
        <f ca="1">CONVERT(SUMPRODUCT($CX96:$EX96,'General Inputs'!$K$29:$BK$29,'General Inputs'!$K$40:$BK$40)*$M96,$Q$8,'General Inputs'!$E$17)</f>
        <v>0</v>
      </c>
      <c r="AT96" s="100">
        <f ca="1">SUMPRODUCT(--($CX$9:$EX$9=$H96)*$AN96,'General Inputs'!$K$40:$BK$40)</f>
        <v>0</v>
      </c>
      <c r="AU96" s="100">
        <f>SUMPRODUCT(--($CX$9:$EX$9=$H96)*$AO96,'General Inputs'!$K$40:$BK$40)</f>
        <v>0</v>
      </c>
      <c r="AV96" s="100">
        <f ca="1">CONVERT(SUMPRODUCT($CX96:$EX96,'General Inputs'!$K$40:$BK$40,OFFSET('General Inputs'!$K$34:$BK$34,MATCH($D96,'General Inputs'!$J$34:$J$35,0)-1,)),$Q$8,'General Inputs'!$G$32)</f>
        <v>0</v>
      </c>
      <c r="AW96" s="100">
        <f ca="1">CONVERT(SUMPRODUCT($CX96:$EX96,'General Inputs'!$K$27:$BK$27,'General Inputs'!$K$40:$BK$40)*$M96,$Q$8,'General Inputs'!$E$17)</f>
        <v>0</v>
      </c>
      <c r="AX96" s="100">
        <f ca="1">CONVERT(SUMPRODUCT($EZ96:$GZ96,'General Inputs'!$K$28:$BK$28,'General Inputs'!$K$40:$BK$40)*$M96,$Q$8,'General Inputs'!$E$17)</f>
        <v>0</v>
      </c>
      <c r="AY96" s="98">
        <f ca="1">SUMPRODUCT($CX96:$EX96,'General Inputs'!$K$40:$BK$40)</f>
        <v>0</v>
      </c>
      <c r="AZ96" s="37"/>
      <c r="BA96" s="100">
        <f t="shared" ca="1" si="351"/>
        <v>0</v>
      </c>
      <c r="BB96" s="102" t="e">
        <f t="shared" ca="1" si="352"/>
        <v>#DIV/0!</v>
      </c>
      <c r="BC96" s="100">
        <f t="shared" ca="1" si="273"/>
        <v>0</v>
      </c>
      <c r="BD96" s="100">
        <f t="shared" ca="1" si="274"/>
        <v>0</v>
      </c>
      <c r="BE96" s="100">
        <f t="shared" ca="1" si="275"/>
        <v>0</v>
      </c>
      <c r="BF96" s="100">
        <f t="shared" ca="1" si="394"/>
        <v>0</v>
      </c>
      <c r="BG96" s="100">
        <f t="shared" si="277"/>
        <v>0</v>
      </c>
      <c r="BH96" s="100">
        <f t="shared" ca="1" si="278"/>
        <v>0</v>
      </c>
      <c r="BI96" s="37"/>
      <c r="BJ96" s="100">
        <f t="shared" ca="1" si="353"/>
        <v>0</v>
      </c>
      <c r="BK96" s="102" t="e">
        <f t="shared" ca="1" si="354"/>
        <v>#DIV/0!</v>
      </c>
      <c r="BL96" s="100">
        <f t="shared" ca="1" si="279"/>
        <v>0</v>
      </c>
      <c r="BM96" s="100">
        <f t="shared" ca="1" si="393"/>
        <v>0</v>
      </c>
      <c r="BN96" s="100">
        <f t="shared" ca="1" si="280"/>
        <v>0</v>
      </c>
      <c r="BO96" s="100">
        <f t="shared" ca="1" si="281"/>
        <v>0</v>
      </c>
      <c r="BP96" s="100">
        <f t="shared" ca="1" si="282"/>
        <v>0</v>
      </c>
      <c r="BQ96" s="100">
        <f t="shared" si="283"/>
        <v>0</v>
      </c>
      <c r="BR96" s="100">
        <f t="shared" ca="1" si="284"/>
        <v>0</v>
      </c>
      <c r="BS96" s="37"/>
      <c r="BT96" s="100">
        <f t="shared" ca="1" si="355"/>
        <v>0</v>
      </c>
      <c r="BU96" s="102" t="e">
        <f t="shared" ca="1" si="356"/>
        <v>#DIV/0!</v>
      </c>
      <c r="BV96" s="102" t="e">
        <f t="shared" ca="1" si="285"/>
        <v>#DIV/0!</v>
      </c>
      <c r="BW96" s="100">
        <f t="shared" ca="1" si="286"/>
        <v>0</v>
      </c>
      <c r="BX96" s="100">
        <f t="shared" ca="1" si="287"/>
        <v>0</v>
      </c>
      <c r="BY96" s="100">
        <f t="shared" ca="1" si="288"/>
        <v>0</v>
      </c>
      <c r="BZ96" s="100">
        <f t="shared" ca="1" si="289"/>
        <v>0</v>
      </c>
      <c r="CA96" s="100">
        <f t="shared" ca="1" si="290"/>
        <v>0</v>
      </c>
      <c r="CB96" s="37"/>
      <c r="CC96" s="100">
        <f t="shared" ca="1" si="357"/>
        <v>0</v>
      </c>
      <c r="CD96" s="102" t="e">
        <f t="shared" ca="1" si="358"/>
        <v>#DIV/0!</v>
      </c>
      <c r="CE96" s="103" t="e">
        <f t="shared" ca="1" si="291"/>
        <v>#DIV/0!</v>
      </c>
      <c r="CF96" s="100">
        <f t="shared" ca="1" si="292"/>
        <v>0</v>
      </c>
      <c r="CG96" s="100">
        <f t="shared" ca="1" si="293"/>
        <v>0</v>
      </c>
      <c r="CH96" s="100">
        <f t="shared" ca="1" si="294"/>
        <v>0</v>
      </c>
      <c r="CI96" s="100">
        <f t="shared" ca="1" si="382"/>
        <v>0</v>
      </c>
      <c r="CJ96" s="100">
        <f t="shared" ca="1" si="383"/>
        <v>0</v>
      </c>
      <c r="CK96" s="100">
        <f t="shared" si="295"/>
        <v>0</v>
      </c>
      <c r="CL96" s="37"/>
      <c r="CM96" s="100">
        <f t="shared" ca="1" si="359"/>
        <v>0</v>
      </c>
      <c r="CN96" s="102" t="e">
        <f t="shared" ca="1" si="360"/>
        <v>#DIV/0!</v>
      </c>
      <c r="CO96" s="128"/>
      <c r="CP96" s="100">
        <f t="shared" ca="1" si="296"/>
        <v>0</v>
      </c>
      <c r="CQ96" s="100">
        <f t="shared" ca="1" si="297"/>
        <v>0</v>
      </c>
      <c r="CR96" s="100">
        <f t="shared" ca="1" si="298"/>
        <v>0</v>
      </c>
      <c r="CS96" s="100">
        <f t="shared" ca="1" si="384"/>
        <v>0</v>
      </c>
      <c r="CT96" s="100">
        <f t="shared" ca="1" si="299"/>
        <v>0</v>
      </c>
      <c r="CU96" s="100">
        <f t="shared" ca="1" si="300"/>
        <v>0</v>
      </c>
      <c r="CV96" s="100">
        <f t="shared" si="301"/>
        <v>0</v>
      </c>
      <c r="CW96" s="37"/>
      <c r="CX96" s="48">
        <f t="shared" ca="1" si="401"/>
        <v>0</v>
      </c>
      <c r="CY96" s="48">
        <f t="shared" ca="1" si="401"/>
        <v>0</v>
      </c>
      <c r="CZ96" s="48">
        <f t="shared" ca="1" si="401"/>
        <v>0</v>
      </c>
      <c r="DA96" s="48">
        <f t="shared" ca="1" si="401"/>
        <v>0</v>
      </c>
      <c r="DB96" s="48">
        <f t="shared" ca="1" si="401"/>
        <v>0</v>
      </c>
      <c r="DC96" s="48">
        <f t="shared" ca="1" si="401"/>
        <v>0</v>
      </c>
      <c r="DD96" s="48">
        <f t="shared" ca="1" si="401"/>
        <v>0</v>
      </c>
      <c r="DE96" s="48">
        <f t="shared" ca="1" si="401"/>
        <v>0</v>
      </c>
      <c r="DF96" s="48">
        <f t="shared" ca="1" si="401"/>
        <v>0</v>
      </c>
      <c r="DG96" s="48">
        <f t="shared" ca="1" si="401"/>
        <v>0</v>
      </c>
      <c r="DH96" s="48">
        <f t="shared" ca="1" si="401"/>
        <v>0</v>
      </c>
      <c r="DI96" s="48">
        <f t="shared" ca="1" si="401"/>
        <v>0</v>
      </c>
      <c r="DJ96" s="48">
        <f t="shared" ca="1" si="401"/>
        <v>0</v>
      </c>
      <c r="DK96" s="48">
        <f t="shared" ca="1" si="401"/>
        <v>0</v>
      </c>
      <c r="DL96" s="48">
        <f t="shared" ca="1" si="401"/>
        <v>0</v>
      </c>
      <c r="DM96" s="48">
        <f t="shared" ca="1" si="401"/>
        <v>0</v>
      </c>
      <c r="DN96" s="48">
        <f t="shared" ca="1" si="402"/>
        <v>0</v>
      </c>
      <c r="DO96" s="48">
        <f t="shared" ca="1" si="402"/>
        <v>0</v>
      </c>
      <c r="DP96" s="48">
        <f t="shared" ca="1" si="402"/>
        <v>0</v>
      </c>
      <c r="DQ96" s="48">
        <f t="shared" ca="1" si="402"/>
        <v>0</v>
      </c>
      <c r="DR96" s="48">
        <f t="shared" ca="1" si="402"/>
        <v>0</v>
      </c>
      <c r="DS96" s="48">
        <f t="shared" ca="1" si="402"/>
        <v>0</v>
      </c>
      <c r="DT96" s="48">
        <f t="shared" ca="1" si="402"/>
        <v>0</v>
      </c>
      <c r="DU96" s="48">
        <f t="shared" ca="1" si="402"/>
        <v>0</v>
      </c>
      <c r="DV96" s="48">
        <f t="shared" ca="1" si="402"/>
        <v>0</v>
      </c>
      <c r="DW96" s="48">
        <f t="shared" ca="1" si="402"/>
        <v>0</v>
      </c>
      <c r="DX96" s="48">
        <f t="shared" ca="1" si="402"/>
        <v>0</v>
      </c>
      <c r="DY96" s="48">
        <f t="shared" ca="1" si="402"/>
        <v>0</v>
      </c>
      <c r="DZ96" s="48">
        <f t="shared" ca="1" si="402"/>
        <v>0</v>
      </c>
      <c r="EA96" s="48">
        <f t="shared" ca="1" si="402"/>
        <v>0</v>
      </c>
      <c r="EB96" s="48">
        <f t="shared" ca="1" si="399"/>
        <v>0</v>
      </c>
      <c r="EC96" s="48">
        <f t="shared" ca="1" si="397"/>
        <v>0</v>
      </c>
      <c r="ED96" s="48">
        <f t="shared" ca="1" si="397"/>
        <v>0</v>
      </c>
      <c r="EE96" s="48">
        <f t="shared" ca="1" si="397"/>
        <v>0</v>
      </c>
      <c r="EF96" s="48">
        <f t="shared" ca="1" si="397"/>
        <v>0</v>
      </c>
      <c r="EG96" s="48">
        <f t="shared" ca="1" si="397"/>
        <v>0</v>
      </c>
      <c r="EH96" s="48">
        <f t="shared" ca="1" si="397"/>
        <v>0</v>
      </c>
      <c r="EI96" s="48">
        <f t="shared" ca="1" si="397"/>
        <v>0</v>
      </c>
      <c r="EJ96" s="48">
        <f t="shared" ca="1" si="397"/>
        <v>0</v>
      </c>
      <c r="EK96" s="48">
        <f t="shared" ca="1" si="397"/>
        <v>0</v>
      </c>
      <c r="EL96" s="48">
        <f t="shared" ca="1" si="397"/>
        <v>0</v>
      </c>
      <c r="EM96" s="48">
        <f t="shared" ca="1" si="397"/>
        <v>0</v>
      </c>
      <c r="EN96" s="48">
        <f t="shared" ca="1" si="395"/>
        <v>0</v>
      </c>
      <c r="EO96" s="48">
        <f t="shared" ca="1" si="395"/>
        <v>0</v>
      </c>
      <c r="EP96" s="48">
        <f t="shared" ca="1" si="395"/>
        <v>0</v>
      </c>
      <c r="EQ96" s="48">
        <f t="shared" ca="1" si="386"/>
        <v>0</v>
      </c>
      <c r="ER96" s="48">
        <f t="shared" ca="1" si="386"/>
        <v>0</v>
      </c>
      <c r="ES96" s="48">
        <f t="shared" ca="1" si="374"/>
        <v>0</v>
      </c>
      <c r="ET96" s="48">
        <f t="shared" ca="1" si="374"/>
        <v>0</v>
      </c>
      <c r="EU96" s="48">
        <f t="shared" ca="1" si="374"/>
        <v>0</v>
      </c>
      <c r="EV96" s="48">
        <f t="shared" ca="1" si="374"/>
        <v>0</v>
      </c>
      <c r="EW96" s="48">
        <f t="shared" ca="1" si="374"/>
        <v>0</v>
      </c>
      <c r="EX96" s="48">
        <f t="shared" ca="1" si="374"/>
        <v>0</v>
      </c>
      <c r="EY96" s="69"/>
      <c r="EZ96" s="48">
        <f t="shared" ca="1" si="403"/>
        <v>0</v>
      </c>
      <c r="FA96" s="48">
        <f t="shared" ca="1" si="403"/>
        <v>0</v>
      </c>
      <c r="FB96" s="48">
        <f t="shared" ca="1" si="403"/>
        <v>0</v>
      </c>
      <c r="FC96" s="48">
        <f t="shared" ca="1" si="403"/>
        <v>0</v>
      </c>
      <c r="FD96" s="48">
        <f t="shared" ca="1" si="403"/>
        <v>0</v>
      </c>
      <c r="FE96" s="48">
        <f t="shared" ca="1" si="403"/>
        <v>0</v>
      </c>
      <c r="FF96" s="48">
        <f t="shared" ca="1" si="403"/>
        <v>0</v>
      </c>
      <c r="FG96" s="48">
        <f t="shared" ca="1" si="403"/>
        <v>0</v>
      </c>
      <c r="FH96" s="48">
        <f t="shared" ca="1" si="403"/>
        <v>0</v>
      </c>
      <c r="FI96" s="48">
        <f t="shared" ca="1" si="403"/>
        <v>0</v>
      </c>
      <c r="FJ96" s="48">
        <f t="shared" ca="1" si="403"/>
        <v>0</v>
      </c>
      <c r="FK96" s="48">
        <f t="shared" ca="1" si="403"/>
        <v>0</v>
      </c>
      <c r="FL96" s="48">
        <f t="shared" ca="1" si="403"/>
        <v>0</v>
      </c>
      <c r="FM96" s="48">
        <f t="shared" ca="1" si="403"/>
        <v>0</v>
      </c>
      <c r="FN96" s="48">
        <f t="shared" ca="1" si="403"/>
        <v>0</v>
      </c>
      <c r="FO96" s="48">
        <f t="shared" ca="1" si="403"/>
        <v>0</v>
      </c>
      <c r="FP96" s="48">
        <f t="shared" ca="1" si="404"/>
        <v>0</v>
      </c>
      <c r="FQ96" s="48">
        <f t="shared" ca="1" si="404"/>
        <v>0</v>
      </c>
      <c r="FR96" s="48">
        <f t="shared" ca="1" si="404"/>
        <v>0</v>
      </c>
      <c r="FS96" s="48">
        <f t="shared" ca="1" si="404"/>
        <v>0</v>
      </c>
      <c r="FT96" s="48">
        <f t="shared" ca="1" si="404"/>
        <v>0</v>
      </c>
      <c r="FU96" s="48">
        <f t="shared" ca="1" si="404"/>
        <v>0</v>
      </c>
      <c r="FV96" s="48">
        <f t="shared" ca="1" si="404"/>
        <v>0</v>
      </c>
      <c r="FW96" s="48">
        <f t="shared" ca="1" si="404"/>
        <v>0</v>
      </c>
      <c r="FX96" s="48">
        <f t="shared" ca="1" si="404"/>
        <v>0</v>
      </c>
      <c r="FY96" s="48">
        <f t="shared" ca="1" si="404"/>
        <v>0</v>
      </c>
      <c r="FZ96" s="48">
        <f t="shared" ca="1" si="404"/>
        <v>0</v>
      </c>
      <c r="GA96" s="48">
        <f t="shared" ca="1" si="404"/>
        <v>0</v>
      </c>
      <c r="GB96" s="48">
        <f t="shared" ca="1" si="404"/>
        <v>0</v>
      </c>
      <c r="GC96" s="48">
        <f t="shared" ca="1" si="404"/>
        <v>0</v>
      </c>
      <c r="GD96" s="48">
        <f t="shared" ca="1" si="400"/>
        <v>0</v>
      </c>
      <c r="GE96" s="48">
        <f t="shared" ca="1" si="398"/>
        <v>0</v>
      </c>
      <c r="GF96" s="48">
        <f t="shared" ca="1" si="398"/>
        <v>0</v>
      </c>
      <c r="GG96" s="48">
        <f t="shared" ca="1" si="398"/>
        <v>0</v>
      </c>
      <c r="GH96" s="48">
        <f t="shared" ca="1" si="398"/>
        <v>0</v>
      </c>
      <c r="GI96" s="48">
        <f t="shared" ca="1" si="398"/>
        <v>0</v>
      </c>
      <c r="GJ96" s="48">
        <f t="shared" ca="1" si="398"/>
        <v>0</v>
      </c>
      <c r="GK96" s="48">
        <f t="shared" ca="1" si="398"/>
        <v>0</v>
      </c>
      <c r="GL96" s="48">
        <f t="shared" ca="1" si="398"/>
        <v>0</v>
      </c>
      <c r="GM96" s="48">
        <f t="shared" ca="1" si="398"/>
        <v>0</v>
      </c>
      <c r="GN96" s="48">
        <f t="shared" ca="1" si="398"/>
        <v>0</v>
      </c>
      <c r="GO96" s="48">
        <f t="shared" ca="1" si="398"/>
        <v>0</v>
      </c>
      <c r="GP96" s="48">
        <f t="shared" ca="1" si="396"/>
        <v>0</v>
      </c>
      <c r="GQ96" s="48">
        <f t="shared" ca="1" si="396"/>
        <v>0</v>
      </c>
      <c r="GR96" s="48">
        <f t="shared" ca="1" si="396"/>
        <v>0</v>
      </c>
      <c r="GS96" s="48">
        <f t="shared" ca="1" si="388"/>
        <v>0</v>
      </c>
      <c r="GT96" s="48">
        <f t="shared" ca="1" si="388"/>
        <v>0</v>
      </c>
      <c r="GU96" s="48">
        <f t="shared" ca="1" si="377"/>
        <v>0</v>
      </c>
      <c r="GV96" s="48">
        <f t="shared" ca="1" si="377"/>
        <v>0</v>
      </c>
      <c r="GW96" s="48">
        <f t="shared" ca="1" si="377"/>
        <v>0</v>
      </c>
      <c r="GX96" s="48">
        <f t="shared" ca="1" si="377"/>
        <v>0</v>
      </c>
      <c r="GY96" s="48">
        <f t="shared" ca="1" si="377"/>
        <v>0</v>
      </c>
      <c r="GZ96" s="48">
        <f t="shared" ca="1" si="377"/>
        <v>0</v>
      </c>
      <c r="HA96" s="69"/>
      <c r="HB96" s="150" t="str">
        <f t="shared" ca="1" si="380"/>
        <v>n/a</v>
      </c>
      <c r="HC96" s="150" t="str">
        <f t="shared" ca="1" si="369"/>
        <v>n/a</v>
      </c>
      <c r="HD96" s="150" t="str">
        <f t="shared" ca="1" si="381"/>
        <v>n/a</v>
      </c>
      <c r="HE96" s="150" t="str">
        <f t="shared" ca="1" si="370"/>
        <v>n/a</v>
      </c>
      <c r="HF96" s="150" t="str">
        <f t="shared" ca="1" si="371"/>
        <v>n/a</v>
      </c>
      <c r="HG96" s="148"/>
      <c r="HH96" s="149"/>
      <c r="HI96" s="149"/>
      <c r="HJ96" s="149"/>
      <c r="HK96" s="150"/>
      <c r="HL96" s="149"/>
      <c r="HM96" s="149"/>
      <c r="HN96" s="149"/>
      <c r="HO96" s="150"/>
      <c r="HP96" s="148"/>
      <c r="HQ96" s="149"/>
      <c r="HR96" s="149"/>
      <c r="HS96" s="149"/>
      <c r="HT96" s="150"/>
      <c r="HU96" s="149"/>
      <c r="HV96" s="149"/>
      <c r="HW96" s="149"/>
      <c r="HX96" s="150"/>
      <c r="HY96" s="151"/>
      <c r="HZ96" s="150"/>
      <c r="IA96" s="150"/>
      <c r="IB96" s="152"/>
      <c r="IC96" s="150"/>
      <c r="ID96" s="152"/>
      <c r="IE96" s="150"/>
      <c r="IF96" s="153"/>
    </row>
    <row r="97" spans="1:240" s="36" customFormat="1" ht="14.4" customHeight="1">
      <c r="A97" s="39"/>
      <c r="B97" s="50" t="str">
        <f t="shared" si="340"/>
        <v>C&amp;I_C&amp;I Custom_Various_C&amp;I Custom_2017_Actual</v>
      </c>
      <c r="C97" s="50">
        <f>INDEX('Measure Inputs'!$D:$D,MATCH($B97,'Measure Inputs'!$B:$B,0))</f>
        <v>63</v>
      </c>
      <c r="D97" s="51" t="str">
        <f>'Measure Inputs'!G69</f>
        <v>C&amp;I</v>
      </c>
      <c r="E97" s="51" t="str">
        <f>'Measure Inputs'!H69</f>
        <v>C&amp;I Custom</v>
      </c>
      <c r="F97" s="51" t="str">
        <f>'Measure Inputs'!I69</f>
        <v>Various</v>
      </c>
      <c r="G97" s="51" t="str">
        <f>'Measure Inputs'!J69</f>
        <v>C&amp;I Custom</v>
      </c>
      <c r="H97" s="51">
        <f>'Measure Inputs'!K69</f>
        <v>2017</v>
      </c>
      <c r="I97" s="51" t="str">
        <f>'Measure Inputs'!L69</f>
        <v>Actual</v>
      </c>
      <c r="J97" s="37"/>
      <c r="K97" s="99" t="str">
        <f ca="1">INDEX(OFFSET('Measure Inputs'!$O$7,,,InputRows),$C97)</f>
        <v>Projects</v>
      </c>
      <c r="L97" s="38">
        <f ca="1">INDEX(OFFSET('Measure Inputs'!$Q$7,,,InputRows),$C97)</f>
        <v>48</v>
      </c>
      <c r="M97" s="167">
        <f>INDEX('General Inputs'!$E$14:$E$15,MATCH(D97,'General Inputs'!$D$14:$D$15,0))</f>
        <v>1.0469999999999999</v>
      </c>
      <c r="N97" s="54">
        <f ca="1">INDEX(OFFSET('Measure Inputs'!$Y$7,,,InputRows),$C97)</f>
        <v>1</v>
      </c>
      <c r="O97" s="54">
        <f ca="1">INDEX(OFFSET('Measure Inputs'!$Z$7,,,InputRows),$C97)</f>
        <v>1</v>
      </c>
      <c r="P97" s="37"/>
      <c r="Q97" s="127">
        <f ca="1">CONVERT(INDEX(OFFSET('Measure Inputs'!$AB$7,,,InputRows),$C97),'Measure Inputs'!$AB$6,Q$8)*$L97</f>
        <v>2011742.5373999998</v>
      </c>
      <c r="R97" s="127">
        <f t="shared" ca="1" si="341"/>
        <v>2011742.5373999998</v>
      </c>
      <c r="S97" s="127">
        <f t="shared" ca="1" si="342"/>
        <v>2011742.5373999998</v>
      </c>
      <c r="T97" s="37"/>
      <c r="U97" s="127">
        <f ca="1">CONVERT(INDEX(OFFSET('Measure Inputs'!$AD$7,,,InputRows),$C97),'Measure Inputs'!$AD$6,U$8)*$L97</f>
        <v>0</v>
      </c>
      <c r="V97" s="127">
        <f t="shared" ca="1" si="343"/>
        <v>0</v>
      </c>
      <c r="W97" s="127">
        <f t="shared" ca="1" si="344"/>
        <v>0</v>
      </c>
      <c r="X97" s="37"/>
      <c r="Y97" s="127">
        <f ca="1">CONVERT(INDEX(OFFSET('Measure Inputs'!$AC$7,,,InputRows),$C97),'Measure Inputs'!$AC$6,Y$8)*$L97</f>
        <v>493.85037</v>
      </c>
      <c r="Z97" s="127">
        <f t="shared" ca="1" si="345"/>
        <v>493.85037</v>
      </c>
      <c r="AA97" s="127">
        <f t="shared" ca="1" si="346"/>
        <v>493.85037</v>
      </c>
      <c r="AB97" s="37"/>
      <c r="AC97" s="127">
        <f ca="1">CONVERT(INDEX(OFFSET('Measure Inputs'!$AE$7,,,InputRows),$C97),'Measure Inputs'!$AE$6,AC$8)*$L97</f>
        <v>0</v>
      </c>
      <c r="AD97" s="127">
        <f t="shared" ca="1" si="347"/>
        <v>0</v>
      </c>
      <c r="AE97" s="127">
        <f t="shared" ca="1" si="348"/>
        <v>0</v>
      </c>
      <c r="AF97" s="37"/>
      <c r="AG97" s="97">
        <f ca="1">INDEX(OFFSET('Measure Inputs'!$R$7,,,InputRows),$C97)</f>
        <v>15</v>
      </c>
      <c r="AH97" s="97">
        <f ca="1">INDEX(OFFSET('Measure Inputs'!$S$7,,,InputRows),$C97)</f>
        <v>0</v>
      </c>
      <c r="AI97" s="97">
        <f t="shared" ca="1" si="349"/>
        <v>30176138.060999997</v>
      </c>
      <c r="AJ97" s="100">
        <f ca="1">INDEX(OFFSET('Measure Inputs'!$T$7,,,InputRows),$C97)*$L97*$N97*$O97</f>
        <v>353378.05893224559</v>
      </c>
      <c r="AK97" s="100">
        <f ca="1">INDEX(OFFSET('Measure Inputs'!$U$7,,,InputRows),$C97)*$L97*$N97*$O97</f>
        <v>0</v>
      </c>
      <c r="AL97" s="100">
        <f ca="1">INDEX(OFFSET('Measure Inputs'!$V$7,,,InputRows),$C97)*$L97*$N97*$O97</f>
        <v>0</v>
      </c>
      <c r="AM97" s="100">
        <f ca="1">INDEX(OFFSET('Measure Inputs'!$W$7,,,InputRows),$C97)*$L97*$N97*$O97</f>
        <v>0</v>
      </c>
      <c r="AN97" s="100">
        <f ca="1">INDEX(OFFSET('Measure Inputs'!$X$7,,,InputRows),$C97)*$L97</f>
        <v>212345.44996</v>
      </c>
      <c r="AO97" s="100"/>
      <c r="AP97" s="100">
        <f t="shared" ca="1" si="350"/>
        <v>212345.44996</v>
      </c>
      <c r="AQ97" s="37"/>
      <c r="AR97" s="100">
        <f ca="1">SUMPRODUCT(--($CX$9:$EX$9=$H97)*$AJ97,'General Inputs'!$K$40:$BK$40)+SUMPRODUCT(--($CX$9:$EX$9=$H97+$AH97)*-$AK97,'General Inputs'!$K$43:$BK$43)</f>
        <v>353378.05893224559</v>
      </c>
      <c r="AS97" s="100">
        <f ca="1">CONVERT(SUMPRODUCT($CX97:$EX97,'General Inputs'!$K$29:$BK$29,'General Inputs'!$K$40:$BK$40)*$M97,$Q$8,'General Inputs'!$E$17)</f>
        <v>212665.83902189287</v>
      </c>
      <c r="AT97" s="100">
        <f ca="1">SUMPRODUCT(--($CX$9:$EX$9=$H97)*$AN97,'General Inputs'!$K$40:$BK$40)</f>
        <v>212345.44996</v>
      </c>
      <c r="AU97" s="100">
        <f>SUMPRODUCT(--($CX$9:$EX$9=$H97)*$AO97,'General Inputs'!$K$40:$BK$40)</f>
        <v>0</v>
      </c>
      <c r="AV97" s="100">
        <f ca="1">CONVERT(SUMPRODUCT($CX97:$EX97,'General Inputs'!$K$40:$BK$40,OFFSET('General Inputs'!$K$34:$BK$34,MATCH($D97,'General Inputs'!$J$34:$J$35,0)-1,)),$Q$8,'General Inputs'!$G$32)</f>
        <v>2084002.653372817</v>
      </c>
      <c r="AW97" s="100">
        <f ca="1">CONVERT(SUMPRODUCT($CX97:$EX97,'General Inputs'!$K$27:$BK$27,'General Inputs'!$K$40:$BK$40)*$M97,$Q$8,'General Inputs'!$E$17)</f>
        <v>844013.5692612729</v>
      </c>
      <c r="AX97" s="100">
        <f ca="1">CONVERT(SUMPRODUCT($EZ97:$GZ97,'General Inputs'!$K$28:$BK$28,'General Inputs'!$K$40:$BK$40)*$M97,$Q$8,'General Inputs'!$E$17)</f>
        <v>77928.179573266316</v>
      </c>
      <c r="AY97" s="98">
        <f ca="1">SUMPRODUCT($CX97:$EX97,'General Inputs'!$K$40:$BK$40)</f>
        <v>17817476.752450015</v>
      </c>
      <c r="AZ97" s="37"/>
      <c r="BA97" s="100">
        <f t="shared" ca="1" si="351"/>
        <v>568563.68990229361</v>
      </c>
      <c r="BB97" s="102">
        <f t="shared" ca="1" si="352"/>
        <v>2.608938856080214</v>
      </c>
      <c r="BC97" s="100">
        <f t="shared" ca="1" si="273"/>
        <v>353378.05893224559</v>
      </c>
      <c r="BD97" s="100">
        <f t="shared" ca="1" si="274"/>
        <v>921941.7488345392</v>
      </c>
      <c r="BE97" s="100">
        <f t="shared" ca="1" si="275"/>
        <v>844013.5692612729</v>
      </c>
      <c r="BF97" s="100">
        <f t="shared" ca="1" si="394"/>
        <v>77928.179573266316</v>
      </c>
      <c r="BG97" s="100">
        <f t="shared" si="277"/>
        <v>0</v>
      </c>
      <c r="BH97" s="100">
        <f t="shared" ca="1" si="278"/>
        <v>353378.05893224559</v>
      </c>
      <c r="BI97" s="37"/>
      <c r="BJ97" s="100">
        <f t="shared" ca="1" si="353"/>
        <v>781229.52892418636</v>
      </c>
      <c r="BK97" s="102">
        <f t="shared" ca="1" si="354"/>
        <v>3.2107471281174655</v>
      </c>
      <c r="BL97" s="100">
        <f t="shared" ca="1" si="279"/>
        <v>353378.05893224559</v>
      </c>
      <c r="BM97" s="100">
        <f t="shared" ca="1" si="393"/>
        <v>1134607.587856432</v>
      </c>
      <c r="BN97" s="100">
        <f t="shared" ca="1" si="280"/>
        <v>844013.5692612729</v>
      </c>
      <c r="BO97" s="100">
        <f t="shared" ca="1" si="281"/>
        <v>77928.179573266316</v>
      </c>
      <c r="BP97" s="100">
        <f t="shared" ca="1" si="282"/>
        <v>212665.83902189287</v>
      </c>
      <c r="BQ97" s="100">
        <f t="shared" si="283"/>
        <v>0</v>
      </c>
      <c r="BR97" s="100">
        <f t="shared" ca="1" si="284"/>
        <v>353378.05893224559</v>
      </c>
      <c r="BS97" s="37"/>
      <c r="BT97" s="100">
        <f t="shared" ca="1" si="355"/>
        <v>1942970.0444005714</v>
      </c>
      <c r="BU97" s="102">
        <f t="shared" ca="1" si="356"/>
        <v>6.4982758416619859</v>
      </c>
      <c r="BV97" s="102">
        <f t="shared" ca="1" si="285"/>
        <v>2.3083045973258702</v>
      </c>
      <c r="BW97" s="100">
        <f t="shared" ca="1" si="286"/>
        <v>353378.05893224559</v>
      </c>
      <c r="BX97" s="100">
        <f t="shared" ca="1" si="287"/>
        <v>2296348.1033328171</v>
      </c>
      <c r="BY97" s="100">
        <f t="shared" ca="1" si="288"/>
        <v>2084002.653372817</v>
      </c>
      <c r="BZ97" s="100">
        <f t="shared" ca="1" si="289"/>
        <v>212345.44996</v>
      </c>
      <c r="CA97" s="100">
        <f t="shared" ca="1" si="290"/>
        <v>353378.05893224559</v>
      </c>
      <c r="CB97" s="37"/>
      <c r="CC97" s="100">
        <f t="shared" ca="1" si="357"/>
        <v>709596.29887453921</v>
      </c>
      <c r="CD97" s="102">
        <f t="shared" ca="1" si="358"/>
        <v>4.3417071051355585</v>
      </c>
      <c r="CE97" s="103">
        <f t="shared" ca="1" si="291"/>
        <v>-0.25357060148261629</v>
      </c>
      <c r="CF97" s="100">
        <f t="shared" ca="1" si="292"/>
        <v>212345.44996</v>
      </c>
      <c r="CG97" s="100">
        <f t="shared" ca="1" si="293"/>
        <v>921941.7488345392</v>
      </c>
      <c r="CH97" s="100">
        <f t="shared" ca="1" si="294"/>
        <v>844013.5692612729</v>
      </c>
      <c r="CI97" s="100">
        <f t="shared" ca="1" si="382"/>
        <v>77928.179573266316</v>
      </c>
      <c r="CJ97" s="100">
        <f t="shared" ca="1" si="383"/>
        <v>212345.44996</v>
      </c>
      <c r="CK97" s="100">
        <f t="shared" si="295"/>
        <v>0</v>
      </c>
      <c r="CL97" s="37"/>
      <c r="CM97" s="100">
        <f t="shared" ca="1" si="359"/>
        <v>-1374406.3544982779</v>
      </c>
      <c r="CN97" s="102">
        <f t="shared" ca="1" si="360"/>
        <v>0.40148170370880359</v>
      </c>
      <c r="CO97" s="128"/>
      <c r="CP97" s="100">
        <f t="shared" ca="1" si="296"/>
        <v>2296348.1033328171</v>
      </c>
      <c r="CQ97" s="100">
        <f t="shared" ca="1" si="297"/>
        <v>921941.7488345392</v>
      </c>
      <c r="CR97" s="100">
        <f t="shared" ca="1" si="298"/>
        <v>844013.5692612729</v>
      </c>
      <c r="CS97" s="100">
        <f t="shared" ca="1" si="384"/>
        <v>77928.179573266316</v>
      </c>
      <c r="CT97" s="100">
        <f t="shared" ca="1" si="299"/>
        <v>2084002.653372817</v>
      </c>
      <c r="CU97" s="100">
        <f t="shared" ca="1" si="300"/>
        <v>212345.44996</v>
      </c>
      <c r="CV97" s="100">
        <f t="shared" si="301"/>
        <v>0</v>
      </c>
      <c r="CW97" s="37"/>
      <c r="CX97" s="48">
        <f t="shared" ca="1" si="401"/>
        <v>2011742.5373999998</v>
      </c>
      <c r="CY97" s="48">
        <f t="shared" ca="1" si="401"/>
        <v>2011742.5373999998</v>
      </c>
      <c r="CZ97" s="48">
        <f t="shared" ca="1" si="401"/>
        <v>2011742.5373999998</v>
      </c>
      <c r="DA97" s="48">
        <f t="shared" ca="1" si="401"/>
        <v>2011742.5373999998</v>
      </c>
      <c r="DB97" s="48">
        <f t="shared" ca="1" si="401"/>
        <v>2011742.5373999998</v>
      </c>
      <c r="DC97" s="48">
        <f t="shared" ca="1" si="401"/>
        <v>2011742.5373999998</v>
      </c>
      <c r="DD97" s="48">
        <f t="shared" ca="1" si="401"/>
        <v>2011742.5373999998</v>
      </c>
      <c r="DE97" s="48">
        <f t="shared" ca="1" si="401"/>
        <v>2011742.5373999998</v>
      </c>
      <c r="DF97" s="48">
        <f t="shared" ca="1" si="401"/>
        <v>2011742.5373999998</v>
      </c>
      <c r="DG97" s="48">
        <f t="shared" ca="1" si="401"/>
        <v>2011742.5373999998</v>
      </c>
      <c r="DH97" s="48">
        <f t="shared" ca="1" si="401"/>
        <v>2011742.5373999998</v>
      </c>
      <c r="DI97" s="48">
        <f t="shared" ca="1" si="401"/>
        <v>2011742.5373999998</v>
      </c>
      <c r="DJ97" s="48">
        <f t="shared" ca="1" si="401"/>
        <v>2011742.5373999998</v>
      </c>
      <c r="DK97" s="48">
        <f t="shared" ca="1" si="401"/>
        <v>2011742.5373999998</v>
      </c>
      <c r="DL97" s="48">
        <f t="shared" ca="1" si="401"/>
        <v>2011742.5373999998</v>
      </c>
      <c r="DM97" s="48">
        <f t="shared" ca="1" si="401"/>
        <v>0</v>
      </c>
      <c r="DN97" s="48">
        <f t="shared" ca="1" si="402"/>
        <v>0</v>
      </c>
      <c r="DO97" s="48">
        <f t="shared" ca="1" si="402"/>
        <v>0</v>
      </c>
      <c r="DP97" s="48">
        <f t="shared" ca="1" si="402"/>
        <v>0</v>
      </c>
      <c r="DQ97" s="48">
        <f t="shared" ca="1" si="402"/>
        <v>0</v>
      </c>
      <c r="DR97" s="48">
        <f t="shared" ca="1" si="402"/>
        <v>0</v>
      </c>
      <c r="DS97" s="48">
        <f t="shared" ca="1" si="402"/>
        <v>0</v>
      </c>
      <c r="DT97" s="48">
        <f t="shared" ca="1" si="402"/>
        <v>0</v>
      </c>
      <c r="DU97" s="48">
        <f t="shared" ca="1" si="402"/>
        <v>0</v>
      </c>
      <c r="DV97" s="48">
        <f t="shared" ca="1" si="402"/>
        <v>0</v>
      </c>
      <c r="DW97" s="48">
        <f t="shared" ca="1" si="402"/>
        <v>0</v>
      </c>
      <c r="DX97" s="48">
        <f t="shared" ca="1" si="402"/>
        <v>0</v>
      </c>
      <c r="DY97" s="48">
        <f t="shared" ca="1" si="402"/>
        <v>0</v>
      </c>
      <c r="DZ97" s="48">
        <f t="shared" ca="1" si="402"/>
        <v>0</v>
      </c>
      <c r="EA97" s="48">
        <f t="shared" ca="1" si="402"/>
        <v>0</v>
      </c>
      <c r="EB97" s="48">
        <f t="shared" ca="1" si="399"/>
        <v>0</v>
      </c>
      <c r="EC97" s="48">
        <f t="shared" ca="1" si="397"/>
        <v>0</v>
      </c>
      <c r="ED97" s="48">
        <f t="shared" ca="1" si="397"/>
        <v>0</v>
      </c>
      <c r="EE97" s="48">
        <f t="shared" ca="1" si="397"/>
        <v>0</v>
      </c>
      <c r="EF97" s="48">
        <f t="shared" ca="1" si="397"/>
        <v>0</v>
      </c>
      <c r="EG97" s="48">
        <f t="shared" ca="1" si="397"/>
        <v>0</v>
      </c>
      <c r="EH97" s="48">
        <f t="shared" ca="1" si="397"/>
        <v>0</v>
      </c>
      <c r="EI97" s="48">
        <f t="shared" ca="1" si="397"/>
        <v>0</v>
      </c>
      <c r="EJ97" s="48">
        <f t="shared" ca="1" si="397"/>
        <v>0</v>
      </c>
      <c r="EK97" s="48">
        <f t="shared" ca="1" si="397"/>
        <v>0</v>
      </c>
      <c r="EL97" s="48">
        <f t="shared" ca="1" si="397"/>
        <v>0</v>
      </c>
      <c r="EM97" s="48">
        <f t="shared" ca="1" si="397"/>
        <v>0</v>
      </c>
      <c r="EN97" s="48">
        <f t="shared" ca="1" si="395"/>
        <v>0</v>
      </c>
      <c r="EO97" s="48">
        <f t="shared" ca="1" si="395"/>
        <v>0</v>
      </c>
      <c r="EP97" s="48">
        <f t="shared" ca="1" si="395"/>
        <v>0</v>
      </c>
      <c r="EQ97" s="48">
        <f t="shared" ca="1" si="386"/>
        <v>0</v>
      </c>
      <c r="ER97" s="48">
        <f t="shared" ca="1" si="386"/>
        <v>0</v>
      </c>
      <c r="ES97" s="48">
        <f t="shared" ca="1" si="374"/>
        <v>0</v>
      </c>
      <c r="ET97" s="48">
        <f t="shared" ca="1" si="374"/>
        <v>0</v>
      </c>
      <c r="EU97" s="48">
        <f t="shared" ca="1" si="374"/>
        <v>0</v>
      </c>
      <c r="EV97" s="48">
        <f t="shared" ca="1" si="374"/>
        <v>0</v>
      </c>
      <c r="EW97" s="48">
        <f t="shared" ca="1" si="374"/>
        <v>0</v>
      </c>
      <c r="EX97" s="48">
        <f t="shared" ca="1" si="374"/>
        <v>0</v>
      </c>
      <c r="EY97" s="69"/>
      <c r="EZ97" s="48">
        <f t="shared" ca="1" si="403"/>
        <v>493.85037</v>
      </c>
      <c r="FA97" s="48">
        <f t="shared" ca="1" si="403"/>
        <v>493.85037</v>
      </c>
      <c r="FB97" s="48">
        <f t="shared" ca="1" si="403"/>
        <v>493.85037</v>
      </c>
      <c r="FC97" s="48">
        <f t="shared" ca="1" si="403"/>
        <v>493.85037</v>
      </c>
      <c r="FD97" s="48">
        <f t="shared" ca="1" si="403"/>
        <v>493.85037</v>
      </c>
      <c r="FE97" s="48">
        <f t="shared" ca="1" si="403"/>
        <v>493.85037</v>
      </c>
      <c r="FF97" s="48">
        <f t="shared" ca="1" si="403"/>
        <v>493.85037</v>
      </c>
      <c r="FG97" s="48">
        <f t="shared" ca="1" si="403"/>
        <v>493.85037</v>
      </c>
      <c r="FH97" s="48">
        <f t="shared" ca="1" si="403"/>
        <v>493.85037</v>
      </c>
      <c r="FI97" s="48">
        <f t="shared" ca="1" si="403"/>
        <v>493.85037</v>
      </c>
      <c r="FJ97" s="48">
        <f t="shared" ca="1" si="403"/>
        <v>493.85037</v>
      </c>
      <c r="FK97" s="48">
        <f t="shared" ca="1" si="403"/>
        <v>493.85037</v>
      </c>
      <c r="FL97" s="48">
        <f t="shared" ca="1" si="403"/>
        <v>493.85037</v>
      </c>
      <c r="FM97" s="48">
        <f t="shared" ca="1" si="403"/>
        <v>493.85037</v>
      </c>
      <c r="FN97" s="48">
        <f t="shared" ca="1" si="403"/>
        <v>493.85037</v>
      </c>
      <c r="FO97" s="48">
        <f t="shared" ca="1" si="403"/>
        <v>0</v>
      </c>
      <c r="FP97" s="48">
        <f t="shared" ca="1" si="404"/>
        <v>0</v>
      </c>
      <c r="FQ97" s="48">
        <f t="shared" ca="1" si="404"/>
        <v>0</v>
      </c>
      <c r="FR97" s="48">
        <f t="shared" ca="1" si="404"/>
        <v>0</v>
      </c>
      <c r="FS97" s="48">
        <f t="shared" ca="1" si="404"/>
        <v>0</v>
      </c>
      <c r="FT97" s="48">
        <f t="shared" ca="1" si="404"/>
        <v>0</v>
      </c>
      <c r="FU97" s="48">
        <f t="shared" ca="1" si="404"/>
        <v>0</v>
      </c>
      <c r="FV97" s="48">
        <f t="shared" ca="1" si="404"/>
        <v>0</v>
      </c>
      <c r="FW97" s="48">
        <f t="shared" ca="1" si="404"/>
        <v>0</v>
      </c>
      <c r="FX97" s="48">
        <f t="shared" ca="1" si="404"/>
        <v>0</v>
      </c>
      <c r="FY97" s="48">
        <f t="shared" ca="1" si="404"/>
        <v>0</v>
      </c>
      <c r="FZ97" s="48">
        <f t="shared" ca="1" si="404"/>
        <v>0</v>
      </c>
      <c r="GA97" s="48">
        <f t="shared" ca="1" si="404"/>
        <v>0</v>
      </c>
      <c r="GB97" s="48">
        <f t="shared" ca="1" si="404"/>
        <v>0</v>
      </c>
      <c r="GC97" s="48">
        <f t="shared" ca="1" si="404"/>
        <v>0</v>
      </c>
      <c r="GD97" s="48">
        <f t="shared" ca="1" si="400"/>
        <v>0</v>
      </c>
      <c r="GE97" s="48">
        <f t="shared" ca="1" si="398"/>
        <v>0</v>
      </c>
      <c r="GF97" s="48">
        <f t="shared" ca="1" si="398"/>
        <v>0</v>
      </c>
      <c r="GG97" s="48">
        <f t="shared" ca="1" si="398"/>
        <v>0</v>
      </c>
      <c r="GH97" s="48">
        <f t="shared" ca="1" si="398"/>
        <v>0</v>
      </c>
      <c r="GI97" s="48">
        <f t="shared" ca="1" si="398"/>
        <v>0</v>
      </c>
      <c r="GJ97" s="48">
        <f t="shared" ca="1" si="398"/>
        <v>0</v>
      </c>
      <c r="GK97" s="48">
        <f t="shared" ca="1" si="398"/>
        <v>0</v>
      </c>
      <c r="GL97" s="48">
        <f t="shared" ca="1" si="398"/>
        <v>0</v>
      </c>
      <c r="GM97" s="48">
        <f t="shared" ca="1" si="398"/>
        <v>0</v>
      </c>
      <c r="GN97" s="48">
        <f t="shared" ca="1" si="398"/>
        <v>0</v>
      </c>
      <c r="GO97" s="48">
        <f t="shared" ca="1" si="398"/>
        <v>0</v>
      </c>
      <c r="GP97" s="48">
        <f t="shared" ca="1" si="396"/>
        <v>0</v>
      </c>
      <c r="GQ97" s="48">
        <f t="shared" ca="1" si="396"/>
        <v>0</v>
      </c>
      <c r="GR97" s="48">
        <f t="shared" ca="1" si="396"/>
        <v>0</v>
      </c>
      <c r="GS97" s="48">
        <f t="shared" ca="1" si="388"/>
        <v>0</v>
      </c>
      <c r="GT97" s="48">
        <f t="shared" ca="1" si="388"/>
        <v>0</v>
      </c>
      <c r="GU97" s="48">
        <f t="shared" ca="1" si="377"/>
        <v>0</v>
      </c>
      <c r="GV97" s="48">
        <f t="shared" ca="1" si="377"/>
        <v>0</v>
      </c>
      <c r="GW97" s="48">
        <f t="shared" ca="1" si="377"/>
        <v>0</v>
      </c>
      <c r="GX97" s="48">
        <f t="shared" ca="1" si="377"/>
        <v>0</v>
      </c>
      <c r="GY97" s="48">
        <f t="shared" ca="1" si="377"/>
        <v>0</v>
      </c>
      <c r="GZ97" s="48">
        <f t="shared" ca="1" si="377"/>
        <v>0</v>
      </c>
      <c r="HA97" s="69"/>
      <c r="HB97" s="150">
        <f t="shared" ca="1" si="380"/>
        <v>2.608938856080214</v>
      </c>
      <c r="HC97" s="150">
        <f t="shared" ca="1" si="369"/>
        <v>4.3417071051355585</v>
      </c>
      <c r="HD97" s="150">
        <f t="shared" ca="1" si="381"/>
        <v>3.2107471281174655</v>
      </c>
      <c r="HE97" s="150">
        <f t="shared" ca="1" si="370"/>
        <v>6.4982758416619859</v>
      </c>
      <c r="HF97" s="150">
        <f t="shared" ca="1" si="371"/>
        <v>0.40148170370880359</v>
      </c>
      <c r="HG97" s="148"/>
      <c r="HH97" s="149"/>
      <c r="HI97" s="149"/>
      <c r="HJ97" s="149"/>
      <c r="HK97" s="150"/>
      <c r="HL97" s="149"/>
      <c r="HM97" s="149"/>
      <c r="HN97" s="149"/>
      <c r="HO97" s="150"/>
      <c r="HP97" s="148"/>
      <c r="HQ97" s="149"/>
      <c r="HR97" s="149"/>
      <c r="HS97" s="149"/>
      <c r="HT97" s="150"/>
      <c r="HU97" s="149"/>
      <c r="HV97" s="149"/>
      <c r="HW97" s="149"/>
      <c r="HX97" s="150"/>
      <c r="HY97" s="151"/>
      <c r="HZ97" s="150"/>
      <c r="IA97" s="150"/>
      <c r="IB97" s="152"/>
      <c r="IC97" s="150"/>
      <c r="ID97" s="152"/>
      <c r="IE97" s="150"/>
      <c r="IF97" s="153"/>
    </row>
    <row r="98" spans="1:240" ht="14.4" customHeight="1"/>
    <row r="99" spans="1:240" ht="14.4" customHeight="1"/>
    <row r="100" spans="1:240" ht="14.4" customHeight="1"/>
    <row r="101" spans="1:240" ht="14.4" customHeight="1"/>
    <row r="102" spans="1:240" ht="14.4" customHeight="1"/>
    <row r="103" spans="1:240" ht="14.4" customHeight="1"/>
    <row r="104" spans="1:240" ht="14.4" customHeight="1"/>
    <row r="105" spans="1:240" ht="14.4" customHeight="1"/>
    <row r="106" spans="1:240" ht="14.4" customHeight="1"/>
    <row r="107" spans="1:240" ht="14.4" customHeight="1"/>
    <row r="108" spans="1:240" ht="14.4" customHeight="1"/>
    <row r="109" spans="1:240" ht="14.4" customHeight="1"/>
    <row r="110" spans="1:240" ht="14.4" customHeight="1"/>
    <row r="111" spans="1:240" ht="14.4" customHeight="1"/>
    <row r="112" spans="1:240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  <row r="156" ht="14.4" customHeight="1"/>
    <row r="157" ht="14.4" customHeight="1"/>
    <row r="158" ht="14.4" customHeight="1"/>
    <row r="159" ht="14.4" customHeight="1"/>
    <row r="160" ht="14.4" customHeight="1"/>
    <row r="161" ht="14.4" customHeight="1"/>
    <row r="162" ht="14.4" customHeight="1"/>
    <row r="163" ht="14.4" customHeight="1"/>
    <row r="164" ht="14.4" customHeight="1"/>
    <row r="165" ht="14.4" customHeight="1"/>
    <row r="166" ht="14.4" customHeight="1"/>
    <row r="167" ht="14.4" customHeight="1"/>
    <row r="168" ht="14.4" customHeight="1"/>
    <row r="169" ht="14.4" customHeight="1"/>
    <row r="170" ht="14.4" customHeight="1"/>
    <row r="171" ht="14.4" customHeight="1"/>
    <row r="172" ht="14.4" customHeight="1"/>
    <row r="173" ht="14.4" customHeight="1"/>
    <row r="174" ht="14.4" customHeight="1"/>
    <row r="175" ht="14.4" customHeight="1"/>
    <row r="176" ht="14.4" customHeight="1"/>
    <row r="177" ht="14.4" customHeight="1"/>
    <row r="178" ht="14.4" customHeight="1"/>
    <row r="179" ht="14.4" customHeight="1"/>
    <row r="180" ht="14.4" customHeight="1"/>
    <row r="181" ht="14.4" customHeight="1"/>
    <row r="182" ht="14.4" customHeight="1"/>
    <row r="183" ht="14.4" customHeight="1"/>
    <row r="184" ht="14.4" customHeight="1"/>
    <row r="185" ht="14.4" customHeight="1"/>
    <row r="186" ht="14.4" customHeight="1"/>
    <row r="187" ht="14.4" customHeight="1"/>
    <row r="188" ht="14.4" customHeight="1"/>
    <row r="189" ht="14.4" customHeight="1"/>
    <row r="190" ht="14.4" customHeight="1"/>
    <row r="191" ht="14.4" customHeight="1"/>
    <row r="192" ht="14.4" customHeight="1"/>
    <row r="193" ht="14.4" customHeight="1"/>
    <row r="194" ht="14.4" customHeight="1"/>
    <row r="195" ht="14.4" customHeight="1"/>
    <row r="196" ht="14.4" customHeight="1"/>
    <row r="197" ht="14.4" customHeight="1"/>
    <row r="198" ht="14.4" customHeight="1"/>
    <row r="199" ht="14.4" customHeight="1"/>
    <row r="200" ht="14.4" customHeight="1"/>
    <row r="201" ht="14.4" customHeight="1"/>
    <row r="202" ht="14.4" customHeight="1"/>
    <row r="203" ht="14.4" customHeight="1"/>
    <row r="204" ht="14.4" customHeight="1"/>
    <row r="205" ht="14.4" customHeight="1"/>
    <row r="206" ht="14.4" customHeight="1"/>
    <row r="207" ht="14.4" customHeight="1"/>
    <row r="208" ht="14.4" customHeight="1"/>
    <row r="209" ht="14.4" customHeight="1"/>
    <row r="210" ht="14.4" customHeight="1"/>
    <row r="211" ht="14.4" customHeight="1"/>
    <row r="212" ht="14.4" customHeight="1"/>
    <row r="213" ht="14.4" customHeight="1"/>
    <row r="214" ht="14.4" customHeight="1"/>
    <row r="215" ht="14.4" customHeight="1"/>
    <row r="216" ht="14.4" customHeight="1"/>
    <row r="217" ht="14.4" customHeight="1"/>
    <row r="218" ht="14.4" customHeight="1"/>
    <row r="219" ht="14.4" customHeight="1"/>
    <row r="220" ht="14.4" customHeight="1"/>
    <row r="221" ht="14.4" customHeight="1"/>
    <row r="222" ht="14.4" customHeight="1"/>
    <row r="223" ht="14.4" customHeight="1"/>
    <row r="224" ht="14.4" customHeight="1"/>
    <row r="225" ht="14.4" customHeight="1"/>
    <row r="226" ht="14.4" customHeight="1"/>
    <row r="227" ht="14.4" customHeight="1"/>
    <row r="228" ht="14.4" customHeight="1"/>
    <row r="229" ht="14.4" customHeight="1"/>
    <row r="230" ht="14.4" customHeight="1"/>
    <row r="231" ht="14.4" customHeight="1"/>
    <row r="232" ht="14.4" customHeight="1"/>
    <row r="233" ht="14.4" customHeight="1"/>
    <row r="234" ht="14.4" customHeight="1"/>
    <row r="235" ht="14.4" customHeight="1"/>
    <row r="236" ht="14.4" customHeight="1"/>
    <row r="237" ht="14.4" customHeight="1"/>
    <row r="238" ht="14.4" customHeight="1"/>
    <row r="239" ht="14.4" customHeight="1"/>
    <row r="240" ht="14.4" customHeight="1"/>
    <row r="241" ht="14.4" customHeight="1"/>
    <row r="242" ht="14.4" customHeight="1"/>
    <row r="243" ht="14.4" customHeight="1"/>
    <row r="244" ht="14.4" customHeight="1"/>
    <row r="245" ht="14.4" customHeight="1"/>
    <row r="246" ht="14.4" customHeight="1"/>
    <row r="247" ht="14.4" customHeight="1"/>
    <row r="248" ht="14.4" customHeight="1"/>
    <row r="249" ht="14.4" customHeight="1"/>
    <row r="250" ht="14.4" customHeight="1"/>
    <row r="251" ht="14.4" customHeight="1"/>
    <row r="252" ht="14.4" customHeight="1"/>
    <row r="253" ht="14.4" customHeight="1"/>
    <row r="254" ht="14.4" customHeight="1"/>
    <row r="255" ht="14.4" customHeight="1"/>
    <row r="256" ht="14.4" customHeight="1"/>
    <row r="257" ht="14.4" customHeight="1"/>
    <row r="258" ht="14.4" customHeight="1"/>
    <row r="259" ht="14.4" customHeight="1"/>
    <row r="260" ht="14.4" customHeight="1"/>
    <row r="261" ht="14.4" customHeight="1"/>
    <row r="262" ht="14.4" customHeight="1"/>
    <row r="263" ht="14.4" customHeight="1"/>
  </sheetData>
  <sheetProtection selectLockedCells="1" selectUnlockedCells="1"/>
  <autoFilter ref="B9:HF263"/>
  <dataConsolidate/>
  <mergeCells count="14">
    <mergeCell ref="K7:O8"/>
    <mergeCell ref="CC7:CK7"/>
    <mergeCell ref="BT7:CA7"/>
    <mergeCell ref="BA7:BH7"/>
    <mergeCell ref="AG7:AP8"/>
    <mergeCell ref="Q7:S7"/>
    <mergeCell ref="U7:W7"/>
    <mergeCell ref="AR7:AY8"/>
    <mergeCell ref="EZ7:GZ8"/>
    <mergeCell ref="Y7:AA7"/>
    <mergeCell ref="AC7:AE7"/>
    <mergeCell ref="BJ7:BR7"/>
    <mergeCell ref="CM7:CV7"/>
    <mergeCell ref="CX7:EX8"/>
  </mergeCells>
  <conditionalFormatting sqref="CH8:CK8 BT8:CA8 CM8:CV8 BJ8:BR8 BA8:BH8">
    <cfRule type="cellIs" dxfId="53" priority="43" operator="equal">
      <formula>"COST"</formula>
    </cfRule>
    <cfRule type="cellIs" dxfId="52" priority="44" operator="equal">
      <formula>"BENEFIT"</formula>
    </cfRule>
  </conditionalFormatting>
  <conditionalFormatting sqref="CC8:CG8">
    <cfRule type="cellIs" dxfId="51" priority="3" operator="equal">
      <formula>"COST"</formula>
    </cfRule>
    <cfRule type="cellIs" dxfId="50" priority="4" operator="equal">
      <formula>"BENEFIT"</formula>
    </cfRule>
  </conditionalFormatting>
  <pageMargins left="0.7" right="0.7" top="0.75" bottom="0.75" header="0.3" footer="0.3"/>
  <pageSetup orientation="portrait" r:id="rId1"/>
  <ignoredErrors>
    <ignoredError sqref="T35 X35 AQ35 CL35 CW35" unlockedFormula="1"/>
  </ignoredErrors>
  <drawing r:id="rId2"/>
  <legacyDrawing r:id="rId3"/>
  <controls>
    <mc:AlternateContent xmlns:mc="http://schemas.openxmlformats.org/markup-compatibility/2006">
      <mc:Choice Requires="x14">
        <control shapeId="11270" r:id="rId4" name="CheckBox1">
          <controlPr defaultSize="0" autoLine="0" r:id="rId5">
            <anchor>
              <from>
                <xdr:col>3</xdr:col>
                <xdr:colOff>838200</xdr:colOff>
                <xdr:row>1</xdr:row>
                <xdr:rowOff>99060</xdr:rowOff>
              </from>
              <to>
                <xdr:col>4</xdr:col>
                <xdr:colOff>1112520</xdr:colOff>
                <xdr:row>4</xdr:row>
                <xdr:rowOff>121920</xdr:rowOff>
              </to>
            </anchor>
          </controlPr>
        </control>
      </mc:Choice>
      <mc:Fallback>
        <control shapeId="11270" r:id="rId4" name="CheckBox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</sheetPr>
  <dimension ref="A1:D17"/>
  <sheetViews>
    <sheetView workbookViewId="0"/>
  </sheetViews>
  <sheetFormatPr defaultRowHeight="14.4"/>
  <cols>
    <col min="1" max="1" width="11.109375" bestFit="1" customWidth="1"/>
    <col min="2" max="2" width="9.6640625" customWidth="1"/>
    <col min="3" max="3" width="42" bestFit="1" customWidth="1"/>
  </cols>
  <sheetData>
    <row r="1" spans="1:4">
      <c r="A1" s="10" t="s">
        <v>36</v>
      </c>
    </row>
    <row r="3" spans="1:4">
      <c r="B3" s="12" t="b">
        <f ca="1">COUNTIF(OFFSET('Measure Inputs'!$E$7,,,InputRows),FALSE)=0</f>
        <v>1</v>
      </c>
      <c r="C3" s="12" t="s">
        <v>26</v>
      </c>
      <c r="D3" s="28" t="str">
        <f ca="1">IF(B3,"OK","ERROR")</f>
        <v>OK</v>
      </c>
    </row>
    <row r="4" spans="1:4">
      <c r="B4" s="12" t="b">
        <f ca="1">COUNTIF(OFFSET('Program Inputs'!$C$8,,,TotalPrograms),FALSE)=0</f>
        <v>1</v>
      </c>
      <c r="C4" s="12" t="s">
        <v>27</v>
      </c>
      <c r="D4" s="28" t="str">
        <f ca="1">IF(B4,"OK","ERROR")</f>
        <v>OK</v>
      </c>
    </row>
    <row r="5" spans="1:4">
      <c r="B5" s="12" t="b">
        <f>B16&gt;B15</f>
        <v>0</v>
      </c>
      <c r="C5" s="12" t="s">
        <v>35</v>
      </c>
      <c r="D5" s="28" t="str">
        <f>IF(NOT(B5),"OK","ERROR")</f>
        <v>OK</v>
      </c>
    </row>
    <row r="6" spans="1:4">
      <c r="B6" s="12" t="b">
        <f ca="1">COUNTIF('Measure Inputs'!C:C,TRUE)=TotalMeasures</f>
        <v>1</v>
      </c>
      <c r="C6" s="12" t="s">
        <v>43</v>
      </c>
      <c r="D6" s="28" t="str">
        <f ca="1">IF(B6,"OK","ERROR")</f>
        <v>OK</v>
      </c>
    </row>
    <row r="8" spans="1:4">
      <c r="A8" s="10" t="s">
        <v>37</v>
      </c>
    </row>
    <row r="10" spans="1:4">
      <c r="B10" s="12">
        <f ca="1">SUMPRODUCT(--(FREQUENCY(MATCH(OFFSET('Measure Inputs'!$B$6,1,,InputRows),OFFSET('Measure Inputs'!$B$6,1,,InputRows),0),ROW(OFFSET('Measure Inputs'!$B$6,1,,InputRows))-ROW(OFFSET('Measure Inputs'!$B$6,1,,))+1)&gt;0))</f>
        <v>63</v>
      </c>
      <c r="C10" s="12" t="s">
        <v>38</v>
      </c>
    </row>
    <row r="11" spans="1:4">
      <c r="B11" s="12">
        <f>COUNTA('Measure Inputs'!B:B)-1</f>
        <v>63</v>
      </c>
      <c r="C11" s="12" t="s">
        <v>55</v>
      </c>
    </row>
    <row r="12" spans="1:4">
      <c r="B12" s="12">
        <f>COUNTA('Program Inputs'!$B:$B)-1</f>
        <v>13</v>
      </c>
      <c r="C12" s="12" t="s">
        <v>39</v>
      </c>
    </row>
    <row r="13" spans="1:4">
      <c r="B13" s="12">
        <f>SUM(IF(FREQUENCY(IF(LEN('Measure Inputs'!J:J)&gt;0,MATCH('Measure Inputs'!J:J,'Measure Inputs'!J:J,0),""), IF(LEN('Measure Inputs'!J:J)&gt;0,MATCH('Measure Inputs'!J:J,'Measure Inputs'!J:J,0),""))&gt;0,1))-1</f>
        <v>0</v>
      </c>
      <c r="C13" s="12" t="s">
        <v>46</v>
      </c>
    </row>
    <row r="14" spans="1:4">
      <c r="B14" s="12">
        <f>CycleEndYear-CycleStartYear+1</f>
        <v>2</v>
      </c>
      <c r="C14" s="12" t="s">
        <v>44</v>
      </c>
    </row>
    <row r="15" spans="1:4">
      <c r="B15" s="12">
        <f>EndYear-BaseYear+1</f>
        <v>53</v>
      </c>
      <c r="C15" s="12" t="s">
        <v>45</v>
      </c>
    </row>
    <row r="16" spans="1:4">
      <c r="B16" s="12">
        <f>MAX('Measure Inputs'!R:R)</f>
        <v>25</v>
      </c>
      <c r="C16" s="12" t="s">
        <v>34</v>
      </c>
    </row>
    <row r="17" spans="2:3">
      <c r="B17" s="12">
        <f>MAX('Measure Inputs'!K:K)</f>
        <v>2017</v>
      </c>
      <c r="C17" s="12" t="s">
        <v>68</v>
      </c>
    </row>
  </sheetData>
  <conditionalFormatting sqref="D3:D5">
    <cfRule type="cellIs" dxfId="49" priority="3" operator="equal">
      <formula>"OK"</formula>
    </cfRule>
    <cfRule type="cellIs" dxfId="48" priority="4" operator="equal">
      <formula>"ERROR"</formula>
    </cfRule>
  </conditionalFormatting>
  <conditionalFormatting sqref="D6">
    <cfRule type="cellIs" dxfId="47" priority="1" operator="equal">
      <formula>"OK"</formula>
    </cfRule>
    <cfRule type="cellIs" dxfId="46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D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103"/>
  <sheetViews>
    <sheetView showGridLines="0" zoomScaleNormal="100" workbookViewId="0">
      <pane xSplit="1" ySplit="4" topLeftCell="C20" activePane="bottomRight" state="frozen"/>
      <selection activeCell="K33" sqref="K33"/>
      <selection pane="topRight" activeCell="K33" sqref="K33"/>
      <selection pane="bottomLeft" activeCell="K33" sqref="K33"/>
      <selection pane="bottomRight" activeCell="C36" sqref="C36"/>
    </sheetView>
  </sheetViews>
  <sheetFormatPr defaultColWidth="6.44140625" defaultRowHeight="11.4"/>
  <cols>
    <col min="1" max="1" width="56.88671875" style="397" bestFit="1" customWidth="1"/>
    <col min="2" max="2" width="5.6640625" style="397" hidden="1" customWidth="1"/>
    <col min="3" max="3" width="11.5546875" style="399" bestFit="1" customWidth="1"/>
    <col min="4" max="4" width="10.109375" style="560" bestFit="1" customWidth="1"/>
    <col min="5" max="5" width="7.6640625" style="565" bestFit="1" customWidth="1"/>
    <col min="6" max="6" width="1.109375" style="566" customWidth="1"/>
    <col min="7" max="7" width="13.44140625" style="562" customWidth="1"/>
    <col min="8" max="8" width="9.33203125" style="567" customWidth="1"/>
    <col min="9" max="9" width="12" style="568" customWidth="1"/>
    <col min="10" max="10" width="1.6640625" style="403" customWidth="1"/>
    <col min="11" max="11" width="9" style="397" bestFit="1" customWidth="1"/>
    <col min="12" max="12" width="8" style="397" bestFit="1" customWidth="1"/>
    <col min="13" max="13" width="9" style="397" bestFit="1" customWidth="1"/>
    <col min="14" max="14" width="8.88671875" style="397" bestFit="1" customWidth="1"/>
    <col min="15" max="15" width="1.44140625" style="560" customWidth="1"/>
    <col min="16" max="16" width="8.109375" style="403" bestFit="1" customWidth="1"/>
    <col min="17" max="17" width="6.88671875" style="403" bestFit="1" customWidth="1"/>
    <col min="18" max="18" width="7.44140625" style="403" bestFit="1" customWidth="1"/>
    <col min="19" max="19" width="4.44140625" style="397" bestFit="1" customWidth="1"/>
    <col min="20" max="20" width="1.5546875" style="560" customWidth="1"/>
    <col min="21" max="21" width="9" style="403" bestFit="1" customWidth="1"/>
    <col min="22" max="22" width="9" style="397" bestFit="1" customWidth="1"/>
    <col min="23" max="23" width="11.44140625" style="403" bestFit="1" customWidth="1"/>
    <col min="24" max="24" width="6.6640625" style="403" bestFit="1" customWidth="1"/>
    <col min="25" max="25" width="8.88671875" style="403" bestFit="1" customWidth="1"/>
    <col min="26" max="26" width="16.6640625" style="403" customWidth="1"/>
    <col min="27" max="27" width="10.33203125" style="403" bestFit="1" customWidth="1"/>
    <col min="28" max="28" width="17.109375" style="403" bestFit="1" customWidth="1"/>
    <col min="29" max="29" width="13.6640625" style="403" bestFit="1" customWidth="1"/>
    <col min="30" max="30" width="14.6640625" style="403" bestFit="1" customWidth="1"/>
    <col min="31" max="32" width="9.44140625" style="403" customWidth="1"/>
    <col min="33" max="33" width="12.109375" style="403" customWidth="1"/>
    <col min="34" max="34" width="9.44140625" style="403" customWidth="1"/>
    <col min="35" max="16384" width="6.44140625" style="403"/>
  </cols>
  <sheetData>
    <row r="1" spans="1:34">
      <c r="C1" s="398"/>
      <c r="D1" s="399"/>
      <c r="E1" s="399"/>
      <c r="F1" s="397"/>
      <c r="G1" s="397"/>
      <c r="H1" s="397"/>
      <c r="I1" s="400"/>
      <c r="J1" s="397"/>
      <c r="K1" s="401"/>
      <c r="L1" s="401"/>
      <c r="M1" s="401"/>
      <c r="N1" s="401"/>
      <c r="O1" s="402"/>
      <c r="R1" s="397"/>
      <c r="S1" s="403"/>
      <c r="T1" s="397"/>
      <c r="U1" s="404"/>
      <c r="V1" s="401"/>
      <c r="W1" s="399"/>
    </row>
    <row r="2" spans="1:34" ht="22.5" customHeight="1">
      <c r="C2" s="405" t="s">
        <v>65</v>
      </c>
      <c r="D2" s="406" t="s">
        <v>3398</v>
      </c>
      <c r="E2" s="407" t="s">
        <v>3399</v>
      </c>
      <c r="F2" s="403"/>
      <c r="G2" s="649" t="s">
        <v>3400</v>
      </c>
      <c r="H2" s="651" t="s">
        <v>3401</v>
      </c>
      <c r="I2" s="653" t="s">
        <v>3402</v>
      </c>
      <c r="K2" s="405" t="s">
        <v>3403</v>
      </c>
      <c r="L2" s="405" t="s">
        <v>3404</v>
      </c>
      <c r="M2" s="405" t="s">
        <v>280</v>
      </c>
      <c r="N2" s="405" t="s">
        <v>3405</v>
      </c>
      <c r="O2" s="402"/>
      <c r="P2" s="408"/>
      <c r="S2" s="403"/>
      <c r="T2" s="403"/>
      <c r="U2" s="405" t="s">
        <v>3406</v>
      </c>
      <c r="V2" s="405" t="s">
        <v>59</v>
      </c>
      <c r="W2" s="405" t="s">
        <v>73</v>
      </c>
      <c r="X2" s="409" t="s">
        <v>4</v>
      </c>
    </row>
    <row r="3" spans="1:34" ht="12">
      <c r="A3" s="410" t="s">
        <v>2</v>
      </c>
      <c r="C3" s="405">
        <v>2016</v>
      </c>
      <c r="D3" s="411">
        <v>2016</v>
      </c>
      <c r="E3" s="411">
        <v>2016</v>
      </c>
      <c r="F3" s="408"/>
      <c r="G3" s="650"/>
      <c r="H3" s="652"/>
      <c r="I3" s="654"/>
      <c r="J3" s="408"/>
      <c r="K3" s="405">
        <v>2016</v>
      </c>
      <c r="L3" s="405">
        <v>2016</v>
      </c>
      <c r="M3" s="405">
        <v>2016</v>
      </c>
      <c r="N3" s="405">
        <v>2016</v>
      </c>
      <c r="O3" s="408"/>
      <c r="P3" s="405" t="s">
        <v>3403</v>
      </c>
      <c r="Q3" s="405" t="s">
        <v>280</v>
      </c>
      <c r="R3" s="405" t="s">
        <v>3405</v>
      </c>
      <c r="S3" s="405" t="s">
        <v>3404</v>
      </c>
      <c r="T3" s="408"/>
      <c r="U3" s="405">
        <v>2016</v>
      </c>
      <c r="V3" s="405">
        <v>2016</v>
      </c>
      <c r="W3" s="405">
        <v>2016</v>
      </c>
      <c r="X3" s="405">
        <v>2016</v>
      </c>
    </row>
    <row r="4" spans="1:34" ht="12.75" customHeight="1">
      <c r="A4" s="412" t="s">
        <v>200</v>
      </c>
      <c r="C4" s="413">
        <f>C7+C53</f>
        <v>6740</v>
      </c>
      <c r="D4" s="413">
        <f>D7+D53</f>
        <v>7091942.2889635935</v>
      </c>
      <c r="E4" s="413">
        <f>E7+E53</f>
        <v>1553.3329789040631</v>
      </c>
      <c r="F4" s="408"/>
      <c r="G4" s="414"/>
      <c r="H4" s="415"/>
      <c r="I4" s="416"/>
      <c r="J4" s="408"/>
      <c r="K4" s="417">
        <f>SUM(K7,K53)</f>
        <v>198688.75</v>
      </c>
      <c r="L4" s="417">
        <f>SUM(L7,L53)</f>
        <v>40718.8125</v>
      </c>
      <c r="M4" s="417">
        <f>SUM(M7,M53,M6,M5)</f>
        <v>128093.75</v>
      </c>
      <c r="N4" s="417">
        <f>SUM(N7,N53,N6,N5)</f>
        <v>192012.75</v>
      </c>
      <c r="O4" s="408"/>
      <c r="P4" s="418"/>
      <c r="Q4" s="418"/>
      <c r="R4" s="418"/>
      <c r="S4" s="418"/>
      <c r="T4" s="408"/>
      <c r="U4" s="417">
        <f>U7+U53</f>
        <v>479615</v>
      </c>
      <c r="V4" s="417">
        <f>V8+V12+V15+V26+V36+V43+V42+V54+V55+N5</f>
        <v>359394.5625</v>
      </c>
      <c r="W4" s="417">
        <f>W7+W53+W5+W6</f>
        <v>903056.5625</v>
      </c>
      <c r="X4" s="419">
        <v>2.4960131328993485</v>
      </c>
      <c r="Y4" s="403" t="s">
        <v>3420</v>
      </c>
      <c r="Z4" s="403" t="s">
        <v>3421</v>
      </c>
    </row>
    <row r="5" spans="1:34" ht="12.75" customHeight="1">
      <c r="A5" s="420" t="s">
        <v>162</v>
      </c>
      <c r="B5" s="403"/>
      <c r="C5" s="421"/>
      <c r="D5" s="421"/>
      <c r="E5" s="421"/>
      <c r="F5" s="422"/>
      <c r="G5" s="423"/>
      <c r="H5" s="424"/>
      <c r="I5" s="425"/>
      <c r="J5" s="422"/>
      <c r="K5" s="426"/>
      <c r="L5" s="426"/>
      <c r="M5" s="426"/>
      <c r="N5" s="427">
        <v>119987</v>
      </c>
      <c r="O5" s="408"/>
      <c r="S5" s="403"/>
      <c r="T5" s="403"/>
      <c r="W5" s="428">
        <f>U5+N5</f>
        <v>119987</v>
      </c>
      <c r="X5" s="408"/>
    </row>
    <row r="6" spans="1:34" ht="12.75" customHeight="1">
      <c r="A6" s="420" t="s">
        <v>3407</v>
      </c>
      <c r="B6" s="403"/>
      <c r="C6" s="421"/>
      <c r="D6" s="421"/>
      <c r="E6" s="421"/>
      <c r="F6" s="422"/>
      <c r="G6" s="423"/>
      <c r="H6" s="424"/>
      <c r="I6" s="425"/>
      <c r="J6" s="422"/>
      <c r="K6" s="426"/>
      <c r="L6" s="426"/>
      <c r="M6" s="427">
        <v>64047</v>
      </c>
      <c r="N6" s="426"/>
      <c r="O6" s="408"/>
      <c r="S6" s="403"/>
      <c r="T6" s="403"/>
      <c r="W6" s="428">
        <f>U6+M6</f>
        <v>64047</v>
      </c>
      <c r="X6" s="408"/>
    </row>
    <row r="7" spans="1:34" ht="12">
      <c r="A7" s="412" t="s">
        <v>173</v>
      </c>
      <c r="C7" s="429">
        <f>C8+C12+C15+C26+C36+C42+C43</f>
        <v>6549</v>
      </c>
      <c r="D7" s="429">
        <f>D8+D12+D15+D26+D36+D42+D43</f>
        <v>1332460.5390879116</v>
      </c>
      <c r="E7" s="429">
        <f>E8+E12+E15+E26+E36+E42+E43</f>
        <v>238.34497743321069</v>
      </c>
      <c r="F7" s="408"/>
      <c r="G7" s="430"/>
      <c r="H7" s="431"/>
      <c r="I7" s="432"/>
      <c r="J7" s="408"/>
      <c r="K7" s="417">
        <f>SUM(K8,K12,K15,K26,K36,K42,K43)</f>
        <v>145792</v>
      </c>
      <c r="L7" s="417">
        <f>SUM(L8,L12,L15,L26,L36,L42,L43)</f>
        <v>12641.025</v>
      </c>
      <c r="M7" s="417">
        <f>SUM(M8,M12,M15,M26,M36,M42,M43)</f>
        <v>11150</v>
      </c>
      <c r="N7" s="417">
        <f>SUM(N8,N12,N15,N26,N36,N42,N43)</f>
        <v>12578.5</v>
      </c>
      <c r="O7" s="408"/>
      <c r="S7" s="403"/>
      <c r="T7" s="408"/>
      <c r="U7" s="428">
        <f>U8+U12+U15+U26+U36+U42+U43</f>
        <v>83300</v>
      </c>
      <c r="V7" s="428">
        <f>V8+V12+V15+V26+V36+V42+V43</f>
        <v>158433.02499999999</v>
      </c>
      <c r="W7" s="428">
        <f>U7+V7</f>
        <v>241733.02499999999</v>
      </c>
      <c r="X7" s="419">
        <v>1.2562896205986662</v>
      </c>
    </row>
    <row r="8" spans="1:34" s="443" customFormat="1" ht="12">
      <c r="A8" s="433" t="s">
        <v>145</v>
      </c>
      <c r="B8" s="434"/>
      <c r="C8" s="435">
        <f>SUM(C9:C11)</f>
        <v>4560</v>
      </c>
      <c r="D8" s="435">
        <f>SUM(D9:D11)</f>
        <v>193950.86</v>
      </c>
      <c r="E8" s="435">
        <f>SUM(E9:E11)</f>
        <v>22.821440368074065</v>
      </c>
      <c r="F8" s="436"/>
      <c r="G8" s="437"/>
      <c r="H8" s="438"/>
      <c r="I8" s="439"/>
      <c r="J8" s="436"/>
      <c r="K8" s="440">
        <f t="shared" ref="K8:L8" si="0">K9+K10</f>
        <v>8672</v>
      </c>
      <c r="L8" s="440">
        <f t="shared" si="0"/>
        <v>1931.2</v>
      </c>
      <c r="M8" s="440">
        <f>M9+M10</f>
        <v>1280</v>
      </c>
      <c r="N8" s="440">
        <f>N9+N10</f>
        <v>3072</v>
      </c>
      <c r="O8" s="408"/>
      <c r="P8" s="403"/>
      <c r="Q8" s="403"/>
      <c r="R8" s="403"/>
      <c r="S8" s="403"/>
      <c r="T8" s="436"/>
      <c r="U8" s="441">
        <f>SUM(U9:U11)</f>
        <v>25600</v>
      </c>
      <c r="V8" s="440">
        <f>SUM(K8,L8)</f>
        <v>10603.2</v>
      </c>
      <c r="W8" s="440">
        <f>U8+V8</f>
        <v>36203.199999999997</v>
      </c>
      <c r="X8" s="442">
        <v>1.0974818824754864</v>
      </c>
      <c r="Z8" s="403"/>
      <c r="AA8" s="403"/>
      <c r="AB8" s="403"/>
      <c r="AC8" s="403"/>
      <c r="AD8" s="403"/>
      <c r="AE8" s="403"/>
      <c r="AF8" s="403"/>
      <c r="AG8" s="403"/>
      <c r="AH8" s="403"/>
    </row>
    <row r="9" spans="1:34" s="443" customFormat="1" ht="12">
      <c r="A9" s="444" t="s">
        <v>151</v>
      </c>
      <c r="B9" s="397"/>
      <c r="C9" s="445">
        <v>4000</v>
      </c>
      <c r="D9" s="445">
        <v>153269.19999999998</v>
      </c>
      <c r="E9" s="446">
        <v>18.02112</v>
      </c>
      <c r="F9" s="408"/>
      <c r="G9" s="447">
        <v>10</v>
      </c>
      <c r="H9" s="448"/>
      <c r="I9" s="449">
        <v>5</v>
      </c>
      <c r="J9" s="408"/>
      <c r="K9" s="450">
        <f>$P9*C9</f>
        <v>8000</v>
      </c>
      <c r="L9" s="450">
        <f>(U9+K9+M9+N9)*5%</f>
        <v>1570</v>
      </c>
      <c r="M9" s="450">
        <f>$Q9*U9</f>
        <v>1000</v>
      </c>
      <c r="N9" s="450">
        <f>$R9*U9</f>
        <v>2400</v>
      </c>
      <c r="O9" s="451"/>
      <c r="P9" s="452">
        <v>2</v>
      </c>
      <c r="Q9" s="453">
        <v>0.05</v>
      </c>
      <c r="R9" s="453">
        <v>0.12</v>
      </c>
      <c r="S9" s="453">
        <v>0.05</v>
      </c>
      <c r="T9" s="408"/>
      <c r="U9" s="454">
        <f>C9*($H9+$I9)</f>
        <v>20000</v>
      </c>
      <c r="V9" s="451"/>
      <c r="W9" s="455"/>
      <c r="X9" s="456">
        <v>1.2803545224990807</v>
      </c>
      <c r="Y9" s="590">
        <f>D9/C9</f>
        <v>38.317299999999996</v>
      </c>
      <c r="Z9" s="589">
        <f>E9/C9</f>
        <v>4.5052799999999995E-3</v>
      </c>
      <c r="AA9" s="403"/>
      <c r="AB9" s="403"/>
      <c r="AC9" s="403"/>
      <c r="AD9" s="403"/>
      <c r="AE9" s="403"/>
      <c r="AF9" s="403"/>
      <c r="AG9" s="403"/>
      <c r="AH9" s="403"/>
    </row>
    <row r="10" spans="1:34" ht="12">
      <c r="A10" s="444" t="s">
        <v>201</v>
      </c>
      <c r="C10" s="457">
        <v>550</v>
      </c>
      <c r="D10" s="445">
        <v>39930.659999999996</v>
      </c>
      <c r="E10" s="446">
        <v>4.6949759999999996</v>
      </c>
      <c r="F10" s="408"/>
      <c r="G10" s="447">
        <v>15</v>
      </c>
      <c r="H10" s="458"/>
      <c r="I10" s="459">
        <v>10</v>
      </c>
      <c r="J10" s="408"/>
      <c r="K10" s="450">
        <f>$P10*SUM(U10:U11)</f>
        <v>672</v>
      </c>
      <c r="L10" s="450">
        <f>(SUM(U10:U11)+K10+M10+N10)*5%</f>
        <v>361.20000000000005</v>
      </c>
      <c r="M10" s="450">
        <f>$Q10*SUM(U10:U11)</f>
        <v>280</v>
      </c>
      <c r="N10" s="450">
        <f>$R10*SUM(U10:U11)</f>
        <v>672</v>
      </c>
      <c r="O10" s="451"/>
      <c r="P10" s="453">
        <v>0.12</v>
      </c>
      <c r="Q10" s="453">
        <v>0.05</v>
      </c>
      <c r="R10" s="453">
        <v>0.12</v>
      </c>
      <c r="S10" s="453">
        <v>0.05</v>
      </c>
      <c r="T10" s="408"/>
      <c r="U10" s="454">
        <f>C10*($H10+$I10)</f>
        <v>5500</v>
      </c>
      <c r="V10" s="451"/>
      <c r="W10" s="397"/>
      <c r="X10" s="456">
        <v>1.6172899231567333</v>
      </c>
      <c r="Y10" s="590">
        <f t="shared" ref="Y10:Y73" si="1">D10/C10</f>
        <v>72.601199999999992</v>
      </c>
      <c r="Z10" s="589">
        <f t="shared" ref="Z10:Z73" si="2">E10/C10</f>
        <v>8.53632E-3</v>
      </c>
    </row>
    <row r="11" spans="1:34">
      <c r="A11" s="444" t="s">
        <v>202</v>
      </c>
      <c r="C11" s="457">
        <v>10</v>
      </c>
      <c r="D11" s="445">
        <v>751</v>
      </c>
      <c r="E11" s="446">
        <v>0.10534436807406367</v>
      </c>
      <c r="F11" s="408"/>
      <c r="G11" s="447">
        <v>20</v>
      </c>
      <c r="H11" s="458"/>
      <c r="I11" s="459">
        <f>G11/2</f>
        <v>10</v>
      </c>
      <c r="J11" s="408"/>
      <c r="K11" s="451"/>
      <c r="L11" s="451"/>
      <c r="M11" s="451"/>
      <c r="N11" s="451"/>
      <c r="O11" s="408"/>
      <c r="P11" s="460"/>
      <c r="Q11" s="460"/>
      <c r="R11" s="460"/>
      <c r="S11" s="402"/>
      <c r="T11" s="408"/>
      <c r="U11" s="454">
        <f>C11*($H11+$I11)</f>
        <v>100</v>
      </c>
      <c r="V11" s="451"/>
      <c r="W11" s="397"/>
      <c r="X11" s="456">
        <v>1.2649716809755336</v>
      </c>
      <c r="Y11" s="590">
        <f t="shared" si="1"/>
        <v>75.099999999999994</v>
      </c>
      <c r="Z11" s="589">
        <f t="shared" si="2"/>
        <v>1.0534436807406367E-2</v>
      </c>
    </row>
    <row r="12" spans="1:34" ht="12">
      <c r="A12" s="433" t="s">
        <v>203</v>
      </c>
      <c r="C12" s="461">
        <f>SUM(C13:C14)</f>
        <v>80</v>
      </c>
      <c r="D12" s="461">
        <f>SUM(D13:D14)</f>
        <v>97600</v>
      </c>
      <c r="E12" s="461">
        <f>SUM(E13:E14)</f>
        <v>11.141552511415526</v>
      </c>
      <c r="F12" s="408"/>
      <c r="G12" s="462"/>
      <c r="H12" s="462"/>
      <c r="I12" s="463"/>
      <c r="J12" s="408"/>
      <c r="K12" s="440">
        <f>C12*$P12</f>
        <v>8000</v>
      </c>
      <c r="L12" s="440">
        <f>(U12+K12+M12+N12)*5%</f>
        <v>630</v>
      </c>
      <c r="M12" s="440">
        <f>Q12*U12</f>
        <v>200</v>
      </c>
      <c r="N12" s="440">
        <f>R12*U12</f>
        <v>400</v>
      </c>
      <c r="O12" s="408"/>
      <c r="P12" s="464">
        <v>100</v>
      </c>
      <c r="Q12" s="465">
        <v>0.05</v>
      </c>
      <c r="R12" s="465">
        <v>0.1</v>
      </c>
      <c r="S12" s="465">
        <v>0.05</v>
      </c>
      <c r="T12" s="408"/>
      <c r="U12" s="466">
        <f>SUM(U13:U14)</f>
        <v>4000</v>
      </c>
      <c r="V12" s="440">
        <f>SUM(K12,L12)</f>
        <v>8630</v>
      </c>
      <c r="W12" s="440">
        <f>U12+V12</f>
        <v>12630</v>
      </c>
      <c r="X12" s="442">
        <v>1.7262005763574133</v>
      </c>
      <c r="Y12" s="590">
        <f t="shared" si="1"/>
        <v>1220</v>
      </c>
      <c r="Z12" s="589">
        <f t="shared" si="2"/>
        <v>0.13926940639269408</v>
      </c>
    </row>
    <row r="13" spans="1:34" s="443" customFormat="1" ht="12">
      <c r="A13" s="444" t="s">
        <v>148</v>
      </c>
      <c r="B13" s="397"/>
      <c r="C13" s="467">
        <v>50</v>
      </c>
      <c r="D13" s="445">
        <v>64450</v>
      </c>
      <c r="E13" s="446">
        <v>7.3573059360730593</v>
      </c>
      <c r="F13" s="408"/>
      <c r="G13" s="447">
        <v>93</v>
      </c>
      <c r="H13" s="468"/>
      <c r="I13" s="469">
        <v>50</v>
      </c>
      <c r="J13" s="408"/>
      <c r="K13" s="455"/>
      <c r="L13" s="455"/>
      <c r="M13" s="455"/>
      <c r="N13" s="455"/>
      <c r="O13" s="451"/>
      <c r="P13" s="397"/>
      <c r="Q13" s="470"/>
      <c r="R13" s="397"/>
      <c r="S13" s="397"/>
      <c r="T13" s="408"/>
      <c r="U13" s="454">
        <f>C13*($H13+$I13)</f>
        <v>2500</v>
      </c>
      <c r="W13" s="397"/>
      <c r="X13" s="456">
        <v>3.9393746435748302</v>
      </c>
      <c r="Y13" s="590">
        <f t="shared" si="1"/>
        <v>1289</v>
      </c>
      <c r="Z13" s="589">
        <f t="shared" si="2"/>
        <v>0.14714611872146119</v>
      </c>
      <c r="AA13" s="403"/>
      <c r="AB13" s="403"/>
      <c r="AC13" s="403"/>
      <c r="AD13" s="403"/>
      <c r="AE13" s="403"/>
      <c r="AF13" s="403"/>
      <c r="AG13" s="403"/>
      <c r="AH13" s="403"/>
    </row>
    <row r="14" spans="1:34">
      <c r="A14" s="444" t="s">
        <v>154</v>
      </c>
      <c r="C14" s="467">
        <v>30</v>
      </c>
      <c r="D14" s="445">
        <v>33150</v>
      </c>
      <c r="E14" s="446">
        <v>3.7842465753424661</v>
      </c>
      <c r="F14" s="408"/>
      <c r="G14" s="447">
        <v>93</v>
      </c>
      <c r="H14" s="468"/>
      <c r="I14" s="469">
        <v>50</v>
      </c>
      <c r="J14" s="408"/>
      <c r="O14" s="408"/>
      <c r="P14" s="397"/>
      <c r="Q14" s="470"/>
      <c r="R14" s="397"/>
      <c r="T14" s="408"/>
      <c r="U14" s="454">
        <f>C14*($H14+$I14)</f>
        <v>1500</v>
      </c>
      <c r="V14" s="471"/>
      <c r="W14" s="397"/>
      <c r="X14" s="456">
        <v>3.3770434299070509</v>
      </c>
      <c r="Y14" s="590">
        <f t="shared" si="1"/>
        <v>1105</v>
      </c>
      <c r="Z14" s="589">
        <f t="shared" si="2"/>
        <v>0.12614155251141554</v>
      </c>
    </row>
    <row r="15" spans="1:34" ht="12">
      <c r="A15" s="433" t="s">
        <v>205</v>
      </c>
      <c r="C15" s="461">
        <f>SUM(C16:C25)</f>
        <v>154</v>
      </c>
      <c r="D15" s="461">
        <f>SUM(D16:D25)</f>
        <v>321873.85994562705</v>
      </c>
      <c r="E15" s="461">
        <f>SUM(E16:E25)</f>
        <v>112.39992286241764</v>
      </c>
      <c r="F15" s="408"/>
      <c r="G15" s="462"/>
      <c r="H15" s="462"/>
      <c r="I15" s="463"/>
      <c r="J15" s="408"/>
      <c r="K15" s="440">
        <f>P15*U15</f>
        <v>5370</v>
      </c>
      <c r="L15" s="440">
        <f>(U15+K15+M15+N15)*5%</f>
        <v>3409.9500000000003</v>
      </c>
      <c r="M15" s="440">
        <f>U15*$Q$15</f>
        <v>2685</v>
      </c>
      <c r="N15" s="440">
        <f>U15*$R$15</f>
        <v>6444</v>
      </c>
      <c r="O15" s="408"/>
      <c r="P15" s="465">
        <v>0.1</v>
      </c>
      <c r="Q15" s="465">
        <v>0.05</v>
      </c>
      <c r="R15" s="465">
        <v>0.12</v>
      </c>
      <c r="S15" s="465">
        <v>0.05</v>
      </c>
      <c r="T15" s="408"/>
      <c r="U15" s="466">
        <f>SUM(U16:U25)</f>
        <v>53700</v>
      </c>
      <c r="V15" s="440">
        <f>SUM(K15,L15)</f>
        <v>8779.9500000000007</v>
      </c>
      <c r="W15" s="440">
        <f>U15+V15</f>
        <v>62479.95</v>
      </c>
      <c r="X15" s="442">
        <v>1.1955024488195825</v>
      </c>
      <c r="Y15" s="590">
        <f t="shared" si="1"/>
        <v>2090.0899996469288</v>
      </c>
      <c r="Z15" s="589">
        <f t="shared" si="2"/>
        <v>0.72986962897673791</v>
      </c>
    </row>
    <row r="16" spans="1:34">
      <c r="A16" s="444" t="s">
        <v>206</v>
      </c>
      <c r="B16" s="470"/>
      <c r="C16" s="472">
        <v>60</v>
      </c>
      <c r="D16" s="445">
        <v>28728.295142447285</v>
      </c>
      <c r="E16" s="446">
        <v>29.574561106038896</v>
      </c>
      <c r="F16" s="408"/>
      <c r="G16" s="447">
        <v>293.80824805778059</v>
      </c>
      <c r="H16" s="458"/>
      <c r="I16" s="459">
        <f>75*3</f>
        <v>225</v>
      </c>
      <c r="J16" s="408"/>
      <c r="K16" s="451"/>
      <c r="L16" s="451"/>
      <c r="M16" s="451"/>
      <c r="N16" s="451"/>
      <c r="O16" s="451"/>
      <c r="P16" s="397"/>
      <c r="Q16" s="397"/>
      <c r="R16" s="397"/>
      <c r="T16" s="408"/>
      <c r="U16" s="454">
        <f t="shared" ref="U16:U25" si="3">C16*($H16+$I16)</f>
        <v>13500</v>
      </c>
      <c r="V16" s="451"/>
      <c r="W16" s="397"/>
      <c r="X16" s="456">
        <v>1.0298768104434628</v>
      </c>
      <c r="Y16" s="590">
        <f t="shared" si="1"/>
        <v>478.80491904078809</v>
      </c>
      <c r="Z16" s="589">
        <f t="shared" si="2"/>
        <v>0.49290935176731493</v>
      </c>
    </row>
    <row r="17" spans="1:32">
      <c r="A17" s="473" t="s">
        <v>207</v>
      </c>
      <c r="C17" s="472">
        <v>8</v>
      </c>
      <c r="D17" s="445">
        <v>3830.4393523263047</v>
      </c>
      <c r="E17" s="446">
        <v>3.9432748141385194</v>
      </c>
      <c r="F17" s="408"/>
      <c r="G17" s="447">
        <v>2480.1501390380126</v>
      </c>
      <c r="H17" s="458"/>
      <c r="I17" s="459">
        <f>200*3</f>
        <v>600</v>
      </c>
      <c r="J17" s="408"/>
      <c r="K17" s="451"/>
      <c r="L17" s="451"/>
      <c r="M17" s="451"/>
      <c r="N17" s="451"/>
      <c r="O17" s="408"/>
      <c r="P17" s="397"/>
      <c r="Q17" s="397"/>
      <c r="R17" s="397"/>
      <c r="T17" s="408"/>
      <c r="U17" s="454">
        <f t="shared" si="3"/>
        <v>4800</v>
      </c>
      <c r="V17" s="471"/>
      <c r="W17" s="397"/>
      <c r="X17" s="456">
        <v>0.95205837562754991</v>
      </c>
      <c r="Y17" s="590">
        <f t="shared" si="1"/>
        <v>478.80491904078809</v>
      </c>
      <c r="Z17" s="589">
        <f t="shared" si="2"/>
        <v>0.49290935176731493</v>
      </c>
    </row>
    <row r="18" spans="1:32">
      <c r="A18" s="444" t="s">
        <v>208</v>
      </c>
      <c r="B18" s="404"/>
      <c r="C18" s="472">
        <v>8</v>
      </c>
      <c r="D18" s="445">
        <v>124851.48517668287</v>
      </c>
      <c r="E18" s="446">
        <v>44.631458712065914</v>
      </c>
      <c r="F18" s="408"/>
      <c r="G18" s="447">
        <v>4554</v>
      </c>
      <c r="H18" s="458"/>
      <c r="I18" s="459">
        <f>1500</f>
        <v>1500</v>
      </c>
      <c r="J18" s="408"/>
      <c r="K18" s="403"/>
      <c r="L18" s="403"/>
      <c r="M18" s="403"/>
      <c r="N18" s="403"/>
      <c r="O18" s="408"/>
      <c r="S18" s="403"/>
      <c r="T18" s="408"/>
      <c r="U18" s="454">
        <f t="shared" si="3"/>
        <v>12000</v>
      </c>
      <c r="V18" s="451"/>
      <c r="X18" s="456">
        <v>1.7711282090595886</v>
      </c>
      <c r="Y18" s="590">
        <f t="shared" si="1"/>
        <v>15606.435647085358</v>
      </c>
      <c r="Z18" s="589">
        <f t="shared" si="2"/>
        <v>5.5789323390082393</v>
      </c>
    </row>
    <row r="19" spans="1:32">
      <c r="A19" s="444" t="s">
        <v>210</v>
      </c>
      <c r="B19" s="404"/>
      <c r="C19" s="472">
        <v>10</v>
      </c>
      <c r="D19" s="445">
        <v>3572.9323308270677</v>
      </c>
      <c r="E19" s="446">
        <v>6.7061688311688297</v>
      </c>
      <c r="F19" s="408"/>
      <c r="G19" s="447">
        <v>300</v>
      </c>
      <c r="H19" s="458"/>
      <c r="I19" s="459">
        <f>50*3</f>
        <v>150</v>
      </c>
      <c r="J19" s="408"/>
      <c r="K19" s="403"/>
      <c r="L19" s="403"/>
      <c r="M19" s="403"/>
      <c r="N19" s="403"/>
      <c r="O19" s="408"/>
      <c r="S19" s="403"/>
      <c r="T19" s="408"/>
      <c r="U19" s="454">
        <f t="shared" si="3"/>
        <v>1500</v>
      </c>
      <c r="V19" s="403"/>
      <c r="X19" s="456">
        <v>0.92559684211736504</v>
      </c>
      <c r="Y19" s="590">
        <f t="shared" si="1"/>
        <v>357.29323308270676</v>
      </c>
      <c r="Z19" s="589">
        <f t="shared" si="2"/>
        <v>0.67061688311688294</v>
      </c>
    </row>
    <row r="20" spans="1:32">
      <c r="A20" s="473" t="s">
        <v>211</v>
      </c>
      <c r="B20" s="404"/>
      <c r="C20" s="472">
        <v>10</v>
      </c>
      <c r="D20" s="445">
        <v>17891.667624944712</v>
      </c>
      <c r="E20" s="446">
        <v>8.3827110389610375</v>
      </c>
      <c r="F20" s="408"/>
      <c r="G20" s="447">
        <v>716</v>
      </c>
      <c r="H20" s="458"/>
      <c r="I20" s="459">
        <f>50*3</f>
        <v>150</v>
      </c>
      <c r="J20" s="408"/>
      <c r="K20" s="403"/>
      <c r="L20" s="403"/>
      <c r="M20" s="403"/>
      <c r="N20" s="403"/>
      <c r="O20" s="408"/>
      <c r="S20" s="403"/>
      <c r="T20" s="408"/>
      <c r="U20" s="454">
        <f t="shared" si="3"/>
        <v>1500</v>
      </c>
      <c r="V20" s="403"/>
      <c r="X20" s="456">
        <v>1.3389962497176331</v>
      </c>
      <c r="Y20" s="590">
        <f t="shared" si="1"/>
        <v>1789.1667624944712</v>
      </c>
      <c r="Z20" s="589">
        <f t="shared" si="2"/>
        <v>0.83827110389610371</v>
      </c>
    </row>
    <row r="21" spans="1:32">
      <c r="A21" s="474" t="s">
        <v>212</v>
      </c>
      <c r="C21" s="472">
        <v>15</v>
      </c>
      <c r="D21" s="445">
        <v>26005.635513509089</v>
      </c>
      <c r="E21" s="446">
        <v>1.232007999060833</v>
      </c>
      <c r="F21" s="408"/>
      <c r="G21" s="447">
        <v>700</v>
      </c>
      <c r="H21" s="458"/>
      <c r="I21" s="459">
        <f>5*40</f>
        <v>200</v>
      </c>
      <c r="J21" s="408"/>
      <c r="K21" s="451"/>
      <c r="L21" s="451"/>
      <c r="M21" s="451"/>
      <c r="N21" s="451"/>
      <c r="O21" s="408"/>
      <c r="P21" s="397"/>
      <c r="Q21" s="397"/>
      <c r="R21" s="397"/>
      <c r="T21" s="408"/>
      <c r="U21" s="454">
        <f t="shared" si="3"/>
        <v>3000</v>
      </c>
      <c r="V21" s="451"/>
      <c r="W21" s="397"/>
      <c r="X21" s="456">
        <v>1.0419801565425404</v>
      </c>
      <c r="Y21" s="590">
        <f t="shared" si="1"/>
        <v>1733.7090342339393</v>
      </c>
      <c r="Z21" s="589">
        <f t="shared" si="2"/>
        <v>8.2133866604055542E-2</v>
      </c>
    </row>
    <row r="22" spans="1:32">
      <c r="A22" s="474" t="s">
        <v>213</v>
      </c>
      <c r="C22" s="472">
        <v>10</v>
      </c>
      <c r="D22" s="445">
        <v>1258.0915680811916</v>
      </c>
      <c r="E22" s="446">
        <v>0.14361775891337802</v>
      </c>
      <c r="F22" s="408"/>
      <c r="G22" s="447">
        <v>51.06</v>
      </c>
      <c r="H22" s="458"/>
      <c r="I22" s="459">
        <f>1.25*40</f>
        <v>50</v>
      </c>
      <c r="J22" s="408"/>
      <c r="K22" s="451"/>
      <c r="L22" s="451"/>
      <c r="M22" s="451"/>
      <c r="N22" s="451"/>
      <c r="O22" s="408"/>
      <c r="P22" s="397"/>
      <c r="Q22" s="397"/>
      <c r="R22" s="397"/>
      <c r="T22" s="408"/>
      <c r="U22" s="454">
        <f t="shared" si="3"/>
        <v>500</v>
      </c>
      <c r="V22" s="451"/>
      <c r="W22" s="397"/>
      <c r="X22" s="456">
        <v>1.0621844531154967</v>
      </c>
      <c r="Y22" s="590">
        <f t="shared" si="1"/>
        <v>125.80915680811916</v>
      </c>
      <c r="Z22" s="589">
        <f t="shared" si="2"/>
        <v>1.4361775891337802E-2</v>
      </c>
    </row>
    <row r="23" spans="1:32">
      <c r="A23" s="474" t="s">
        <v>214</v>
      </c>
      <c r="C23" s="472">
        <v>10</v>
      </c>
      <c r="D23" s="445">
        <v>2224.1465854710777</v>
      </c>
      <c r="E23" s="446">
        <v>0.25389801204007739</v>
      </c>
      <c r="F23" s="408"/>
      <c r="G23" s="447">
        <v>51.06</v>
      </c>
      <c r="H23" s="458"/>
      <c r="I23" s="459">
        <f>1.75*40</f>
        <v>70</v>
      </c>
      <c r="J23" s="408"/>
      <c r="K23" s="451"/>
      <c r="L23" s="451"/>
      <c r="M23" s="451"/>
      <c r="N23" s="451"/>
      <c r="O23" s="408"/>
      <c r="P23" s="397"/>
      <c r="Q23" s="397"/>
      <c r="R23" s="397"/>
      <c r="T23" s="408"/>
      <c r="U23" s="454">
        <f t="shared" si="3"/>
        <v>700</v>
      </c>
      <c r="V23" s="451"/>
      <c r="W23" s="397"/>
      <c r="X23" s="456">
        <v>1.8778076131139243</v>
      </c>
      <c r="Y23" s="590">
        <f t="shared" si="1"/>
        <v>222.41465854710776</v>
      </c>
      <c r="Z23" s="589">
        <f t="shared" si="2"/>
        <v>2.5389801204007738E-2</v>
      </c>
    </row>
    <row r="24" spans="1:32">
      <c r="A24" s="444" t="s">
        <v>215</v>
      </c>
      <c r="B24" s="470"/>
      <c r="C24" s="472">
        <v>15</v>
      </c>
      <c r="D24" s="445">
        <v>74029.021729133121</v>
      </c>
      <c r="E24" s="446">
        <v>11.434059515237056</v>
      </c>
      <c r="F24" s="408"/>
      <c r="G24" s="447">
        <v>2313.6581090197678</v>
      </c>
      <c r="H24" s="458"/>
      <c r="I24" s="459">
        <f>200*3</f>
        <v>600</v>
      </c>
      <c r="J24" s="408"/>
      <c r="K24" s="451"/>
      <c r="L24" s="451"/>
      <c r="M24" s="451"/>
      <c r="N24" s="451"/>
      <c r="O24" s="408"/>
      <c r="P24" s="397"/>
      <c r="Q24" s="397"/>
      <c r="R24" s="397"/>
      <c r="T24" s="408"/>
      <c r="U24" s="454">
        <f t="shared" si="3"/>
        <v>9000</v>
      </c>
      <c r="V24" s="451"/>
      <c r="W24" s="397"/>
      <c r="X24" s="456">
        <v>1.0282249628101154</v>
      </c>
      <c r="Y24" s="590">
        <f t="shared" si="1"/>
        <v>4935.2681152755413</v>
      </c>
      <c r="Z24" s="589">
        <f t="shared" si="2"/>
        <v>0.76227063434913711</v>
      </c>
    </row>
    <row r="25" spans="1:32">
      <c r="A25" s="444" t="s">
        <v>216</v>
      </c>
      <c r="B25" s="404"/>
      <c r="C25" s="472">
        <v>8</v>
      </c>
      <c r="D25" s="445">
        <v>39482.14492220433</v>
      </c>
      <c r="E25" s="446">
        <v>6.0981650747930969</v>
      </c>
      <c r="F25" s="408"/>
      <c r="G25" s="447">
        <v>4500</v>
      </c>
      <c r="H25" s="458"/>
      <c r="I25" s="459">
        <f>300*3</f>
        <v>900</v>
      </c>
      <c r="J25" s="408"/>
      <c r="K25" s="403"/>
      <c r="L25" s="403"/>
      <c r="M25" s="403"/>
      <c r="N25" s="403"/>
      <c r="O25" s="408"/>
      <c r="S25" s="403"/>
      <c r="T25" s="408"/>
      <c r="U25" s="454">
        <f t="shared" si="3"/>
        <v>7200</v>
      </c>
      <c r="V25" s="403"/>
      <c r="X25" s="456">
        <v>1.2654209122122415</v>
      </c>
      <c r="Y25" s="590">
        <f t="shared" si="1"/>
        <v>4935.2681152755413</v>
      </c>
      <c r="Z25" s="589">
        <f t="shared" si="2"/>
        <v>0.76227063434913711</v>
      </c>
    </row>
    <row r="26" spans="1:32" ht="12">
      <c r="A26" s="475" t="s">
        <v>147</v>
      </c>
      <c r="B26" s="476"/>
      <c r="C26" s="477">
        <v>125</v>
      </c>
      <c r="D26" s="477">
        <f>SUM(D27,D32)</f>
        <v>113463.16177002643</v>
      </c>
      <c r="E26" s="477">
        <f>SUM(E27,E32)</f>
        <v>28.905120123802426</v>
      </c>
      <c r="F26" s="408"/>
      <c r="G26" s="462"/>
      <c r="H26" s="478"/>
      <c r="I26" s="479"/>
      <c r="J26" s="408"/>
      <c r="K26" s="440">
        <f>P26*C26</f>
        <v>31250</v>
      </c>
      <c r="L26" s="440">
        <f>(U26+K26+M26+N26)*5%</f>
        <v>1765.625</v>
      </c>
      <c r="M26" s="440">
        <f>K26*Q26</f>
        <v>2500</v>
      </c>
      <c r="N26" s="480">
        <f>K26*S26</f>
        <v>1562.5</v>
      </c>
      <c r="O26" s="408"/>
      <c r="P26" s="464">
        <v>250</v>
      </c>
      <c r="Q26" s="465">
        <v>0.08</v>
      </c>
      <c r="R26" s="465">
        <v>0.15</v>
      </c>
      <c r="S26" s="481">
        <v>0.05</v>
      </c>
      <c r="T26" s="408"/>
      <c r="U26" s="482">
        <f>SUM(U28:U35)</f>
        <v>0</v>
      </c>
      <c r="V26" s="440">
        <f>SUM(K26,L26)</f>
        <v>33015.625</v>
      </c>
      <c r="W26" s="440">
        <f>U26+V26</f>
        <v>33015.625</v>
      </c>
      <c r="X26" s="442">
        <v>1.2701605718048483</v>
      </c>
      <c r="Y26" s="590">
        <f t="shared" si="1"/>
        <v>907.70529416021145</v>
      </c>
      <c r="Z26" s="589">
        <f t="shared" si="2"/>
        <v>0.23124096099041941</v>
      </c>
    </row>
    <row r="27" spans="1:32" ht="12">
      <c r="A27" s="483" t="s">
        <v>3408</v>
      </c>
      <c r="B27" s="476"/>
      <c r="C27" s="484">
        <v>125</v>
      </c>
      <c r="D27" s="485">
        <f>SUM(D28:D31)</f>
        <v>63838.446721736327</v>
      </c>
      <c r="E27" s="484">
        <f>SUM(E28:E31)</f>
        <v>23.903984399759324</v>
      </c>
      <c r="F27" s="408"/>
      <c r="G27" s="486"/>
      <c r="H27" s="487"/>
      <c r="I27" s="488"/>
      <c r="J27" s="408"/>
      <c r="K27" s="489"/>
      <c r="L27" s="489"/>
      <c r="M27" s="489"/>
      <c r="N27" s="490"/>
      <c r="O27" s="408"/>
      <c r="P27" s="491"/>
      <c r="Q27" s="492"/>
      <c r="R27" s="492"/>
      <c r="S27" s="493"/>
      <c r="T27" s="408"/>
      <c r="U27" s="397"/>
      <c r="V27" s="489"/>
      <c r="W27" s="489"/>
      <c r="X27" s="397"/>
      <c r="Y27" s="590">
        <f t="shared" si="1"/>
        <v>510.7075737738906</v>
      </c>
      <c r="Z27" s="589">
        <f t="shared" si="2"/>
        <v>0.19123187519807458</v>
      </c>
    </row>
    <row r="28" spans="1:32" s="495" customFormat="1">
      <c r="A28" s="474" t="s">
        <v>217</v>
      </c>
      <c r="B28" s="494">
        <v>0.15</v>
      </c>
      <c r="C28" s="457">
        <f t="shared" ref="C28:C31" si="4">ROUND($B28*C$26,0)</f>
        <v>19</v>
      </c>
      <c r="D28" s="445">
        <v>25541.770572513557</v>
      </c>
      <c r="E28" s="446">
        <v>10.868776063798061</v>
      </c>
      <c r="F28" s="408"/>
      <c r="G28" s="447"/>
      <c r="H28" s="458"/>
      <c r="I28" s="459"/>
      <c r="J28" s="408"/>
      <c r="K28" s="451"/>
      <c r="L28" s="451"/>
      <c r="M28" s="451"/>
      <c r="N28" s="451"/>
      <c r="O28" s="408"/>
      <c r="P28" s="397"/>
      <c r="Q28" s="397"/>
      <c r="R28" s="397"/>
      <c r="S28" s="397"/>
      <c r="T28" s="408"/>
      <c r="U28" s="397"/>
      <c r="V28" s="451"/>
      <c r="W28" s="397"/>
      <c r="X28" s="397"/>
      <c r="Y28" s="590">
        <f t="shared" si="1"/>
        <v>1344.3037143428187</v>
      </c>
      <c r="Z28" s="589">
        <f t="shared" si="2"/>
        <v>0.57204084546305578</v>
      </c>
      <c r="AA28" s="403"/>
      <c r="AB28" s="403"/>
      <c r="AC28" s="403"/>
      <c r="AD28" s="403"/>
      <c r="AE28" s="403"/>
      <c r="AF28" s="403"/>
    </row>
    <row r="29" spans="1:32" s="495" customFormat="1">
      <c r="A29" s="474" t="s">
        <v>218</v>
      </c>
      <c r="B29" s="494">
        <v>0.85</v>
      </c>
      <c r="C29" s="457">
        <f t="shared" si="4"/>
        <v>106</v>
      </c>
      <c r="D29" s="445">
        <v>6056.610810810811</v>
      </c>
      <c r="E29" s="446">
        <v>9.3453606945900365</v>
      </c>
      <c r="F29" s="408"/>
      <c r="G29" s="447"/>
      <c r="H29" s="458"/>
      <c r="I29" s="459"/>
      <c r="J29" s="408"/>
      <c r="K29" s="451"/>
      <c r="L29" s="451"/>
      <c r="M29" s="451"/>
      <c r="N29" s="451"/>
      <c r="O29" s="408"/>
      <c r="P29" s="397"/>
      <c r="Q29" s="397"/>
      <c r="R29" s="397"/>
      <c r="S29" s="397"/>
      <c r="T29" s="408"/>
      <c r="U29" s="397"/>
      <c r="V29" s="471"/>
      <c r="W29" s="397"/>
      <c r="X29" s="397"/>
      <c r="Y29" s="590">
        <f t="shared" si="1"/>
        <v>57.137837837837843</v>
      </c>
      <c r="Z29" s="589">
        <f t="shared" si="2"/>
        <v>8.8163780137641853E-2</v>
      </c>
      <c r="AA29" s="403"/>
      <c r="AB29" s="403"/>
      <c r="AC29" s="403"/>
      <c r="AD29" s="403"/>
      <c r="AE29" s="403"/>
      <c r="AF29" s="403"/>
    </row>
    <row r="30" spans="1:32">
      <c r="A30" s="444" t="s">
        <v>219</v>
      </c>
      <c r="B30" s="494">
        <v>0.85</v>
      </c>
      <c r="C30" s="457">
        <f t="shared" si="4"/>
        <v>106</v>
      </c>
      <c r="D30" s="445">
        <v>14365.065338411954</v>
      </c>
      <c r="E30" s="446">
        <v>1.6398476413712275</v>
      </c>
      <c r="F30" s="408"/>
      <c r="G30" s="496"/>
      <c r="H30" s="446"/>
      <c r="I30" s="497"/>
      <c r="J30" s="408"/>
      <c r="K30" s="403"/>
      <c r="L30" s="403"/>
      <c r="M30" s="403"/>
      <c r="N30" s="403"/>
      <c r="O30" s="408"/>
      <c r="S30" s="403"/>
      <c r="T30" s="408"/>
      <c r="U30" s="397"/>
      <c r="V30" s="403"/>
      <c r="X30" s="397"/>
      <c r="Y30" s="590">
        <f t="shared" si="1"/>
        <v>135.51948432464107</v>
      </c>
      <c r="Z30" s="589">
        <f t="shared" si="2"/>
        <v>1.547026076765309E-2</v>
      </c>
    </row>
    <row r="31" spans="1:32">
      <c r="A31" s="444" t="s">
        <v>220</v>
      </c>
      <c r="B31" s="494">
        <v>1</v>
      </c>
      <c r="C31" s="457">
        <f t="shared" si="4"/>
        <v>125</v>
      </c>
      <c r="D31" s="445">
        <v>17875</v>
      </c>
      <c r="E31" s="446">
        <v>2.0500000000000003</v>
      </c>
      <c r="F31" s="408"/>
      <c r="G31" s="496"/>
      <c r="H31" s="446"/>
      <c r="I31" s="497"/>
      <c r="J31" s="408"/>
      <c r="K31" s="403"/>
      <c r="L31" s="403"/>
      <c r="M31" s="403"/>
      <c r="N31" s="403"/>
      <c r="O31" s="408"/>
      <c r="S31" s="403"/>
      <c r="T31" s="408"/>
      <c r="U31" s="397"/>
      <c r="V31" s="403"/>
      <c r="X31" s="397"/>
      <c r="Y31" s="590">
        <f t="shared" si="1"/>
        <v>143</v>
      </c>
      <c r="Z31" s="589">
        <f t="shared" si="2"/>
        <v>1.6400000000000001E-2</v>
      </c>
    </row>
    <row r="32" spans="1:32" ht="12">
      <c r="A32" s="498" t="s">
        <v>221</v>
      </c>
      <c r="B32" s="494"/>
      <c r="C32" s="485">
        <v>125</v>
      </c>
      <c r="D32" s="485">
        <f>SUM(D33:D35)</f>
        <v>49624.715048290105</v>
      </c>
      <c r="E32" s="485">
        <f>SUM(E33:E35)</f>
        <v>5.0011357240431042</v>
      </c>
      <c r="F32" s="499"/>
      <c r="G32" s="500"/>
      <c r="H32" s="501"/>
      <c r="I32" s="502"/>
      <c r="J32" s="499"/>
      <c r="K32" s="403"/>
      <c r="L32" s="403"/>
      <c r="M32" s="403"/>
      <c r="N32" s="403"/>
      <c r="O32" s="408"/>
      <c r="S32" s="403"/>
      <c r="T32" s="408"/>
      <c r="U32" s="397"/>
      <c r="V32" s="403"/>
      <c r="X32" s="397"/>
      <c r="Y32" s="590">
        <f t="shared" si="1"/>
        <v>396.99772038632085</v>
      </c>
      <c r="Z32" s="589">
        <f t="shared" si="2"/>
        <v>4.0009085792344835E-2</v>
      </c>
    </row>
    <row r="33" spans="1:31">
      <c r="A33" s="444" t="s">
        <v>151</v>
      </c>
      <c r="B33" s="494">
        <v>4</v>
      </c>
      <c r="C33" s="457">
        <f>ROUND($B33*C$26,0)</f>
        <v>500</v>
      </c>
      <c r="D33" s="445">
        <v>19158.649999999998</v>
      </c>
      <c r="E33" s="446">
        <v>2.25264</v>
      </c>
      <c r="F33" s="408"/>
      <c r="G33" s="496"/>
      <c r="H33" s="446"/>
      <c r="I33" s="497"/>
      <c r="J33" s="408"/>
      <c r="K33" s="403"/>
      <c r="L33" s="403"/>
      <c r="M33" s="403"/>
      <c r="N33" s="403"/>
      <c r="O33" s="408"/>
      <c r="S33" s="403"/>
      <c r="T33" s="408"/>
      <c r="U33" s="397"/>
      <c r="V33" s="403"/>
      <c r="X33" s="397"/>
      <c r="Y33" s="590">
        <f t="shared" si="1"/>
        <v>38.317299999999996</v>
      </c>
      <c r="Z33" s="589">
        <f t="shared" si="2"/>
        <v>4.5052799999999995E-3</v>
      </c>
    </row>
    <row r="34" spans="1:31">
      <c r="A34" s="444" t="s">
        <v>222</v>
      </c>
      <c r="B34" s="494">
        <v>1</v>
      </c>
      <c r="C34" s="457">
        <f t="shared" ref="C34:C35" si="5">ROUND($B34*C$26,0)</f>
        <v>125</v>
      </c>
      <c r="D34" s="445">
        <v>13491.689692169401</v>
      </c>
      <c r="E34" s="446">
        <v>1.5066861585163795</v>
      </c>
      <c r="F34" s="408"/>
      <c r="G34" s="447"/>
      <c r="H34" s="458"/>
      <c r="I34" s="459"/>
      <c r="J34" s="408"/>
      <c r="K34" s="403"/>
      <c r="L34" s="403"/>
      <c r="M34" s="403"/>
      <c r="N34" s="403"/>
      <c r="O34" s="408"/>
      <c r="S34" s="403"/>
      <c r="T34" s="408"/>
      <c r="U34" s="397"/>
      <c r="V34" s="403"/>
      <c r="X34" s="397"/>
      <c r="Y34" s="590">
        <f t="shared" si="1"/>
        <v>107.9335175373552</v>
      </c>
      <c r="Z34" s="589">
        <f t="shared" si="2"/>
        <v>1.2053489268131037E-2</v>
      </c>
    </row>
    <row r="35" spans="1:31" ht="12">
      <c r="A35" s="444" t="s">
        <v>223</v>
      </c>
      <c r="B35" s="494">
        <v>1</v>
      </c>
      <c r="C35" s="457">
        <f t="shared" si="5"/>
        <v>125</v>
      </c>
      <c r="D35" s="445">
        <v>16974.375356120705</v>
      </c>
      <c r="E35" s="446">
        <v>1.2418095655267252</v>
      </c>
      <c r="F35" s="408"/>
      <c r="G35" s="447"/>
      <c r="H35" s="458"/>
      <c r="I35" s="459"/>
      <c r="J35" s="408"/>
      <c r="K35" s="403"/>
      <c r="L35" s="403"/>
      <c r="M35" s="403"/>
      <c r="N35" s="403"/>
      <c r="O35" s="408"/>
      <c r="S35" s="403"/>
      <c r="T35" s="408"/>
      <c r="U35" s="397"/>
      <c r="V35" s="403"/>
      <c r="X35" s="397"/>
      <c r="Y35" s="590">
        <f t="shared" si="1"/>
        <v>135.79500284896565</v>
      </c>
      <c r="Z35" s="589">
        <f t="shared" si="2"/>
        <v>9.934476524213802E-3</v>
      </c>
      <c r="AC35" s="443"/>
      <c r="AD35" s="443"/>
      <c r="AE35" s="443"/>
    </row>
    <row r="36" spans="1:31" s="443" customFormat="1" ht="12">
      <c r="A36" s="503" t="s">
        <v>144</v>
      </c>
      <c r="B36" s="476"/>
      <c r="C36" s="477">
        <v>400</v>
      </c>
      <c r="D36" s="477">
        <f>SUM(D37,D38)</f>
        <v>79399.544077264174</v>
      </c>
      <c r="E36" s="477">
        <f>SUM(E37,E38)</f>
        <v>8.0018171584689668</v>
      </c>
      <c r="F36" s="408"/>
      <c r="G36" s="477">
        <f>SUM(G37,G38)</f>
        <v>0</v>
      </c>
      <c r="H36" s="477">
        <f>SUM(H37,H38)</f>
        <v>0</v>
      </c>
      <c r="I36" s="504">
        <f>SUM(I37,I38)</f>
        <v>0</v>
      </c>
      <c r="J36" s="408"/>
      <c r="K36" s="505">
        <f t="shared" ref="K36" si="6">K37+K38</f>
        <v>22000</v>
      </c>
      <c r="L36" s="505">
        <f>(U36+K36+M36+N36)*5%</f>
        <v>1203</v>
      </c>
      <c r="M36" s="505">
        <f>M37+M38</f>
        <v>960</v>
      </c>
      <c r="N36" s="505">
        <f>N37+N38</f>
        <v>1100</v>
      </c>
      <c r="O36" s="408"/>
      <c r="P36" s="506"/>
      <c r="Q36" s="507"/>
      <c r="R36" s="508"/>
      <c r="S36" s="509"/>
      <c r="T36" s="408"/>
      <c r="U36" s="482"/>
      <c r="V36" s="440">
        <f>SUM(K36,L36)</f>
        <v>23203</v>
      </c>
      <c r="W36" s="440">
        <f>U36+V36</f>
        <v>23203</v>
      </c>
      <c r="X36" s="442">
        <v>1.1143025883896545</v>
      </c>
      <c r="Y36" s="590">
        <f t="shared" si="1"/>
        <v>198.49886019316043</v>
      </c>
      <c r="Z36" s="589">
        <f t="shared" si="2"/>
        <v>2.0004542896172418E-2</v>
      </c>
      <c r="AC36" s="403"/>
      <c r="AD36" s="403"/>
      <c r="AE36" s="403"/>
    </row>
    <row r="37" spans="1:31" s="443" customFormat="1" ht="12">
      <c r="A37" s="483" t="s">
        <v>144</v>
      </c>
      <c r="B37" s="510"/>
      <c r="C37" s="511">
        <f>C36</f>
        <v>400</v>
      </c>
      <c r="D37" s="511"/>
      <c r="E37" s="501"/>
      <c r="F37" s="499"/>
      <c r="G37" s="486"/>
      <c r="H37" s="487"/>
      <c r="I37" s="488"/>
      <c r="J37" s="499"/>
      <c r="K37" s="512">
        <f t="shared" ref="K37" si="7">P37</f>
        <v>12000</v>
      </c>
      <c r="L37" s="512">
        <f>(U37+K37+M37+N37)*5%</f>
        <v>678</v>
      </c>
      <c r="M37" s="512">
        <f>R37*$K37</f>
        <v>960</v>
      </c>
      <c r="N37" s="512">
        <f>S37*$K37</f>
        <v>600</v>
      </c>
      <c r="O37" s="408"/>
      <c r="P37" s="513">
        <v>12000</v>
      </c>
      <c r="Q37" s="514">
        <v>0.05</v>
      </c>
      <c r="R37" s="453">
        <v>0.08</v>
      </c>
      <c r="S37" s="515">
        <v>0.05</v>
      </c>
      <c r="T37" s="408"/>
      <c r="U37" s="397"/>
      <c r="V37" s="397"/>
      <c r="W37" s="516"/>
      <c r="X37" s="397"/>
      <c r="Y37" s="590">
        <f t="shared" si="1"/>
        <v>0</v>
      </c>
      <c r="Z37" s="589">
        <f t="shared" si="2"/>
        <v>0</v>
      </c>
      <c r="AA37" s="517"/>
      <c r="AC37" s="403"/>
      <c r="AD37" s="403"/>
      <c r="AE37" s="403"/>
    </row>
    <row r="38" spans="1:31" s="443" customFormat="1" ht="12">
      <c r="A38" s="483" t="s">
        <v>221</v>
      </c>
      <c r="B38" s="510">
        <v>0.5</v>
      </c>
      <c r="C38" s="511">
        <f>C36*$B$38</f>
        <v>200</v>
      </c>
      <c r="D38" s="511">
        <f>SUM(D39:D41)</f>
        <v>79399.544077264174</v>
      </c>
      <c r="E38" s="511">
        <f>SUM(E39:E41)</f>
        <v>8.0018171584689668</v>
      </c>
      <c r="F38" s="499"/>
      <c r="G38" s="518"/>
      <c r="H38" s="487"/>
      <c r="I38" s="488"/>
      <c r="J38" s="499"/>
      <c r="K38" s="512">
        <f>P38*C38</f>
        <v>10000</v>
      </c>
      <c r="L38" s="512">
        <f>(U38+K38+M38+N38)*5%</f>
        <v>525</v>
      </c>
      <c r="M38" s="512">
        <f>R38*$K38</f>
        <v>0</v>
      </c>
      <c r="N38" s="512">
        <f>S38*$K38</f>
        <v>500</v>
      </c>
      <c r="O38" s="408"/>
      <c r="P38" s="513">
        <v>50</v>
      </c>
      <c r="Q38" s="514">
        <v>0.05</v>
      </c>
      <c r="R38" s="453">
        <v>0</v>
      </c>
      <c r="S38" s="515">
        <v>0.05</v>
      </c>
      <c r="T38" s="408"/>
      <c r="U38" s="397"/>
      <c r="V38" s="397"/>
      <c r="W38" s="516"/>
      <c r="X38" s="397"/>
      <c r="Y38" s="590">
        <f t="shared" si="1"/>
        <v>396.99772038632085</v>
      </c>
      <c r="Z38" s="589">
        <f t="shared" si="2"/>
        <v>4.0009085792344835E-2</v>
      </c>
      <c r="AA38" s="517"/>
      <c r="AC38" s="403"/>
      <c r="AD38" s="403"/>
      <c r="AE38" s="403"/>
    </row>
    <row r="39" spans="1:31" s="443" customFormat="1" ht="12">
      <c r="A39" s="473" t="s">
        <v>151</v>
      </c>
      <c r="B39" s="510">
        <v>4</v>
      </c>
      <c r="C39" s="519">
        <f>$B39*$C$38</f>
        <v>800</v>
      </c>
      <c r="D39" s="445">
        <v>30653.839999999997</v>
      </c>
      <c r="E39" s="446">
        <v>3.6042239999999994</v>
      </c>
      <c r="F39" s="520"/>
      <c r="G39" s="447"/>
      <c r="H39" s="521"/>
      <c r="I39" s="522"/>
      <c r="J39" s="520"/>
      <c r="K39" s="516"/>
      <c r="L39" s="516"/>
      <c r="M39" s="516"/>
      <c r="N39" s="516"/>
      <c r="O39" s="523"/>
      <c r="P39" s="524"/>
      <c r="Q39" s="525"/>
      <c r="R39" s="526"/>
      <c r="S39" s="527"/>
      <c r="T39" s="523"/>
      <c r="U39" s="397"/>
      <c r="V39" s="397"/>
      <c r="W39" s="516"/>
      <c r="X39" s="397"/>
      <c r="Y39" s="590">
        <f t="shared" si="1"/>
        <v>38.317299999999996</v>
      </c>
      <c r="Z39" s="589">
        <f t="shared" si="2"/>
        <v>4.5052799999999995E-3</v>
      </c>
      <c r="AA39" s="517"/>
      <c r="AC39" s="403"/>
      <c r="AD39" s="403"/>
      <c r="AE39" s="403"/>
    </row>
    <row r="40" spans="1:31" s="443" customFormat="1" ht="12">
      <c r="A40" s="473" t="s">
        <v>222</v>
      </c>
      <c r="B40" s="510">
        <v>1</v>
      </c>
      <c r="C40" s="519">
        <f>$B40*$C$38</f>
        <v>200</v>
      </c>
      <c r="D40" s="445">
        <v>21586.70350747104</v>
      </c>
      <c r="E40" s="446">
        <v>2.4106978536262074</v>
      </c>
      <c r="F40" s="520"/>
      <c r="G40" s="447"/>
      <c r="H40" s="528"/>
      <c r="I40" s="529"/>
      <c r="J40" s="520"/>
      <c r="K40" s="516"/>
      <c r="L40" s="516"/>
      <c r="M40" s="516"/>
      <c r="N40" s="516"/>
      <c r="O40" s="523"/>
      <c r="P40" s="524"/>
      <c r="Q40" s="525"/>
      <c r="R40" s="526"/>
      <c r="S40" s="527"/>
      <c r="T40" s="523"/>
      <c r="U40" s="397"/>
      <c r="V40" s="516"/>
      <c r="W40" s="516"/>
      <c r="X40" s="397"/>
      <c r="Y40" s="590">
        <f t="shared" si="1"/>
        <v>107.9335175373552</v>
      </c>
      <c r="Z40" s="589">
        <f t="shared" si="2"/>
        <v>1.2053489268131037E-2</v>
      </c>
      <c r="AA40" s="517"/>
      <c r="AC40" s="403"/>
      <c r="AD40" s="403"/>
      <c r="AE40" s="403"/>
    </row>
    <row r="41" spans="1:31" s="443" customFormat="1" ht="12">
      <c r="A41" s="473" t="s">
        <v>223</v>
      </c>
      <c r="B41" s="510">
        <v>1</v>
      </c>
      <c r="C41" s="519">
        <f>$B41*$C$38</f>
        <v>200</v>
      </c>
      <c r="D41" s="445">
        <v>27159.00056979313</v>
      </c>
      <c r="E41" s="446">
        <v>1.9868953048427604</v>
      </c>
      <c r="F41" s="520"/>
      <c r="G41" s="447"/>
      <c r="H41" s="528"/>
      <c r="I41" s="529"/>
      <c r="J41" s="520"/>
      <c r="K41" s="530"/>
      <c r="L41" s="530"/>
      <c r="M41" s="530"/>
      <c r="N41" s="530"/>
      <c r="O41" s="523"/>
      <c r="P41" s="531"/>
      <c r="Q41" s="532"/>
      <c r="R41" s="533"/>
      <c r="S41" s="534"/>
      <c r="T41" s="523"/>
      <c r="U41" s="397"/>
      <c r="V41" s="530"/>
      <c r="W41" s="530"/>
      <c r="X41" s="397"/>
      <c r="Y41" s="590">
        <f t="shared" si="1"/>
        <v>135.79500284896565</v>
      </c>
      <c r="Z41" s="589">
        <f t="shared" si="2"/>
        <v>9.934476524213802E-3</v>
      </c>
      <c r="AA41" s="517"/>
      <c r="AC41" s="403"/>
      <c r="AD41" s="403"/>
      <c r="AE41" s="403"/>
    </row>
    <row r="42" spans="1:31" s="443" customFormat="1" ht="12">
      <c r="A42" s="503" t="s">
        <v>224</v>
      </c>
      <c r="B42" s="476"/>
      <c r="C42" s="477">
        <v>1200</v>
      </c>
      <c r="D42" s="477">
        <v>476397.26446358504</v>
      </c>
      <c r="E42" s="477">
        <v>48.010902950813801</v>
      </c>
      <c r="F42" s="408"/>
      <c r="G42" s="462"/>
      <c r="H42" s="478"/>
      <c r="I42" s="479"/>
      <c r="J42" s="408"/>
      <c r="K42" s="535">
        <f>$P$42*C42</f>
        <v>60000</v>
      </c>
      <c r="L42" s="535">
        <f>(U42+K42+M42+N42)*5%</f>
        <v>3150</v>
      </c>
      <c r="M42" s="535">
        <f>S42*$K$42</f>
        <v>3000</v>
      </c>
      <c r="N42" s="535">
        <f>R42*$K$42</f>
        <v>0</v>
      </c>
      <c r="O42" s="408"/>
      <c r="P42" s="536">
        <v>50</v>
      </c>
      <c r="Q42" s="537">
        <v>0.05</v>
      </c>
      <c r="R42" s="538">
        <v>0</v>
      </c>
      <c r="S42" s="539">
        <v>0.05</v>
      </c>
      <c r="T42" s="408"/>
      <c r="U42" s="482"/>
      <c r="V42" s="440">
        <f t="shared" ref="V42:V43" si="8">SUM(K42,L42)</f>
        <v>63150</v>
      </c>
      <c r="W42" s="535">
        <f>U42+V42</f>
        <v>63150</v>
      </c>
      <c r="X42" s="442">
        <v>1.4692272675737528</v>
      </c>
      <c r="Y42" s="590">
        <f t="shared" si="1"/>
        <v>396.99772038632085</v>
      </c>
      <c r="Z42" s="589">
        <f t="shared" si="2"/>
        <v>4.0009085792344835E-2</v>
      </c>
    </row>
    <row r="43" spans="1:31" ht="12">
      <c r="A43" s="475" t="s">
        <v>83</v>
      </c>
      <c r="B43" s="476"/>
      <c r="C43" s="477">
        <v>30</v>
      </c>
      <c r="D43" s="477">
        <f>SUM(D45:D52)</f>
        <v>49775.848831409006</v>
      </c>
      <c r="E43" s="477">
        <f>SUM(E45:E52)</f>
        <v>7.0642214582183032</v>
      </c>
      <c r="F43" s="408"/>
      <c r="G43" s="462"/>
      <c r="H43" s="478"/>
      <c r="I43" s="479"/>
      <c r="J43" s="408"/>
      <c r="K43" s="440">
        <f>$P$43*C43</f>
        <v>10500</v>
      </c>
      <c r="L43" s="440">
        <f>(U43+K43+M43+N43)*5%</f>
        <v>551.25</v>
      </c>
      <c r="M43" s="480">
        <f>S43*$K$43</f>
        <v>525</v>
      </c>
      <c r="N43" s="440">
        <f>R43*$K$43</f>
        <v>0</v>
      </c>
      <c r="O43" s="408"/>
      <c r="P43" s="464">
        <v>350</v>
      </c>
      <c r="Q43" s="540">
        <v>0.05</v>
      </c>
      <c r="R43" s="465">
        <v>0</v>
      </c>
      <c r="S43" s="481">
        <v>0.05</v>
      </c>
      <c r="T43" s="408"/>
      <c r="U43" s="482"/>
      <c r="V43" s="440">
        <f t="shared" si="8"/>
        <v>11051.25</v>
      </c>
      <c r="W43" s="440">
        <f>U43+V43</f>
        <v>11051.25</v>
      </c>
      <c r="X43" s="442">
        <v>1.3180755771356352</v>
      </c>
      <c r="Y43" s="590">
        <f t="shared" si="1"/>
        <v>1659.1949610469669</v>
      </c>
      <c r="Z43" s="589">
        <f t="shared" si="2"/>
        <v>0.23547404860727678</v>
      </c>
    </row>
    <row r="44" spans="1:31" ht="12">
      <c r="A44" s="483" t="s">
        <v>225</v>
      </c>
      <c r="B44" s="476"/>
      <c r="C44" s="484">
        <v>30</v>
      </c>
      <c r="D44" s="485">
        <f>SUM(D45:D48)</f>
        <v>25955.985608229752</v>
      </c>
      <c r="E44" s="485">
        <f>SUM(E45:E48)</f>
        <v>4.6636763106776131</v>
      </c>
      <c r="F44" s="408"/>
      <c r="G44" s="486"/>
      <c r="H44" s="487"/>
      <c r="I44" s="488"/>
      <c r="J44" s="408"/>
      <c r="K44" s="489"/>
      <c r="L44" s="489"/>
      <c r="M44" s="490"/>
      <c r="N44" s="489"/>
      <c r="O44" s="408"/>
      <c r="P44" s="491"/>
      <c r="Q44" s="541"/>
      <c r="R44" s="492"/>
      <c r="S44" s="493"/>
      <c r="T44" s="408"/>
      <c r="U44" s="397"/>
      <c r="V44" s="489"/>
      <c r="W44" s="489"/>
      <c r="X44" s="397"/>
      <c r="Y44" s="590">
        <f t="shared" si="1"/>
        <v>865.1995202743251</v>
      </c>
      <c r="Z44" s="589">
        <f t="shared" si="2"/>
        <v>0.15545587702258709</v>
      </c>
      <c r="AA44" s="443"/>
    </row>
    <row r="45" spans="1:31" s="495" customFormat="1" ht="12">
      <c r="A45" s="474" t="s">
        <v>226</v>
      </c>
      <c r="B45" s="494">
        <v>1</v>
      </c>
      <c r="C45" s="457">
        <f t="shared" ref="C45:C48" si="9">C$43*$B45</f>
        <v>30</v>
      </c>
      <c r="D45" s="445">
        <v>21021.62328270985</v>
      </c>
      <c r="E45" s="446">
        <v>4.0993150684931505</v>
      </c>
      <c r="F45" s="408"/>
      <c r="G45" s="447"/>
      <c r="H45" s="458"/>
      <c r="I45" s="459"/>
      <c r="J45" s="408"/>
      <c r="K45" s="451"/>
      <c r="L45" s="451"/>
      <c r="M45" s="451"/>
      <c r="N45" s="451"/>
      <c r="O45" s="451"/>
      <c r="P45" s="397"/>
      <c r="Q45" s="397"/>
      <c r="R45" s="397"/>
      <c r="S45" s="397"/>
      <c r="T45" s="408"/>
      <c r="U45" s="397"/>
      <c r="V45" s="451"/>
      <c r="W45" s="397"/>
      <c r="X45" s="397"/>
      <c r="Y45" s="590">
        <f t="shared" si="1"/>
        <v>700.72077609032829</v>
      </c>
      <c r="Z45" s="589">
        <f t="shared" si="2"/>
        <v>0.13664383561643836</v>
      </c>
      <c r="AA45" s="443"/>
    </row>
    <row r="46" spans="1:31" s="495" customFormat="1" ht="12">
      <c r="A46" s="474" t="s">
        <v>220</v>
      </c>
      <c r="B46" s="494">
        <v>0.5</v>
      </c>
      <c r="C46" s="457">
        <f t="shared" si="9"/>
        <v>15</v>
      </c>
      <c r="D46" s="445">
        <v>2145</v>
      </c>
      <c r="E46" s="446">
        <v>0.24600000000000002</v>
      </c>
      <c r="F46" s="408"/>
      <c r="G46" s="447"/>
      <c r="H46" s="458"/>
      <c r="I46" s="459"/>
      <c r="J46" s="408"/>
      <c r="K46" s="451"/>
      <c r="L46" s="451"/>
      <c r="M46" s="451"/>
      <c r="N46" s="451"/>
      <c r="O46" s="451"/>
      <c r="P46" s="397"/>
      <c r="Q46" s="397"/>
      <c r="R46" s="397"/>
      <c r="S46" s="397"/>
      <c r="T46" s="408"/>
      <c r="U46" s="397"/>
      <c r="V46" s="451"/>
      <c r="W46" s="397"/>
      <c r="X46" s="397"/>
      <c r="Y46" s="590">
        <f t="shared" si="1"/>
        <v>143</v>
      </c>
      <c r="Z46" s="589">
        <f t="shared" si="2"/>
        <v>1.6400000000000001E-2</v>
      </c>
      <c r="AA46" s="443"/>
    </row>
    <row r="47" spans="1:31" s="495" customFormat="1" ht="12">
      <c r="A47" s="474" t="s">
        <v>219</v>
      </c>
      <c r="B47" s="494">
        <v>0.5</v>
      </c>
      <c r="C47" s="457">
        <f t="shared" si="9"/>
        <v>15</v>
      </c>
      <c r="D47" s="445">
        <v>2032.792264869616</v>
      </c>
      <c r="E47" s="446">
        <v>0.23205391151479635</v>
      </c>
      <c r="F47" s="408"/>
      <c r="G47" s="447"/>
      <c r="H47" s="458"/>
      <c r="I47" s="459"/>
      <c r="J47" s="408"/>
      <c r="K47" s="451"/>
      <c r="L47" s="451"/>
      <c r="M47" s="451"/>
      <c r="N47" s="451"/>
      <c r="O47" s="451"/>
      <c r="P47" s="397"/>
      <c r="Q47" s="397"/>
      <c r="R47" s="397"/>
      <c r="S47" s="397"/>
      <c r="T47" s="408"/>
      <c r="U47" s="397"/>
      <c r="V47" s="451"/>
      <c r="W47" s="397"/>
      <c r="X47" s="397"/>
      <c r="Y47" s="590">
        <f t="shared" si="1"/>
        <v>135.51948432464107</v>
      </c>
      <c r="Z47" s="589">
        <f t="shared" si="2"/>
        <v>1.547026076765309E-2</v>
      </c>
      <c r="AA47" s="443"/>
    </row>
    <row r="48" spans="1:31" ht="12">
      <c r="A48" s="444" t="s">
        <v>227</v>
      </c>
      <c r="B48" s="494">
        <v>0.5</v>
      </c>
      <c r="C48" s="457">
        <f t="shared" si="9"/>
        <v>15</v>
      </c>
      <c r="D48" s="445">
        <v>756.570060650286</v>
      </c>
      <c r="E48" s="446">
        <v>8.6307330669665297E-2</v>
      </c>
      <c r="F48" s="408"/>
      <c r="G48" s="496"/>
      <c r="H48" s="446"/>
      <c r="I48" s="497"/>
      <c r="J48" s="408"/>
      <c r="K48" s="451"/>
      <c r="L48" s="451"/>
      <c r="M48" s="451"/>
      <c r="N48" s="451"/>
      <c r="O48" s="451"/>
      <c r="S48" s="403"/>
      <c r="T48" s="408"/>
      <c r="U48" s="397"/>
      <c r="V48" s="451"/>
      <c r="X48" s="397"/>
      <c r="Y48" s="590">
        <f t="shared" si="1"/>
        <v>50.4380040433524</v>
      </c>
      <c r="Z48" s="589">
        <f t="shared" si="2"/>
        <v>5.7538220446443529E-3</v>
      </c>
      <c r="AA48" s="443"/>
    </row>
    <row r="49" spans="1:27" ht="12">
      <c r="A49" s="498" t="s">
        <v>221</v>
      </c>
      <c r="B49" s="494"/>
      <c r="C49" s="542">
        <v>30</v>
      </c>
      <c r="D49" s="485">
        <f>SUM(D50:D52)</f>
        <v>11909.931611589625</v>
      </c>
      <c r="E49" s="485">
        <f>SUM(E50:E52)</f>
        <v>1.200272573770345</v>
      </c>
      <c r="F49" s="408"/>
      <c r="G49" s="500"/>
      <c r="H49" s="501"/>
      <c r="I49" s="502"/>
      <c r="J49" s="408"/>
      <c r="K49" s="451"/>
      <c r="L49" s="451"/>
      <c r="M49" s="451"/>
      <c r="N49" s="451"/>
      <c r="O49" s="451"/>
      <c r="S49" s="403"/>
      <c r="T49" s="408"/>
      <c r="U49" s="397"/>
      <c r="V49" s="451"/>
      <c r="X49" s="397"/>
      <c r="Y49" s="590">
        <f t="shared" si="1"/>
        <v>396.99772038632085</v>
      </c>
      <c r="Z49" s="589">
        <f t="shared" si="2"/>
        <v>4.0009085792344835E-2</v>
      </c>
      <c r="AA49" s="443"/>
    </row>
    <row r="50" spans="1:27" ht="12">
      <c r="A50" s="444" t="s">
        <v>151</v>
      </c>
      <c r="B50" s="494">
        <v>4</v>
      </c>
      <c r="C50" s="457">
        <f t="shared" ref="C50:C52" si="10">C$43*$B50</f>
        <v>120</v>
      </c>
      <c r="D50" s="445">
        <v>4598.0759999999991</v>
      </c>
      <c r="E50" s="446">
        <v>0.54063359999999994</v>
      </c>
      <c r="F50" s="408"/>
      <c r="G50" s="496"/>
      <c r="H50" s="446"/>
      <c r="I50" s="497"/>
      <c r="J50" s="408"/>
      <c r="K50" s="403"/>
      <c r="L50" s="403"/>
      <c r="M50" s="403"/>
      <c r="N50" s="403"/>
      <c r="O50" s="408"/>
      <c r="S50" s="403"/>
      <c r="T50" s="408"/>
      <c r="U50" s="397"/>
      <c r="V50" s="403"/>
      <c r="X50" s="397"/>
      <c r="Y50" s="590">
        <f t="shared" si="1"/>
        <v>38.317299999999996</v>
      </c>
      <c r="Z50" s="589">
        <f t="shared" si="2"/>
        <v>4.5052799999999995E-3</v>
      </c>
      <c r="AA50" s="443"/>
    </row>
    <row r="51" spans="1:27" ht="12">
      <c r="A51" s="444" t="s">
        <v>222</v>
      </c>
      <c r="B51" s="494">
        <v>1</v>
      </c>
      <c r="C51" s="457">
        <f t="shared" si="10"/>
        <v>30</v>
      </c>
      <c r="D51" s="445">
        <v>3238.0055261206562</v>
      </c>
      <c r="E51" s="446">
        <v>0.36160467804393109</v>
      </c>
      <c r="F51" s="408"/>
      <c r="G51" s="496"/>
      <c r="H51" s="446"/>
      <c r="I51" s="497"/>
      <c r="J51" s="408"/>
      <c r="K51" s="403"/>
      <c r="L51" s="403"/>
      <c r="M51" s="403"/>
      <c r="N51" s="403"/>
      <c r="O51" s="408"/>
      <c r="S51" s="403"/>
      <c r="T51" s="408"/>
      <c r="U51" s="397"/>
      <c r="V51" s="403"/>
      <c r="X51" s="397"/>
      <c r="Y51" s="590">
        <f t="shared" si="1"/>
        <v>107.9335175373552</v>
      </c>
      <c r="Z51" s="589">
        <f t="shared" si="2"/>
        <v>1.2053489268131037E-2</v>
      </c>
      <c r="AA51" s="443"/>
    </row>
    <row r="52" spans="1:27" ht="12">
      <c r="A52" s="444" t="s">
        <v>223</v>
      </c>
      <c r="B52" s="494">
        <v>1</v>
      </c>
      <c r="C52" s="457">
        <f t="shared" si="10"/>
        <v>30</v>
      </c>
      <c r="D52" s="445">
        <v>4073.8500854689696</v>
      </c>
      <c r="E52" s="446">
        <v>0.29803429572641404</v>
      </c>
      <c r="F52" s="408"/>
      <c r="G52" s="496"/>
      <c r="H52" s="446"/>
      <c r="I52" s="497"/>
      <c r="J52" s="408"/>
      <c r="K52" s="403"/>
      <c r="L52" s="403"/>
      <c r="M52" s="403"/>
      <c r="N52" s="403"/>
      <c r="O52" s="408"/>
      <c r="S52" s="403"/>
      <c r="T52" s="408"/>
      <c r="U52" s="397"/>
      <c r="V52" s="403"/>
      <c r="X52" s="397"/>
      <c r="Y52" s="590">
        <f t="shared" si="1"/>
        <v>135.79500284896565</v>
      </c>
      <c r="Z52" s="589">
        <f t="shared" si="2"/>
        <v>9.934476524213802E-3</v>
      </c>
      <c r="AA52" s="443"/>
    </row>
    <row r="53" spans="1:27" ht="12">
      <c r="A53" s="412" t="s">
        <v>174</v>
      </c>
      <c r="C53" s="429">
        <f>C54+C55</f>
        <v>191</v>
      </c>
      <c r="D53" s="429">
        <f>D54+D55</f>
        <v>5759481.7498756815</v>
      </c>
      <c r="E53" s="429">
        <f>E54+E55</f>
        <v>1314.9880014708524</v>
      </c>
      <c r="F53" s="408"/>
      <c r="G53" s="430"/>
      <c r="H53" s="431"/>
      <c r="I53" s="432"/>
      <c r="J53" s="408"/>
      <c r="K53" s="417">
        <f t="shared" ref="K53:L53" si="11">SUM(K54:K55)</f>
        <v>52896.75</v>
      </c>
      <c r="L53" s="417">
        <f t="shared" si="11"/>
        <v>28077.787500000002</v>
      </c>
      <c r="M53" s="417">
        <f>SUM(M54:M55)</f>
        <v>52896.75</v>
      </c>
      <c r="N53" s="417">
        <f>SUM(N54:N55)</f>
        <v>59447.25</v>
      </c>
      <c r="O53" s="408"/>
      <c r="P53" s="543"/>
      <c r="Q53" s="543"/>
      <c r="R53" s="543"/>
      <c r="S53" s="417"/>
      <c r="T53" s="408"/>
      <c r="U53" s="428">
        <f>U54+U55</f>
        <v>396315</v>
      </c>
      <c r="V53" s="428">
        <f>V54+V55</f>
        <v>80974.537500000006</v>
      </c>
      <c r="W53" s="428">
        <f>U53+V53</f>
        <v>477289.53749999998</v>
      </c>
      <c r="X53" s="419">
        <v>3.0146996828195554</v>
      </c>
      <c r="Y53" s="590">
        <f t="shared" si="1"/>
        <v>30154.354711391003</v>
      </c>
      <c r="Z53" s="589">
        <f t="shared" si="2"/>
        <v>6.8847539344023687</v>
      </c>
      <c r="AA53" s="443"/>
    </row>
    <row r="54" spans="1:27" ht="12">
      <c r="A54" s="433" t="s">
        <v>187</v>
      </c>
      <c r="B54" s="403"/>
      <c r="C54" s="461">
        <v>55</v>
      </c>
      <c r="D54" s="477">
        <v>2374753.59</v>
      </c>
      <c r="E54" s="477">
        <v>589.09216666666669</v>
      </c>
      <c r="F54" s="408"/>
      <c r="G54" s="462">
        <v>7940.9</v>
      </c>
      <c r="H54" s="544"/>
      <c r="I54" s="545">
        <f>ROUND(G54*0.5,0)</f>
        <v>3970</v>
      </c>
      <c r="J54" s="408"/>
      <c r="K54" s="440">
        <f>Q$54*U54</f>
        <v>26202</v>
      </c>
      <c r="L54" s="440">
        <f>(U54+K54+M54+N54)*5%</f>
        <v>15175.325000000001</v>
      </c>
      <c r="M54" s="440">
        <f>Q$54*U54</f>
        <v>26202</v>
      </c>
      <c r="N54" s="440">
        <f>R$54*U54</f>
        <v>32752.5</v>
      </c>
      <c r="O54" s="408"/>
      <c r="P54" s="465">
        <v>0.2</v>
      </c>
      <c r="Q54" s="465">
        <v>0.12</v>
      </c>
      <c r="R54" s="465">
        <v>0.15</v>
      </c>
      <c r="S54" s="465">
        <v>0.05</v>
      </c>
      <c r="T54" s="408"/>
      <c r="U54" s="482">
        <f>C54*($H54+$I54)</f>
        <v>218350</v>
      </c>
      <c r="V54" s="440">
        <f t="shared" ref="V54:V55" si="12">SUM(K54,L54)</f>
        <v>41377.324999999997</v>
      </c>
      <c r="W54" s="440">
        <f>U54+V54</f>
        <v>259727.32500000001</v>
      </c>
      <c r="X54" s="442">
        <v>2.2445341607260896</v>
      </c>
      <c r="Y54" s="590">
        <f t="shared" si="1"/>
        <v>43177.337999999996</v>
      </c>
      <c r="Z54" s="589">
        <f t="shared" si="2"/>
        <v>10.710766666666666</v>
      </c>
      <c r="AA54" s="443"/>
    </row>
    <row r="55" spans="1:27" ht="12">
      <c r="A55" s="433" t="s">
        <v>228</v>
      </c>
      <c r="B55" s="403"/>
      <c r="C55" s="477">
        <f>C56+C88+C93</f>
        <v>136</v>
      </c>
      <c r="D55" s="477">
        <f>D56+D88+D93</f>
        <v>3384728.1598756816</v>
      </c>
      <c r="E55" s="477">
        <f>E56+E88+E93</f>
        <v>725.89583480418582</v>
      </c>
      <c r="F55" s="408"/>
      <c r="G55" s="546"/>
      <c r="H55" s="547"/>
      <c r="I55" s="548"/>
      <c r="J55" s="408"/>
      <c r="K55" s="440">
        <f>Q$55*U55</f>
        <v>26694.75</v>
      </c>
      <c r="L55" s="440">
        <f>(U55+K55+M55+N55)*5%</f>
        <v>12902.462500000001</v>
      </c>
      <c r="M55" s="440">
        <f>Q$55*U55</f>
        <v>26694.75</v>
      </c>
      <c r="N55" s="440">
        <f>R$55*U55</f>
        <v>26694.75</v>
      </c>
      <c r="O55" s="408"/>
      <c r="P55" s="465">
        <v>0.3</v>
      </c>
      <c r="Q55" s="465">
        <v>0.15</v>
      </c>
      <c r="R55" s="465">
        <v>0.15</v>
      </c>
      <c r="S55" s="481">
        <v>0.05</v>
      </c>
      <c r="T55" s="408"/>
      <c r="U55" s="466">
        <f>U56+U88+U93</f>
        <v>177965</v>
      </c>
      <c r="V55" s="440">
        <f t="shared" si="12"/>
        <v>39597.212500000001</v>
      </c>
      <c r="W55" s="440">
        <f>U55+V55</f>
        <v>217562.21249999999</v>
      </c>
      <c r="X55" s="442">
        <v>3.9702437730861377</v>
      </c>
      <c r="Y55" s="590">
        <f t="shared" si="1"/>
        <v>24887.707057909425</v>
      </c>
      <c r="Z55" s="589">
        <f t="shared" si="2"/>
        <v>5.3374693735601895</v>
      </c>
      <c r="AA55" s="443"/>
    </row>
    <row r="56" spans="1:27" ht="12">
      <c r="A56" s="484" t="s">
        <v>86</v>
      </c>
      <c r="B56" s="403"/>
      <c r="C56" s="484">
        <v>100</v>
      </c>
      <c r="D56" s="484">
        <f>SUM(D57:D87)</f>
        <v>3263213.6875395989</v>
      </c>
      <c r="E56" s="484">
        <f>SUM(E57:E87)</f>
        <v>712.41964559999985</v>
      </c>
      <c r="F56" s="403"/>
      <c r="G56" s="549"/>
      <c r="H56" s="550"/>
      <c r="I56" s="551"/>
      <c r="J56" s="552"/>
      <c r="K56" s="512">
        <f>Q$56*U56</f>
        <v>25494.75</v>
      </c>
      <c r="L56" s="512">
        <f>(U56+K56+M56+N56)*5%</f>
        <v>12322.462500000001</v>
      </c>
      <c r="M56" s="512">
        <f>Q$56*U56</f>
        <v>25494.75</v>
      </c>
      <c r="N56" s="512">
        <f>R$56*U56</f>
        <v>25494.75</v>
      </c>
      <c r="O56" s="408"/>
      <c r="P56" s="453">
        <v>0.3</v>
      </c>
      <c r="Q56" s="453">
        <v>0.15</v>
      </c>
      <c r="R56" s="453">
        <v>0.15</v>
      </c>
      <c r="S56" s="515">
        <v>0.05</v>
      </c>
      <c r="T56" s="408"/>
      <c r="U56" s="553">
        <f>SUM(U57:U87)</f>
        <v>169965</v>
      </c>
      <c r="W56" s="397"/>
      <c r="X56" s="554">
        <v>4.6475184116268364</v>
      </c>
      <c r="Y56" s="590">
        <f t="shared" si="1"/>
        <v>32632.136875395991</v>
      </c>
      <c r="Z56" s="589">
        <f t="shared" si="2"/>
        <v>7.1241964559999982</v>
      </c>
      <c r="AA56" s="443"/>
    </row>
    <row r="57" spans="1:27" ht="12">
      <c r="A57" s="473" t="s">
        <v>229</v>
      </c>
      <c r="B57" s="555">
        <v>0.45</v>
      </c>
      <c r="C57" s="457">
        <f t="shared" ref="C57:C87" si="13">ROUND($B57*C$56,0)</f>
        <v>45</v>
      </c>
      <c r="D57" s="445">
        <v>45989.593649999995</v>
      </c>
      <c r="E57" s="446">
        <v>10.215449999999999</v>
      </c>
      <c r="F57" s="408"/>
      <c r="G57" s="447">
        <v>17.879999999999995</v>
      </c>
      <c r="H57" s="458"/>
      <c r="I57" s="459">
        <v>75</v>
      </c>
      <c r="J57" s="408"/>
      <c r="O57" s="408"/>
      <c r="T57" s="408"/>
      <c r="U57" s="454">
        <f t="shared" ref="U57:U87" si="14">C57*($H57+$I57)</f>
        <v>3375</v>
      </c>
      <c r="W57" s="397"/>
      <c r="X57" s="456">
        <v>25.599851855936144</v>
      </c>
      <c r="Y57" s="590">
        <f t="shared" si="1"/>
        <v>1021.9909699999999</v>
      </c>
      <c r="Z57" s="589">
        <f t="shared" si="2"/>
        <v>0.22700999999999996</v>
      </c>
      <c r="AA57" s="443"/>
    </row>
    <row r="58" spans="1:27" s="397" customFormat="1" ht="12">
      <c r="A58" s="473" t="s">
        <v>230</v>
      </c>
      <c r="B58" s="555">
        <v>0.45</v>
      </c>
      <c r="C58" s="457">
        <f t="shared" si="13"/>
        <v>45</v>
      </c>
      <c r="D58" s="445">
        <v>109118.1663</v>
      </c>
      <c r="E58" s="446">
        <v>24.2379</v>
      </c>
      <c r="F58" s="408"/>
      <c r="G58" s="447">
        <v>101.81</v>
      </c>
      <c r="H58" s="458"/>
      <c r="I58" s="459">
        <v>40</v>
      </c>
      <c r="J58" s="408"/>
      <c r="O58" s="408"/>
      <c r="P58" s="403"/>
      <c r="Q58" s="403"/>
      <c r="R58" s="403"/>
      <c r="T58" s="408"/>
      <c r="U58" s="454">
        <f t="shared" si="14"/>
        <v>1800</v>
      </c>
      <c r="X58" s="456">
        <v>10.667238764227163</v>
      </c>
      <c r="Y58" s="590">
        <f t="shared" si="1"/>
        <v>2424.8481400000001</v>
      </c>
      <c r="Z58" s="589">
        <f t="shared" si="2"/>
        <v>0.53861999999999999</v>
      </c>
      <c r="AA58" s="443"/>
    </row>
    <row r="59" spans="1:27" ht="12">
      <c r="A59" s="473" t="s">
        <v>231</v>
      </c>
      <c r="B59" s="555">
        <v>0.45</v>
      </c>
      <c r="C59" s="457">
        <f t="shared" si="13"/>
        <v>45</v>
      </c>
      <c r="D59" s="445">
        <v>141396.57674999998</v>
      </c>
      <c r="E59" s="446">
        <v>31.407749999999997</v>
      </c>
      <c r="F59" s="408"/>
      <c r="G59" s="447">
        <v>137.31</v>
      </c>
      <c r="H59" s="458"/>
      <c r="I59" s="459">
        <v>125</v>
      </c>
      <c r="J59" s="408"/>
      <c r="O59" s="408"/>
      <c r="T59" s="408"/>
      <c r="U59" s="454">
        <f t="shared" si="14"/>
        <v>5625</v>
      </c>
      <c r="W59" s="397"/>
      <c r="X59" s="456">
        <v>10.249014848124338</v>
      </c>
      <c r="Y59" s="590">
        <f t="shared" si="1"/>
        <v>3142.1461499999996</v>
      </c>
      <c r="Z59" s="589">
        <f t="shared" si="2"/>
        <v>0.69794999999999996</v>
      </c>
      <c r="AA59" s="443"/>
    </row>
    <row r="60" spans="1:27" ht="12">
      <c r="A60" s="473" t="s">
        <v>232</v>
      </c>
      <c r="B60" s="555">
        <v>0.8</v>
      </c>
      <c r="C60" s="457">
        <f t="shared" si="13"/>
        <v>80</v>
      </c>
      <c r="D60" s="445">
        <v>145765.11206399996</v>
      </c>
      <c r="E60" s="446">
        <v>32.378111999999994</v>
      </c>
      <c r="F60" s="408"/>
      <c r="G60" s="447">
        <v>85</v>
      </c>
      <c r="H60" s="458"/>
      <c r="I60" s="459">
        <v>75</v>
      </c>
      <c r="J60" s="408"/>
      <c r="O60" s="408"/>
      <c r="T60" s="408"/>
      <c r="U60" s="454">
        <f t="shared" si="14"/>
        <v>6000</v>
      </c>
      <c r="W60" s="397"/>
      <c r="X60" s="456">
        <v>9.6006930802992336</v>
      </c>
      <c r="Y60" s="590">
        <f t="shared" si="1"/>
        <v>1822.0639007999994</v>
      </c>
      <c r="Z60" s="589">
        <f t="shared" si="2"/>
        <v>0.40472639999999993</v>
      </c>
      <c r="AA60" s="443"/>
    </row>
    <row r="61" spans="1:27" s="397" customFormat="1" ht="12">
      <c r="A61" s="473" t="s">
        <v>233</v>
      </c>
      <c r="B61" s="555">
        <v>0.8</v>
      </c>
      <c r="C61" s="457">
        <f t="shared" si="13"/>
        <v>80</v>
      </c>
      <c r="D61" s="445">
        <v>231444.77241600002</v>
      </c>
      <c r="E61" s="446">
        <v>51.409728000000001</v>
      </c>
      <c r="F61" s="408"/>
      <c r="G61" s="447">
        <v>127.5</v>
      </c>
      <c r="H61" s="458"/>
      <c r="I61" s="459">
        <v>125</v>
      </c>
      <c r="J61" s="408"/>
      <c r="O61" s="408"/>
      <c r="P61" s="403"/>
      <c r="Q61" s="403"/>
      <c r="R61" s="403"/>
      <c r="T61" s="408"/>
      <c r="U61" s="454">
        <f t="shared" si="14"/>
        <v>10000</v>
      </c>
      <c r="X61" s="456">
        <v>10.162606554898691</v>
      </c>
      <c r="Y61" s="590">
        <f t="shared" si="1"/>
        <v>2893.0596552000002</v>
      </c>
      <c r="Z61" s="589">
        <f t="shared" si="2"/>
        <v>0.64262160000000002</v>
      </c>
      <c r="AA61" s="443"/>
    </row>
    <row r="62" spans="1:27" ht="12">
      <c r="A62" s="474" t="s">
        <v>237</v>
      </c>
      <c r="B62" s="555">
        <v>8.5</v>
      </c>
      <c r="C62" s="457">
        <f t="shared" si="13"/>
        <v>850</v>
      </c>
      <c r="D62" s="445">
        <v>32373.626999999997</v>
      </c>
      <c r="E62" s="446">
        <v>7.1910000000000007</v>
      </c>
      <c r="F62" s="408"/>
      <c r="G62" s="447">
        <v>2</v>
      </c>
      <c r="H62" s="448"/>
      <c r="I62" s="449">
        <v>0.5</v>
      </c>
      <c r="J62" s="408"/>
      <c r="O62" s="408"/>
      <c r="T62" s="408"/>
      <c r="U62" s="454">
        <f t="shared" si="14"/>
        <v>425</v>
      </c>
      <c r="W62" s="397"/>
      <c r="X62" s="456">
        <v>5.6232729231413634</v>
      </c>
      <c r="Y62" s="590">
        <f t="shared" si="1"/>
        <v>38.086619999999996</v>
      </c>
      <c r="Z62" s="589">
        <f t="shared" si="2"/>
        <v>8.4600000000000005E-3</v>
      </c>
      <c r="AA62" s="443"/>
    </row>
    <row r="63" spans="1:27" s="397" customFormat="1" ht="12">
      <c r="A63" s="473" t="s">
        <v>238</v>
      </c>
      <c r="B63" s="555">
        <v>0.5</v>
      </c>
      <c r="C63" s="457">
        <f t="shared" si="13"/>
        <v>50</v>
      </c>
      <c r="D63" s="445">
        <v>17773.756000000001</v>
      </c>
      <c r="E63" s="446">
        <v>3.948</v>
      </c>
      <c r="F63" s="408"/>
      <c r="G63" s="447">
        <v>72</v>
      </c>
      <c r="H63" s="458"/>
      <c r="I63" s="459">
        <v>17</v>
      </c>
      <c r="J63" s="408"/>
      <c r="O63" s="408"/>
      <c r="P63" s="403"/>
      <c r="Q63" s="403"/>
      <c r="R63" s="403"/>
      <c r="T63" s="408"/>
      <c r="U63" s="454">
        <f t="shared" si="14"/>
        <v>850</v>
      </c>
      <c r="X63" s="456">
        <v>2.032106896152257</v>
      </c>
      <c r="Y63" s="590">
        <f t="shared" si="1"/>
        <v>355.47512</v>
      </c>
      <c r="Z63" s="589">
        <f t="shared" si="2"/>
        <v>7.8960000000000002E-2</v>
      </c>
      <c r="AA63" s="443"/>
    </row>
    <row r="64" spans="1:27" s="397" customFormat="1" ht="12">
      <c r="A64" s="474" t="s">
        <v>239</v>
      </c>
      <c r="B64" s="555">
        <v>0.5</v>
      </c>
      <c r="C64" s="457">
        <f t="shared" si="13"/>
        <v>50</v>
      </c>
      <c r="D64" s="445">
        <v>33643.180999999997</v>
      </c>
      <c r="E64" s="446">
        <v>7.472999999999999</v>
      </c>
      <c r="F64" s="408"/>
      <c r="G64" s="447">
        <v>142.12</v>
      </c>
      <c r="H64" s="458"/>
      <c r="I64" s="459">
        <v>28</v>
      </c>
      <c r="J64" s="408"/>
      <c r="O64" s="408"/>
      <c r="P64" s="403"/>
      <c r="Q64" s="403"/>
      <c r="R64" s="403"/>
      <c r="T64" s="408"/>
      <c r="U64" s="454">
        <f t="shared" si="14"/>
        <v>1400</v>
      </c>
      <c r="X64" s="456">
        <v>1.948685194533043</v>
      </c>
      <c r="Y64" s="590">
        <f t="shared" si="1"/>
        <v>672.86361999999997</v>
      </c>
      <c r="Z64" s="589">
        <f t="shared" si="2"/>
        <v>0.14945999999999998</v>
      </c>
      <c r="AA64" s="443"/>
    </row>
    <row r="65" spans="1:27" ht="12">
      <c r="A65" s="474" t="s">
        <v>240</v>
      </c>
      <c r="B65" s="555">
        <v>0.5</v>
      </c>
      <c r="C65" s="457">
        <f t="shared" si="13"/>
        <v>50</v>
      </c>
      <c r="D65" s="445">
        <v>33960.569499999998</v>
      </c>
      <c r="E65" s="446">
        <v>7.543499999999999</v>
      </c>
      <c r="F65" s="408"/>
      <c r="G65" s="447">
        <v>117</v>
      </c>
      <c r="H65" s="458"/>
      <c r="I65" s="459">
        <v>45</v>
      </c>
      <c r="J65" s="408"/>
      <c r="O65" s="408"/>
      <c r="T65" s="408"/>
      <c r="U65" s="454">
        <f t="shared" si="14"/>
        <v>2250</v>
      </c>
      <c r="W65" s="397"/>
      <c r="X65" s="456">
        <v>2.3894004163548508</v>
      </c>
      <c r="Y65" s="590">
        <f t="shared" si="1"/>
        <v>679.21138999999994</v>
      </c>
      <c r="Z65" s="589">
        <f t="shared" si="2"/>
        <v>0.15086999999999998</v>
      </c>
      <c r="AA65" s="443"/>
    </row>
    <row r="66" spans="1:27" ht="12">
      <c r="A66" s="474" t="s">
        <v>241</v>
      </c>
      <c r="B66" s="555">
        <v>0.5</v>
      </c>
      <c r="C66" s="457">
        <f t="shared" si="13"/>
        <v>50</v>
      </c>
      <c r="D66" s="445">
        <v>6665.1584999999995</v>
      </c>
      <c r="E66" s="446">
        <v>1.4805000000000001</v>
      </c>
      <c r="F66" s="408"/>
      <c r="G66" s="447">
        <v>69.180000000000007</v>
      </c>
      <c r="H66" s="458"/>
      <c r="I66" s="459">
        <v>25</v>
      </c>
      <c r="J66" s="408"/>
      <c r="O66" s="408"/>
      <c r="T66" s="408"/>
      <c r="U66" s="454">
        <f t="shared" si="14"/>
        <v>1250</v>
      </c>
      <c r="W66" s="397"/>
      <c r="X66" s="456">
        <v>0.86301397334767149</v>
      </c>
      <c r="Y66" s="590">
        <f t="shared" si="1"/>
        <v>133.30316999999999</v>
      </c>
      <c r="Z66" s="589">
        <f t="shared" si="2"/>
        <v>2.9610000000000004E-2</v>
      </c>
      <c r="AA66" s="443"/>
    </row>
    <row r="67" spans="1:27" ht="12">
      <c r="A67" s="474" t="s">
        <v>242</v>
      </c>
      <c r="B67" s="555">
        <v>0.5</v>
      </c>
      <c r="C67" s="457">
        <f t="shared" si="13"/>
        <v>50</v>
      </c>
      <c r="D67" s="445">
        <v>19995.475499999997</v>
      </c>
      <c r="E67" s="446">
        <v>4.4414999999999996</v>
      </c>
      <c r="F67" s="408"/>
      <c r="G67" s="447">
        <v>132.12</v>
      </c>
      <c r="H67" s="458"/>
      <c r="I67" s="459">
        <v>40</v>
      </c>
      <c r="J67" s="408"/>
      <c r="O67" s="408"/>
      <c r="T67" s="408"/>
      <c r="U67" s="454">
        <f t="shared" si="14"/>
        <v>2000</v>
      </c>
      <c r="W67" s="397"/>
      <c r="X67" s="456">
        <v>1.3556609145366014</v>
      </c>
      <c r="Y67" s="590">
        <f t="shared" si="1"/>
        <v>399.90950999999995</v>
      </c>
      <c r="Z67" s="589">
        <f t="shared" si="2"/>
        <v>8.8829999999999992E-2</v>
      </c>
      <c r="AA67" s="443"/>
    </row>
    <row r="68" spans="1:27" ht="12">
      <c r="A68" s="474" t="s">
        <v>243</v>
      </c>
      <c r="B68" s="555">
        <v>0.5</v>
      </c>
      <c r="C68" s="457">
        <f t="shared" si="13"/>
        <v>50</v>
      </c>
      <c r="D68" s="445">
        <v>27295.410999999996</v>
      </c>
      <c r="E68" s="446">
        <v>6.0629999999999988</v>
      </c>
      <c r="F68" s="408"/>
      <c r="G68" s="447">
        <v>108</v>
      </c>
      <c r="H68" s="458"/>
      <c r="I68" s="459">
        <v>55</v>
      </c>
      <c r="J68" s="408"/>
      <c r="O68" s="408"/>
      <c r="T68" s="408"/>
      <c r="U68" s="454">
        <f t="shared" si="14"/>
        <v>2750</v>
      </c>
      <c r="W68" s="397"/>
      <c r="X68" s="456">
        <v>2.2638819991854087</v>
      </c>
      <c r="Y68" s="590">
        <f t="shared" si="1"/>
        <v>545.90821999999991</v>
      </c>
      <c r="Z68" s="589">
        <f t="shared" si="2"/>
        <v>0.12125999999999998</v>
      </c>
      <c r="AA68" s="443"/>
    </row>
    <row r="69" spans="1:27" ht="12">
      <c r="A69" s="473" t="s">
        <v>244</v>
      </c>
      <c r="B69" s="555">
        <v>0.5</v>
      </c>
      <c r="C69" s="457">
        <f t="shared" si="13"/>
        <v>50</v>
      </c>
      <c r="D69" s="445">
        <v>85060.118000000002</v>
      </c>
      <c r="E69" s="446">
        <v>18.893999999999998</v>
      </c>
      <c r="F69" s="408"/>
      <c r="G69" s="447">
        <v>10</v>
      </c>
      <c r="H69" s="458"/>
      <c r="I69" s="459">
        <v>65</v>
      </c>
      <c r="J69" s="408"/>
      <c r="O69" s="408"/>
      <c r="T69" s="408"/>
      <c r="U69" s="454">
        <f t="shared" si="14"/>
        <v>3250</v>
      </c>
      <c r="W69" s="397"/>
      <c r="X69" s="456">
        <v>76.192791377235423</v>
      </c>
      <c r="Y69" s="590">
        <f t="shared" si="1"/>
        <v>1701.20236</v>
      </c>
      <c r="Z69" s="589">
        <f t="shared" si="2"/>
        <v>0.37787999999999999</v>
      </c>
      <c r="AA69" s="443"/>
    </row>
    <row r="70" spans="1:27" ht="12">
      <c r="A70" s="473" t="s">
        <v>193</v>
      </c>
      <c r="B70" s="555">
        <v>1.5</v>
      </c>
      <c r="C70" s="457">
        <f t="shared" si="13"/>
        <v>150</v>
      </c>
      <c r="D70" s="445">
        <v>15234.647999999999</v>
      </c>
      <c r="E70" s="446">
        <v>3.3839999999999999</v>
      </c>
      <c r="F70" s="408"/>
      <c r="G70" s="447">
        <v>31.909999999999997</v>
      </c>
      <c r="H70" s="458"/>
      <c r="I70" s="459">
        <v>5</v>
      </c>
      <c r="J70" s="408"/>
      <c r="O70" s="408"/>
      <c r="T70" s="408"/>
      <c r="U70" s="454">
        <f t="shared" si="14"/>
        <v>750</v>
      </c>
      <c r="W70" s="397"/>
      <c r="X70" s="456">
        <v>0.93985549744345354</v>
      </c>
      <c r="Y70" s="590">
        <f t="shared" si="1"/>
        <v>101.56432</v>
      </c>
      <c r="Z70" s="589">
        <f t="shared" si="2"/>
        <v>2.256E-2</v>
      </c>
      <c r="AA70" s="443"/>
    </row>
    <row r="71" spans="1:27" ht="12">
      <c r="A71" s="473" t="s">
        <v>245</v>
      </c>
      <c r="B71" s="555">
        <v>2</v>
      </c>
      <c r="C71" s="457">
        <f t="shared" si="13"/>
        <v>200</v>
      </c>
      <c r="D71" s="445">
        <v>30469.295999999998</v>
      </c>
      <c r="E71" s="446">
        <v>6.7680000000000007</v>
      </c>
      <c r="F71" s="408"/>
      <c r="G71" s="447">
        <v>37.79</v>
      </c>
      <c r="H71" s="458"/>
      <c r="I71" s="459">
        <v>8.5</v>
      </c>
      <c r="J71" s="408"/>
      <c r="O71" s="408"/>
      <c r="T71" s="408"/>
      <c r="U71" s="454">
        <f t="shared" si="14"/>
        <v>1700</v>
      </c>
      <c r="W71" s="397"/>
      <c r="X71" s="456">
        <v>1.1904255989714447</v>
      </c>
      <c r="Y71" s="590">
        <f t="shared" si="1"/>
        <v>152.34647999999999</v>
      </c>
      <c r="Z71" s="589">
        <f t="shared" si="2"/>
        <v>3.3840000000000002E-2</v>
      </c>
      <c r="AA71" s="443"/>
    </row>
    <row r="72" spans="1:27" ht="12">
      <c r="A72" s="473" t="s">
        <v>246</v>
      </c>
      <c r="B72" s="555">
        <v>1</v>
      </c>
      <c r="C72" s="457">
        <f t="shared" si="13"/>
        <v>100</v>
      </c>
      <c r="D72" s="445">
        <v>24121.525999999998</v>
      </c>
      <c r="E72" s="446">
        <v>5.3579999999999997</v>
      </c>
      <c r="F72" s="408"/>
      <c r="G72" s="447">
        <v>62.959999999999994</v>
      </c>
      <c r="H72" s="458"/>
      <c r="I72" s="459">
        <v>12.5</v>
      </c>
      <c r="J72" s="408"/>
      <c r="O72" s="408"/>
      <c r="T72" s="408"/>
      <c r="U72" s="454">
        <f t="shared" si="14"/>
        <v>1250</v>
      </c>
      <c r="W72" s="397"/>
      <c r="X72" s="456">
        <v>1.1313234385820194</v>
      </c>
      <c r="Y72" s="590">
        <f t="shared" si="1"/>
        <v>241.21525999999997</v>
      </c>
      <c r="Z72" s="589">
        <f t="shared" si="2"/>
        <v>5.3579999999999996E-2</v>
      </c>
      <c r="AA72" s="443"/>
    </row>
    <row r="73" spans="1:27" ht="12">
      <c r="A73" s="473" t="s">
        <v>247</v>
      </c>
      <c r="B73" s="555">
        <v>1.5</v>
      </c>
      <c r="C73" s="457">
        <f t="shared" si="13"/>
        <v>150</v>
      </c>
      <c r="D73" s="445">
        <v>9521.6550000000007</v>
      </c>
      <c r="E73" s="446">
        <v>2.1149999999999998</v>
      </c>
      <c r="F73" s="408"/>
      <c r="G73" s="447">
        <v>15</v>
      </c>
      <c r="H73" s="458"/>
      <c r="I73" s="459">
        <v>9</v>
      </c>
      <c r="J73" s="408"/>
      <c r="O73" s="408"/>
      <c r="T73" s="408"/>
      <c r="U73" s="454">
        <f t="shared" si="14"/>
        <v>1350</v>
      </c>
      <c r="W73" s="397"/>
      <c r="X73" s="456">
        <v>1.8953430690854594</v>
      </c>
      <c r="Y73" s="590">
        <f t="shared" si="1"/>
        <v>63.477700000000006</v>
      </c>
      <c r="Z73" s="589">
        <f t="shared" si="2"/>
        <v>1.4099999999999998E-2</v>
      </c>
      <c r="AA73" s="443"/>
    </row>
    <row r="74" spans="1:27" ht="12">
      <c r="A74" s="474" t="s">
        <v>248</v>
      </c>
      <c r="B74" s="555">
        <v>1.5</v>
      </c>
      <c r="C74" s="457">
        <f t="shared" si="13"/>
        <v>150</v>
      </c>
      <c r="D74" s="445">
        <v>9521.6550000000007</v>
      </c>
      <c r="E74" s="446">
        <v>2.1149999999999998</v>
      </c>
      <c r="F74" s="408"/>
      <c r="G74" s="447">
        <v>18</v>
      </c>
      <c r="H74" s="458"/>
      <c r="I74" s="459">
        <v>18</v>
      </c>
      <c r="J74" s="408"/>
      <c r="O74" s="408"/>
      <c r="T74" s="408"/>
      <c r="U74" s="454">
        <f t="shared" si="14"/>
        <v>2700</v>
      </c>
      <c r="W74" s="397"/>
      <c r="X74" s="456">
        <v>1.5794525575712159</v>
      </c>
      <c r="Y74" s="590">
        <f t="shared" ref="Y74:Y95" si="15">D74/C74</f>
        <v>63.477700000000006</v>
      </c>
      <c r="Z74" s="589">
        <f t="shared" ref="Z74:Z95" si="16">E74/C74</f>
        <v>1.4099999999999998E-2</v>
      </c>
      <c r="AA74" s="443"/>
    </row>
    <row r="75" spans="1:27" ht="12">
      <c r="A75" s="473" t="s">
        <v>249</v>
      </c>
      <c r="B75" s="555">
        <v>2.5</v>
      </c>
      <c r="C75" s="457">
        <f t="shared" si="13"/>
        <v>250</v>
      </c>
      <c r="D75" s="445">
        <v>167739.82224999997</v>
      </c>
      <c r="E75" s="446">
        <v>37.259249999999994</v>
      </c>
      <c r="F75" s="408"/>
      <c r="G75" s="447">
        <v>125</v>
      </c>
      <c r="H75" s="458"/>
      <c r="I75" s="459">
        <v>35</v>
      </c>
      <c r="J75" s="408"/>
      <c r="O75" s="408"/>
      <c r="T75" s="408"/>
      <c r="U75" s="454">
        <f t="shared" si="14"/>
        <v>8750</v>
      </c>
      <c r="W75" s="397"/>
      <c r="X75" s="456">
        <v>2.4916909379565593</v>
      </c>
      <c r="Y75" s="590">
        <f t="shared" si="15"/>
        <v>670.9592889999999</v>
      </c>
      <c r="Z75" s="589">
        <f t="shared" si="16"/>
        <v>0.14903699999999998</v>
      </c>
      <c r="AA75" s="443"/>
    </row>
    <row r="76" spans="1:27" ht="12">
      <c r="A76" s="473" t="s">
        <v>250</v>
      </c>
      <c r="B76" s="555">
        <v>1</v>
      </c>
      <c r="C76" s="457">
        <f t="shared" si="13"/>
        <v>100</v>
      </c>
      <c r="D76" s="445">
        <v>82774.920800000007</v>
      </c>
      <c r="E76" s="446">
        <v>18.386399999999998</v>
      </c>
      <c r="F76" s="408"/>
      <c r="G76" s="447">
        <v>250</v>
      </c>
      <c r="H76" s="458"/>
      <c r="I76" s="459">
        <v>75</v>
      </c>
      <c r="J76" s="408"/>
      <c r="O76" s="408"/>
      <c r="T76" s="408"/>
      <c r="U76" s="454">
        <f t="shared" si="14"/>
        <v>7500</v>
      </c>
      <c r="W76" s="397"/>
      <c r="X76" s="456">
        <v>1.536974921047944</v>
      </c>
      <c r="Y76" s="590">
        <f t="shared" si="15"/>
        <v>827.74920800000007</v>
      </c>
      <c r="Z76" s="589">
        <f t="shared" si="16"/>
        <v>0.18386399999999997</v>
      </c>
      <c r="AA76" s="443"/>
    </row>
    <row r="77" spans="1:27" ht="12">
      <c r="A77" s="473" t="s">
        <v>251</v>
      </c>
      <c r="B77" s="555">
        <v>2.5</v>
      </c>
      <c r="C77" s="457">
        <f t="shared" si="13"/>
        <v>250</v>
      </c>
      <c r="D77" s="445">
        <v>388166.13549999992</v>
      </c>
      <c r="E77" s="446">
        <v>86.221499999999978</v>
      </c>
      <c r="F77" s="408"/>
      <c r="G77" s="447">
        <v>375</v>
      </c>
      <c r="H77" s="458"/>
      <c r="I77" s="459">
        <v>100</v>
      </c>
      <c r="J77" s="408"/>
      <c r="O77" s="408"/>
      <c r="T77" s="408"/>
      <c r="U77" s="454">
        <f t="shared" si="14"/>
        <v>25000</v>
      </c>
      <c r="W77" s="397"/>
      <c r="X77" s="456">
        <v>1.9220044258094433</v>
      </c>
      <c r="Y77" s="590">
        <f t="shared" si="15"/>
        <v>1552.6645419999998</v>
      </c>
      <c r="Z77" s="589">
        <f t="shared" si="16"/>
        <v>0.34488599999999991</v>
      </c>
      <c r="AA77" s="443"/>
    </row>
    <row r="78" spans="1:27" ht="12">
      <c r="A78" s="473" t="s">
        <v>252</v>
      </c>
      <c r="B78" s="555">
        <v>1.5</v>
      </c>
      <c r="C78" s="457">
        <f t="shared" si="13"/>
        <v>150</v>
      </c>
      <c r="D78" s="445">
        <v>28958.018918399997</v>
      </c>
      <c r="E78" s="446">
        <v>6.4323071999999994</v>
      </c>
      <c r="F78" s="408"/>
      <c r="G78" s="447">
        <v>12</v>
      </c>
      <c r="H78" s="458"/>
      <c r="I78" s="459">
        <v>8</v>
      </c>
      <c r="J78" s="408"/>
      <c r="K78" s="408"/>
      <c r="L78" s="408"/>
      <c r="M78" s="408"/>
      <c r="N78" s="408"/>
      <c r="O78" s="408"/>
      <c r="T78" s="408"/>
      <c r="U78" s="454">
        <f t="shared" si="14"/>
        <v>1200</v>
      </c>
      <c r="W78" s="397"/>
      <c r="X78" s="456">
        <v>7.2053362114352781</v>
      </c>
      <c r="Y78" s="590">
        <f t="shared" si="15"/>
        <v>193.05345945599998</v>
      </c>
      <c r="Z78" s="589">
        <f t="shared" si="16"/>
        <v>4.2882047999999999E-2</v>
      </c>
      <c r="AA78" s="443"/>
    </row>
    <row r="79" spans="1:27" ht="12">
      <c r="A79" s="474" t="s">
        <v>253</v>
      </c>
      <c r="B79" s="555">
        <v>1</v>
      </c>
      <c r="C79" s="457">
        <f t="shared" si="13"/>
        <v>100</v>
      </c>
      <c r="D79" s="445">
        <v>38610.691891199996</v>
      </c>
      <c r="E79" s="446">
        <v>8.5764095999999999</v>
      </c>
      <c r="F79" s="408"/>
      <c r="G79" s="447">
        <v>24</v>
      </c>
      <c r="H79" s="458"/>
      <c r="I79" s="459">
        <f t="shared" ref="I79" si="17">8*2</f>
        <v>16</v>
      </c>
      <c r="J79" s="408"/>
      <c r="K79" s="408"/>
      <c r="L79" s="408"/>
      <c r="M79" s="408"/>
      <c r="N79" s="408"/>
      <c r="O79" s="408"/>
      <c r="T79" s="408"/>
      <c r="U79" s="454">
        <f t="shared" si="14"/>
        <v>1600</v>
      </c>
      <c r="W79" s="397"/>
      <c r="X79" s="456">
        <v>7.2053362114352772</v>
      </c>
      <c r="Y79" s="590">
        <f t="shared" si="15"/>
        <v>386.10691891199997</v>
      </c>
      <c r="Z79" s="589">
        <f t="shared" si="16"/>
        <v>8.5764095999999998E-2</v>
      </c>
      <c r="AA79" s="443"/>
    </row>
    <row r="80" spans="1:27" ht="12">
      <c r="A80" s="474" t="s">
        <v>254</v>
      </c>
      <c r="B80" s="555">
        <v>0.5</v>
      </c>
      <c r="C80" s="457">
        <f t="shared" si="13"/>
        <v>50</v>
      </c>
      <c r="D80" s="445">
        <v>13012.928499999998</v>
      </c>
      <c r="E80" s="446">
        <v>2.8904999999999998</v>
      </c>
      <c r="F80" s="408"/>
      <c r="G80" s="447">
        <v>43</v>
      </c>
      <c r="H80" s="458"/>
      <c r="I80" s="459">
        <v>5</v>
      </c>
      <c r="J80" s="408"/>
      <c r="K80" s="408"/>
      <c r="L80" s="408"/>
      <c r="M80" s="408"/>
      <c r="N80" s="408"/>
      <c r="O80" s="408"/>
      <c r="T80" s="408"/>
      <c r="U80" s="454">
        <f t="shared" si="14"/>
        <v>250</v>
      </c>
      <c r="W80" s="397"/>
      <c r="X80" s="456">
        <v>2.9876960744667294</v>
      </c>
      <c r="Y80" s="590">
        <f t="shared" si="15"/>
        <v>260.25856999999996</v>
      </c>
      <c r="Z80" s="589">
        <f t="shared" si="16"/>
        <v>5.781E-2</v>
      </c>
      <c r="AA80" s="443"/>
    </row>
    <row r="81" spans="1:27" ht="12">
      <c r="A81" s="473" t="s">
        <v>255</v>
      </c>
      <c r="B81" s="555">
        <v>2.5</v>
      </c>
      <c r="C81" s="457">
        <f t="shared" si="13"/>
        <v>250</v>
      </c>
      <c r="D81" s="445">
        <v>99977.377499999988</v>
      </c>
      <c r="E81" s="446">
        <v>22.2075</v>
      </c>
      <c r="F81" s="408"/>
      <c r="G81" s="447">
        <v>55</v>
      </c>
      <c r="H81" s="458"/>
      <c r="I81" s="459">
        <v>9</v>
      </c>
      <c r="J81" s="408"/>
      <c r="K81" s="408"/>
      <c r="L81" s="408"/>
      <c r="M81" s="408"/>
      <c r="N81" s="408"/>
      <c r="O81" s="408"/>
      <c r="T81" s="408"/>
      <c r="U81" s="454">
        <f t="shared" si="14"/>
        <v>2250</v>
      </c>
      <c r="W81" s="397"/>
      <c r="X81" s="456">
        <v>3.5892100513216723</v>
      </c>
      <c r="Y81" s="590">
        <f t="shared" si="15"/>
        <v>399.90950999999995</v>
      </c>
      <c r="Z81" s="589">
        <f t="shared" si="16"/>
        <v>8.8829999999999992E-2</v>
      </c>
      <c r="AA81" s="443"/>
    </row>
    <row r="82" spans="1:27" ht="12">
      <c r="A82" s="473" t="s">
        <v>256</v>
      </c>
      <c r="B82" s="555">
        <v>1.5</v>
      </c>
      <c r="C82" s="457">
        <f t="shared" si="13"/>
        <v>150</v>
      </c>
      <c r="D82" s="445">
        <v>57129.929999999993</v>
      </c>
      <c r="E82" s="446">
        <v>12.69</v>
      </c>
      <c r="F82" s="408"/>
      <c r="G82" s="447">
        <v>93</v>
      </c>
      <c r="H82" s="458"/>
      <c r="I82" s="459">
        <v>8</v>
      </c>
      <c r="J82" s="408"/>
      <c r="O82" s="408"/>
      <c r="T82" s="408"/>
      <c r="U82" s="454">
        <f t="shared" si="14"/>
        <v>1200</v>
      </c>
      <c r="W82" s="397"/>
      <c r="X82" s="456">
        <v>2.0215724815431848</v>
      </c>
      <c r="Y82" s="590">
        <f t="shared" si="15"/>
        <v>380.86619999999994</v>
      </c>
      <c r="Z82" s="589">
        <f t="shared" si="16"/>
        <v>8.4599999999999995E-2</v>
      </c>
      <c r="AA82" s="443"/>
    </row>
    <row r="83" spans="1:27" ht="12">
      <c r="A83" s="473" t="s">
        <v>192</v>
      </c>
      <c r="B83" s="556">
        <v>40</v>
      </c>
      <c r="C83" s="457">
        <f t="shared" si="13"/>
        <v>4000</v>
      </c>
      <c r="D83" s="445">
        <v>1142598.6000000001</v>
      </c>
      <c r="E83" s="446">
        <v>253.79999999999998</v>
      </c>
      <c r="F83" s="408"/>
      <c r="G83" s="447">
        <v>9.5</v>
      </c>
      <c r="H83" s="458"/>
      <c r="I83" s="459">
        <v>16</v>
      </c>
      <c r="J83" s="408"/>
      <c r="O83" s="408"/>
      <c r="T83" s="408"/>
      <c r="U83" s="454">
        <f t="shared" si="14"/>
        <v>64000</v>
      </c>
      <c r="W83" s="397"/>
      <c r="X83" s="456">
        <v>13.957836504511924</v>
      </c>
      <c r="Y83" s="590">
        <f t="shared" si="15"/>
        <v>285.64965000000001</v>
      </c>
      <c r="Z83" s="589">
        <f t="shared" si="16"/>
        <v>6.3449999999999993E-2</v>
      </c>
      <c r="AA83" s="443"/>
    </row>
    <row r="84" spans="1:27" ht="12">
      <c r="A84" s="473" t="s">
        <v>194</v>
      </c>
      <c r="B84" s="555">
        <v>3.5</v>
      </c>
      <c r="C84" s="457">
        <f t="shared" si="13"/>
        <v>350</v>
      </c>
      <c r="D84" s="445">
        <v>122194.57249999999</v>
      </c>
      <c r="E84" s="446">
        <v>27.142499999999998</v>
      </c>
      <c r="F84" s="408"/>
      <c r="G84" s="447">
        <v>9.5</v>
      </c>
      <c r="H84" s="458"/>
      <c r="I84" s="459">
        <v>23</v>
      </c>
      <c r="J84" s="408"/>
      <c r="O84" s="408"/>
      <c r="T84" s="408"/>
      <c r="U84" s="454">
        <f t="shared" si="14"/>
        <v>8050</v>
      </c>
      <c r="W84" s="397"/>
      <c r="X84" s="456">
        <v>17.059577949959017</v>
      </c>
      <c r="Y84" s="590">
        <f t="shared" si="15"/>
        <v>349.12734999999998</v>
      </c>
      <c r="Z84" s="589">
        <f t="shared" si="16"/>
        <v>7.7549999999999994E-2</v>
      </c>
      <c r="AA84" s="443"/>
    </row>
    <row r="85" spans="1:27" ht="12">
      <c r="A85" s="473" t="s">
        <v>264</v>
      </c>
      <c r="B85" s="555">
        <v>0.2</v>
      </c>
      <c r="C85" s="457">
        <f t="shared" si="13"/>
        <v>20</v>
      </c>
      <c r="D85" s="445">
        <v>7255.8600000000006</v>
      </c>
      <c r="E85" s="446">
        <v>0.23171939999999999</v>
      </c>
      <c r="F85" s="408"/>
      <c r="G85" s="447">
        <v>55</v>
      </c>
      <c r="H85" s="458"/>
      <c r="I85" s="459">
        <v>12</v>
      </c>
      <c r="J85" s="408"/>
      <c r="O85" s="408"/>
      <c r="T85" s="408"/>
      <c r="U85" s="454">
        <f t="shared" si="14"/>
        <v>240</v>
      </c>
      <c r="W85" s="397"/>
      <c r="X85" s="456">
        <v>1.8192041681980609</v>
      </c>
      <c r="Y85" s="590">
        <f t="shared" si="15"/>
        <v>362.79300000000001</v>
      </c>
      <c r="Z85" s="589">
        <f t="shared" si="16"/>
        <v>1.1585969999999999E-2</v>
      </c>
      <c r="AA85" s="443"/>
    </row>
    <row r="86" spans="1:27" ht="12">
      <c r="A86" s="473" t="s">
        <v>195</v>
      </c>
      <c r="B86" s="555">
        <v>0.2</v>
      </c>
      <c r="C86" s="457">
        <f t="shared" si="13"/>
        <v>20</v>
      </c>
      <c r="D86" s="445">
        <v>7255.8600000000006</v>
      </c>
      <c r="E86" s="446">
        <v>0.23171939999999999</v>
      </c>
      <c r="F86" s="408"/>
      <c r="G86" s="447">
        <v>55</v>
      </c>
      <c r="H86" s="458"/>
      <c r="I86" s="459">
        <v>12</v>
      </c>
      <c r="J86" s="408"/>
      <c r="O86" s="408"/>
      <c r="T86" s="408"/>
      <c r="U86" s="454">
        <f t="shared" si="14"/>
        <v>240</v>
      </c>
      <c r="W86" s="397"/>
      <c r="X86" s="456">
        <v>1.8192041681980609</v>
      </c>
      <c r="Y86" s="590">
        <f t="shared" si="15"/>
        <v>362.79300000000001</v>
      </c>
      <c r="Z86" s="589">
        <f t="shared" si="16"/>
        <v>1.1585969999999999E-2</v>
      </c>
      <c r="AA86" s="443"/>
    </row>
    <row r="87" spans="1:27" ht="12">
      <c r="A87" s="473" t="s">
        <v>266</v>
      </c>
      <c r="B87" s="555">
        <v>1.6</v>
      </c>
      <c r="C87" s="457">
        <f t="shared" si="13"/>
        <v>160</v>
      </c>
      <c r="D87" s="445">
        <v>88188.671999999991</v>
      </c>
      <c r="E87" s="446">
        <v>9.9263999999999992</v>
      </c>
      <c r="F87" s="408"/>
      <c r="G87" s="447">
        <v>25</v>
      </c>
      <c r="H87" s="458"/>
      <c r="I87" s="459">
        <v>6</v>
      </c>
      <c r="J87" s="408"/>
      <c r="O87" s="408"/>
      <c r="T87" s="408"/>
      <c r="U87" s="454">
        <f t="shared" si="14"/>
        <v>960</v>
      </c>
      <c r="W87" s="397"/>
      <c r="X87" s="456">
        <v>9.498853330193711</v>
      </c>
      <c r="Y87" s="590">
        <f t="shared" si="15"/>
        <v>551.17919999999992</v>
      </c>
      <c r="Z87" s="589">
        <f t="shared" si="16"/>
        <v>6.2039999999999998E-2</v>
      </c>
      <c r="AA87" s="443"/>
    </row>
    <row r="88" spans="1:27" ht="12">
      <c r="A88" s="484" t="s">
        <v>85</v>
      </c>
      <c r="B88" s="403"/>
      <c r="C88" s="484">
        <f>SUM(C89:C92)</f>
        <v>24</v>
      </c>
      <c r="D88" s="484">
        <f t="shared" ref="D88:E88" si="18">SUM(D89:D92)</f>
        <v>117896.86155976237</v>
      </c>
      <c r="E88" s="484">
        <f t="shared" si="18"/>
        <v>12.654004936840424</v>
      </c>
      <c r="F88" s="408"/>
      <c r="G88" s="549"/>
      <c r="H88" s="550"/>
      <c r="I88" s="551"/>
      <c r="J88" s="408"/>
      <c r="K88" s="512">
        <f>$P88*U88</f>
        <v>2220</v>
      </c>
      <c r="L88" s="512">
        <f>(U88+K88+M88+N88)*5%</f>
        <v>555</v>
      </c>
      <c r="M88" s="512">
        <f>Q$88*U88</f>
        <v>1110</v>
      </c>
      <c r="N88" s="512">
        <f>S$88*U88</f>
        <v>370</v>
      </c>
      <c r="O88" s="408"/>
      <c r="P88" s="453">
        <v>0.3</v>
      </c>
      <c r="Q88" s="453">
        <v>0.15</v>
      </c>
      <c r="R88" s="453">
        <v>0.15</v>
      </c>
      <c r="S88" s="515">
        <v>0.05</v>
      </c>
      <c r="T88" s="408"/>
      <c r="U88" s="553">
        <f t="shared" ref="U88" si="19">SUM(U89:U92)</f>
        <v>7400</v>
      </c>
      <c r="W88" s="397"/>
      <c r="X88" s="554">
        <v>1.9175168080363185</v>
      </c>
      <c r="Y88" s="590">
        <f t="shared" si="15"/>
        <v>4912.3692316567658</v>
      </c>
      <c r="Z88" s="589">
        <f t="shared" si="16"/>
        <v>0.52725020570168435</v>
      </c>
      <c r="AA88" s="443"/>
    </row>
    <row r="89" spans="1:27" ht="12">
      <c r="A89" s="444" t="s">
        <v>267</v>
      </c>
      <c r="B89" s="557"/>
      <c r="C89" s="457">
        <v>4</v>
      </c>
      <c r="D89" s="445">
        <v>7922.2072045601408</v>
      </c>
      <c r="E89" s="446">
        <v>1.2039560439560457</v>
      </c>
      <c r="F89" s="408"/>
      <c r="G89" s="447">
        <v>370</v>
      </c>
      <c r="H89" s="458"/>
      <c r="I89" s="459">
        <f t="shared" ref="I89:I90" si="20">50*5</f>
        <v>250</v>
      </c>
      <c r="J89" s="408"/>
      <c r="K89" s="471"/>
      <c r="O89" s="408"/>
      <c r="Q89" s="558"/>
      <c r="R89" s="558"/>
      <c r="T89" s="408"/>
      <c r="U89" s="454">
        <f>C89*($H89+$I89)</f>
        <v>1000</v>
      </c>
      <c r="W89" s="397"/>
      <c r="X89" s="456">
        <v>2.3390305016902353</v>
      </c>
      <c r="Y89" s="590">
        <f t="shared" si="15"/>
        <v>1980.5518011400352</v>
      </c>
      <c r="Z89" s="589">
        <f t="shared" si="16"/>
        <v>0.30098901098901143</v>
      </c>
      <c r="AA89" s="443"/>
    </row>
    <row r="90" spans="1:27">
      <c r="A90" s="444" t="s">
        <v>268</v>
      </c>
      <c r="B90" s="557"/>
      <c r="C90" s="457">
        <v>8</v>
      </c>
      <c r="D90" s="445">
        <v>7253.8261738261617</v>
      </c>
      <c r="E90" s="446">
        <v>2.4079120879120914</v>
      </c>
      <c r="F90" s="408"/>
      <c r="G90" s="447">
        <v>370</v>
      </c>
      <c r="H90" s="458"/>
      <c r="I90" s="459">
        <f t="shared" si="20"/>
        <v>250</v>
      </c>
      <c r="J90" s="408"/>
      <c r="K90" s="471"/>
      <c r="O90" s="408"/>
      <c r="Q90" s="558"/>
      <c r="R90" s="558"/>
      <c r="T90" s="408"/>
      <c r="U90" s="454">
        <f>C90*($H90+$I90)</f>
        <v>2000</v>
      </c>
      <c r="W90" s="397"/>
      <c r="X90" s="456">
        <v>1.1394146953127291</v>
      </c>
      <c r="Y90" s="590">
        <f t="shared" si="15"/>
        <v>906.72827172827022</v>
      </c>
      <c r="Z90" s="589">
        <f t="shared" si="16"/>
        <v>0.30098901098901143</v>
      </c>
    </row>
    <row r="91" spans="1:27">
      <c r="A91" s="444" t="s">
        <v>269</v>
      </c>
      <c r="B91" s="557"/>
      <c r="C91" s="457">
        <v>4</v>
      </c>
      <c r="D91" s="445">
        <v>88851.155907504552</v>
      </c>
      <c r="E91" s="446">
        <v>8.3850658721398421</v>
      </c>
      <c r="F91" s="408"/>
      <c r="G91" s="447">
        <v>4100</v>
      </c>
      <c r="H91" s="458"/>
      <c r="I91" s="459">
        <f t="shared" ref="I91" si="21">70*10</f>
        <v>700</v>
      </c>
      <c r="J91" s="408"/>
      <c r="K91" s="471"/>
      <c r="O91" s="408"/>
      <c r="Q91" s="558"/>
      <c r="R91" s="558"/>
      <c r="T91" s="408"/>
      <c r="U91" s="454">
        <f>C91*($H91+$I91)</f>
        <v>2800</v>
      </c>
      <c r="W91" s="397"/>
      <c r="X91" s="456">
        <v>2.3188794443423668</v>
      </c>
      <c r="Y91" s="590">
        <f t="shared" si="15"/>
        <v>22212.788976876138</v>
      </c>
      <c r="Z91" s="589">
        <f t="shared" si="16"/>
        <v>2.0962664680349605</v>
      </c>
    </row>
    <row r="92" spans="1:27">
      <c r="A92" s="444" t="s">
        <v>212</v>
      </c>
      <c r="B92" s="557"/>
      <c r="C92" s="457">
        <v>8</v>
      </c>
      <c r="D92" s="445">
        <v>13869.672273871514</v>
      </c>
      <c r="E92" s="446">
        <v>0.65707093283244433</v>
      </c>
      <c r="F92" s="408"/>
      <c r="G92" s="447">
        <v>700</v>
      </c>
      <c r="H92" s="458"/>
      <c r="I92" s="459">
        <f>5*40</f>
        <v>200</v>
      </c>
      <c r="J92" s="408"/>
      <c r="K92" s="471"/>
      <c r="O92" s="408"/>
      <c r="Q92" s="558"/>
      <c r="R92" s="558"/>
      <c r="T92" s="408"/>
      <c r="U92" s="454">
        <f>C92*($H92+$I92)</f>
        <v>1600</v>
      </c>
      <c r="W92" s="397"/>
      <c r="X92" s="456">
        <v>1.0419801565425408</v>
      </c>
      <c r="Y92" s="590">
        <f t="shared" si="15"/>
        <v>1733.7090342339393</v>
      </c>
      <c r="Z92" s="589">
        <f t="shared" si="16"/>
        <v>8.2133866604055542E-2</v>
      </c>
    </row>
    <row r="93" spans="1:27" ht="12">
      <c r="A93" s="484" t="s">
        <v>270</v>
      </c>
      <c r="B93" s="403"/>
      <c r="C93" s="484">
        <f>C94+C95</f>
        <v>12</v>
      </c>
      <c r="D93" s="484">
        <f t="shared" ref="D93:E93" si="22">SUM(D94:D95)</f>
        <v>3617.6107763204377</v>
      </c>
      <c r="E93" s="484">
        <f t="shared" si="22"/>
        <v>0.82218426734555394</v>
      </c>
      <c r="F93" s="408"/>
      <c r="G93" s="549"/>
      <c r="H93" s="486"/>
      <c r="I93" s="559"/>
      <c r="J93" s="408"/>
      <c r="K93" s="512">
        <f>$P93*U93</f>
        <v>180</v>
      </c>
      <c r="L93" s="512">
        <f>(U93+K93+M93+N93)*5%</f>
        <v>45</v>
      </c>
      <c r="M93" s="512">
        <f>Q$88*U93</f>
        <v>90</v>
      </c>
      <c r="N93" s="512">
        <f>S$88*U93</f>
        <v>30</v>
      </c>
      <c r="O93" s="408"/>
      <c r="P93" s="453">
        <v>0.3</v>
      </c>
      <c r="Q93" s="453">
        <v>0.15</v>
      </c>
      <c r="R93" s="453">
        <v>0.15</v>
      </c>
      <c r="S93" s="515">
        <v>0.05</v>
      </c>
      <c r="T93" s="408"/>
      <c r="U93" s="553">
        <f t="shared" ref="U93" si="23">U94+U95</f>
        <v>600</v>
      </c>
      <c r="W93" s="397"/>
      <c r="X93" s="554">
        <v>1.1761858597803261</v>
      </c>
      <c r="Y93" s="590">
        <f t="shared" si="15"/>
        <v>301.46756469336981</v>
      </c>
      <c r="Z93" s="589">
        <f t="shared" si="16"/>
        <v>6.85153556121295E-2</v>
      </c>
    </row>
    <row r="94" spans="1:27">
      <c r="A94" s="444" t="s">
        <v>271</v>
      </c>
      <c r="B94" s="403"/>
      <c r="C94" s="457">
        <v>6</v>
      </c>
      <c r="D94" s="445">
        <v>2122.3316554413277</v>
      </c>
      <c r="E94" s="446">
        <v>0.48234810350939261</v>
      </c>
      <c r="F94" s="408"/>
      <c r="G94" s="447">
        <v>115</v>
      </c>
      <c r="H94" s="458"/>
      <c r="I94" s="459">
        <v>50</v>
      </c>
      <c r="J94" s="408"/>
      <c r="U94" s="454">
        <f>C94*($H94+$I94)</f>
        <v>300</v>
      </c>
      <c r="W94" s="397"/>
      <c r="X94" s="456">
        <v>1.3800580754755856</v>
      </c>
      <c r="Y94" s="590">
        <f t="shared" si="15"/>
        <v>353.7219425735546</v>
      </c>
      <c r="Z94" s="589">
        <f t="shared" si="16"/>
        <v>8.0391350584898769E-2</v>
      </c>
    </row>
    <row r="95" spans="1:27">
      <c r="A95" s="444" t="s">
        <v>272</v>
      </c>
      <c r="B95" s="403"/>
      <c r="C95" s="457">
        <v>6</v>
      </c>
      <c r="D95" s="445">
        <v>1495.27912087911</v>
      </c>
      <c r="E95" s="446">
        <v>0.33983616383616139</v>
      </c>
      <c r="F95" s="408"/>
      <c r="G95" s="447">
        <v>115</v>
      </c>
      <c r="H95" s="458"/>
      <c r="I95" s="459">
        <v>50</v>
      </c>
      <c r="J95" s="408"/>
      <c r="U95" s="454">
        <f>C95*($H95+$I95)</f>
        <v>300</v>
      </c>
      <c r="W95" s="552"/>
      <c r="X95" s="456">
        <v>0.97231364408506704</v>
      </c>
      <c r="Y95" s="590">
        <f t="shared" si="15"/>
        <v>249.21318681318499</v>
      </c>
      <c r="Z95" s="589">
        <f t="shared" si="16"/>
        <v>5.6639360639360231E-2</v>
      </c>
    </row>
    <row r="100" spans="3:23">
      <c r="C100" s="397"/>
      <c r="D100" s="561"/>
      <c r="E100" s="562"/>
      <c r="F100" s="562"/>
      <c r="G100" s="560"/>
      <c r="H100" s="403"/>
      <c r="I100" s="563"/>
      <c r="J100" s="408"/>
      <c r="K100" s="403"/>
      <c r="L100" s="403"/>
      <c r="M100" s="403"/>
      <c r="N100" s="403"/>
      <c r="O100" s="403"/>
      <c r="Q100" s="397"/>
      <c r="R100" s="560"/>
      <c r="S100" s="403"/>
      <c r="T100" s="403"/>
      <c r="U100" s="408"/>
      <c r="V100" s="403"/>
      <c r="W100" s="564"/>
    </row>
    <row r="101" spans="3:23">
      <c r="C101" s="397"/>
      <c r="D101" s="561"/>
      <c r="E101" s="562"/>
      <c r="F101" s="562"/>
      <c r="G101" s="560"/>
      <c r="H101" s="403"/>
      <c r="I101" s="563"/>
      <c r="J101" s="408"/>
      <c r="K101" s="403"/>
      <c r="L101" s="403"/>
      <c r="M101" s="403"/>
      <c r="N101" s="403"/>
      <c r="O101" s="403"/>
      <c r="Q101" s="397"/>
      <c r="R101" s="560"/>
      <c r="S101" s="403"/>
      <c r="T101" s="403"/>
      <c r="U101" s="408"/>
      <c r="V101" s="403"/>
      <c r="W101" s="564"/>
    </row>
    <row r="102" spans="3:23">
      <c r="C102" s="397"/>
      <c r="D102" s="561"/>
      <c r="E102" s="562"/>
      <c r="F102" s="562"/>
      <c r="G102" s="560"/>
      <c r="H102" s="403"/>
      <c r="I102" s="563"/>
      <c r="J102" s="408"/>
      <c r="K102" s="403"/>
      <c r="L102" s="403"/>
      <c r="M102" s="403"/>
      <c r="N102" s="403"/>
      <c r="O102" s="403"/>
      <c r="Q102" s="397"/>
      <c r="R102" s="560"/>
      <c r="S102" s="403"/>
      <c r="T102" s="403"/>
      <c r="U102" s="408"/>
      <c r="V102" s="403"/>
      <c r="W102" s="564"/>
    </row>
    <row r="103" spans="3:23">
      <c r="C103" s="397"/>
      <c r="D103" s="561"/>
      <c r="E103" s="562"/>
      <c r="F103" s="562"/>
      <c r="G103" s="560"/>
      <c r="H103" s="403"/>
      <c r="I103" s="563"/>
      <c r="J103" s="408"/>
      <c r="K103" s="403"/>
      <c r="L103" s="403"/>
      <c r="M103" s="403"/>
      <c r="N103" s="403"/>
      <c r="O103" s="403"/>
      <c r="Q103" s="397"/>
      <c r="R103" s="560"/>
      <c r="S103" s="403"/>
      <c r="T103" s="403"/>
      <c r="U103" s="408"/>
      <c r="V103" s="403"/>
      <c r="W103" s="564"/>
    </row>
  </sheetData>
  <mergeCells count="3">
    <mergeCell ref="G2:G3"/>
    <mergeCell ref="H2:H3"/>
    <mergeCell ref="I2:I3"/>
  </mergeCells>
  <conditionalFormatting sqref="X7:X26 X53:X95 X42:X43 X36">
    <cfRule type="cellIs" dxfId="45" priority="1" operator="lessThan">
      <formula>1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B1:AA168"/>
  <sheetViews>
    <sheetView showGridLines="0" zoomScaleNormal="100" workbookViewId="0">
      <pane xSplit="8" ySplit="3" topLeftCell="I13" activePane="bottomRight" state="frozen"/>
      <selection activeCell="K33" sqref="K33"/>
      <selection pane="topRight" activeCell="K33" sqref="K33"/>
      <selection pane="bottomLeft" activeCell="K33" sqref="K33"/>
      <selection pane="bottomRight" activeCell="A8" sqref="A8"/>
    </sheetView>
  </sheetViews>
  <sheetFormatPr defaultColWidth="9.109375" defaultRowHeight="14.4"/>
  <cols>
    <col min="1" max="1" width="4.33203125" style="1" customWidth="1"/>
    <col min="2" max="2" width="104.5546875" style="1" hidden="1" customWidth="1"/>
    <col min="3" max="3" width="11" style="1" hidden="1" customWidth="1"/>
    <col min="4" max="4" width="27.44140625" style="1" hidden="1" customWidth="1"/>
    <col min="5" max="5" width="18.88671875" style="1" hidden="1" customWidth="1"/>
    <col min="6" max="6" width="63.109375" style="1" hidden="1" customWidth="1"/>
    <col min="7" max="7" width="12.88671875" style="1" hidden="1" customWidth="1"/>
    <col min="8" max="8" width="11.44140625" style="1" hidden="1" customWidth="1"/>
    <col min="9" max="9" width="35.109375" style="299" bestFit="1" customWidth="1"/>
    <col min="10" max="10" width="43.44140625" style="298" customWidth="1"/>
    <col min="11" max="11" width="12.44140625" style="298" bestFit="1" customWidth="1"/>
    <col min="12" max="12" width="16" style="298" customWidth="1"/>
    <col min="13" max="13" width="13.109375" style="298" bestFit="1" customWidth="1"/>
    <col min="14" max="14" width="13.88671875" style="298" bestFit="1" customWidth="1"/>
    <col min="15" max="15" width="9.44140625" style="298" bestFit="1" customWidth="1"/>
    <col min="16" max="16" width="8.44140625" style="298" bestFit="1" customWidth="1"/>
    <col min="17" max="17" width="8.33203125" style="298" bestFit="1" customWidth="1"/>
    <col min="18" max="18" width="16" style="320" bestFit="1" customWidth="1"/>
    <col min="19" max="19" width="14.88671875" style="320" customWidth="1"/>
    <col min="20" max="20" width="10.6640625" style="320" bestFit="1" customWidth="1"/>
    <col min="21" max="21" width="9.5546875" style="320" bestFit="1" customWidth="1"/>
    <col min="22" max="22" width="13.88671875" style="1" hidden="1" customWidth="1"/>
    <col min="23" max="23" width="19.44140625" style="1" hidden="1" customWidth="1"/>
    <col min="24" max="24" width="12.6640625" style="1" hidden="1" customWidth="1"/>
    <col min="25" max="25" width="18.33203125" style="1" hidden="1" customWidth="1"/>
    <col min="26" max="26" width="6.109375" style="1" hidden="1" customWidth="1"/>
    <col min="27" max="16384" width="9.109375" style="1"/>
  </cols>
  <sheetData>
    <row r="1" spans="2:27">
      <c r="I1" s="296" t="s">
        <v>199</v>
      </c>
      <c r="J1" s="297">
        <v>2016</v>
      </c>
    </row>
    <row r="2" spans="2:27">
      <c r="B2" s="1" t="s">
        <v>3392</v>
      </c>
      <c r="K2" s="1"/>
      <c r="L2" s="1"/>
      <c r="M2" s="1"/>
      <c r="N2" s="655" t="s">
        <v>274</v>
      </c>
      <c r="O2" s="655"/>
      <c r="P2" s="1"/>
      <c r="Q2" s="1"/>
      <c r="R2" s="321"/>
      <c r="S2" s="321"/>
      <c r="T2" s="656" t="s">
        <v>279</v>
      </c>
      <c r="U2" s="656"/>
    </row>
    <row r="3" spans="2:27" ht="28.8">
      <c r="I3" s="300" t="s">
        <v>3</v>
      </c>
      <c r="J3" s="300" t="s">
        <v>5</v>
      </c>
      <c r="K3" s="301" t="s">
        <v>7</v>
      </c>
      <c r="L3" s="301" t="s">
        <v>0</v>
      </c>
      <c r="M3" s="301" t="s">
        <v>273</v>
      </c>
      <c r="N3" s="301" t="s">
        <v>12</v>
      </c>
      <c r="O3" s="301" t="s">
        <v>275</v>
      </c>
      <c r="P3" s="301" t="s">
        <v>13</v>
      </c>
      <c r="Q3" s="301" t="s">
        <v>276</v>
      </c>
      <c r="R3" s="322" t="s">
        <v>277</v>
      </c>
      <c r="S3" s="322" t="s">
        <v>278</v>
      </c>
      <c r="T3" s="322" t="s">
        <v>11</v>
      </c>
      <c r="U3" s="322" t="s">
        <v>280</v>
      </c>
    </row>
    <row r="4" spans="2:27">
      <c r="B4" s="1" t="s">
        <v>197</v>
      </c>
      <c r="C4" s="1" t="s">
        <v>3</v>
      </c>
      <c r="D4" s="1" t="s">
        <v>5</v>
      </c>
      <c r="E4" s="1" t="s">
        <v>141</v>
      </c>
      <c r="F4" s="1" t="s">
        <v>2</v>
      </c>
      <c r="G4" s="1" t="s">
        <v>57</v>
      </c>
      <c r="H4" s="1" t="s">
        <v>281</v>
      </c>
      <c r="I4" s="302"/>
      <c r="J4" s="303" t="s">
        <v>200</v>
      </c>
      <c r="K4" s="331"/>
      <c r="L4" s="331"/>
      <c r="M4" s="331"/>
      <c r="N4" s="331">
        <f>N5+N6+N54</f>
        <v>3809107.1546678599</v>
      </c>
      <c r="O4" s="331">
        <f>O5+O6+O54</f>
        <v>115691.80959464582</v>
      </c>
      <c r="P4" s="331">
        <f>P5+P6+P54</f>
        <v>857.9070507007782</v>
      </c>
      <c r="Q4" s="331">
        <f>Q5+Q6+Q54</f>
        <v>27.911760640083912</v>
      </c>
      <c r="R4" s="323"/>
      <c r="S4" s="323"/>
      <c r="T4" s="323">
        <f>T5+T6+T54</f>
        <v>490515</v>
      </c>
      <c r="U4" s="323">
        <f>U5+U6+U54</f>
        <v>424234.8125</v>
      </c>
      <c r="V4" s="1" t="s">
        <v>285</v>
      </c>
      <c r="W4" s="1" t="s">
        <v>287</v>
      </c>
      <c r="X4" s="1" t="s">
        <v>286</v>
      </c>
      <c r="Y4" s="1" t="s">
        <v>288</v>
      </c>
    </row>
    <row r="5" spans="2:27">
      <c r="B5" s="1" t="str">
        <f>C5&amp;"_"&amp;D5&amp;"_"&amp;E5&amp;"_"&amp;F5&amp;"_"&amp;G5&amp;"_"&amp;H5</f>
        <v>BLT_Cross Marketing and Training_All_All_2017_Plan</v>
      </c>
      <c r="C5" s="1" t="s">
        <v>188</v>
      </c>
      <c r="D5" s="1" t="s">
        <v>162</v>
      </c>
      <c r="E5" s="1" t="s">
        <v>28</v>
      </c>
      <c r="F5" s="1" t="s">
        <v>28</v>
      </c>
      <c r="G5" s="1">
        <v>2017</v>
      </c>
      <c r="H5" s="1" t="s">
        <v>282</v>
      </c>
      <c r="I5" s="302"/>
      <c r="J5" s="303" t="s">
        <v>162</v>
      </c>
      <c r="K5" s="331"/>
      <c r="L5" s="331"/>
      <c r="M5" s="331"/>
      <c r="N5" s="331"/>
      <c r="O5" s="331"/>
      <c r="P5" s="331"/>
      <c r="Q5" s="331"/>
      <c r="R5" s="323"/>
      <c r="S5" s="323"/>
      <c r="T5" s="323"/>
      <c r="U5" s="323">
        <v>49901.5</v>
      </c>
      <c r="V5" s="293">
        <f t="shared" ref="V5:V65" si="0">IF($O5&gt;0,$O5,$N5)</f>
        <v>0</v>
      </c>
      <c r="W5" s="293">
        <f t="shared" ref="W5:W65" si="1">IF($O5&gt;0,$N5,0)</f>
        <v>0</v>
      </c>
      <c r="X5" s="293">
        <f t="shared" ref="X5:X65" si="2">IF($Q5&gt;0,$Q5,$P5)</f>
        <v>0</v>
      </c>
      <c r="Y5" s="293">
        <f t="shared" ref="Y5:Y65" si="3">IF($Q5&gt;0,$P5,0)</f>
        <v>0</v>
      </c>
    </row>
    <row r="6" spans="2:27">
      <c r="B6" s="1" t="e">
        <f>C6&amp;"_"&amp;D6&amp;"_"&amp;E6&amp;"_"&amp;F6&amp;"_"&amp;G6&amp;"_"&amp;H6</f>
        <v>#N/A</v>
      </c>
      <c r="C6" s="1" t="e">
        <v>#N/A</v>
      </c>
      <c r="D6" s="1" t="e">
        <v>#N/A</v>
      </c>
      <c r="E6" s="1" t="e">
        <v>#N/A</v>
      </c>
      <c r="F6" s="1" t="s">
        <v>173</v>
      </c>
      <c r="G6" s="1">
        <v>2017</v>
      </c>
      <c r="H6" s="1" t="s">
        <v>282</v>
      </c>
      <c r="I6" s="302"/>
      <c r="J6" s="303" t="s">
        <v>173</v>
      </c>
      <c r="K6" s="331"/>
      <c r="L6" s="331"/>
      <c r="M6" s="331"/>
      <c r="N6" s="331">
        <f>SUM(N8:N27,N32,N38,N43,N45,N50)</f>
        <v>1322740.1459378602</v>
      </c>
      <c r="O6" s="331">
        <f>SUM(O8:O27,O32,O38,O43,O45,O50)</f>
        <v>115691.80959464582</v>
      </c>
      <c r="P6" s="331">
        <f>SUM(P8:P27,P32,P38,P43,P45,P50)</f>
        <v>241.1275522007783</v>
      </c>
      <c r="Q6" s="331">
        <f>SUM(Q8:Q27,Q32,Q38,Q43,Q45,Q50)</f>
        <v>27.911760640083912</v>
      </c>
      <c r="R6" s="323"/>
      <c r="S6" s="323"/>
      <c r="T6" s="323">
        <f>T7+T11+T14+T26+T36+T42+T43+T44</f>
        <v>93300</v>
      </c>
      <c r="U6" s="323">
        <f>U7+U11+U14+U26+U36+U42+U43+U44</f>
        <v>180544.52499999999</v>
      </c>
      <c r="V6" s="293">
        <f t="shared" si="0"/>
        <v>115691.80959464582</v>
      </c>
      <c r="W6" s="293">
        <f t="shared" si="1"/>
        <v>1322740.1459378602</v>
      </c>
      <c r="X6" s="293">
        <f t="shared" si="2"/>
        <v>27.911760640083912</v>
      </c>
      <c r="Y6" s="293">
        <f t="shared" si="3"/>
        <v>241.1275522007783</v>
      </c>
    </row>
    <row r="7" spans="2:27">
      <c r="B7" s="1" t="str">
        <f>C7&amp;"_"&amp;D7&amp;"_"&amp;E7&amp;"_"&amp;F7&amp;"_"&amp;G7&amp;"_"&amp;H7</f>
        <v>Residential_Residential Lighting_All_All_2017_Plan</v>
      </c>
      <c r="C7" s="1" t="s">
        <v>1</v>
      </c>
      <c r="D7" s="1" t="s">
        <v>145</v>
      </c>
      <c r="E7" s="1" t="s">
        <v>28</v>
      </c>
      <c r="F7" s="1" t="s">
        <v>28</v>
      </c>
      <c r="G7" s="1">
        <v>2017</v>
      </c>
      <c r="H7" s="1" t="s">
        <v>282</v>
      </c>
      <c r="I7" s="305" t="s">
        <v>1</v>
      </c>
      <c r="J7" s="306" t="s">
        <v>145</v>
      </c>
      <c r="K7" s="307"/>
      <c r="L7" s="307"/>
      <c r="M7" s="307"/>
      <c r="N7" s="307"/>
      <c r="O7" s="307"/>
      <c r="P7" s="307"/>
      <c r="Q7" s="307"/>
      <c r="R7" s="324"/>
      <c r="S7" s="324"/>
      <c r="T7" s="324">
        <v>25600</v>
      </c>
      <c r="U7" s="324">
        <v>10603.2</v>
      </c>
      <c r="V7" s="293">
        <f t="shared" si="0"/>
        <v>0</v>
      </c>
      <c r="W7" s="293">
        <f t="shared" si="1"/>
        <v>0</v>
      </c>
      <c r="X7" s="293">
        <f t="shared" si="2"/>
        <v>0</v>
      </c>
      <c r="Y7" s="293">
        <f t="shared" si="3"/>
        <v>0</v>
      </c>
    </row>
    <row r="8" spans="2:27">
      <c r="B8" s="1" t="str">
        <f t="shared" ref="B8:B71" si="4">C8&amp;"_"&amp;D8&amp;"_"&amp;E8&amp;"_"&amp;F8&amp;"_"&amp;G8&amp;"_"&amp;H8</f>
        <v>Residential_Residential Lighting_Lighting_LED_2017_Plan</v>
      </c>
      <c r="C8" s="1" t="s">
        <v>1</v>
      </c>
      <c r="D8" s="1" t="s">
        <v>145</v>
      </c>
      <c r="E8" s="1" t="s">
        <v>86</v>
      </c>
      <c r="F8" s="1" t="s">
        <v>151</v>
      </c>
      <c r="G8" s="1">
        <v>2017</v>
      </c>
      <c r="H8" s="1" t="s">
        <v>282</v>
      </c>
      <c r="I8" s="308" t="s">
        <v>1</v>
      </c>
      <c r="J8" s="308" t="s">
        <v>151</v>
      </c>
      <c r="K8" s="309">
        <v>4000</v>
      </c>
      <c r="L8" s="309">
        <v>10</v>
      </c>
      <c r="M8" s="309">
        <v>0</v>
      </c>
      <c r="N8" s="309">
        <v>153269.19999999998</v>
      </c>
      <c r="O8" s="309">
        <v>0</v>
      </c>
      <c r="P8" s="309">
        <v>18.02112</v>
      </c>
      <c r="Q8" s="309">
        <v>0</v>
      </c>
      <c r="R8" s="325">
        <v>10</v>
      </c>
      <c r="S8" s="325">
        <v>0</v>
      </c>
      <c r="T8" s="325">
        <v>20000</v>
      </c>
      <c r="U8" s="325"/>
      <c r="V8" s="293">
        <f t="shared" si="0"/>
        <v>153269.19999999998</v>
      </c>
      <c r="W8" s="293">
        <f t="shared" si="1"/>
        <v>0</v>
      </c>
      <c r="X8" s="293">
        <f t="shared" si="2"/>
        <v>18.02112</v>
      </c>
      <c r="Y8" s="293">
        <f t="shared" si="3"/>
        <v>0</v>
      </c>
      <c r="AA8" s="1">
        <f>N8/K8</f>
        <v>38.317299999999996</v>
      </c>
    </row>
    <row r="9" spans="2:27">
      <c r="B9" s="1" t="str">
        <f t="shared" si="4"/>
        <v>Residential_Residential Lighting_Lighting_ENERGY STAR Fixture_2017_Plan</v>
      </c>
      <c r="C9" s="1" t="s">
        <v>1</v>
      </c>
      <c r="D9" s="1" t="s">
        <v>145</v>
      </c>
      <c r="E9" s="1" t="s">
        <v>86</v>
      </c>
      <c r="F9" s="1" t="s">
        <v>201</v>
      </c>
      <c r="G9" s="1">
        <v>2017</v>
      </c>
      <c r="H9" s="1" t="s">
        <v>282</v>
      </c>
      <c r="I9" s="308" t="s">
        <v>1</v>
      </c>
      <c r="J9" s="308" t="s">
        <v>201</v>
      </c>
      <c r="K9" s="309">
        <v>550</v>
      </c>
      <c r="L9" s="309">
        <v>9.4</v>
      </c>
      <c r="M9" s="309">
        <v>0</v>
      </c>
      <c r="N9" s="309">
        <v>39930.659999999996</v>
      </c>
      <c r="O9" s="309">
        <v>0</v>
      </c>
      <c r="P9" s="309">
        <v>4.6949759999999996</v>
      </c>
      <c r="Q9" s="309">
        <v>0</v>
      </c>
      <c r="R9" s="325">
        <v>15</v>
      </c>
      <c r="S9" s="325">
        <v>0</v>
      </c>
      <c r="T9" s="325">
        <v>5500</v>
      </c>
      <c r="U9" s="325"/>
      <c r="V9" s="293">
        <f t="shared" si="0"/>
        <v>39930.659999999996</v>
      </c>
      <c r="W9" s="293">
        <f t="shared" si="1"/>
        <v>0</v>
      </c>
      <c r="X9" s="293">
        <f t="shared" si="2"/>
        <v>4.6949759999999996</v>
      </c>
      <c r="Y9" s="293">
        <f t="shared" si="3"/>
        <v>0</v>
      </c>
      <c r="AA9" s="1">
        <f>N9/K9</f>
        <v>72.601199999999992</v>
      </c>
    </row>
    <row r="10" spans="2:27">
      <c r="B10" s="1" t="str">
        <f t="shared" si="4"/>
        <v>Residential_Residential Lighting_Lighting_Advanced Power Strip_2017_Plan</v>
      </c>
      <c r="C10" s="1" t="s">
        <v>1</v>
      </c>
      <c r="D10" s="1" t="s">
        <v>145</v>
      </c>
      <c r="E10" s="1" t="s">
        <v>86</v>
      </c>
      <c r="F10" s="1" t="s">
        <v>202</v>
      </c>
      <c r="G10" s="1">
        <v>2017</v>
      </c>
      <c r="H10" s="1" t="s">
        <v>282</v>
      </c>
      <c r="I10" s="310" t="s">
        <v>1</v>
      </c>
      <c r="J10" s="308" t="s">
        <v>202</v>
      </c>
      <c r="K10" s="309">
        <v>10</v>
      </c>
      <c r="L10" s="309">
        <v>10</v>
      </c>
      <c r="M10" s="309">
        <v>0</v>
      </c>
      <c r="N10" s="309">
        <v>751</v>
      </c>
      <c r="O10" s="309">
        <v>0</v>
      </c>
      <c r="P10" s="309">
        <v>0.10534436807406367</v>
      </c>
      <c r="Q10" s="309">
        <v>0</v>
      </c>
      <c r="R10" s="325">
        <v>20</v>
      </c>
      <c r="S10" s="325">
        <v>0</v>
      </c>
      <c r="T10" s="325">
        <v>100</v>
      </c>
      <c r="U10" s="325"/>
      <c r="V10" s="293">
        <f t="shared" si="0"/>
        <v>751</v>
      </c>
      <c r="W10" s="293">
        <f t="shared" si="1"/>
        <v>0</v>
      </c>
      <c r="X10" s="293">
        <f t="shared" si="2"/>
        <v>0.10534436807406367</v>
      </c>
      <c r="Y10" s="293">
        <f t="shared" si="3"/>
        <v>0</v>
      </c>
      <c r="AA10" s="1">
        <f>N10/K10</f>
        <v>75.099999999999994</v>
      </c>
    </row>
    <row r="11" spans="2:27">
      <c r="B11" s="1" t="str">
        <f t="shared" si="4"/>
        <v>Residential_Appliance Recycling_All_All_2017_Plan</v>
      </c>
      <c r="C11" s="1" t="s">
        <v>1</v>
      </c>
      <c r="D11" s="1" t="s">
        <v>203</v>
      </c>
      <c r="E11" s="1" t="s">
        <v>28</v>
      </c>
      <c r="F11" s="1" t="s">
        <v>28</v>
      </c>
      <c r="G11" s="1">
        <v>2017</v>
      </c>
      <c r="H11" s="1" t="s">
        <v>282</v>
      </c>
      <c r="I11" s="305" t="s">
        <v>1</v>
      </c>
      <c r="J11" s="306" t="s">
        <v>203</v>
      </c>
      <c r="K11" s="307"/>
      <c r="L11" s="307"/>
      <c r="M11" s="307"/>
      <c r="N11" s="307"/>
      <c r="O11" s="307"/>
      <c r="P11" s="307"/>
      <c r="Q11" s="307"/>
      <c r="R11" s="324"/>
      <c r="S11" s="324"/>
      <c r="T11" s="324">
        <f>SUM(T12:T13)</f>
        <v>4000</v>
      </c>
      <c r="U11" s="324">
        <v>8630</v>
      </c>
      <c r="V11" s="293">
        <f t="shared" si="0"/>
        <v>0</v>
      </c>
      <c r="W11" s="293">
        <f t="shared" si="1"/>
        <v>0</v>
      </c>
      <c r="X11" s="293">
        <f t="shared" si="2"/>
        <v>0</v>
      </c>
      <c r="Y11" s="293">
        <f t="shared" si="3"/>
        <v>0</v>
      </c>
    </row>
    <row r="12" spans="2:27">
      <c r="B12" s="1" t="str">
        <f t="shared" si="4"/>
        <v>Residential_Appliance Recycling_Appliance Recycling_Refrigerator Recycle_2017_Plan</v>
      </c>
      <c r="C12" s="1" t="s">
        <v>1</v>
      </c>
      <c r="D12" s="1" t="s">
        <v>203</v>
      </c>
      <c r="E12" s="1" t="s">
        <v>203</v>
      </c>
      <c r="F12" s="1" t="s">
        <v>148</v>
      </c>
      <c r="G12" s="1">
        <v>2017</v>
      </c>
      <c r="H12" s="1" t="s">
        <v>282</v>
      </c>
      <c r="I12" s="308" t="s">
        <v>1</v>
      </c>
      <c r="J12" s="308" t="s">
        <v>148</v>
      </c>
      <c r="K12" s="309">
        <v>50</v>
      </c>
      <c r="L12" s="309">
        <v>8</v>
      </c>
      <c r="M12" s="309">
        <v>0</v>
      </c>
      <c r="N12" s="309">
        <v>64450</v>
      </c>
      <c r="O12" s="309">
        <v>0</v>
      </c>
      <c r="P12" s="309">
        <v>7.3573059360730593</v>
      </c>
      <c r="Q12" s="309">
        <v>0</v>
      </c>
      <c r="R12" s="325">
        <v>93</v>
      </c>
      <c r="S12" s="325">
        <v>0</v>
      </c>
      <c r="T12" s="325">
        <v>2500</v>
      </c>
      <c r="U12" s="325"/>
      <c r="V12" s="293">
        <f t="shared" si="0"/>
        <v>64450</v>
      </c>
      <c r="W12" s="293">
        <f t="shared" si="1"/>
        <v>0</v>
      </c>
      <c r="X12" s="293">
        <f t="shared" si="2"/>
        <v>7.3573059360730593</v>
      </c>
      <c r="Y12" s="293">
        <f t="shared" si="3"/>
        <v>0</v>
      </c>
    </row>
    <row r="13" spans="2:27">
      <c r="B13" s="1" t="str">
        <f t="shared" si="4"/>
        <v>Residential_Appliance Recycling_Appliance Recycling_Freezer Recycle_2017_Plan</v>
      </c>
      <c r="C13" s="1" t="s">
        <v>1</v>
      </c>
      <c r="D13" s="1" t="s">
        <v>203</v>
      </c>
      <c r="E13" s="1" t="s">
        <v>203</v>
      </c>
      <c r="F13" s="1" t="s">
        <v>154</v>
      </c>
      <c r="G13" s="1">
        <v>2017</v>
      </c>
      <c r="H13" s="1" t="s">
        <v>282</v>
      </c>
      <c r="I13" s="308" t="s">
        <v>1</v>
      </c>
      <c r="J13" s="308" t="s">
        <v>154</v>
      </c>
      <c r="K13" s="309">
        <v>30</v>
      </c>
      <c r="L13" s="309">
        <v>8</v>
      </c>
      <c r="M13" s="309">
        <v>0</v>
      </c>
      <c r="N13" s="309">
        <v>33150</v>
      </c>
      <c r="O13" s="309">
        <v>0</v>
      </c>
      <c r="P13" s="309">
        <v>3.7842465753424661</v>
      </c>
      <c r="Q13" s="309">
        <v>0</v>
      </c>
      <c r="R13" s="325">
        <v>93</v>
      </c>
      <c r="S13" s="325">
        <v>0</v>
      </c>
      <c r="T13" s="325">
        <v>1500</v>
      </c>
      <c r="U13" s="325"/>
      <c r="V13" s="293">
        <f t="shared" si="0"/>
        <v>33150</v>
      </c>
      <c r="W13" s="293">
        <f t="shared" si="1"/>
        <v>0</v>
      </c>
      <c r="X13" s="293">
        <f t="shared" si="2"/>
        <v>3.7842465753424661</v>
      </c>
      <c r="Y13" s="293">
        <f t="shared" si="3"/>
        <v>0</v>
      </c>
    </row>
    <row r="14" spans="2:27">
      <c r="B14" s="1" t="str">
        <f t="shared" si="4"/>
        <v>Residential_High Efficiency HVAC_All_All_2017_Plan</v>
      </c>
      <c r="C14" s="1" t="s">
        <v>1</v>
      </c>
      <c r="D14" s="1" t="s">
        <v>205</v>
      </c>
      <c r="E14" s="1" t="s">
        <v>28</v>
      </c>
      <c r="F14" s="1" t="s">
        <v>28</v>
      </c>
      <c r="G14" s="1">
        <v>2017</v>
      </c>
      <c r="H14" s="1" t="s">
        <v>282</v>
      </c>
      <c r="I14" s="305" t="s">
        <v>1</v>
      </c>
      <c r="J14" s="306" t="s">
        <v>205</v>
      </c>
      <c r="K14" s="307"/>
      <c r="L14" s="307"/>
      <c r="M14" s="307"/>
      <c r="N14" s="307"/>
      <c r="O14" s="307"/>
      <c r="P14" s="307"/>
      <c r="Q14" s="307"/>
      <c r="R14" s="324"/>
      <c r="S14" s="324"/>
      <c r="T14" s="324">
        <v>63700</v>
      </c>
      <c r="U14" s="324">
        <v>21243.95</v>
      </c>
      <c r="V14" s="293">
        <f t="shared" si="0"/>
        <v>0</v>
      </c>
      <c r="W14" s="293">
        <f t="shared" si="1"/>
        <v>0</v>
      </c>
      <c r="X14" s="293">
        <f t="shared" si="2"/>
        <v>0</v>
      </c>
      <c r="Y14" s="293">
        <f t="shared" si="3"/>
        <v>0</v>
      </c>
    </row>
    <row r="15" spans="2:27">
      <c r="B15" s="1" t="str">
        <f t="shared" si="4"/>
        <v>Residential_High Efficiency HVAC_HVAC_Heat Pump SEER 15_2017_Plan</v>
      </c>
      <c r="C15" s="1" t="s">
        <v>1</v>
      </c>
      <c r="D15" s="1" t="s">
        <v>205</v>
      </c>
      <c r="E15" s="1" t="s">
        <v>85</v>
      </c>
      <c r="F15" s="1" t="s">
        <v>206</v>
      </c>
      <c r="G15" s="1">
        <v>2017</v>
      </c>
      <c r="H15" s="1" t="s">
        <v>282</v>
      </c>
      <c r="I15" s="310" t="s">
        <v>1</v>
      </c>
      <c r="J15" s="308" t="s">
        <v>206</v>
      </c>
      <c r="K15" s="309">
        <v>60</v>
      </c>
      <c r="L15" s="309">
        <v>18</v>
      </c>
      <c r="M15" s="309">
        <v>0</v>
      </c>
      <c r="N15" s="309">
        <v>28728.295142447285</v>
      </c>
      <c r="O15" s="309">
        <v>0</v>
      </c>
      <c r="P15" s="309">
        <v>29.574561106038896</v>
      </c>
      <c r="Q15" s="309">
        <v>0</v>
      </c>
      <c r="R15" s="325">
        <v>293.80824805778059</v>
      </c>
      <c r="S15" s="325">
        <v>0</v>
      </c>
      <c r="T15" s="325">
        <v>16500</v>
      </c>
      <c r="U15" s="325"/>
      <c r="V15" s="293">
        <f t="shared" si="0"/>
        <v>28728.295142447285</v>
      </c>
      <c r="W15" s="293">
        <f t="shared" si="1"/>
        <v>0</v>
      </c>
      <c r="X15" s="293">
        <f t="shared" si="2"/>
        <v>29.574561106038896</v>
      </c>
      <c r="Y15" s="293">
        <f t="shared" si="3"/>
        <v>0</v>
      </c>
    </row>
    <row r="16" spans="2:27">
      <c r="B16" s="1" t="str">
        <f t="shared" si="4"/>
        <v>Residential_High Efficiency HVAC_HVAC_Early Retirement Heat Pump SEER 15_2017_Plan</v>
      </c>
      <c r="C16" s="1" t="s">
        <v>1</v>
      </c>
      <c r="D16" s="1" t="s">
        <v>205</v>
      </c>
      <c r="E16" s="1" t="s">
        <v>85</v>
      </c>
      <c r="F16" s="1" t="s">
        <v>207</v>
      </c>
      <c r="G16" s="1">
        <v>2017</v>
      </c>
      <c r="H16" s="1" t="s">
        <v>282</v>
      </c>
      <c r="I16" s="310" t="s">
        <v>1</v>
      </c>
      <c r="J16" s="308" t="s">
        <v>207</v>
      </c>
      <c r="K16" s="309">
        <v>8</v>
      </c>
      <c r="L16" s="309">
        <v>18</v>
      </c>
      <c r="M16" s="309">
        <v>8</v>
      </c>
      <c r="N16" s="309">
        <v>3830.4393523263047</v>
      </c>
      <c r="O16" s="309">
        <v>26310.211764705888</v>
      </c>
      <c r="P16" s="309">
        <v>3.9432748141385194</v>
      </c>
      <c r="Q16" s="309">
        <v>15.06144245524297</v>
      </c>
      <c r="R16" s="325">
        <v>2480.1501390380126</v>
      </c>
      <c r="S16" s="325">
        <v>2186.3418909802322</v>
      </c>
      <c r="T16" s="325">
        <v>5200</v>
      </c>
      <c r="U16" s="325"/>
      <c r="V16" s="293">
        <f t="shared" si="0"/>
        <v>26310.211764705888</v>
      </c>
      <c r="W16" s="293">
        <f t="shared" si="1"/>
        <v>3830.4393523263047</v>
      </c>
      <c r="X16" s="293">
        <f t="shared" si="2"/>
        <v>15.06144245524297</v>
      </c>
      <c r="Y16" s="293">
        <f t="shared" si="3"/>
        <v>3.9432748141385194</v>
      </c>
    </row>
    <row r="17" spans="2:25">
      <c r="B17" s="1" t="str">
        <f t="shared" si="4"/>
        <v>Residential_High Efficiency HVAC_HVAC_Heat Pump SEER 15 Replace Electric Furnace_2017_Plan</v>
      </c>
      <c r="C17" s="1" t="s">
        <v>1</v>
      </c>
      <c r="D17" s="1" t="s">
        <v>205</v>
      </c>
      <c r="E17" s="1" t="s">
        <v>85</v>
      </c>
      <c r="F17" s="1" t="s">
        <v>208</v>
      </c>
      <c r="G17" s="1">
        <v>2017</v>
      </c>
      <c r="H17" s="1" t="s">
        <v>282</v>
      </c>
      <c r="I17" s="310" t="s">
        <v>1</v>
      </c>
      <c r="J17" s="308" t="s">
        <v>208</v>
      </c>
      <c r="K17" s="309">
        <v>8</v>
      </c>
      <c r="L17" s="309">
        <v>18</v>
      </c>
      <c r="M17" s="309">
        <v>0</v>
      </c>
      <c r="N17" s="309">
        <v>124851.48517668287</v>
      </c>
      <c r="O17" s="309">
        <v>0</v>
      </c>
      <c r="P17" s="309">
        <v>44.631458712065914</v>
      </c>
      <c r="Q17" s="309">
        <v>0</v>
      </c>
      <c r="R17" s="325">
        <v>4554</v>
      </c>
      <c r="S17" s="325">
        <v>0</v>
      </c>
      <c r="T17" s="325">
        <v>12400</v>
      </c>
      <c r="U17" s="325"/>
      <c r="V17" s="293">
        <f t="shared" si="0"/>
        <v>124851.48517668287</v>
      </c>
      <c r="W17" s="293">
        <f t="shared" si="1"/>
        <v>0</v>
      </c>
      <c r="X17" s="293">
        <f t="shared" si="2"/>
        <v>44.631458712065914</v>
      </c>
      <c r="Y17" s="293">
        <f t="shared" si="3"/>
        <v>0</v>
      </c>
    </row>
    <row r="18" spans="2:25">
      <c r="B18" s="1" t="str">
        <f t="shared" si="4"/>
        <v>Residential_High Efficiency HVAC_HVAC_CAC SEER 15_2017_Plan</v>
      </c>
      <c r="C18" s="1" t="s">
        <v>1</v>
      </c>
      <c r="D18" s="1" t="s">
        <v>205</v>
      </c>
      <c r="E18" s="1" t="s">
        <v>85</v>
      </c>
      <c r="F18" s="1" t="s">
        <v>209</v>
      </c>
      <c r="G18" s="1">
        <v>2017</v>
      </c>
      <c r="H18" s="1" t="s">
        <v>282</v>
      </c>
      <c r="I18" s="310" t="s">
        <v>1</v>
      </c>
      <c r="J18" s="308" t="s">
        <v>209</v>
      </c>
      <c r="K18" s="309">
        <v>10</v>
      </c>
      <c r="L18" s="309">
        <v>18</v>
      </c>
      <c r="M18" s="309">
        <v>0</v>
      </c>
      <c r="N18" s="309">
        <v>2189.5384615384628</v>
      </c>
      <c r="O18" s="309">
        <v>0</v>
      </c>
      <c r="P18" s="309">
        <v>3.9828473413379095</v>
      </c>
      <c r="Q18" s="309">
        <v>0</v>
      </c>
      <c r="R18" s="325">
        <v>238</v>
      </c>
      <c r="S18" s="325">
        <v>0</v>
      </c>
      <c r="T18" s="325">
        <v>2300</v>
      </c>
      <c r="U18" s="325"/>
      <c r="V18" s="293">
        <f t="shared" si="0"/>
        <v>2189.5384615384628</v>
      </c>
      <c r="W18" s="293">
        <f t="shared" si="1"/>
        <v>0</v>
      </c>
      <c r="X18" s="293">
        <f t="shared" si="2"/>
        <v>3.9828473413379095</v>
      </c>
      <c r="Y18" s="293">
        <f t="shared" si="3"/>
        <v>0</v>
      </c>
    </row>
    <row r="19" spans="2:25">
      <c r="B19" s="1" t="str">
        <f t="shared" si="4"/>
        <v>Residential_High Efficiency HVAC_HVAC_Ductless Mini-Split AC SEER ≥19_2017_Plan</v>
      </c>
      <c r="C19" s="1" t="s">
        <v>1</v>
      </c>
      <c r="D19" s="1" t="s">
        <v>205</v>
      </c>
      <c r="E19" s="1" t="s">
        <v>85</v>
      </c>
      <c r="F19" s="1" t="s">
        <v>210</v>
      </c>
      <c r="G19" s="1">
        <v>2017</v>
      </c>
      <c r="H19" s="1" t="s">
        <v>282</v>
      </c>
      <c r="I19" s="310" t="s">
        <v>1</v>
      </c>
      <c r="J19" s="308" t="s">
        <v>210</v>
      </c>
      <c r="K19" s="309">
        <v>10</v>
      </c>
      <c r="L19" s="309">
        <v>18</v>
      </c>
      <c r="M19" s="309">
        <v>0</v>
      </c>
      <c r="N19" s="309">
        <v>3572.9323308270677</v>
      </c>
      <c r="O19" s="309">
        <v>0</v>
      </c>
      <c r="P19" s="309">
        <v>6.7061688311688297</v>
      </c>
      <c r="Q19" s="309">
        <v>0</v>
      </c>
      <c r="R19" s="325">
        <v>300</v>
      </c>
      <c r="S19" s="325">
        <v>0</v>
      </c>
      <c r="T19" s="325">
        <v>2000</v>
      </c>
      <c r="U19" s="325"/>
      <c r="V19" s="293">
        <f t="shared" si="0"/>
        <v>3572.9323308270677</v>
      </c>
      <c r="W19" s="293">
        <f t="shared" si="1"/>
        <v>0</v>
      </c>
      <c r="X19" s="293">
        <f t="shared" si="2"/>
        <v>6.7061688311688297</v>
      </c>
      <c r="Y19" s="293">
        <f t="shared" si="3"/>
        <v>0</v>
      </c>
    </row>
    <row r="20" spans="2:25">
      <c r="B20" s="1" t="str">
        <f t="shared" si="4"/>
        <v>Residential_High Efficiency HVAC_HVAC_Ductless Mini-Split HP SEER ≥19_2017_Plan</v>
      </c>
      <c r="C20" s="1" t="s">
        <v>1</v>
      </c>
      <c r="D20" s="1" t="s">
        <v>205</v>
      </c>
      <c r="E20" s="1" t="s">
        <v>85</v>
      </c>
      <c r="F20" s="1" t="s">
        <v>211</v>
      </c>
      <c r="G20" s="1">
        <v>2017</v>
      </c>
      <c r="H20" s="1" t="s">
        <v>282</v>
      </c>
      <c r="I20" s="310" t="s">
        <v>1</v>
      </c>
      <c r="J20" s="308" t="s">
        <v>211</v>
      </c>
      <c r="K20" s="309">
        <v>10</v>
      </c>
      <c r="L20" s="309">
        <v>18</v>
      </c>
      <c r="M20" s="309">
        <v>0</v>
      </c>
      <c r="N20" s="309">
        <v>17891.667624944712</v>
      </c>
      <c r="O20" s="309">
        <v>0</v>
      </c>
      <c r="P20" s="309">
        <v>8.3827110389610375</v>
      </c>
      <c r="Q20" s="309">
        <v>0</v>
      </c>
      <c r="R20" s="325">
        <v>716</v>
      </c>
      <c r="S20" s="325">
        <v>0</v>
      </c>
      <c r="T20" s="325">
        <v>2000</v>
      </c>
      <c r="U20" s="325"/>
      <c r="V20" s="293">
        <f t="shared" si="0"/>
        <v>17891.667624944712</v>
      </c>
      <c r="W20" s="293">
        <f t="shared" si="1"/>
        <v>0</v>
      </c>
      <c r="X20" s="293">
        <f t="shared" si="2"/>
        <v>8.3827110389610375</v>
      </c>
      <c r="Y20" s="293">
        <f t="shared" si="3"/>
        <v>0</v>
      </c>
    </row>
    <row r="21" spans="2:25">
      <c r="B21" s="1" t="str">
        <f t="shared" si="4"/>
        <v>Residential_High Efficiency HVAC_Water Heating_Heat Pump Water Heater_2017_Plan</v>
      </c>
      <c r="C21" s="1" t="s">
        <v>1</v>
      </c>
      <c r="D21" s="1" t="s">
        <v>205</v>
      </c>
      <c r="E21" s="1" t="s">
        <v>284</v>
      </c>
      <c r="F21" s="1" t="s">
        <v>212</v>
      </c>
      <c r="G21" s="1">
        <v>2017</v>
      </c>
      <c r="H21" s="1" t="s">
        <v>282</v>
      </c>
      <c r="I21" s="310" t="s">
        <v>1</v>
      </c>
      <c r="J21" s="308" t="s">
        <v>212</v>
      </c>
      <c r="K21" s="309">
        <v>15</v>
      </c>
      <c r="L21" s="309">
        <v>15</v>
      </c>
      <c r="M21" s="309">
        <v>0</v>
      </c>
      <c r="N21" s="309">
        <v>26005.635513509089</v>
      </c>
      <c r="O21" s="309">
        <v>0</v>
      </c>
      <c r="P21" s="309">
        <v>1.232007999060833</v>
      </c>
      <c r="Q21" s="309">
        <v>0</v>
      </c>
      <c r="R21" s="325">
        <v>700</v>
      </c>
      <c r="S21" s="325">
        <v>0</v>
      </c>
      <c r="T21" s="325">
        <v>3750</v>
      </c>
      <c r="U21" s="325"/>
      <c r="V21" s="293">
        <f t="shared" si="0"/>
        <v>26005.635513509089</v>
      </c>
      <c r="W21" s="293">
        <f t="shared" si="1"/>
        <v>0</v>
      </c>
      <c r="X21" s="293">
        <f t="shared" si="2"/>
        <v>1.232007999060833</v>
      </c>
      <c r="Y21" s="293">
        <f t="shared" si="3"/>
        <v>0</v>
      </c>
    </row>
    <row r="22" spans="2:25">
      <c r="B22" s="1" t="str">
        <f t="shared" si="4"/>
        <v>Residential_High Efficiency HVAC_Water Heating_Electric Storage Water Heater EF 0.95_2017_Plan</v>
      </c>
      <c r="C22" s="1" t="s">
        <v>1</v>
      </c>
      <c r="D22" s="1" t="s">
        <v>205</v>
      </c>
      <c r="E22" s="1" t="s">
        <v>284</v>
      </c>
      <c r="F22" s="1" t="s">
        <v>213</v>
      </c>
      <c r="G22" s="1">
        <v>2017</v>
      </c>
      <c r="H22" s="1" t="s">
        <v>282</v>
      </c>
      <c r="I22" s="310" t="s">
        <v>1</v>
      </c>
      <c r="J22" s="308" t="s">
        <v>213</v>
      </c>
      <c r="K22" s="309">
        <v>10</v>
      </c>
      <c r="L22" s="309">
        <v>15</v>
      </c>
      <c r="M22" s="309">
        <v>0</v>
      </c>
      <c r="N22" s="309">
        <v>1258.0915680811916</v>
      </c>
      <c r="O22" s="309">
        <v>0</v>
      </c>
      <c r="P22" s="309">
        <v>0.14361775891337802</v>
      </c>
      <c r="Q22" s="309">
        <v>0</v>
      </c>
      <c r="R22" s="325">
        <v>51.06</v>
      </c>
      <c r="S22" s="325">
        <v>0</v>
      </c>
      <c r="T22" s="325">
        <v>1000</v>
      </c>
      <c r="U22" s="325"/>
      <c r="V22" s="293">
        <f t="shared" si="0"/>
        <v>1258.0915680811916</v>
      </c>
      <c r="W22" s="293">
        <f t="shared" si="1"/>
        <v>0</v>
      </c>
      <c r="X22" s="293">
        <f t="shared" si="2"/>
        <v>0.14361775891337802</v>
      </c>
      <c r="Y22" s="293">
        <f t="shared" si="3"/>
        <v>0</v>
      </c>
    </row>
    <row r="23" spans="2:25">
      <c r="B23" s="1" t="str">
        <f t="shared" si="4"/>
        <v>Residential_High Efficiency HVAC_Water Heating_Electric Storage Water Heater EF &gt;0.95_2017_Plan</v>
      </c>
      <c r="C23" s="1" t="s">
        <v>1</v>
      </c>
      <c r="D23" s="1" t="s">
        <v>205</v>
      </c>
      <c r="E23" s="1" t="s">
        <v>284</v>
      </c>
      <c r="F23" s="1" t="s">
        <v>214</v>
      </c>
      <c r="G23" s="1">
        <v>2017</v>
      </c>
      <c r="H23" s="1" t="s">
        <v>282</v>
      </c>
      <c r="I23" s="310" t="s">
        <v>1</v>
      </c>
      <c r="J23" s="308" t="s">
        <v>214</v>
      </c>
      <c r="K23" s="309">
        <v>10</v>
      </c>
      <c r="L23" s="309">
        <v>15</v>
      </c>
      <c r="M23" s="309">
        <v>0</v>
      </c>
      <c r="N23" s="309">
        <v>2224.1465854710777</v>
      </c>
      <c r="O23" s="309">
        <v>0</v>
      </c>
      <c r="P23" s="309">
        <v>0.25389801204007739</v>
      </c>
      <c r="Q23" s="309">
        <v>0</v>
      </c>
      <c r="R23" s="325">
        <v>51.06</v>
      </c>
      <c r="S23" s="325">
        <v>0</v>
      </c>
      <c r="T23" s="325">
        <v>1200</v>
      </c>
      <c r="U23" s="325"/>
      <c r="V23" s="293">
        <f t="shared" si="0"/>
        <v>2224.1465854710777</v>
      </c>
      <c r="W23" s="293">
        <f t="shared" si="1"/>
        <v>0</v>
      </c>
      <c r="X23" s="293">
        <f t="shared" si="2"/>
        <v>0.25389801204007739</v>
      </c>
      <c r="Y23" s="293">
        <f t="shared" si="3"/>
        <v>0</v>
      </c>
    </row>
    <row r="24" spans="2:25">
      <c r="B24" s="1" t="str">
        <f t="shared" si="4"/>
        <v>Residential_High Efficiency HVAC_HVAC_Geothermal EER ≥21_2017_Plan</v>
      </c>
      <c r="C24" s="1" t="s">
        <v>1</v>
      </c>
      <c r="D24" s="1" t="s">
        <v>205</v>
      </c>
      <c r="E24" s="1" t="s">
        <v>85</v>
      </c>
      <c r="F24" s="1" t="s">
        <v>215</v>
      </c>
      <c r="G24" s="1">
        <v>2017</v>
      </c>
      <c r="H24" s="1" t="s">
        <v>282</v>
      </c>
      <c r="I24" s="310" t="s">
        <v>1</v>
      </c>
      <c r="J24" s="308" t="s">
        <v>215</v>
      </c>
      <c r="K24" s="309">
        <v>15</v>
      </c>
      <c r="L24" s="309">
        <v>25</v>
      </c>
      <c r="M24" s="309">
        <v>0</v>
      </c>
      <c r="N24" s="309">
        <v>74029.021729133121</v>
      </c>
      <c r="O24" s="309">
        <v>0</v>
      </c>
      <c r="P24" s="309">
        <v>11.434059515237056</v>
      </c>
      <c r="Q24" s="309">
        <v>0</v>
      </c>
      <c r="R24" s="325">
        <v>2313.6581090197678</v>
      </c>
      <c r="S24" s="325">
        <v>0</v>
      </c>
      <c r="T24" s="325">
        <v>9750</v>
      </c>
      <c r="U24" s="325"/>
      <c r="V24" s="293">
        <f t="shared" si="0"/>
        <v>74029.021729133121</v>
      </c>
      <c r="W24" s="293">
        <f t="shared" si="1"/>
        <v>0</v>
      </c>
      <c r="X24" s="293">
        <f t="shared" si="2"/>
        <v>11.434059515237056</v>
      </c>
      <c r="Y24" s="293">
        <f t="shared" si="3"/>
        <v>0</v>
      </c>
    </row>
    <row r="25" spans="2:25">
      <c r="B25" s="1" t="str">
        <f t="shared" si="4"/>
        <v>Residential_High Efficiency HVAC_HVAC_Early Retirement Geothermal EER ≥21_2017_Plan</v>
      </c>
      <c r="C25" s="1" t="s">
        <v>1</v>
      </c>
      <c r="D25" s="1" t="s">
        <v>205</v>
      </c>
      <c r="E25" s="1" t="s">
        <v>85</v>
      </c>
      <c r="F25" s="1" t="s">
        <v>216</v>
      </c>
      <c r="G25" s="1">
        <v>2017</v>
      </c>
      <c r="H25" s="1" t="s">
        <v>282</v>
      </c>
      <c r="I25" s="310" t="s">
        <v>1</v>
      </c>
      <c r="J25" s="308" t="s">
        <v>216</v>
      </c>
      <c r="K25" s="309">
        <v>8</v>
      </c>
      <c r="L25" s="309">
        <v>25</v>
      </c>
      <c r="M25" s="309">
        <v>8</v>
      </c>
      <c r="N25" s="309">
        <v>39482.14492220433</v>
      </c>
      <c r="O25" s="309">
        <v>89381.597829939928</v>
      </c>
      <c r="P25" s="309">
        <v>6.0981650747930969</v>
      </c>
      <c r="Q25" s="309">
        <v>12.850318184840942</v>
      </c>
      <c r="R25" s="325">
        <v>4500</v>
      </c>
      <c r="S25" s="325">
        <v>2186.3418909802322</v>
      </c>
      <c r="T25" s="325">
        <v>7600</v>
      </c>
      <c r="U25" s="325"/>
      <c r="V25" s="293">
        <f t="shared" si="0"/>
        <v>89381.597829939928</v>
      </c>
      <c r="W25" s="293">
        <f t="shared" si="1"/>
        <v>39482.14492220433</v>
      </c>
      <c r="X25" s="293">
        <f t="shared" si="2"/>
        <v>12.850318184840942</v>
      </c>
      <c r="Y25" s="293">
        <f t="shared" si="3"/>
        <v>6.0981650747930969</v>
      </c>
    </row>
    <row r="26" spans="2:25">
      <c r="B26" s="1" t="str">
        <f t="shared" si="4"/>
        <v>Residential_Whole House Efficiency_All_All_2017_Plan</v>
      </c>
      <c r="C26" s="1" t="s">
        <v>1</v>
      </c>
      <c r="D26" s="1" t="s">
        <v>147</v>
      </c>
      <c r="E26" s="1" t="s">
        <v>28</v>
      </c>
      <c r="F26" s="1" t="s">
        <v>28</v>
      </c>
      <c r="G26" s="1">
        <v>2017</v>
      </c>
      <c r="H26" s="1" t="s">
        <v>282</v>
      </c>
      <c r="I26" s="305" t="s">
        <v>1</v>
      </c>
      <c r="J26" s="306" t="s">
        <v>147</v>
      </c>
      <c r="K26" s="307"/>
      <c r="L26" s="307"/>
      <c r="M26" s="307"/>
      <c r="N26" s="307"/>
      <c r="O26" s="307"/>
      <c r="P26" s="307"/>
      <c r="Q26" s="307"/>
      <c r="R26" s="324"/>
      <c r="S26" s="324"/>
      <c r="T26" s="324">
        <v>0</v>
      </c>
      <c r="U26" s="324">
        <v>37078.125</v>
      </c>
      <c r="V26" s="293">
        <f t="shared" si="0"/>
        <v>0</v>
      </c>
      <c r="W26" s="293">
        <f t="shared" si="1"/>
        <v>0</v>
      </c>
      <c r="X26" s="293">
        <f t="shared" si="2"/>
        <v>0</v>
      </c>
      <c r="Y26" s="293">
        <f t="shared" si="3"/>
        <v>0</v>
      </c>
    </row>
    <row r="27" spans="2:25">
      <c r="B27" s="1" t="str">
        <f t="shared" si="4"/>
        <v>Residential_Whole House Efficiency_Various_Measures_2017_Plan</v>
      </c>
      <c r="C27" s="1" t="s">
        <v>1</v>
      </c>
      <c r="D27" s="1" t="s">
        <v>147</v>
      </c>
      <c r="E27" s="1" t="s">
        <v>155</v>
      </c>
      <c r="F27" s="1" t="s">
        <v>283</v>
      </c>
      <c r="G27" s="1">
        <v>2017</v>
      </c>
      <c r="H27" s="1" t="s">
        <v>282</v>
      </c>
      <c r="I27" s="311" t="s">
        <v>1</v>
      </c>
      <c r="J27" s="312" t="s">
        <v>283</v>
      </c>
      <c r="K27" s="313">
        <f>SUM(K28:K29)</f>
        <v>125</v>
      </c>
      <c r="L27" s="313">
        <f>SUMPRODUCT(L28:L31,N28:N31)/SUM(N28:N31)</f>
        <v>12.199963201185822</v>
      </c>
      <c r="M27" s="314"/>
      <c r="N27" s="314">
        <f>SUM(N28:N31)</f>
        <v>63838.446721736327</v>
      </c>
      <c r="O27" s="314"/>
      <c r="P27" s="314">
        <f>SUM(P28:P31)</f>
        <v>23.903984399759324</v>
      </c>
      <c r="Q27" s="314"/>
      <c r="R27" s="326"/>
      <c r="S27" s="326"/>
      <c r="T27" s="326"/>
      <c r="U27" s="326"/>
      <c r="V27" s="293">
        <f t="shared" si="0"/>
        <v>63838.446721736327</v>
      </c>
      <c r="W27" s="293">
        <f t="shared" si="1"/>
        <v>0</v>
      </c>
      <c r="X27" s="293">
        <f t="shared" si="2"/>
        <v>23.903984399759324</v>
      </c>
      <c r="Y27" s="293">
        <f t="shared" si="3"/>
        <v>0</v>
      </c>
    </row>
    <row r="28" spans="2:25">
      <c r="B28" s="1" t="e">
        <f t="shared" si="4"/>
        <v>#N/A</v>
      </c>
      <c r="C28" s="1" t="e">
        <v>#N/A</v>
      </c>
      <c r="D28" s="1" t="e">
        <v>#N/A</v>
      </c>
      <c r="E28" s="1" t="e">
        <v>#N/A</v>
      </c>
      <c r="F28" s="1" t="s">
        <v>217</v>
      </c>
      <c r="G28" s="1">
        <v>2017</v>
      </c>
      <c r="H28" s="1" t="s">
        <v>282</v>
      </c>
      <c r="I28" s="310" t="s">
        <v>1</v>
      </c>
      <c r="J28" s="308" t="s">
        <v>217</v>
      </c>
      <c r="K28" s="309">
        <v>19</v>
      </c>
      <c r="L28" s="309">
        <v>15</v>
      </c>
      <c r="M28" s="309">
        <v>0</v>
      </c>
      <c r="N28" s="309">
        <v>25541.770572513557</v>
      </c>
      <c r="O28" s="309">
        <v>0</v>
      </c>
      <c r="P28" s="309">
        <v>10.868776063798061</v>
      </c>
      <c r="Q28" s="309">
        <v>0</v>
      </c>
      <c r="R28" s="325">
        <v>0</v>
      </c>
      <c r="S28" s="325">
        <v>0</v>
      </c>
      <c r="T28" s="325">
        <v>0</v>
      </c>
      <c r="U28" s="325"/>
      <c r="V28" s="293">
        <f t="shared" si="0"/>
        <v>25541.770572513557</v>
      </c>
      <c r="W28" s="293">
        <f t="shared" si="1"/>
        <v>0</v>
      </c>
      <c r="X28" s="293">
        <f t="shared" si="2"/>
        <v>10.868776063798061</v>
      </c>
      <c r="Y28" s="293">
        <f t="shared" si="3"/>
        <v>0</v>
      </c>
    </row>
    <row r="29" spans="2:25">
      <c r="B29" s="1" t="e">
        <f t="shared" si="4"/>
        <v>#N/A</v>
      </c>
      <c r="C29" s="1" t="e">
        <v>#N/A</v>
      </c>
      <c r="D29" s="1" t="e">
        <v>#N/A</v>
      </c>
      <c r="E29" s="1" t="e">
        <v>#N/A</v>
      </c>
      <c r="F29" s="1" t="s">
        <v>218</v>
      </c>
      <c r="G29" s="1">
        <v>2017</v>
      </c>
      <c r="H29" s="1" t="s">
        <v>282</v>
      </c>
      <c r="I29" s="310" t="s">
        <v>1</v>
      </c>
      <c r="J29" s="308" t="s">
        <v>218</v>
      </c>
      <c r="K29" s="309">
        <v>106</v>
      </c>
      <c r="L29" s="309">
        <v>15</v>
      </c>
      <c r="M29" s="309">
        <v>0</v>
      </c>
      <c r="N29" s="309">
        <v>6056.610810810811</v>
      </c>
      <c r="O29" s="309">
        <v>0</v>
      </c>
      <c r="P29" s="309">
        <v>9.3453606945900365</v>
      </c>
      <c r="Q29" s="309">
        <v>0</v>
      </c>
      <c r="R29" s="325">
        <v>0</v>
      </c>
      <c r="S29" s="325">
        <v>0</v>
      </c>
      <c r="T29" s="325">
        <v>0</v>
      </c>
      <c r="U29" s="325"/>
      <c r="V29" s="293">
        <f t="shared" si="0"/>
        <v>6056.610810810811</v>
      </c>
      <c r="W29" s="293">
        <f t="shared" si="1"/>
        <v>0</v>
      </c>
      <c r="X29" s="293">
        <f t="shared" si="2"/>
        <v>9.3453606945900365</v>
      </c>
      <c r="Y29" s="293">
        <f t="shared" si="3"/>
        <v>0</v>
      </c>
    </row>
    <row r="30" spans="2:25">
      <c r="B30" s="1" t="e">
        <f t="shared" si="4"/>
        <v>#N/A</v>
      </c>
      <c r="C30" s="1" t="e">
        <v>#N/A</v>
      </c>
      <c r="D30" s="1" t="e">
        <v>#N/A</v>
      </c>
      <c r="E30" s="1" t="e">
        <v>#N/A</v>
      </c>
      <c r="F30" s="1" t="s">
        <v>219</v>
      </c>
      <c r="G30" s="1">
        <v>2017</v>
      </c>
      <c r="H30" s="1" t="s">
        <v>282</v>
      </c>
      <c r="I30" s="310" t="s">
        <v>1</v>
      </c>
      <c r="J30" s="308" t="s">
        <v>219</v>
      </c>
      <c r="K30" s="309">
        <v>106</v>
      </c>
      <c r="L30" s="309">
        <v>15</v>
      </c>
      <c r="M30" s="309">
        <v>0</v>
      </c>
      <c r="N30" s="309">
        <v>14365.065338411954</v>
      </c>
      <c r="O30" s="309">
        <v>0</v>
      </c>
      <c r="P30" s="309">
        <v>1.6398476413712275</v>
      </c>
      <c r="Q30" s="309">
        <v>0</v>
      </c>
      <c r="R30" s="325">
        <v>0</v>
      </c>
      <c r="S30" s="325">
        <v>0</v>
      </c>
      <c r="T30" s="325">
        <v>0</v>
      </c>
      <c r="U30" s="325"/>
      <c r="V30" s="293">
        <f t="shared" si="0"/>
        <v>14365.065338411954</v>
      </c>
      <c r="W30" s="293">
        <f t="shared" si="1"/>
        <v>0</v>
      </c>
      <c r="X30" s="293">
        <f t="shared" si="2"/>
        <v>1.6398476413712275</v>
      </c>
      <c r="Y30" s="293">
        <f t="shared" si="3"/>
        <v>0</v>
      </c>
    </row>
    <row r="31" spans="2:25">
      <c r="B31" s="1" t="e">
        <f t="shared" si="4"/>
        <v>#N/A</v>
      </c>
      <c r="C31" s="1" t="e">
        <v>#N/A</v>
      </c>
      <c r="D31" s="1" t="e">
        <v>#N/A</v>
      </c>
      <c r="E31" s="1" t="e">
        <v>#N/A</v>
      </c>
      <c r="F31" s="1" t="s">
        <v>220</v>
      </c>
      <c r="G31" s="1">
        <v>2017</v>
      </c>
      <c r="H31" s="1" t="s">
        <v>282</v>
      </c>
      <c r="I31" s="310" t="s">
        <v>1</v>
      </c>
      <c r="J31" s="308" t="s">
        <v>220</v>
      </c>
      <c r="K31" s="309">
        <v>125</v>
      </c>
      <c r="L31" s="309">
        <v>5</v>
      </c>
      <c r="M31" s="309">
        <v>0</v>
      </c>
      <c r="N31" s="309">
        <v>17875</v>
      </c>
      <c r="O31" s="309">
        <v>0</v>
      </c>
      <c r="P31" s="309">
        <v>2.0500000000000003</v>
      </c>
      <c r="Q31" s="309">
        <v>0</v>
      </c>
      <c r="R31" s="325">
        <v>0</v>
      </c>
      <c r="S31" s="325">
        <v>0</v>
      </c>
      <c r="T31" s="325">
        <v>0</v>
      </c>
      <c r="U31" s="325"/>
      <c r="V31" s="293">
        <f t="shared" si="0"/>
        <v>17875</v>
      </c>
      <c r="W31" s="293">
        <f t="shared" si="1"/>
        <v>0</v>
      </c>
      <c r="X31" s="293">
        <f t="shared" si="2"/>
        <v>2.0500000000000003</v>
      </c>
      <c r="Y31" s="293">
        <f t="shared" si="3"/>
        <v>0</v>
      </c>
    </row>
    <row r="32" spans="2:25">
      <c r="B32" s="1" t="str">
        <f t="shared" si="4"/>
        <v>Residential_Whole House Efficiency_Various_Residential Kit_2017_Plan</v>
      </c>
      <c r="C32" s="1" t="s">
        <v>1</v>
      </c>
      <c r="D32" s="1" t="s">
        <v>147</v>
      </c>
      <c r="E32" s="1" t="s">
        <v>155</v>
      </c>
      <c r="F32" s="1" t="s">
        <v>221</v>
      </c>
      <c r="G32" s="1">
        <v>2017</v>
      </c>
      <c r="H32" s="1" t="s">
        <v>282</v>
      </c>
      <c r="I32" s="310" t="s">
        <v>1</v>
      </c>
      <c r="J32" s="312" t="s">
        <v>221</v>
      </c>
      <c r="K32" s="313">
        <v>125</v>
      </c>
      <c r="L32" s="313">
        <f>SUMPRODUCT(N33:N35,L33:L35)/SUM(N33:N35)</f>
        <v>9.7281255987255424</v>
      </c>
      <c r="M32" s="314"/>
      <c r="N32" s="314">
        <f>SUM(N33:N35)</f>
        <v>49624.715048290105</v>
      </c>
      <c r="O32" s="314"/>
      <c r="P32" s="314">
        <f>SUM(P33:P35)</f>
        <v>5.0011357240431042</v>
      </c>
      <c r="Q32" s="314"/>
      <c r="R32" s="326"/>
      <c r="S32" s="326"/>
      <c r="T32" s="326"/>
      <c r="U32" s="326"/>
      <c r="V32" s="293">
        <f t="shared" si="0"/>
        <v>49624.715048290105</v>
      </c>
      <c r="W32" s="293">
        <f t="shared" si="1"/>
        <v>0</v>
      </c>
      <c r="X32" s="293">
        <f t="shared" si="2"/>
        <v>5.0011357240431042</v>
      </c>
      <c r="Y32" s="293">
        <f t="shared" si="3"/>
        <v>0</v>
      </c>
    </row>
    <row r="33" spans="2:25">
      <c r="B33" s="1" t="e">
        <f t="shared" si="4"/>
        <v>#N/A</v>
      </c>
      <c r="C33" s="1" t="e">
        <v>#N/A</v>
      </c>
      <c r="D33" s="1" t="e">
        <v>#N/A</v>
      </c>
      <c r="E33" s="1" t="e">
        <v>#N/A</v>
      </c>
      <c r="F33" s="1" t="s">
        <v>151</v>
      </c>
      <c r="G33" s="1">
        <v>2017</v>
      </c>
      <c r="H33" s="1" t="s">
        <v>282</v>
      </c>
      <c r="I33" s="310" t="s">
        <v>1</v>
      </c>
      <c r="J33" s="308" t="s">
        <v>151</v>
      </c>
      <c r="K33" s="309">
        <v>500</v>
      </c>
      <c r="L33" s="309">
        <v>10</v>
      </c>
      <c r="M33" s="309">
        <v>0</v>
      </c>
      <c r="N33" s="309">
        <v>19158.649999999998</v>
      </c>
      <c r="O33" s="309">
        <v>0</v>
      </c>
      <c r="P33" s="309">
        <v>2.25264</v>
      </c>
      <c r="Q33" s="309">
        <v>0</v>
      </c>
      <c r="R33" s="325">
        <v>0</v>
      </c>
      <c r="S33" s="325">
        <v>0</v>
      </c>
      <c r="T33" s="325">
        <v>0</v>
      </c>
      <c r="U33" s="325"/>
      <c r="V33" s="293">
        <f t="shared" si="0"/>
        <v>19158.649999999998</v>
      </c>
      <c r="W33" s="293">
        <f t="shared" si="1"/>
        <v>0</v>
      </c>
      <c r="X33" s="293">
        <f t="shared" si="2"/>
        <v>2.25264</v>
      </c>
      <c r="Y33" s="293">
        <f t="shared" si="3"/>
        <v>0</v>
      </c>
    </row>
    <row r="34" spans="2:25">
      <c r="B34" s="1" t="e">
        <f t="shared" si="4"/>
        <v>#N/A</v>
      </c>
      <c r="C34" s="1" t="e">
        <v>#N/A</v>
      </c>
      <c r="D34" s="1" t="e">
        <v>#N/A</v>
      </c>
      <c r="E34" s="1" t="e">
        <v>#N/A</v>
      </c>
      <c r="F34" s="1" t="s">
        <v>222</v>
      </c>
      <c r="G34" s="1">
        <v>2017</v>
      </c>
      <c r="H34" s="1" t="s">
        <v>282</v>
      </c>
      <c r="I34" s="310" t="s">
        <v>1</v>
      </c>
      <c r="J34" s="308" t="s">
        <v>222</v>
      </c>
      <c r="K34" s="309">
        <v>125</v>
      </c>
      <c r="L34" s="309">
        <v>9</v>
      </c>
      <c r="M34" s="309">
        <v>0</v>
      </c>
      <c r="N34" s="309">
        <v>13491.689692169401</v>
      </c>
      <c r="O34" s="309">
        <v>0</v>
      </c>
      <c r="P34" s="309">
        <v>1.5066861585163795</v>
      </c>
      <c r="Q34" s="309">
        <v>0</v>
      </c>
      <c r="R34" s="325">
        <v>0</v>
      </c>
      <c r="S34" s="325">
        <v>0</v>
      </c>
      <c r="T34" s="325">
        <v>0</v>
      </c>
      <c r="U34" s="325"/>
      <c r="V34" s="293">
        <f t="shared" si="0"/>
        <v>13491.689692169401</v>
      </c>
      <c r="W34" s="293">
        <f t="shared" si="1"/>
        <v>0</v>
      </c>
      <c r="X34" s="293">
        <f t="shared" si="2"/>
        <v>1.5066861585163795</v>
      </c>
      <c r="Y34" s="293">
        <f t="shared" si="3"/>
        <v>0</v>
      </c>
    </row>
    <row r="35" spans="2:25">
      <c r="B35" s="1" t="e">
        <f t="shared" si="4"/>
        <v>#N/A</v>
      </c>
      <c r="C35" s="1" t="e">
        <v>#N/A</v>
      </c>
      <c r="D35" s="1" t="e">
        <v>#N/A</v>
      </c>
      <c r="E35" s="1" t="e">
        <v>#N/A</v>
      </c>
      <c r="F35" s="1" t="s">
        <v>223</v>
      </c>
      <c r="G35" s="1">
        <v>2017</v>
      </c>
      <c r="H35" s="1" t="s">
        <v>282</v>
      </c>
      <c r="I35" s="310" t="s">
        <v>1</v>
      </c>
      <c r="J35" s="308" t="s">
        <v>223</v>
      </c>
      <c r="K35" s="309">
        <v>125</v>
      </c>
      <c r="L35" s="309">
        <v>10</v>
      </c>
      <c r="M35" s="309">
        <v>0</v>
      </c>
      <c r="N35" s="309">
        <v>16974.375356120705</v>
      </c>
      <c r="O35" s="309">
        <v>0</v>
      </c>
      <c r="P35" s="309">
        <v>1.2418095655267252</v>
      </c>
      <c r="Q35" s="309">
        <v>0</v>
      </c>
      <c r="R35" s="325">
        <v>0</v>
      </c>
      <c r="S35" s="325">
        <v>0</v>
      </c>
      <c r="T35" s="325">
        <v>0</v>
      </c>
      <c r="U35" s="325"/>
      <c r="V35" s="293">
        <f t="shared" si="0"/>
        <v>16974.375356120705</v>
      </c>
      <c r="W35" s="293">
        <f t="shared" si="1"/>
        <v>0</v>
      </c>
      <c r="X35" s="293">
        <f t="shared" si="2"/>
        <v>1.2418095655267252</v>
      </c>
      <c r="Y35" s="293">
        <f t="shared" si="3"/>
        <v>0</v>
      </c>
    </row>
    <row r="36" spans="2:25">
      <c r="B36" s="1" t="str">
        <f t="shared" si="4"/>
        <v>Residential_Residential Audit_All_All_2017_Plan</v>
      </c>
      <c r="C36" s="1" t="s">
        <v>1</v>
      </c>
      <c r="D36" s="1" t="s">
        <v>144</v>
      </c>
      <c r="E36" s="1" t="s">
        <v>28</v>
      </c>
      <c r="F36" s="1" t="s">
        <v>28</v>
      </c>
      <c r="G36" s="1">
        <v>2017</v>
      </c>
      <c r="H36" s="1" t="s">
        <v>282</v>
      </c>
      <c r="I36" s="305" t="s">
        <v>1</v>
      </c>
      <c r="J36" s="306" t="s">
        <v>144</v>
      </c>
      <c r="K36" s="307"/>
      <c r="L36" s="307"/>
      <c r="M36" s="307"/>
      <c r="N36" s="307"/>
      <c r="O36" s="307"/>
      <c r="P36" s="307"/>
      <c r="Q36" s="307"/>
      <c r="R36" s="324"/>
      <c r="S36" s="324"/>
      <c r="T36" s="324">
        <v>0</v>
      </c>
      <c r="U36" s="324">
        <v>25263</v>
      </c>
      <c r="V36" s="293">
        <f t="shared" si="0"/>
        <v>0</v>
      </c>
      <c r="W36" s="293">
        <f t="shared" si="1"/>
        <v>0</v>
      </c>
      <c r="X36" s="293">
        <f t="shared" si="2"/>
        <v>0</v>
      </c>
      <c r="Y36" s="293">
        <f t="shared" si="3"/>
        <v>0</v>
      </c>
    </row>
    <row r="37" spans="2:25">
      <c r="B37" s="1" t="str">
        <f t="shared" si="4"/>
        <v>Residential_Residential Audit_Various_Residential Audit_2017_Plan</v>
      </c>
      <c r="C37" s="1" t="s">
        <v>1</v>
      </c>
      <c r="D37" s="1" t="s">
        <v>144</v>
      </c>
      <c r="E37" s="1" t="s">
        <v>155</v>
      </c>
      <c r="F37" s="1" t="s">
        <v>144</v>
      </c>
      <c r="G37" s="1">
        <v>2017</v>
      </c>
      <c r="H37" s="1" t="s">
        <v>282</v>
      </c>
      <c r="I37" s="311" t="s">
        <v>1</v>
      </c>
      <c r="J37" s="312" t="s">
        <v>144</v>
      </c>
      <c r="K37" s="313">
        <f>K40</f>
        <v>200</v>
      </c>
      <c r="L37" s="314">
        <f>$L$38</f>
        <v>9.7281255987255406</v>
      </c>
      <c r="M37" s="314"/>
      <c r="N37" s="314">
        <v>0</v>
      </c>
      <c r="O37" s="314"/>
      <c r="P37" s="314"/>
      <c r="Q37" s="314"/>
      <c r="R37" s="326"/>
      <c r="S37" s="326"/>
      <c r="T37" s="326"/>
      <c r="U37" s="326">
        <v>14238</v>
      </c>
      <c r="V37" s="293">
        <f t="shared" si="0"/>
        <v>0</v>
      </c>
      <c r="W37" s="293">
        <f t="shared" si="1"/>
        <v>0</v>
      </c>
      <c r="X37" s="293">
        <f t="shared" si="2"/>
        <v>0</v>
      </c>
      <c r="Y37" s="293">
        <f t="shared" si="3"/>
        <v>0</v>
      </c>
    </row>
    <row r="38" spans="2:25">
      <c r="B38" s="1" t="str">
        <f t="shared" si="4"/>
        <v>Residential_Residential Audit_Various_Residential Kit_2017_Plan</v>
      </c>
      <c r="C38" s="1" t="s">
        <v>1</v>
      </c>
      <c r="D38" s="1" t="s">
        <v>144</v>
      </c>
      <c r="E38" s="1" t="s">
        <v>155</v>
      </c>
      <c r="F38" s="1" t="s">
        <v>221</v>
      </c>
      <c r="G38" s="1">
        <v>2017</v>
      </c>
      <c r="H38" s="1" t="s">
        <v>282</v>
      </c>
      <c r="I38" s="311" t="s">
        <v>1</v>
      </c>
      <c r="J38" s="312" t="s">
        <v>221</v>
      </c>
      <c r="K38" s="313">
        <f>K37</f>
        <v>200</v>
      </c>
      <c r="L38" s="314">
        <f>SUMPRODUCT(L39:L41,N39:N41)/SUM(N39:N41)</f>
        <v>9.7281255987255406</v>
      </c>
      <c r="M38" s="314"/>
      <c r="N38" s="314">
        <f>SUM(N39:N41)</f>
        <v>79399.544077264174</v>
      </c>
      <c r="O38" s="314"/>
      <c r="P38" s="314">
        <f>SUM(P39:P41)</f>
        <v>8.0018171584689668</v>
      </c>
      <c r="Q38" s="314"/>
      <c r="R38" s="326"/>
      <c r="S38" s="326"/>
      <c r="T38" s="326"/>
      <c r="U38" s="326">
        <v>11025</v>
      </c>
      <c r="V38" s="293">
        <f t="shared" si="0"/>
        <v>79399.544077264174</v>
      </c>
      <c r="W38" s="293">
        <f t="shared" si="1"/>
        <v>0</v>
      </c>
      <c r="X38" s="293">
        <f t="shared" si="2"/>
        <v>8.0018171584689668</v>
      </c>
      <c r="Y38" s="293">
        <f t="shared" si="3"/>
        <v>0</v>
      </c>
    </row>
    <row r="39" spans="2:25">
      <c r="B39" s="1" t="e">
        <f t="shared" si="4"/>
        <v>#N/A</v>
      </c>
      <c r="C39" s="1" t="e">
        <v>#N/A</v>
      </c>
      <c r="D39" s="1" t="e">
        <v>#N/A</v>
      </c>
      <c r="E39" s="1" t="e">
        <v>#N/A</v>
      </c>
      <c r="F39" s="1" t="s">
        <v>151</v>
      </c>
      <c r="G39" s="1">
        <v>2017</v>
      </c>
      <c r="H39" s="1" t="s">
        <v>282</v>
      </c>
      <c r="I39" s="310" t="s">
        <v>1</v>
      </c>
      <c r="J39" s="308" t="s">
        <v>151</v>
      </c>
      <c r="K39" s="309">
        <v>800</v>
      </c>
      <c r="L39" s="309">
        <v>10</v>
      </c>
      <c r="M39" s="309">
        <v>0</v>
      </c>
      <c r="N39" s="309">
        <v>30653.839999999997</v>
      </c>
      <c r="O39" s="309">
        <v>0</v>
      </c>
      <c r="P39" s="309">
        <v>3.6042239999999994</v>
      </c>
      <c r="Q39" s="309">
        <v>0</v>
      </c>
      <c r="R39" s="325">
        <v>0</v>
      </c>
      <c r="S39" s="325">
        <v>0</v>
      </c>
      <c r="T39" s="325">
        <v>0</v>
      </c>
      <c r="U39" s="325"/>
      <c r="V39" s="293">
        <f t="shared" si="0"/>
        <v>30653.839999999997</v>
      </c>
      <c r="W39" s="293">
        <f t="shared" si="1"/>
        <v>0</v>
      </c>
      <c r="X39" s="293">
        <f t="shared" si="2"/>
        <v>3.6042239999999994</v>
      </c>
      <c r="Y39" s="293">
        <f t="shared" si="3"/>
        <v>0</v>
      </c>
    </row>
    <row r="40" spans="2:25">
      <c r="B40" s="1" t="e">
        <f t="shared" si="4"/>
        <v>#N/A</v>
      </c>
      <c r="C40" s="1" t="e">
        <v>#N/A</v>
      </c>
      <c r="D40" s="1" t="e">
        <v>#N/A</v>
      </c>
      <c r="E40" s="1" t="e">
        <v>#N/A</v>
      </c>
      <c r="F40" s="1" t="s">
        <v>222</v>
      </c>
      <c r="G40" s="1">
        <v>2017</v>
      </c>
      <c r="H40" s="1" t="s">
        <v>282</v>
      </c>
      <c r="I40" s="310" t="s">
        <v>1</v>
      </c>
      <c r="J40" s="308" t="s">
        <v>222</v>
      </c>
      <c r="K40" s="309">
        <v>200</v>
      </c>
      <c r="L40" s="309">
        <v>9</v>
      </c>
      <c r="M40" s="309">
        <v>0</v>
      </c>
      <c r="N40" s="309">
        <v>21586.70350747104</v>
      </c>
      <c r="O40" s="309">
        <v>0</v>
      </c>
      <c r="P40" s="309">
        <v>2.4106978536262074</v>
      </c>
      <c r="Q40" s="309">
        <v>0</v>
      </c>
      <c r="R40" s="325">
        <v>0</v>
      </c>
      <c r="S40" s="325">
        <v>0</v>
      </c>
      <c r="T40" s="325">
        <v>0</v>
      </c>
      <c r="U40" s="325"/>
      <c r="V40" s="293">
        <f t="shared" si="0"/>
        <v>21586.70350747104</v>
      </c>
      <c r="W40" s="293">
        <f t="shared" si="1"/>
        <v>0</v>
      </c>
      <c r="X40" s="293">
        <f t="shared" si="2"/>
        <v>2.4106978536262074</v>
      </c>
      <c r="Y40" s="293">
        <f t="shared" si="3"/>
        <v>0</v>
      </c>
    </row>
    <row r="41" spans="2:25">
      <c r="B41" s="1" t="e">
        <f t="shared" si="4"/>
        <v>#N/A</v>
      </c>
      <c r="C41" s="1" t="e">
        <v>#N/A</v>
      </c>
      <c r="D41" s="1" t="e">
        <v>#N/A</v>
      </c>
      <c r="E41" s="1" t="e">
        <v>#N/A</v>
      </c>
      <c r="F41" s="1" t="s">
        <v>223</v>
      </c>
      <c r="G41" s="1">
        <v>2017</v>
      </c>
      <c r="H41" s="1" t="s">
        <v>282</v>
      </c>
      <c r="I41" s="310" t="s">
        <v>1</v>
      </c>
      <c r="J41" s="308" t="s">
        <v>223</v>
      </c>
      <c r="K41" s="309">
        <v>200</v>
      </c>
      <c r="L41" s="309">
        <v>10</v>
      </c>
      <c r="M41" s="309">
        <v>0</v>
      </c>
      <c r="N41" s="309">
        <v>27159.00056979313</v>
      </c>
      <c r="O41" s="309">
        <v>0</v>
      </c>
      <c r="P41" s="309">
        <v>1.9868953048427604</v>
      </c>
      <c r="Q41" s="309">
        <v>0</v>
      </c>
      <c r="R41" s="325">
        <v>0</v>
      </c>
      <c r="S41" s="325">
        <v>0</v>
      </c>
      <c r="T41" s="325">
        <v>0</v>
      </c>
      <c r="U41" s="325"/>
      <c r="V41" s="293">
        <f t="shared" si="0"/>
        <v>27159.00056979313</v>
      </c>
      <c r="W41" s="293">
        <f t="shared" si="1"/>
        <v>0</v>
      </c>
      <c r="X41" s="293">
        <f t="shared" si="2"/>
        <v>1.9868953048427604</v>
      </c>
      <c r="Y41" s="293">
        <f t="shared" si="3"/>
        <v>0</v>
      </c>
    </row>
    <row r="42" spans="2:25">
      <c r="B42" s="1" t="str">
        <f t="shared" si="4"/>
        <v>Residential_School-Based Education_All_All_2017_Plan</v>
      </c>
      <c r="C42" s="1" t="s">
        <v>1</v>
      </c>
      <c r="D42" s="1" t="s">
        <v>224</v>
      </c>
      <c r="E42" s="1" t="s">
        <v>28</v>
      </c>
      <c r="F42" s="1" t="s">
        <v>28</v>
      </c>
      <c r="G42" s="1">
        <v>2017</v>
      </c>
      <c r="H42" s="1" t="s">
        <v>282</v>
      </c>
      <c r="I42" s="305" t="s">
        <v>1</v>
      </c>
      <c r="J42" s="306" t="s">
        <v>224</v>
      </c>
      <c r="K42" s="307"/>
      <c r="L42" s="307"/>
      <c r="M42" s="307">
        <v>0</v>
      </c>
      <c r="N42" s="307"/>
      <c r="O42" s="307"/>
      <c r="P42" s="307"/>
      <c r="Q42" s="307"/>
      <c r="R42" s="324">
        <v>0</v>
      </c>
      <c r="S42" s="324">
        <v>0</v>
      </c>
      <c r="T42" s="324">
        <v>0</v>
      </c>
      <c r="U42" s="324">
        <v>66150</v>
      </c>
      <c r="V42" s="293">
        <f t="shared" si="0"/>
        <v>0</v>
      </c>
      <c r="W42" s="293">
        <f t="shared" si="1"/>
        <v>0</v>
      </c>
      <c r="X42" s="293">
        <f t="shared" si="2"/>
        <v>0</v>
      </c>
      <c r="Y42" s="293">
        <f t="shared" si="3"/>
        <v>0</v>
      </c>
    </row>
    <row r="43" spans="2:25">
      <c r="B43" s="1" t="str">
        <f>C43&amp;"_"&amp;D43&amp;"_"&amp;E43&amp;"_"&amp;F43&amp;"_"&amp;G43&amp;"_"&amp;H43</f>
        <v>Residential_School-Based Education_Various_EE Kit/Education Materials_2017_Plan</v>
      </c>
      <c r="C43" s="294" t="s">
        <v>1</v>
      </c>
      <c r="D43" s="294" t="s">
        <v>224</v>
      </c>
      <c r="E43" s="294" t="s">
        <v>155</v>
      </c>
      <c r="F43" s="294" t="s">
        <v>152</v>
      </c>
      <c r="G43" s="294">
        <v>2017</v>
      </c>
      <c r="H43" s="294" t="s">
        <v>282</v>
      </c>
      <c r="I43" s="311"/>
      <c r="J43" s="319"/>
      <c r="K43" s="314">
        <v>1200</v>
      </c>
      <c r="L43" s="314">
        <v>5</v>
      </c>
      <c r="M43" s="314"/>
      <c r="N43" s="314">
        <v>476397.26446358504</v>
      </c>
      <c r="O43" s="314">
        <v>0</v>
      </c>
      <c r="P43" s="314">
        <v>48.010902950813801</v>
      </c>
      <c r="Q43" s="314">
        <v>0</v>
      </c>
      <c r="R43" s="326"/>
      <c r="S43" s="326"/>
      <c r="T43" s="326"/>
      <c r="U43" s="326"/>
      <c r="V43" s="293">
        <f t="shared" si="0"/>
        <v>476397.26446358504</v>
      </c>
      <c r="W43" s="293">
        <f t="shared" si="1"/>
        <v>0</v>
      </c>
      <c r="X43" s="293">
        <f t="shared" si="2"/>
        <v>48.010902950813801</v>
      </c>
      <c r="Y43" s="293">
        <f t="shared" si="3"/>
        <v>0</v>
      </c>
    </row>
    <row r="44" spans="2:25">
      <c r="B44" s="1" t="str">
        <f t="shared" si="4"/>
        <v>Residential_Weatherization_All_All_2017_Plan</v>
      </c>
      <c r="C44" s="1" t="s">
        <v>1</v>
      </c>
      <c r="D44" s="1" t="s">
        <v>83</v>
      </c>
      <c r="E44" s="1" t="s">
        <v>28</v>
      </c>
      <c r="F44" s="1" t="s">
        <v>28</v>
      </c>
      <c r="G44" s="1">
        <v>2017</v>
      </c>
      <c r="H44" s="1" t="s">
        <v>282</v>
      </c>
      <c r="I44" s="305" t="s">
        <v>1</v>
      </c>
      <c r="J44" s="306" t="s">
        <v>83</v>
      </c>
      <c r="K44" s="307"/>
      <c r="L44" s="307"/>
      <c r="M44" s="307"/>
      <c r="N44" s="307"/>
      <c r="O44" s="307"/>
      <c r="P44" s="307"/>
      <c r="Q44" s="307"/>
      <c r="R44" s="324"/>
      <c r="S44" s="324"/>
      <c r="T44" s="324">
        <v>0</v>
      </c>
      <c r="U44" s="324">
        <v>11576.25</v>
      </c>
      <c r="V44" s="293">
        <f t="shared" si="0"/>
        <v>0</v>
      </c>
      <c r="W44" s="293">
        <f t="shared" si="1"/>
        <v>0</v>
      </c>
      <c r="X44" s="293">
        <f t="shared" si="2"/>
        <v>0</v>
      </c>
      <c r="Y44" s="293">
        <f t="shared" si="3"/>
        <v>0</v>
      </c>
    </row>
    <row r="45" spans="2:25">
      <c r="B45" s="1" t="str">
        <f t="shared" si="4"/>
        <v>Residential_Weatherization_Various_Measures_2017_Plan</v>
      </c>
      <c r="C45" s="1" t="s">
        <v>1</v>
      </c>
      <c r="D45" s="1" t="s">
        <v>83</v>
      </c>
      <c r="E45" s="1" t="s">
        <v>155</v>
      </c>
      <c r="F45" s="1" t="s">
        <v>283</v>
      </c>
      <c r="G45" s="1">
        <v>2017</v>
      </c>
      <c r="H45" s="1" t="s">
        <v>282</v>
      </c>
      <c r="I45" s="311"/>
      <c r="J45" s="312" t="s">
        <v>225</v>
      </c>
      <c r="K45" s="315">
        <v>30</v>
      </c>
      <c r="L45" s="316">
        <f>SUMPRODUCT(N46:N49,L46:L49)/SUM(N46:N49)</f>
        <v>13.794674520911501</v>
      </c>
      <c r="M45" s="315"/>
      <c r="N45" s="315">
        <f>SUM(N46:N49)</f>
        <v>25955.985608229752</v>
      </c>
      <c r="O45" s="315"/>
      <c r="P45" s="315">
        <f>SUM(P46:P49)</f>
        <v>4.6636763106776131</v>
      </c>
      <c r="Q45" s="315"/>
      <c r="R45" s="327"/>
      <c r="S45" s="327"/>
      <c r="T45" s="327"/>
      <c r="U45" s="327"/>
      <c r="V45" s="293">
        <f t="shared" si="0"/>
        <v>25955.985608229752</v>
      </c>
      <c r="W45" s="293">
        <f t="shared" si="1"/>
        <v>0</v>
      </c>
      <c r="X45" s="293">
        <f t="shared" si="2"/>
        <v>4.6636763106776131</v>
      </c>
      <c r="Y45" s="293">
        <f t="shared" si="3"/>
        <v>0</v>
      </c>
    </row>
    <row r="46" spans="2:25">
      <c r="B46" s="1" t="e">
        <f t="shared" si="4"/>
        <v>#N/A</v>
      </c>
      <c r="C46" s="1" t="e">
        <v>#N/A</v>
      </c>
      <c r="D46" s="1" t="e">
        <v>#N/A</v>
      </c>
      <c r="E46" s="1" t="e">
        <v>#N/A</v>
      </c>
      <c r="F46" s="1" t="s">
        <v>226</v>
      </c>
      <c r="G46" s="1">
        <v>2017</v>
      </c>
      <c r="H46" s="1" t="s">
        <v>282</v>
      </c>
      <c r="I46" s="310" t="s">
        <v>1</v>
      </c>
      <c r="J46" s="308" t="s">
        <v>226</v>
      </c>
      <c r="K46" s="309">
        <v>30</v>
      </c>
      <c r="L46" s="309">
        <v>15</v>
      </c>
      <c r="M46" s="309"/>
      <c r="N46" s="309">
        <v>21021.62328270985</v>
      </c>
      <c r="O46" s="309">
        <v>0</v>
      </c>
      <c r="P46" s="309">
        <v>4.0993150684931505</v>
      </c>
      <c r="Q46" s="309">
        <v>0</v>
      </c>
      <c r="R46" s="325">
        <v>0</v>
      </c>
      <c r="S46" s="325"/>
      <c r="T46" s="325">
        <v>0</v>
      </c>
      <c r="U46" s="325"/>
      <c r="V46" s="293">
        <f t="shared" si="0"/>
        <v>21021.62328270985</v>
      </c>
      <c r="W46" s="293">
        <f t="shared" si="1"/>
        <v>0</v>
      </c>
      <c r="X46" s="293">
        <f t="shared" si="2"/>
        <v>4.0993150684931505</v>
      </c>
      <c r="Y46" s="293">
        <f t="shared" si="3"/>
        <v>0</v>
      </c>
    </row>
    <row r="47" spans="2:25">
      <c r="B47" s="1" t="e">
        <f t="shared" si="4"/>
        <v>#N/A</v>
      </c>
      <c r="C47" s="1" t="e">
        <v>#N/A</v>
      </c>
      <c r="D47" s="1" t="e">
        <v>#N/A</v>
      </c>
      <c r="E47" s="1" t="e">
        <v>#N/A</v>
      </c>
      <c r="F47" s="1" t="s">
        <v>220</v>
      </c>
      <c r="G47" s="1">
        <v>2017</v>
      </c>
      <c r="H47" s="1" t="s">
        <v>282</v>
      </c>
      <c r="I47" s="310" t="s">
        <v>1</v>
      </c>
      <c r="J47" s="308" t="s">
        <v>220</v>
      </c>
      <c r="K47" s="309">
        <v>15</v>
      </c>
      <c r="L47" s="309">
        <v>5</v>
      </c>
      <c r="M47" s="309">
        <v>0</v>
      </c>
      <c r="N47" s="309">
        <v>2145</v>
      </c>
      <c r="O47" s="309">
        <v>0</v>
      </c>
      <c r="P47" s="309">
        <v>0.24600000000000002</v>
      </c>
      <c r="Q47" s="309">
        <v>0</v>
      </c>
      <c r="R47" s="325">
        <v>0</v>
      </c>
      <c r="S47" s="325">
        <v>0</v>
      </c>
      <c r="T47" s="325">
        <v>0</v>
      </c>
      <c r="U47" s="325"/>
      <c r="V47" s="293">
        <f t="shared" si="0"/>
        <v>2145</v>
      </c>
      <c r="W47" s="293">
        <f t="shared" si="1"/>
        <v>0</v>
      </c>
      <c r="X47" s="293">
        <f t="shared" si="2"/>
        <v>0.24600000000000002</v>
      </c>
      <c r="Y47" s="293">
        <f t="shared" si="3"/>
        <v>0</v>
      </c>
    </row>
    <row r="48" spans="2:25">
      <c r="B48" s="1" t="e">
        <f t="shared" si="4"/>
        <v>#N/A</v>
      </c>
      <c r="C48" s="1" t="e">
        <v>#N/A</v>
      </c>
      <c r="D48" s="1" t="e">
        <v>#N/A</v>
      </c>
      <c r="E48" s="1" t="e">
        <v>#N/A</v>
      </c>
      <c r="F48" s="1" t="s">
        <v>219</v>
      </c>
      <c r="G48" s="1">
        <v>2017</v>
      </c>
      <c r="H48" s="1" t="s">
        <v>282</v>
      </c>
      <c r="I48" s="310" t="s">
        <v>1</v>
      </c>
      <c r="J48" s="308" t="s">
        <v>219</v>
      </c>
      <c r="K48" s="309">
        <v>120</v>
      </c>
      <c r="L48" s="309">
        <v>15</v>
      </c>
      <c r="M48" s="309">
        <v>0</v>
      </c>
      <c r="N48" s="309">
        <v>2032.792264869616</v>
      </c>
      <c r="O48" s="309">
        <v>0</v>
      </c>
      <c r="P48" s="309">
        <v>0.23205391151479635</v>
      </c>
      <c r="Q48" s="309">
        <v>0</v>
      </c>
      <c r="R48" s="325">
        <v>0</v>
      </c>
      <c r="S48" s="325">
        <v>0</v>
      </c>
      <c r="T48" s="325">
        <v>0</v>
      </c>
      <c r="U48" s="325"/>
      <c r="V48" s="293">
        <f t="shared" si="0"/>
        <v>2032.792264869616</v>
      </c>
      <c r="W48" s="293">
        <f t="shared" si="1"/>
        <v>0</v>
      </c>
      <c r="X48" s="293">
        <f t="shared" si="2"/>
        <v>0.23205391151479635</v>
      </c>
      <c r="Y48" s="293">
        <f t="shared" si="3"/>
        <v>0</v>
      </c>
    </row>
    <row r="49" spans="2:26">
      <c r="B49" s="1" t="e">
        <f t="shared" si="4"/>
        <v>#N/A</v>
      </c>
      <c r="C49" s="1" t="e">
        <v>#N/A</v>
      </c>
      <c r="D49" s="1" t="e">
        <v>#N/A</v>
      </c>
      <c r="E49" s="1" t="e">
        <v>#N/A</v>
      </c>
      <c r="F49" s="1" t="s">
        <v>227</v>
      </c>
      <c r="G49" s="1">
        <v>2017</v>
      </c>
      <c r="H49" s="1" t="s">
        <v>282</v>
      </c>
      <c r="I49" s="310" t="s">
        <v>1</v>
      </c>
      <c r="J49" s="308" t="s">
        <v>227</v>
      </c>
      <c r="K49" s="309">
        <v>30</v>
      </c>
      <c r="L49" s="309">
        <v>2</v>
      </c>
      <c r="M49" s="309">
        <v>0</v>
      </c>
      <c r="N49" s="309">
        <v>756.570060650286</v>
      </c>
      <c r="O49" s="309">
        <v>0</v>
      </c>
      <c r="P49" s="309">
        <v>8.6307330669665297E-2</v>
      </c>
      <c r="Q49" s="309">
        <v>0</v>
      </c>
      <c r="R49" s="325">
        <v>0</v>
      </c>
      <c r="S49" s="325">
        <v>0</v>
      </c>
      <c r="T49" s="325">
        <v>0</v>
      </c>
      <c r="U49" s="325"/>
      <c r="V49" s="293">
        <f t="shared" si="0"/>
        <v>756.570060650286</v>
      </c>
      <c r="W49" s="293">
        <f t="shared" si="1"/>
        <v>0</v>
      </c>
      <c r="X49" s="293">
        <f t="shared" si="2"/>
        <v>8.6307330669665297E-2</v>
      </c>
      <c r="Y49" s="293">
        <f t="shared" si="3"/>
        <v>0</v>
      </c>
    </row>
    <row r="50" spans="2:26">
      <c r="B50" s="1" t="str">
        <f t="shared" si="4"/>
        <v>Residential_Weatherization_Various_Residential Kit_2017_Plan</v>
      </c>
      <c r="C50" s="1" t="s">
        <v>1</v>
      </c>
      <c r="D50" s="1" t="s">
        <v>83</v>
      </c>
      <c r="E50" s="1" t="s">
        <v>155</v>
      </c>
      <c r="F50" s="1" t="s">
        <v>221</v>
      </c>
      <c r="G50" s="1">
        <v>2017</v>
      </c>
      <c r="H50" s="1" t="s">
        <v>282</v>
      </c>
      <c r="I50" s="317" t="s">
        <v>1</v>
      </c>
      <c r="J50" s="312" t="s">
        <v>221</v>
      </c>
      <c r="K50" s="315">
        <v>30</v>
      </c>
      <c r="L50" s="316">
        <f>SUMPRODUCT(N51:N53,L51:L53)/SUM(N51:N53)</f>
        <v>9.7281255987255424</v>
      </c>
      <c r="M50" s="315"/>
      <c r="N50" s="315">
        <f>SUM(N51:N53)</f>
        <v>11909.931611589625</v>
      </c>
      <c r="O50" s="315"/>
      <c r="P50" s="315">
        <f>SUM(P51:P53)</f>
        <v>1.200272573770345</v>
      </c>
      <c r="Q50" s="315"/>
      <c r="R50" s="327"/>
      <c r="S50" s="327"/>
      <c r="T50" s="327">
        <v>0</v>
      </c>
      <c r="U50" s="327"/>
      <c r="V50" s="293">
        <f t="shared" si="0"/>
        <v>11909.931611589625</v>
      </c>
      <c r="W50" s="293">
        <f t="shared" si="1"/>
        <v>0</v>
      </c>
      <c r="X50" s="293">
        <f t="shared" si="2"/>
        <v>1.200272573770345</v>
      </c>
      <c r="Y50" s="293">
        <f t="shared" si="3"/>
        <v>0</v>
      </c>
    </row>
    <row r="51" spans="2:26">
      <c r="B51" s="1" t="e">
        <f t="shared" si="4"/>
        <v>#N/A</v>
      </c>
      <c r="C51" s="1" t="e">
        <v>#N/A</v>
      </c>
      <c r="D51" s="1" t="e">
        <v>#N/A</v>
      </c>
      <c r="E51" s="1" t="e">
        <v>#N/A</v>
      </c>
      <c r="F51" s="1" t="s">
        <v>151</v>
      </c>
      <c r="G51" s="1">
        <v>2017</v>
      </c>
      <c r="H51" s="1" t="s">
        <v>282</v>
      </c>
      <c r="I51" s="310" t="s">
        <v>1</v>
      </c>
      <c r="J51" s="308" t="s">
        <v>151</v>
      </c>
      <c r="K51" s="309">
        <v>191</v>
      </c>
      <c r="L51" s="309">
        <v>10</v>
      </c>
      <c r="M51" s="309">
        <v>0</v>
      </c>
      <c r="N51" s="309">
        <v>4598.0759999999991</v>
      </c>
      <c r="O51" s="309">
        <v>0</v>
      </c>
      <c r="P51" s="309">
        <v>0.54063359999999994</v>
      </c>
      <c r="Q51" s="309">
        <v>0</v>
      </c>
      <c r="R51" s="325">
        <v>0</v>
      </c>
      <c r="S51" s="325">
        <v>0</v>
      </c>
      <c r="T51" s="325">
        <v>0</v>
      </c>
      <c r="U51" s="325"/>
      <c r="V51" s="293">
        <f t="shared" si="0"/>
        <v>4598.0759999999991</v>
      </c>
      <c r="W51" s="293">
        <f t="shared" si="1"/>
        <v>0</v>
      </c>
      <c r="X51" s="293">
        <f t="shared" si="2"/>
        <v>0.54063359999999994</v>
      </c>
      <c r="Y51" s="293">
        <f t="shared" si="3"/>
        <v>0</v>
      </c>
    </row>
    <row r="52" spans="2:26">
      <c r="B52" s="1" t="e">
        <f t="shared" si="4"/>
        <v>#N/A</v>
      </c>
      <c r="C52" s="1" t="e">
        <v>#N/A</v>
      </c>
      <c r="D52" s="1" t="e">
        <v>#N/A</v>
      </c>
      <c r="E52" s="1" t="e">
        <v>#N/A</v>
      </c>
      <c r="F52" s="1" t="s">
        <v>222</v>
      </c>
      <c r="G52" s="1">
        <v>2017</v>
      </c>
      <c r="H52" s="1" t="s">
        <v>282</v>
      </c>
      <c r="I52" s="310" t="s">
        <v>1</v>
      </c>
      <c r="J52" s="308" t="s">
        <v>222</v>
      </c>
      <c r="K52" s="309">
        <v>55</v>
      </c>
      <c r="L52" s="309">
        <v>9</v>
      </c>
      <c r="M52" s="309">
        <v>0</v>
      </c>
      <c r="N52" s="309">
        <v>3238.0055261206562</v>
      </c>
      <c r="O52" s="309">
        <v>0</v>
      </c>
      <c r="P52" s="309">
        <v>0.36160467804393109</v>
      </c>
      <c r="Q52" s="309">
        <v>0</v>
      </c>
      <c r="R52" s="325">
        <v>0</v>
      </c>
      <c r="S52" s="325">
        <v>0</v>
      </c>
      <c r="T52" s="325">
        <v>0</v>
      </c>
      <c r="U52" s="325"/>
      <c r="V52" s="293">
        <f t="shared" si="0"/>
        <v>3238.0055261206562</v>
      </c>
      <c r="W52" s="293">
        <f t="shared" si="1"/>
        <v>0</v>
      </c>
      <c r="X52" s="293">
        <f t="shared" si="2"/>
        <v>0.36160467804393109</v>
      </c>
      <c r="Y52" s="293">
        <f t="shared" si="3"/>
        <v>0</v>
      </c>
    </row>
    <row r="53" spans="2:26">
      <c r="B53" s="1" t="e">
        <f t="shared" si="4"/>
        <v>#N/A</v>
      </c>
      <c r="C53" s="1" t="e">
        <v>#N/A</v>
      </c>
      <c r="D53" s="1" t="e">
        <v>#N/A</v>
      </c>
      <c r="E53" s="1" t="e">
        <v>#N/A</v>
      </c>
      <c r="F53" s="1" t="s">
        <v>223</v>
      </c>
      <c r="G53" s="1">
        <v>2017</v>
      </c>
      <c r="H53" s="1" t="s">
        <v>282</v>
      </c>
      <c r="I53" s="310" t="s">
        <v>1</v>
      </c>
      <c r="J53" s="308" t="s">
        <v>223</v>
      </c>
      <c r="K53" s="309">
        <v>136</v>
      </c>
      <c r="L53" s="309">
        <v>10</v>
      </c>
      <c r="M53" s="309">
        <v>0</v>
      </c>
      <c r="N53" s="309">
        <v>4073.8500854689696</v>
      </c>
      <c r="O53" s="309">
        <v>0</v>
      </c>
      <c r="P53" s="309">
        <v>0.29803429572641404</v>
      </c>
      <c r="Q53" s="309">
        <v>0</v>
      </c>
      <c r="R53" s="325">
        <v>0</v>
      </c>
      <c r="S53" s="325">
        <v>0</v>
      </c>
      <c r="T53" s="325">
        <v>0</v>
      </c>
      <c r="U53" s="325"/>
      <c r="V53" s="293">
        <f t="shared" si="0"/>
        <v>4073.8500854689696</v>
      </c>
      <c r="W53" s="293">
        <f t="shared" si="1"/>
        <v>0</v>
      </c>
      <c r="X53" s="293">
        <f t="shared" si="2"/>
        <v>0.29803429572641404</v>
      </c>
      <c r="Y53" s="293">
        <f t="shared" si="3"/>
        <v>0</v>
      </c>
    </row>
    <row r="54" spans="2:26">
      <c r="B54" s="1" t="e">
        <f t="shared" si="4"/>
        <v>#N/A</v>
      </c>
      <c r="C54" s="1" t="e">
        <v>#N/A</v>
      </c>
      <c r="D54" s="1" t="e">
        <v>#N/A</v>
      </c>
      <c r="E54" s="1" t="e">
        <v>#N/A</v>
      </c>
      <c r="F54" s="1" t="e">
        <v>#N/A</v>
      </c>
      <c r="G54" s="1">
        <v>2017</v>
      </c>
      <c r="H54" s="1" t="s">
        <v>282</v>
      </c>
      <c r="I54" s="302"/>
      <c r="J54" s="303" t="s">
        <v>174</v>
      </c>
      <c r="K54" s="331"/>
      <c r="L54" s="304"/>
      <c r="M54" s="304"/>
      <c r="N54" s="331">
        <f t="shared" ref="N54:Q54" si="5">N56+N57</f>
        <v>2486367.0087299999</v>
      </c>
      <c r="O54" s="331">
        <f t="shared" si="5"/>
        <v>0</v>
      </c>
      <c r="P54" s="331">
        <f t="shared" si="5"/>
        <v>616.77949849999993</v>
      </c>
      <c r="Q54" s="331">
        <f t="shared" si="5"/>
        <v>0</v>
      </c>
      <c r="R54" s="323"/>
      <c r="S54" s="323"/>
      <c r="T54" s="323">
        <f>T56+T57</f>
        <v>397215</v>
      </c>
      <c r="U54" s="323">
        <f>U55+U57</f>
        <v>193788.78749999998</v>
      </c>
      <c r="V54" s="293">
        <f t="shared" si="0"/>
        <v>2486367.0087299999</v>
      </c>
      <c r="W54" s="293">
        <f t="shared" si="1"/>
        <v>0</v>
      </c>
      <c r="X54" s="293">
        <f t="shared" si="2"/>
        <v>616.77949849999993</v>
      </c>
      <c r="Y54" s="293">
        <f t="shared" si="3"/>
        <v>0</v>
      </c>
    </row>
    <row r="55" spans="2:26">
      <c r="B55" s="1" t="str">
        <f t="shared" si="4"/>
        <v>C&amp;I_C&amp;I Custom_All_All_2017_Plan</v>
      </c>
      <c r="C55" s="1" t="s">
        <v>142</v>
      </c>
      <c r="D55" s="1" t="s">
        <v>187</v>
      </c>
      <c r="E55" s="1" t="s">
        <v>28</v>
      </c>
      <c r="F55" s="1" t="s">
        <v>28</v>
      </c>
      <c r="G55" s="1">
        <v>2017</v>
      </c>
      <c r="H55" s="1" t="s">
        <v>282</v>
      </c>
      <c r="I55" s="305" t="s">
        <v>142</v>
      </c>
      <c r="J55" s="306" t="s">
        <v>187</v>
      </c>
      <c r="K55" s="307"/>
      <c r="L55" s="307"/>
      <c r="M55" s="307"/>
      <c r="N55" s="307"/>
      <c r="O55" s="307"/>
      <c r="P55" s="307"/>
      <c r="Q55" s="307"/>
      <c r="R55" s="324"/>
      <c r="S55" s="324"/>
      <c r="T55" s="324"/>
      <c r="U55" s="324">
        <v>100331.825</v>
      </c>
      <c r="V55" s="293">
        <f t="shared" si="0"/>
        <v>0</v>
      </c>
      <c r="W55" s="293">
        <f t="shared" si="1"/>
        <v>0</v>
      </c>
      <c r="X55" s="293">
        <f t="shared" si="2"/>
        <v>0</v>
      </c>
      <c r="Y55" s="293">
        <f t="shared" si="3"/>
        <v>0</v>
      </c>
    </row>
    <row r="56" spans="2:26">
      <c r="B56" s="1" t="str">
        <f t="shared" ref="B56" si="6">C56&amp;"_"&amp;D56&amp;"_"&amp;E56&amp;"_"&amp;F56&amp;"_"&amp;G56&amp;"_"&amp;H56</f>
        <v>C&amp;I_C&amp;I Custom_Various_C&amp;I Custom_2017_Plan</v>
      </c>
      <c r="C56" s="294" t="s">
        <v>142</v>
      </c>
      <c r="D56" s="294" t="s">
        <v>187</v>
      </c>
      <c r="E56" s="294" t="s">
        <v>155</v>
      </c>
      <c r="F56" s="294" t="s">
        <v>187</v>
      </c>
      <c r="G56" s="294">
        <v>2017</v>
      </c>
      <c r="H56" s="294" t="s">
        <v>282</v>
      </c>
      <c r="I56" s="311"/>
      <c r="J56" s="319"/>
      <c r="K56" s="314">
        <v>55</v>
      </c>
      <c r="L56" s="314">
        <v>15</v>
      </c>
      <c r="M56" s="314"/>
      <c r="N56" s="314">
        <v>2486367.0087299999</v>
      </c>
      <c r="O56" s="314"/>
      <c r="P56" s="314">
        <v>616.77949849999993</v>
      </c>
      <c r="Q56" s="314"/>
      <c r="R56" s="326">
        <v>7940.9</v>
      </c>
      <c r="S56" s="326"/>
      <c r="T56" s="326">
        <v>218350</v>
      </c>
      <c r="U56" s="326"/>
      <c r="V56" s="293">
        <f t="shared" si="0"/>
        <v>2486367.0087299999</v>
      </c>
      <c r="W56" s="293">
        <f t="shared" si="1"/>
        <v>0</v>
      </c>
      <c r="X56" s="293">
        <f t="shared" si="2"/>
        <v>616.77949849999993</v>
      </c>
      <c r="Y56" s="293">
        <f t="shared" si="3"/>
        <v>0</v>
      </c>
      <c r="Z56" s="295">
        <f>(R56*K56)/N56</f>
        <v>0.17565769593407102</v>
      </c>
    </row>
    <row r="57" spans="2:26">
      <c r="B57" s="1" t="str">
        <f t="shared" si="4"/>
        <v>C&amp;I_C&amp;I Prescriptive_All_All_2017_Plan</v>
      </c>
      <c r="C57" s="1" t="s">
        <v>142</v>
      </c>
      <c r="D57" s="1" t="s">
        <v>228</v>
      </c>
      <c r="E57" s="1" t="s">
        <v>28</v>
      </c>
      <c r="F57" s="1" t="s">
        <v>28</v>
      </c>
      <c r="G57" s="1">
        <v>2017</v>
      </c>
      <c r="H57" s="1" t="s">
        <v>282</v>
      </c>
      <c r="I57" s="305" t="s">
        <v>142</v>
      </c>
      <c r="J57" s="306" t="s">
        <v>228</v>
      </c>
      <c r="K57" s="307"/>
      <c r="L57" s="307"/>
      <c r="M57" s="307"/>
      <c r="N57" s="307"/>
      <c r="O57" s="307"/>
      <c r="P57" s="307"/>
      <c r="Q57" s="307"/>
      <c r="R57" s="324"/>
      <c r="S57" s="324"/>
      <c r="T57" s="324">
        <v>178865</v>
      </c>
      <c r="U57" s="324">
        <v>93456.962499999994</v>
      </c>
      <c r="V57" s="293">
        <f t="shared" si="0"/>
        <v>0</v>
      </c>
      <c r="W57" s="293">
        <f t="shared" si="1"/>
        <v>0</v>
      </c>
      <c r="X57" s="293">
        <f t="shared" si="2"/>
        <v>0</v>
      </c>
      <c r="Y57" s="293">
        <f t="shared" si="3"/>
        <v>0</v>
      </c>
    </row>
    <row r="58" spans="2:26">
      <c r="B58" s="1" t="str">
        <f t="shared" si="4"/>
        <v>C&amp;I_C&amp;I Prescriptive_Lighting_All_2017_Plan</v>
      </c>
      <c r="C58" s="1" t="s">
        <v>142</v>
      </c>
      <c r="D58" s="1" t="s">
        <v>228</v>
      </c>
      <c r="E58" s="1" t="s">
        <v>86</v>
      </c>
      <c r="F58" s="1" t="s">
        <v>28</v>
      </c>
      <c r="G58" s="1">
        <v>2017</v>
      </c>
      <c r="H58" s="1" t="s">
        <v>282</v>
      </c>
      <c r="I58" s="311" t="s">
        <v>142</v>
      </c>
      <c r="J58" s="312" t="s">
        <v>86</v>
      </c>
      <c r="K58" s="314"/>
      <c r="L58" s="314"/>
      <c r="M58" s="314"/>
      <c r="N58" s="314"/>
      <c r="O58" s="314"/>
      <c r="P58" s="314"/>
      <c r="Q58" s="314"/>
      <c r="R58" s="326"/>
      <c r="S58" s="326"/>
      <c r="T58" s="326">
        <v>170865</v>
      </c>
      <c r="U58" s="326">
        <v>89276.962499999994</v>
      </c>
      <c r="V58" s="293">
        <f t="shared" si="0"/>
        <v>0</v>
      </c>
      <c r="W58" s="293">
        <f t="shared" si="1"/>
        <v>0</v>
      </c>
      <c r="X58" s="293">
        <f t="shared" si="2"/>
        <v>0</v>
      </c>
      <c r="Y58" s="293">
        <f t="shared" si="3"/>
        <v>0</v>
      </c>
    </row>
    <row r="59" spans="2:26">
      <c r="B59" s="1" t="str">
        <f t="shared" si="4"/>
        <v>C&amp;I_C&amp;I Prescriptive_Lighting_High Bay Fluorescent Fixture w/ HE Electronic Ballast (T5 4-6 lamp)_2017_Plan</v>
      </c>
      <c r="C59" s="1" t="s">
        <v>142</v>
      </c>
      <c r="D59" s="1" t="s">
        <v>228</v>
      </c>
      <c r="E59" s="1" t="s">
        <v>86</v>
      </c>
      <c r="F59" s="1" t="s">
        <v>229</v>
      </c>
      <c r="G59" s="1">
        <v>2017</v>
      </c>
      <c r="H59" s="1" t="s">
        <v>282</v>
      </c>
      <c r="I59" s="310" t="s">
        <v>1</v>
      </c>
      <c r="J59" s="308" t="s">
        <v>229</v>
      </c>
      <c r="K59" s="309">
        <v>45</v>
      </c>
      <c r="L59" s="309">
        <v>15</v>
      </c>
      <c r="M59" s="309">
        <v>0</v>
      </c>
      <c r="N59" s="309">
        <v>48151.104551549994</v>
      </c>
      <c r="O59" s="309">
        <v>0</v>
      </c>
      <c r="P59" s="309">
        <v>10.695576149999997</v>
      </c>
      <c r="Q59" s="309">
        <v>0</v>
      </c>
      <c r="R59" s="325">
        <v>17.879999999999995</v>
      </c>
      <c r="S59" s="325">
        <v>0</v>
      </c>
      <c r="T59" s="325">
        <v>3375</v>
      </c>
      <c r="U59" s="325"/>
      <c r="V59" s="293">
        <f t="shared" si="0"/>
        <v>48151.104551549994</v>
      </c>
      <c r="W59" s="293">
        <f t="shared" si="1"/>
        <v>0</v>
      </c>
      <c r="X59" s="293">
        <f t="shared" si="2"/>
        <v>10.695576149999997</v>
      </c>
      <c r="Y59" s="293">
        <f t="shared" si="3"/>
        <v>0</v>
      </c>
    </row>
    <row r="60" spans="2:26">
      <c r="B60" s="1" t="str">
        <f t="shared" si="4"/>
        <v>C&amp;I_C&amp;I Prescriptive_Lighting_High Bay Fluorescent Fixture w/ HE Electronic Ballast (T5 8-lamp)_2017_Plan</v>
      </c>
      <c r="C60" s="1" t="s">
        <v>142</v>
      </c>
      <c r="D60" s="1" t="s">
        <v>228</v>
      </c>
      <c r="E60" s="1" t="s">
        <v>86</v>
      </c>
      <c r="F60" s="1" t="s">
        <v>230</v>
      </c>
      <c r="G60" s="1">
        <v>2017</v>
      </c>
      <c r="H60" s="1" t="s">
        <v>282</v>
      </c>
      <c r="I60" s="310" t="s">
        <v>1</v>
      </c>
      <c r="J60" s="308" t="s">
        <v>230</v>
      </c>
      <c r="K60" s="309">
        <v>45</v>
      </c>
      <c r="L60" s="309">
        <v>15</v>
      </c>
      <c r="M60" s="309">
        <v>0</v>
      </c>
      <c r="N60" s="309">
        <v>114246.72011609998</v>
      </c>
      <c r="O60" s="309">
        <v>0</v>
      </c>
      <c r="P60" s="309">
        <v>25.377081299999997</v>
      </c>
      <c r="Q60" s="309">
        <v>0</v>
      </c>
      <c r="R60" s="325">
        <v>101.81</v>
      </c>
      <c r="S60" s="325">
        <v>0</v>
      </c>
      <c r="T60" s="325">
        <v>1800</v>
      </c>
      <c r="U60" s="325"/>
      <c r="V60" s="293">
        <f t="shared" si="0"/>
        <v>114246.72011609998</v>
      </c>
      <c r="W60" s="293">
        <f t="shared" si="1"/>
        <v>0</v>
      </c>
      <c r="X60" s="293">
        <f t="shared" si="2"/>
        <v>25.377081299999997</v>
      </c>
      <c r="Y60" s="293">
        <f t="shared" si="3"/>
        <v>0</v>
      </c>
    </row>
    <row r="61" spans="2:26">
      <c r="B61" s="1" t="str">
        <f t="shared" si="4"/>
        <v>C&amp;I_C&amp;I Prescriptive_Lighting_High Bay Fluorescent Fixture w/ HE Electronic Ballast (T5 10-lamp)_2017_Plan</v>
      </c>
      <c r="C61" s="1" t="s">
        <v>142</v>
      </c>
      <c r="D61" s="1" t="s">
        <v>228</v>
      </c>
      <c r="E61" s="1" t="s">
        <v>86</v>
      </c>
      <c r="F61" s="1" t="s">
        <v>231</v>
      </c>
      <c r="G61" s="1">
        <v>2017</v>
      </c>
      <c r="H61" s="1" t="s">
        <v>282</v>
      </c>
      <c r="I61" s="310" t="s">
        <v>1</v>
      </c>
      <c r="J61" s="308" t="s">
        <v>231</v>
      </c>
      <c r="K61" s="309">
        <v>45</v>
      </c>
      <c r="L61" s="309">
        <v>15</v>
      </c>
      <c r="M61" s="309">
        <v>0</v>
      </c>
      <c r="N61" s="309">
        <v>148042.21585724998</v>
      </c>
      <c r="O61" s="309">
        <v>0</v>
      </c>
      <c r="P61" s="309">
        <v>32.883914249999997</v>
      </c>
      <c r="Q61" s="309">
        <v>0</v>
      </c>
      <c r="R61" s="325">
        <v>137.31</v>
      </c>
      <c r="S61" s="325">
        <v>0</v>
      </c>
      <c r="T61" s="325">
        <v>5625</v>
      </c>
      <c r="U61" s="325"/>
      <c r="V61" s="293">
        <f t="shared" si="0"/>
        <v>148042.21585724998</v>
      </c>
      <c r="W61" s="293">
        <f t="shared" si="1"/>
        <v>0</v>
      </c>
      <c r="X61" s="293">
        <f t="shared" si="2"/>
        <v>32.883914249999997</v>
      </c>
      <c r="Y61" s="293">
        <f t="shared" si="3"/>
        <v>0</v>
      </c>
    </row>
    <row r="62" spans="2:26">
      <c r="B62" s="1" t="str">
        <f t="shared" si="4"/>
        <v>C&amp;I_C&amp;I Prescriptive_Lighting_High Bay Fluorescent Fixture w/ HE Electronic Ballast (T8 6-8 lamp)_2017_Plan</v>
      </c>
      <c r="C62" s="1" t="s">
        <v>142</v>
      </c>
      <c r="D62" s="1" t="s">
        <v>228</v>
      </c>
      <c r="E62" s="1" t="s">
        <v>86</v>
      </c>
      <c r="F62" s="1" t="s">
        <v>232</v>
      </c>
      <c r="G62" s="1">
        <v>2017</v>
      </c>
      <c r="H62" s="1" t="s">
        <v>282</v>
      </c>
      <c r="I62" s="310" t="s">
        <v>1</v>
      </c>
      <c r="J62" s="308" t="s">
        <v>232</v>
      </c>
      <c r="K62" s="309">
        <v>80</v>
      </c>
      <c r="L62" s="309">
        <v>15</v>
      </c>
      <c r="M62" s="309">
        <v>0</v>
      </c>
      <c r="N62" s="309">
        <v>152616.07233100795</v>
      </c>
      <c r="O62" s="309">
        <v>0</v>
      </c>
      <c r="P62" s="309">
        <v>33.899883263999989</v>
      </c>
      <c r="Q62" s="309">
        <v>0</v>
      </c>
      <c r="R62" s="325">
        <v>85</v>
      </c>
      <c r="S62" s="325">
        <v>0</v>
      </c>
      <c r="T62" s="325">
        <v>6000</v>
      </c>
      <c r="U62" s="325"/>
      <c r="V62" s="293">
        <f t="shared" si="0"/>
        <v>152616.07233100795</v>
      </c>
      <c r="W62" s="293">
        <f t="shared" si="1"/>
        <v>0</v>
      </c>
      <c r="X62" s="293">
        <f t="shared" si="2"/>
        <v>33.899883263999989</v>
      </c>
      <c r="Y62" s="293">
        <f t="shared" si="3"/>
        <v>0</v>
      </c>
    </row>
    <row r="63" spans="2:26">
      <c r="B63" s="1" t="str">
        <f t="shared" si="4"/>
        <v>C&amp;I_C&amp;I Prescriptive_Lighting_High Bay Fluorescent Fixture w/ HE Electronic Ballast (T8 12-16 lamp)_2017_Plan</v>
      </c>
      <c r="C63" s="1" t="s">
        <v>142</v>
      </c>
      <c r="D63" s="1" t="s">
        <v>228</v>
      </c>
      <c r="E63" s="1" t="s">
        <v>86</v>
      </c>
      <c r="F63" s="1" t="s">
        <v>233</v>
      </c>
      <c r="G63" s="1">
        <v>2017</v>
      </c>
      <c r="H63" s="1" t="s">
        <v>282</v>
      </c>
      <c r="I63" s="310" t="s">
        <v>1</v>
      </c>
      <c r="J63" s="308" t="s">
        <v>233</v>
      </c>
      <c r="K63" s="309">
        <v>80</v>
      </c>
      <c r="L63" s="309">
        <v>15</v>
      </c>
      <c r="M63" s="309">
        <v>0</v>
      </c>
      <c r="N63" s="309">
        <v>242322.67671955199</v>
      </c>
      <c r="O63" s="309">
        <v>0</v>
      </c>
      <c r="P63" s="309">
        <v>53.825985215999999</v>
      </c>
      <c r="Q63" s="309">
        <v>0</v>
      </c>
      <c r="R63" s="325">
        <v>127.5</v>
      </c>
      <c r="S63" s="325">
        <v>0</v>
      </c>
      <c r="T63" s="325">
        <v>10000</v>
      </c>
      <c r="U63" s="325"/>
      <c r="V63" s="293">
        <f t="shared" si="0"/>
        <v>242322.67671955199</v>
      </c>
      <c r="W63" s="293">
        <f t="shared" si="1"/>
        <v>0</v>
      </c>
      <c r="X63" s="293">
        <f t="shared" si="2"/>
        <v>53.825985215999999</v>
      </c>
      <c r="Y63" s="293">
        <f t="shared" si="3"/>
        <v>0</v>
      </c>
    </row>
    <row r="64" spans="2:26">
      <c r="B64" s="1" t="str">
        <f t="shared" si="4"/>
        <v>C&amp;I_C&amp;I Prescriptive_Lighting_CFL Lamp (≤18W)_2017_Plan</v>
      </c>
      <c r="C64" s="1" t="s">
        <v>142</v>
      </c>
      <c r="D64" s="1" t="s">
        <v>228</v>
      </c>
      <c r="E64" s="1" t="s">
        <v>86</v>
      </c>
      <c r="F64" s="1" t="s">
        <v>234</v>
      </c>
      <c r="G64" s="1">
        <v>2017</v>
      </c>
      <c r="H64" s="1" t="s">
        <v>282</v>
      </c>
      <c r="I64" s="310" t="s">
        <v>1</v>
      </c>
      <c r="J64" s="308" t="s">
        <v>234</v>
      </c>
      <c r="K64" s="309">
        <v>0</v>
      </c>
      <c r="L64" s="309">
        <v>2</v>
      </c>
      <c r="M64" s="309">
        <v>0</v>
      </c>
      <c r="N64" s="309">
        <v>0</v>
      </c>
      <c r="O64" s="309">
        <v>0</v>
      </c>
      <c r="P64" s="309">
        <v>0</v>
      </c>
      <c r="Q64" s="309">
        <v>0</v>
      </c>
      <c r="R64" s="325">
        <v>74.349999999999994</v>
      </c>
      <c r="S64" s="325">
        <v>0</v>
      </c>
      <c r="T64" s="325">
        <v>0</v>
      </c>
      <c r="U64" s="325"/>
      <c r="V64" s="293">
        <f t="shared" si="0"/>
        <v>0</v>
      </c>
      <c r="W64" s="293">
        <f t="shared" si="1"/>
        <v>0</v>
      </c>
      <c r="X64" s="293">
        <f t="shared" si="2"/>
        <v>0</v>
      </c>
      <c r="Y64" s="293">
        <f t="shared" si="3"/>
        <v>0</v>
      </c>
    </row>
    <row r="65" spans="2:25">
      <c r="B65" s="1" t="str">
        <f t="shared" si="4"/>
        <v>C&amp;I_C&amp;I Prescriptive_Lighting_CFL Lamp (18-32W)_2017_Plan</v>
      </c>
      <c r="C65" s="1" t="s">
        <v>142</v>
      </c>
      <c r="D65" s="1" t="s">
        <v>228</v>
      </c>
      <c r="E65" s="1" t="s">
        <v>86</v>
      </c>
      <c r="F65" s="1" t="s">
        <v>235</v>
      </c>
      <c r="G65" s="1">
        <v>2017</v>
      </c>
      <c r="H65" s="1" t="s">
        <v>282</v>
      </c>
      <c r="I65" s="310" t="s">
        <v>1</v>
      </c>
      <c r="J65" s="308" t="s">
        <v>235</v>
      </c>
      <c r="K65" s="309">
        <v>0</v>
      </c>
      <c r="L65" s="309">
        <v>2</v>
      </c>
      <c r="M65" s="309">
        <v>0</v>
      </c>
      <c r="N65" s="309">
        <v>0</v>
      </c>
      <c r="O65" s="309">
        <v>0</v>
      </c>
      <c r="P65" s="309">
        <v>0</v>
      </c>
      <c r="Q65" s="309">
        <v>0</v>
      </c>
      <c r="R65" s="325">
        <v>74.349999999999994</v>
      </c>
      <c r="S65" s="325">
        <v>0</v>
      </c>
      <c r="T65" s="325">
        <v>0</v>
      </c>
      <c r="U65" s="325"/>
      <c r="V65" s="293">
        <f t="shared" si="0"/>
        <v>0</v>
      </c>
      <c r="W65" s="293">
        <f t="shared" si="1"/>
        <v>0</v>
      </c>
      <c r="X65" s="293">
        <f t="shared" si="2"/>
        <v>0</v>
      </c>
      <c r="Y65" s="293">
        <f t="shared" si="3"/>
        <v>0</v>
      </c>
    </row>
    <row r="66" spans="2:25">
      <c r="B66" s="1" t="str">
        <f t="shared" si="4"/>
        <v>C&amp;I_C&amp;I Prescriptive_Lighting_CFL Lamp (≥33W)_2017_Plan</v>
      </c>
      <c r="C66" s="1" t="s">
        <v>142</v>
      </c>
      <c r="D66" s="1" t="s">
        <v>228</v>
      </c>
      <c r="E66" s="1" t="s">
        <v>86</v>
      </c>
      <c r="F66" s="1" t="s">
        <v>236</v>
      </c>
      <c r="G66" s="1">
        <v>2017</v>
      </c>
      <c r="H66" s="1" t="s">
        <v>282</v>
      </c>
      <c r="I66" s="310" t="s">
        <v>1</v>
      </c>
      <c r="J66" s="308" t="s">
        <v>236</v>
      </c>
      <c r="K66" s="309">
        <v>0</v>
      </c>
      <c r="L66" s="309">
        <v>2</v>
      </c>
      <c r="M66" s="309">
        <v>0</v>
      </c>
      <c r="N66" s="309">
        <v>0</v>
      </c>
      <c r="O66" s="309">
        <v>0</v>
      </c>
      <c r="P66" s="309">
        <v>0</v>
      </c>
      <c r="Q66" s="309">
        <v>0</v>
      </c>
      <c r="R66" s="325">
        <v>108.23</v>
      </c>
      <c r="S66" s="325">
        <v>0</v>
      </c>
      <c r="T66" s="325">
        <v>0</v>
      </c>
      <c r="U66" s="325"/>
      <c r="V66" s="293">
        <f t="shared" ref="V66:V108" si="7">IF($O66&gt;0,$O66,$N66)</f>
        <v>0</v>
      </c>
      <c r="W66" s="293">
        <f t="shared" ref="W66:W108" si="8">IF($O66&gt;0,$N66,0)</f>
        <v>0</v>
      </c>
      <c r="X66" s="293">
        <f t="shared" ref="X66:X108" si="9">IF($Q66&gt;0,$Q66,$P66)</f>
        <v>0</v>
      </c>
      <c r="Y66" s="293">
        <f t="shared" ref="Y66:Y108" si="10">IF($Q66&gt;0,$P66,0)</f>
        <v>0</v>
      </c>
    </row>
    <row r="67" spans="2:25">
      <c r="B67" s="1" t="str">
        <f t="shared" si="4"/>
        <v>C&amp;I_C&amp;I Prescriptive_Lighting_Low-Wattage T8 _2017_Plan</v>
      </c>
      <c r="C67" s="1" t="s">
        <v>142</v>
      </c>
      <c r="D67" s="1" t="s">
        <v>228</v>
      </c>
      <c r="E67" s="1" t="s">
        <v>86</v>
      </c>
      <c r="F67" s="1" t="s">
        <v>237</v>
      </c>
      <c r="G67" s="1">
        <v>2017</v>
      </c>
      <c r="H67" s="1" t="s">
        <v>282</v>
      </c>
      <c r="I67" s="310" t="s">
        <v>1</v>
      </c>
      <c r="J67" s="308" t="s">
        <v>237</v>
      </c>
      <c r="K67" s="309">
        <v>850</v>
      </c>
      <c r="L67" s="309">
        <v>8</v>
      </c>
      <c r="M67" s="309">
        <v>0</v>
      </c>
      <c r="N67" s="309">
        <v>33895.187468999997</v>
      </c>
      <c r="O67" s="309">
        <v>0</v>
      </c>
      <c r="P67" s="309">
        <v>7.5289770000000003</v>
      </c>
      <c r="Q67" s="309">
        <v>0</v>
      </c>
      <c r="R67" s="325">
        <v>2</v>
      </c>
      <c r="S67" s="325">
        <v>0</v>
      </c>
      <c r="T67" s="325">
        <v>425</v>
      </c>
      <c r="U67" s="325"/>
      <c r="V67" s="293">
        <f t="shared" si="7"/>
        <v>33895.187468999997</v>
      </c>
      <c r="W67" s="293">
        <f t="shared" si="8"/>
        <v>0</v>
      </c>
      <c r="X67" s="293">
        <f t="shared" si="9"/>
        <v>7.5289770000000003</v>
      </c>
      <c r="Y67" s="293">
        <f t="shared" si="10"/>
        <v>0</v>
      </c>
    </row>
    <row r="68" spans="2:25">
      <c r="B68" s="1" t="str">
        <f t="shared" si="4"/>
        <v>C&amp;I_C&amp;I Prescriptive_Lighting_Ceramic Metal Halide Fixture (≤150W)_2017_Plan</v>
      </c>
      <c r="C68" s="1" t="s">
        <v>142</v>
      </c>
      <c r="D68" s="1" t="s">
        <v>228</v>
      </c>
      <c r="E68" s="1" t="s">
        <v>86</v>
      </c>
      <c r="F68" s="1" t="s">
        <v>238</v>
      </c>
      <c r="G68" s="1">
        <v>2017</v>
      </c>
      <c r="H68" s="1" t="s">
        <v>282</v>
      </c>
      <c r="I68" s="310" t="s">
        <v>1</v>
      </c>
      <c r="J68" s="308" t="s">
        <v>238</v>
      </c>
      <c r="K68" s="309">
        <v>50</v>
      </c>
      <c r="L68" s="309">
        <v>13</v>
      </c>
      <c r="M68" s="309">
        <v>0</v>
      </c>
      <c r="N68" s="309">
        <v>18609.122532000001</v>
      </c>
      <c r="O68" s="309">
        <v>0</v>
      </c>
      <c r="P68" s="309">
        <v>4.1335559999999996</v>
      </c>
      <c r="Q68" s="309">
        <v>0</v>
      </c>
      <c r="R68" s="325">
        <v>72</v>
      </c>
      <c r="S68" s="325">
        <v>0</v>
      </c>
      <c r="T68" s="325">
        <v>850</v>
      </c>
      <c r="U68" s="325"/>
      <c r="V68" s="293">
        <f t="shared" si="7"/>
        <v>18609.122532000001</v>
      </c>
      <c r="W68" s="293">
        <f t="shared" si="8"/>
        <v>0</v>
      </c>
      <c r="X68" s="293">
        <f t="shared" si="9"/>
        <v>4.1335559999999996</v>
      </c>
      <c r="Y68" s="293">
        <f t="shared" si="10"/>
        <v>0</v>
      </c>
    </row>
    <row r="69" spans="2:25">
      <c r="B69" s="1" t="str">
        <f t="shared" si="4"/>
        <v>C&amp;I_C&amp;I Prescriptive_Lighting_Ceramic Metal Halide Fixture (150-250W)_2017_Plan</v>
      </c>
      <c r="C69" s="1" t="s">
        <v>142</v>
      </c>
      <c r="D69" s="1" t="s">
        <v>228</v>
      </c>
      <c r="E69" s="1" t="s">
        <v>86</v>
      </c>
      <c r="F69" s="1" t="s">
        <v>239</v>
      </c>
      <c r="G69" s="1">
        <v>2017</v>
      </c>
      <c r="H69" s="1" t="s">
        <v>282</v>
      </c>
      <c r="I69" s="310" t="s">
        <v>1</v>
      </c>
      <c r="J69" s="308" t="s">
        <v>239</v>
      </c>
      <c r="K69" s="309">
        <v>50</v>
      </c>
      <c r="L69" s="309">
        <v>13</v>
      </c>
      <c r="M69" s="309">
        <v>0</v>
      </c>
      <c r="N69" s="309">
        <v>35224.410506999993</v>
      </c>
      <c r="O69" s="309">
        <v>0</v>
      </c>
      <c r="P69" s="309">
        <v>7.8242309999999984</v>
      </c>
      <c r="Q69" s="309">
        <v>0</v>
      </c>
      <c r="R69" s="325">
        <v>142.12</v>
      </c>
      <c r="S69" s="325">
        <v>0</v>
      </c>
      <c r="T69" s="325">
        <v>1400</v>
      </c>
      <c r="U69" s="325"/>
      <c r="V69" s="293">
        <f t="shared" si="7"/>
        <v>35224.410506999993</v>
      </c>
      <c r="W69" s="293">
        <f t="shared" si="8"/>
        <v>0</v>
      </c>
      <c r="X69" s="293">
        <f t="shared" si="9"/>
        <v>7.8242309999999984</v>
      </c>
      <c r="Y69" s="293">
        <f t="shared" si="10"/>
        <v>0</v>
      </c>
    </row>
    <row r="70" spans="2:25">
      <c r="B70" s="1" t="str">
        <f t="shared" si="4"/>
        <v>C&amp;I_C&amp;I Prescriptive_Lighting_Ceramic Metal Halide Fixture (≥250W)_2017_Plan</v>
      </c>
      <c r="C70" s="1" t="s">
        <v>142</v>
      </c>
      <c r="D70" s="1" t="s">
        <v>228</v>
      </c>
      <c r="E70" s="1" t="s">
        <v>86</v>
      </c>
      <c r="F70" s="1" t="s">
        <v>240</v>
      </c>
      <c r="G70" s="1">
        <v>2017</v>
      </c>
      <c r="H70" s="1" t="s">
        <v>282</v>
      </c>
      <c r="I70" s="310" t="s">
        <v>1</v>
      </c>
      <c r="J70" s="308" t="s">
        <v>240</v>
      </c>
      <c r="K70" s="309">
        <v>50</v>
      </c>
      <c r="L70" s="309">
        <v>13</v>
      </c>
      <c r="M70" s="309">
        <v>0</v>
      </c>
      <c r="N70" s="309">
        <v>35556.716266499992</v>
      </c>
      <c r="O70" s="309">
        <v>0</v>
      </c>
      <c r="P70" s="309">
        <v>7.8980444999999984</v>
      </c>
      <c r="Q70" s="309">
        <v>0</v>
      </c>
      <c r="R70" s="325">
        <v>117</v>
      </c>
      <c r="S70" s="325">
        <v>0</v>
      </c>
      <c r="T70" s="325">
        <v>2250</v>
      </c>
      <c r="U70" s="325"/>
      <c r="V70" s="293">
        <f t="shared" si="7"/>
        <v>35556.716266499992</v>
      </c>
      <c r="W70" s="293">
        <f t="shared" si="8"/>
        <v>0</v>
      </c>
      <c r="X70" s="293">
        <f t="shared" si="9"/>
        <v>7.8980444999999984</v>
      </c>
      <c r="Y70" s="293">
        <f t="shared" si="10"/>
        <v>0</v>
      </c>
    </row>
    <row r="71" spans="2:25">
      <c r="B71" s="1" t="str">
        <f t="shared" si="4"/>
        <v>C&amp;I_C&amp;I Prescriptive_Lighting_Pulse Start Metal Halide Fixture (≤175W)_2017_Plan</v>
      </c>
      <c r="C71" s="1" t="s">
        <v>142</v>
      </c>
      <c r="D71" s="1" t="s">
        <v>228</v>
      </c>
      <c r="E71" s="1" t="s">
        <v>86</v>
      </c>
      <c r="F71" s="1" t="s">
        <v>241</v>
      </c>
      <c r="G71" s="1">
        <v>2017</v>
      </c>
      <c r="H71" s="1" t="s">
        <v>282</v>
      </c>
      <c r="I71" s="310" t="s">
        <v>1</v>
      </c>
      <c r="J71" s="308" t="s">
        <v>241</v>
      </c>
      <c r="K71" s="309">
        <v>50</v>
      </c>
      <c r="L71" s="309">
        <v>15</v>
      </c>
      <c r="M71" s="309">
        <v>0</v>
      </c>
      <c r="N71" s="309">
        <v>6978.4209494999986</v>
      </c>
      <c r="O71" s="309">
        <v>0</v>
      </c>
      <c r="P71" s="309">
        <v>1.5500834999999999</v>
      </c>
      <c r="Q71" s="309">
        <v>0</v>
      </c>
      <c r="R71" s="325">
        <v>69.180000000000007</v>
      </c>
      <c r="S71" s="325">
        <v>0</v>
      </c>
      <c r="T71" s="325">
        <v>1250</v>
      </c>
      <c r="U71" s="325"/>
      <c r="V71" s="293">
        <f t="shared" si="7"/>
        <v>6978.4209494999986</v>
      </c>
      <c r="W71" s="293">
        <f t="shared" si="8"/>
        <v>0</v>
      </c>
      <c r="X71" s="293">
        <f t="shared" si="9"/>
        <v>1.5500834999999999</v>
      </c>
      <c r="Y71" s="293">
        <f t="shared" si="10"/>
        <v>0</v>
      </c>
    </row>
    <row r="72" spans="2:25">
      <c r="B72" s="1" t="str">
        <f t="shared" ref="B72:B108" si="11">C72&amp;"_"&amp;D72&amp;"_"&amp;E72&amp;"_"&amp;F72&amp;"_"&amp;G72&amp;"_"&amp;H72</f>
        <v>C&amp;I_C&amp;I Prescriptive_Lighting_Pulse Start Metal Halide Fixture (175-320W)_2017_Plan</v>
      </c>
      <c r="C72" s="1" t="s">
        <v>142</v>
      </c>
      <c r="D72" s="1" t="s">
        <v>228</v>
      </c>
      <c r="E72" s="1" t="s">
        <v>86</v>
      </c>
      <c r="F72" s="1" t="s">
        <v>242</v>
      </c>
      <c r="G72" s="1">
        <v>2017</v>
      </c>
      <c r="H72" s="1" t="s">
        <v>282</v>
      </c>
      <c r="I72" s="310" t="s">
        <v>1</v>
      </c>
      <c r="J72" s="308" t="s">
        <v>242</v>
      </c>
      <c r="K72" s="309">
        <v>50</v>
      </c>
      <c r="L72" s="309">
        <v>15</v>
      </c>
      <c r="M72" s="309">
        <v>0</v>
      </c>
      <c r="N72" s="309">
        <v>20935.262848499995</v>
      </c>
      <c r="O72" s="309">
        <v>0</v>
      </c>
      <c r="P72" s="309">
        <v>4.6502504999999994</v>
      </c>
      <c r="Q72" s="309">
        <v>0</v>
      </c>
      <c r="R72" s="325">
        <v>132.12</v>
      </c>
      <c r="S72" s="325">
        <v>0</v>
      </c>
      <c r="T72" s="325">
        <v>2000</v>
      </c>
      <c r="U72" s="325"/>
      <c r="V72" s="293">
        <f t="shared" si="7"/>
        <v>20935.262848499995</v>
      </c>
      <c r="W72" s="293">
        <f t="shared" si="8"/>
        <v>0</v>
      </c>
      <c r="X72" s="293">
        <f t="shared" si="9"/>
        <v>4.6502504999999994</v>
      </c>
      <c r="Y72" s="293">
        <f t="shared" si="10"/>
        <v>0</v>
      </c>
    </row>
    <row r="73" spans="2:25">
      <c r="B73" s="1" t="str">
        <f t="shared" si="11"/>
        <v>C&amp;I_C&amp;I Prescriptive_Lighting_Pulse Start Metal Halide Fixture (320-750W)_2017_Plan</v>
      </c>
      <c r="C73" s="1" t="s">
        <v>142</v>
      </c>
      <c r="D73" s="1" t="s">
        <v>228</v>
      </c>
      <c r="E73" s="1" t="s">
        <v>86</v>
      </c>
      <c r="F73" s="1" t="s">
        <v>243</v>
      </c>
      <c r="G73" s="1">
        <v>2017</v>
      </c>
      <c r="H73" s="1" t="s">
        <v>282</v>
      </c>
      <c r="I73" s="310" t="s">
        <v>1</v>
      </c>
      <c r="J73" s="308" t="s">
        <v>243</v>
      </c>
      <c r="K73" s="309">
        <v>50</v>
      </c>
      <c r="L73" s="309">
        <v>15</v>
      </c>
      <c r="M73" s="309">
        <v>0</v>
      </c>
      <c r="N73" s="309">
        <v>28578.295316999993</v>
      </c>
      <c r="O73" s="309">
        <v>0</v>
      </c>
      <c r="P73" s="309">
        <v>6.347960999999998</v>
      </c>
      <c r="Q73" s="309">
        <v>0</v>
      </c>
      <c r="R73" s="325">
        <v>108</v>
      </c>
      <c r="S73" s="325">
        <v>0</v>
      </c>
      <c r="T73" s="325">
        <v>2750</v>
      </c>
      <c r="U73" s="325"/>
      <c r="V73" s="293">
        <f t="shared" si="7"/>
        <v>28578.295316999993</v>
      </c>
      <c r="W73" s="293">
        <f t="shared" si="8"/>
        <v>0</v>
      </c>
      <c r="X73" s="293">
        <f t="shared" si="9"/>
        <v>6.347960999999998</v>
      </c>
      <c r="Y73" s="293">
        <f t="shared" si="10"/>
        <v>0</v>
      </c>
    </row>
    <row r="74" spans="2:25">
      <c r="B74" s="1" t="str">
        <f t="shared" si="11"/>
        <v>C&amp;I_C&amp;I Prescriptive_Lighting_Pulse Start Metal Halide Fixture (≥750W)_2017_Plan</v>
      </c>
      <c r="C74" s="1" t="s">
        <v>142</v>
      </c>
      <c r="D74" s="1" t="s">
        <v>228</v>
      </c>
      <c r="E74" s="1" t="s">
        <v>86</v>
      </c>
      <c r="F74" s="1" t="s">
        <v>244</v>
      </c>
      <c r="G74" s="1">
        <v>2017</v>
      </c>
      <c r="H74" s="1" t="s">
        <v>282</v>
      </c>
      <c r="I74" s="310" t="s">
        <v>1</v>
      </c>
      <c r="J74" s="308" t="s">
        <v>244</v>
      </c>
      <c r="K74" s="309">
        <v>50</v>
      </c>
      <c r="L74" s="309">
        <v>15</v>
      </c>
      <c r="M74" s="309">
        <v>0</v>
      </c>
      <c r="N74" s="309">
        <v>89057.943545999995</v>
      </c>
      <c r="O74" s="309">
        <v>0</v>
      </c>
      <c r="P74" s="309">
        <v>19.782017999999997</v>
      </c>
      <c r="Q74" s="309">
        <v>0</v>
      </c>
      <c r="R74" s="325">
        <v>10</v>
      </c>
      <c r="S74" s="325">
        <v>0</v>
      </c>
      <c r="T74" s="325">
        <v>3250</v>
      </c>
      <c r="U74" s="325"/>
      <c r="V74" s="293">
        <f t="shared" si="7"/>
        <v>89057.943545999995</v>
      </c>
      <c r="W74" s="293">
        <f t="shared" si="8"/>
        <v>0</v>
      </c>
      <c r="X74" s="293">
        <f t="shared" si="9"/>
        <v>19.782017999999997</v>
      </c>
      <c r="Y74" s="293">
        <f t="shared" si="10"/>
        <v>0</v>
      </c>
    </row>
    <row r="75" spans="2:25">
      <c r="B75" s="1" t="str">
        <f t="shared" si="11"/>
        <v>C&amp;I_C&amp;I Prescriptive_Lighting_Energy Star LED Lamp (≤5W)_2017_Plan</v>
      </c>
      <c r="C75" s="1" t="s">
        <v>142</v>
      </c>
      <c r="D75" s="1" t="s">
        <v>228</v>
      </c>
      <c r="E75" s="1" t="s">
        <v>86</v>
      </c>
      <c r="F75" s="1" t="s">
        <v>193</v>
      </c>
      <c r="G75" s="1">
        <v>2017</v>
      </c>
      <c r="H75" s="1" t="s">
        <v>282</v>
      </c>
      <c r="I75" s="310" t="s">
        <v>1</v>
      </c>
      <c r="J75" s="308" t="s">
        <v>193</v>
      </c>
      <c r="K75" s="309">
        <v>150</v>
      </c>
      <c r="L75" s="309">
        <v>8</v>
      </c>
      <c r="M75" s="309">
        <v>0</v>
      </c>
      <c r="N75" s="309">
        <v>15950.676455999997</v>
      </c>
      <c r="O75" s="309">
        <v>0</v>
      </c>
      <c r="P75" s="309">
        <v>3.5430479999999998</v>
      </c>
      <c r="Q75" s="309">
        <v>0</v>
      </c>
      <c r="R75" s="325">
        <v>31.909999999999997</v>
      </c>
      <c r="S75" s="325">
        <v>0</v>
      </c>
      <c r="T75" s="325">
        <v>750</v>
      </c>
      <c r="U75" s="325"/>
      <c r="V75" s="293">
        <f t="shared" si="7"/>
        <v>15950.676455999997</v>
      </c>
      <c r="W75" s="293">
        <f t="shared" si="8"/>
        <v>0</v>
      </c>
      <c r="X75" s="293">
        <f t="shared" si="9"/>
        <v>3.5430479999999998</v>
      </c>
      <c r="Y75" s="293">
        <f t="shared" si="10"/>
        <v>0</v>
      </c>
    </row>
    <row r="76" spans="2:25">
      <c r="B76" s="1" t="str">
        <f t="shared" si="11"/>
        <v>C&amp;I_C&amp;I Prescriptive_Lighting_Energy Star LED Lamp (5-10W)_2017_Plan</v>
      </c>
      <c r="C76" s="1" t="s">
        <v>142</v>
      </c>
      <c r="D76" s="1" t="s">
        <v>228</v>
      </c>
      <c r="E76" s="1" t="s">
        <v>86</v>
      </c>
      <c r="F76" s="1" t="s">
        <v>245</v>
      </c>
      <c r="G76" s="1">
        <v>2017</v>
      </c>
      <c r="H76" s="1" t="s">
        <v>282</v>
      </c>
      <c r="I76" s="310" t="s">
        <v>1</v>
      </c>
      <c r="J76" s="308" t="s">
        <v>245</v>
      </c>
      <c r="K76" s="309">
        <v>200</v>
      </c>
      <c r="L76" s="309">
        <v>8</v>
      </c>
      <c r="M76" s="309">
        <v>0</v>
      </c>
      <c r="N76" s="309">
        <v>31901.352911999995</v>
      </c>
      <c r="O76" s="309">
        <v>0</v>
      </c>
      <c r="P76" s="309">
        <v>7.0860960000000004</v>
      </c>
      <c r="Q76" s="309">
        <v>0</v>
      </c>
      <c r="R76" s="325">
        <v>37.79</v>
      </c>
      <c r="S76" s="325">
        <v>0</v>
      </c>
      <c r="T76" s="325">
        <v>1700</v>
      </c>
      <c r="U76" s="325"/>
      <c r="V76" s="293">
        <f t="shared" si="7"/>
        <v>31901.352911999995</v>
      </c>
      <c r="W76" s="293">
        <f t="shared" si="8"/>
        <v>0</v>
      </c>
      <c r="X76" s="293">
        <f t="shared" si="9"/>
        <v>7.0860960000000004</v>
      </c>
      <c r="Y76" s="293">
        <f t="shared" si="10"/>
        <v>0</v>
      </c>
    </row>
    <row r="77" spans="2:25">
      <c r="B77" s="1" t="str">
        <f t="shared" si="11"/>
        <v>C&amp;I_C&amp;I Prescriptive_Lighting_Energy Star LED Lamp (&gt;10W)_2017_Plan</v>
      </c>
      <c r="C77" s="1" t="s">
        <v>142</v>
      </c>
      <c r="D77" s="1" t="s">
        <v>228</v>
      </c>
      <c r="E77" s="1" t="s">
        <v>86</v>
      </c>
      <c r="F77" s="1" t="s">
        <v>246</v>
      </c>
      <c r="G77" s="1">
        <v>2017</v>
      </c>
      <c r="H77" s="1" t="s">
        <v>282</v>
      </c>
      <c r="I77" s="310" t="s">
        <v>1</v>
      </c>
      <c r="J77" s="308" t="s">
        <v>246</v>
      </c>
      <c r="K77" s="309">
        <v>100</v>
      </c>
      <c r="L77" s="309">
        <v>8</v>
      </c>
      <c r="M77" s="309">
        <v>0</v>
      </c>
      <c r="N77" s="309">
        <v>25255.237721999998</v>
      </c>
      <c r="O77" s="309">
        <v>0</v>
      </c>
      <c r="P77" s="309">
        <v>5.6098259999999991</v>
      </c>
      <c r="Q77" s="309">
        <v>0</v>
      </c>
      <c r="R77" s="325">
        <v>62.959999999999994</v>
      </c>
      <c r="S77" s="325">
        <v>0</v>
      </c>
      <c r="T77" s="325">
        <v>1250</v>
      </c>
      <c r="U77" s="325"/>
      <c r="V77" s="293">
        <f t="shared" si="7"/>
        <v>25255.237721999998</v>
      </c>
      <c r="W77" s="293">
        <f t="shared" si="8"/>
        <v>0</v>
      </c>
      <c r="X77" s="293">
        <f t="shared" si="9"/>
        <v>5.6098259999999991</v>
      </c>
      <c r="Y77" s="293">
        <f t="shared" si="10"/>
        <v>0</v>
      </c>
    </row>
    <row r="78" spans="2:25">
      <c r="B78" s="1" t="str">
        <f t="shared" si="11"/>
        <v>C&amp;I_C&amp;I Prescriptive_Lighting_High Performance T8 (1-2 Lamp)_2017_Plan</v>
      </c>
      <c r="C78" s="1" t="s">
        <v>142</v>
      </c>
      <c r="D78" s="1" t="s">
        <v>228</v>
      </c>
      <c r="E78" s="1" t="s">
        <v>86</v>
      </c>
      <c r="F78" s="1" t="s">
        <v>247</v>
      </c>
      <c r="G78" s="1">
        <v>2017</v>
      </c>
      <c r="H78" s="1" t="s">
        <v>282</v>
      </c>
      <c r="I78" s="310" t="s">
        <v>1</v>
      </c>
      <c r="J78" s="308" t="s">
        <v>247</v>
      </c>
      <c r="K78" s="309">
        <v>150</v>
      </c>
      <c r="L78" s="309">
        <v>15</v>
      </c>
      <c r="M78" s="309">
        <v>0</v>
      </c>
      <c r="N78" s="309">
        <v>9969.1727850000007</v>
      </c>
      <c r="O78" s="309">
        <v>0</v>
      </c>
      <c r="P78" s="309">
        <v>2.2144049999999997</v>
      </c>
      <c r="Q78" s="309">
        <v>0</v>
      </c>
      <c r="R78" s="325">
        <v>15</v>
      </c>
      <c r="S78" s="325">
        <v>0</v>
      </c>
      <c r="T78" s="325">
        <v>1350</v>
      </c>
      <c r="U78" s="325"/>
      <c r="V78" s="293">
        <f t="shared" si="7"/>
        <v>9969.1727850000007</v>
      </c>
      <c r="W78" s="293">
        <f t="shared" si="8"/>
        <v>0</v>
      </c>
      <c r="X78" s="293">
        <f t="shared" si="9"/>
        <v>2.2144049999999997</v>
      </c>
      <c r="Y78" s="293">
        <f t="shared" si="10"/>
        <v>0</v>
      </c>
    </row>
    <row r="79" spans="2:25">
      <c r="B79" s="1" t="str">
        <f t="shared" si="11"/>
        <v>C&amp;I_C&amp;I Prescriptive_Lighting_High Performance T8 (3-4 Lamp)_2017_Plan</v>
      </c>
      <c r="C79" s="1" t="s">
        <v>142</v>
      </c>
      <c r="D79" s="1" t="s">
        <v>228</v>
      </c>
      <c r="E79" s="1" t="s">
        <v>86</v>
      </c>
      <c r="F79" s="1" t="s">
        <v>248</v>
      </c>
      <c r="G79" s="1">
        <v>2017</v>
      </c>
      <c r="H79" s="1" t="s">
        <v>282</v>
      </c>
      <c r="I79" s="310" t="s">
        <v>1</v>
      </c>
      <c r="J79" s="308" t="s">
        <v>248</v>
      </c>
      <c r="K79" s="309">
        <v>150</v>
      </c>
      <c r="L79" s="309">
        <v>15</v>
      </c>
      <c r="M79" s="309">
        <v>0</v>
      </c>
      <c r="N79" s="309">
        <v>9969.1727850000007</v>
      </c>
      <c r="O79" s="309">
        <v>0</v>
      </c>
      <c r="P79" s="309">
        <v>2.2144049999999997</v>
      </c>
      <c r="Q79" s="309">
        <v>0</v>
      </c>
      <c r="R79" s="325">
        <v>18</v>
      </c>
      <c r="S79" s="325">
        <v>0</v>
      </c>
      <c r="T79" s="325">
        <v>2700</v>
      </c>
      <c r="U79" s="325"/>
      <c r="V79" s="293">
        <f t="shared" si="7"/>
        <v>9969.1727850000007</v>
      </c>
      <c r="W79" s="293">
        <f t="shared" si="8"/>
        <v>0</v>
      </c>
      <c r="X79" s="293">
        <f t="shared" si="9"/>
        <v>2.2144049999999997</v>
      </c>
      <c r="Y79" s="293">
        <f t="shared" si="10"/>
        <v>0</v>
      </c>
    </row>
    <row r="80" spans="2:25">
      <c r="B80" s="1" t="str">
        <f t="shared" si="11"/>
        <v>C&amp;I_C&amp;I Prescriptive_Lighting_LED Parking Garage/Canopy (&lt;30W)_2017_Plan</v>
      </c>
      <c r="C80" s="1" t="s">
        <v>142</v>
      </c>
      <c r="D80" s="1" t="s">
        <v>228</v>
      </c>
      <c r="E80" s="1" t="s">
        <v>86</v>
      </c>
      <c r="F80" s="1" t="s">
        <v>249</v>
      </c>
      <c r="G80" s="1">
        <v>2017</v>
      </c>
      <c r="H80" s="1" t="s">
        <v>282</v>
      </c>
      <c r="I80" s="310" t="s">
        <v>1</v>
      </c>
      <c r="J80" s="308" t="s">
        <v>249</v>
      </c>
      <c r="K80" s="309">
        <v>250</v>
      </c>
      <c r="L80" s="309">
        <v>16</v>
      </c>
      <c r="M80" s="309">
        <v>0</v>
      </c>
      <c r="N80" s="309">
        <v>175623.59389574995</v>
      </c>
      <c r="O80" s="309">
        <v>0</v>
      </c>
      <c r="P80" s="309">
        <v>39.010434749999995</v>
      </c>
      <c r="Q80" s="309">
        <v>0</v>
      </c>
      <c r="R80" s="325">
        <v>125</v>
      </c>
      <c r="S80" s="325">
        <v>0</v>
      </c>
      <c r="T80" s="325">
        <v>8750</v>
      </c>
      <c r="U80" s="325"/>
      <c r="V80" s="293">
        <f t="shared" si="7"/>
        <v>175623.59389574995</v>
      </c>
      <c r="W80" s="293">
        <f t="shared" si="8"/>
        <v>0</v>
      </c>
      <c r="X80" s="293">
        <f t="shared" si="9"/>
        <v>39.010434749999995</v>
      </c>
      <c r="Y80" s="293">
        <f t="shared" si="10"/>
        <v>0</v>
      </c>
    </row>
    <row r="81" spans="2:25">
      <c r="B81" s="1" t="str">
        <f t="shared" si="11"/>
        <v>C&amp;I_C&amp;I Prescriptive_Lighting_LED Parking Garage/Canopy (30-75W)_2017_Plan</v>
      </c>
      <c r="C81" s="1" t="s">
        <v>142</v>
      </c>
      <c r="D81" s="1" t="s">
        <v>228</v>
      </c>
      <c r="E81" s="1" t="s">
        <v>86</v>
      </c>
      <c r="F81" s="1" t="s">
        <v>250</v>
      </c>
      <c r="G81" s="1">
        <v>2017</v>
      </c>
      <c r="H81" s="1" t="s">
        <v>282</v>
      </c>
      <c r="I81" s="310" t="s">
        <v>1</v>
      </c>
      <c r="J81" s="308" t="s">
        <v>250</v>
      </c>
      <c r="K81" s="309">
        <v>100</v>
      </c>
      <c r="L81" s="309">
        <v>16</v>
      </c>
      <c r="M81" s="309">
        <v>0</v>
      </c>
      <c r="N81" s="309">
        <v>86665.342077599998</v>
      </c>
      <c r="O81" s="309">
        <v>0</v>
      </c>
      <c r="P81" s="309">
        <v>19.250560799999995</v>
      </c>
      <c r="Q81" s="309">
        <v>0</v>
      </c>
      <c r="R81" s="325">
        <v>250</v>
      </c>
      <c r="S81" s="325">
        <v>0</v>
      </c>
      <c r="T81" s="325">
        <v>7500</v>
      </c>
      <c r="U81" s="325"/>
      <c r="V81" s="293">
        <f t="shared" si="7"/>
        <v>86665.342077599998</v>
      </c>
      <c r="W81" s="293">
        <f t="shared" si="8"/>
        <v>0</v>
      </c>
      <c r="X81" s="293">
        <f t="shared" si="9"/>
        <v>19.250560799999995</v>
      </c>
      <c r="Y81" s="293">
        <f t="shared" si="10"/>
        <v>0</v>
      </c>
    </row>
    <row r="82" spans="2:25">
      <c r="B82" s="1" t="str">
        <f t="shared" si="11"/>
        <v>C&amp;I_C&amp;I Prescriptive_Lighting_LED Parking Garage/Canopy (≥75W)_2017_Plan</v>
      </c>
      <c r="C82" s="1" t="s">
        <v>142</v>
      </c>
      <c r="D82" s="1" t="s">
        <v>228</v>
      </c>
      <c r="E82" s="1" t="s">
        <v>86</v>
      </c>
      <c r="F82" s="1" t="s">
        <v>251</v>
      </c>
      <c r="G82" s="1">
        <v>2017</v>
      </c>
      <c r="H82" s="1" t="s">
        <v>282</v>
      </c>
      <c r="I82" s="310" t="s">
        <v>1</v>
      </c>
      <c r="J82" s="308" t="s">
        <v>251</v>
      </c>
      <c r="K82" s="309">
        <v>250</v>
      </c>
      <c r="L82" s="309">
        <v>16</v>
      </c>
      <c r="M82" s="309">
        <v>0</v>
      </c>
      <c r="N82" s="309">
        <v>406409.94386849989</v>
      </c>
      <c r="O82" s="309">
        <v>0</v>
      </c>
      <c r="P82" s="309">
        <v>90.273910499999971</v>
      </c>
      <c r="Q82" s="309">
        <v>0</v>
      </c>
      <c r="R82" s="325">
        <v>375</v>
      </c>
      <c r="S82" s="325">
        <v>0</v>
      </c>
      <c r="T82" s="325">
        <v>25000</v>
      </c>
      <c r="U82" s="325"/>
      <c r="V82" s="293">
        <f t="shared" si="7"/>
        <v>406409.94386849989</v>
      </c>
      <c r="W82" s="293">
        <f t="shared" si="8"/>
        <v>0</v>
      </c>
      <c r="X82" s="293">
        <f t="shared" si="9"/>
        <v>90.273910499999971</v>
      </c>
      <c r="Y82" s="293">
        <f t="shared" si="10"/>
        <v>0</v>
      </c>
    </row>
    <row r="83" spans="2:25">
      <c r="B83" s="1" t="str">
        <f t="shared" si="11"/>
        <v>C&amp;I_C&amp;I Prescriptive_Lighting_Lighting Optimization - Remove Lamp from T8 System_2017_Plan</v>
      </c>
      <c r="C83" s="1" t="s">
        <v>142</v>
      </c>
      <c r="D83" s="1" t="s">
        <v>228</v>
      </c>
      <c r="E83" s="1" t="s">
        <v>86</v>
      </c>
      <c r="F83" s="1" t="s">
        <v>252</v>
      </c>
      <c r="G83" s="1">
        <v>2017</v>
      </c>
      <c r="H83" s="1" t="s">
        <v>282</v>
      </c>
      <c r="I83" s="310" t="s">
        <v>1</v>
      </c>
      <c r="J83" s="308" t="s">
        <v>252</v>
      </c>
      <c r="K83" s="309">
        <v>150</v>
      </c>
      <c r="L83" s="309">
        <v>15</v>
      </c>
      <c r="M83" s="309">
        <v>0</v>
      </c>
      <c r="N83" s="309">
        <v>30319.045807564795</v>
      </c>
      <c r="O83" s="309">
        <v>0</v>
      </c>
      <c r="P83" s="309">
        <v>6.7346256383999989</v>
      </c>
      <c r="Q83" s="309">
        <v>0</v>
      </c>
      <c r="R83" s="325">
        <v>12</v>
      </c>
      <c r="S83" s="325">
        <v>0</v>
      </c>
      <c r="T83" s="325">
        <v>1200</v>
      </c>
      <c r="U83" s="325"/>
      <c r="V83" s="293">
        <f t="shared" si="7"/>
        <v>30319.045807564795</v>
      </c>
      <c r="W83" s="293">
        <f t="shared" si="8"/>
        <v>0</v>
      </c>
      <c r="X83" s="293">
        <f t="shared" si="9"/>
        <v>6.7346256383999989</v>
      </c>
      <c r="Y83" s="293">
        <f t="shared" si="10"/>
        <v>0</v>
      </c>
    </row>
    <row r="84" spans="2:25">
      <c r="B84" s="1" t="str">
        <f t="shared" si="11"/>
        <v>C&amp;I_C&amp;I Prescriptive_Lighting_Lighting Optimization - Remove 2 Lamps from T8 System_2017_Plan</v>
      </c>
      <c r="C84" s="1" t="s">
        <v>142</v>
      </c>
      <c r="D84" s="1" t="s">
        <v>228</v>
      </c>
      <c r="E84" s="1" t="s">
        <v>86</v>
      </c>
      <c r="F84" s="1" t="s">
        <v>253</v>
      </c>
      <c r="G84" s="1">
        <v>2017</v>
      </c>
      <c r="H84" s="1" t="s">
        <v>282</v>
      </c>
      <c r="I84" s="310" t="s">
        <v>1</v>
      </c>
      <c r="J84" s="308" t="s">
        <v>253</v>
      </c>
      <c r="K84" s="309">
        <v>100</v>
      </c>
      <c r="L84" s="309">
        <v>15</v>
      </c>
      <c r="M84" s="309">
        <v>0</v>
      </c>
      <c r="N84" s="309">
        <v>40425.394410086396</v>
      </c>
      <c r="O84" s="309">
        <v>0</v>
      </c>
      <c r="P84" s="309">
        <v>8.9795008511999992</v>
      </c>
      <c r="Q84" s="309">
        <v>0</v>
      </c>
      <c r="R84" s="325">
        <v>24</v>
      </c>
      <c r="S84" s="325">
        <v>0</v>
      </c>
      <c r="T84" s="325">
        <v>1600</v>
      </c>
      <c r="U84" s="325"/>
      <c r="V84" s="293">
        <f t="shared" si="7"/>
        <v>40425.394410086396</v>
      </c>
      <c r="W84" s="293">
        <f t="shared" si="8"/>
        <v>0</v>
      </c>
      <c r="X84" s="293">
        <f t="shared" si="9"/>
        <v>8.9795008511999992</v>
      </c>
      <c r="Y84" s="293">
        <f t="shared" si="10"/>
        <v>0</v>
      </c>
    </row>
    <row r="85" spans="2:25">
      <c r="B85" s="1" t="str">
        <f t="shared" si="11"/>
        <v>C&amp;I_C&amp;I Prescriptive_Lighting_T8 (≤4 ft, 1-2 Lamp)_2017_Plan</v>
      </c>
      <c r="C85" s="1" t="s">
        <v>142</v>
      </c>
      <c r="D85" s="1" t="s">
        <v>228</v>
      </c>
      <c r="E85" s="1" t="s">
        <v>86</v>
      </c>
      <c r="F85" s="1" t="s">
        <v>254</v>
      </c>
      <c r="G85" s="1">
        <v>2017</v>
      </c>
      <c r="H85" s="1" t="s">
        <v>282</v>
      </c>
      <c r="I85" s="310" t="s">
        <v>1</v>
      </c>
      <c r="J85" s="308" t="s">
        <v>254</v>
      </c>
      <c r="K85" s="309">
        <v>50</v>
      </c>
      <c r="L85" s="309">
        <v>18</v>
      </c>
      <c r="M85" s="309">
        <v>0</v>
      </c>
      <c r="N85" s="309">
        <v>13624.536139499996</v>
      </c>
      <c r="O85" s="309">
        <v>0</v>
      </c>
      <c r="P85" s="309">
        <v>3.0263534999999995</v>
      </c>
      <c r="Q85" s="309">
        <v>0</v>
      </c>
      <c r="R85" s="325">
        <v>43</v>
      </c>
      <c r="S85" s="325">
        <v>0</v>
      </c>
      <c r="T85" s="325">
        <v>250</v>
      </c>
      <c r="U85" s="325"/>
      <c r="V85" s="293">
        <f t="shared" si="7"/>
        <v>13624.536139499996</v>
      </c>
      <c r="W85" s="293">
        <f t="shared" si="8"/>
        <v>0</v>
      </c>
      <c r="X85" s="293">
        <f t="shared" si="9"/>
        <v>3.0263534999999995</v>
      </c>
      <c r="Y85" s="293">
        <f t="shared" si="10"/>
        <v>0</v>
      </c>
    </row>
    <row r="86" spans="2:25">
      <c r="B86" s="1" t="str">
        <f t="shared" si="11"/>
        <v>C&amp;I_C&amp;I Prescriptive_Lighting_T8 (≤4 ft, 3-4 Lamp)_2017_Plan</v>
      </c>
      <c r="C86" s="1" t="s">
        <v>142</v>
      </c>
      <c r="D86" s="1" t="s">
        <v>228</v>
      </c>
      <c r="E86" s="1" t="s">
        <v>86</v>
      </c>
      <c r="F86" s="1" t="s">
        <v>255</v>
      </c>
      <c r="G86" s="1">
        <v>2017</v>
      </c>
      <c r="H86" s="1" t="s">
        <v>282</v>
      </c>
      <c r="I86" s="310" t="s">
        <v>1</v>
      </c>
      <c r="J86" s="308" t="s">
        <v>255</v>
      </c>
      <c r="K86" s="309">
        <v>250</v>
      </c>
      <c r="L86" s="309">
        <v>18</v>
      </c>
      <c r="M86" s="309">
        <v>0</v>
      </c>
      <c r="N86" s="309">
        <v>104676.31424249998</v>
      </c>
      <c r="O86" s="309">
        <v>0</v>
      </c>
      <c r="P86" s="309">
        <v>23.2512525</v>
      </c>
      <c r="Q86" s="309">
        <v>0</v>
      </c>
      <c r="R86" s="325">
        <v>55</v>
      </c>
      <c r="S86" s="325">
        <v>0</v>
      </c>
      <c r="T86" s="325">
        <v>2250</v>
      </c>
      <c r="U86" s="325"/>
      <c r="V86" s="293">
        <f t="shared" si="7"/>
        <v>104676.31424249998</v>
      </c>
      <c r="W86" s="293">
        <f t="shared" si="8"/>
        <v>0</v>
      </c>
      <c r="X86" s="293">
        <f t="shared" si="9"/>
        <v>23.2512525</v>
      </c>
      <c r="Y86" s="293">
        <f t="shared" si="10"/>
        <v>0</v>
      </c>
    </row>
    <row r="87" spans="2:25">
      <c r="B87" s="1" t="str">
        <f t="shared" si="11"/>
        <v>C&amp;I_C&amp;I Prescriptive_Lighting_T8 (5-8 ft, 1-2 Lamp)_2017_Plan</v>
      </c>
      <c r="C87" s="1" t="s">
        <v>142</v>
      </c>
      <c r="D87" s="1" t="s">
        <v>228</v>
      </c>
      <c r="E87" s="1" t="s">
        <v>86</v>
      </c>
      <c r="F87" s="1" t="s">
        <v>256</v>
      </c>
      <c r="G87" s="1">
        <v>2017</v>
      </c>
      <c r="H87" s="1" t="s">
        <v>282</v>
      </c>
      <c r="I87" s="310" t="s">
        <v>1</v>
      </c>
      <c r="J87" s="308" t="s">
        <v>256</v>
      </c>
      <c r="K87" s="309">
        <v>150</v>
      </c>
      <c r="L87" s="309">
        <v>18</v>
      </c>
      <c r="M87" s="309">
        <v>0</v>
      </c>
      <c r="N87" s="309">
        <v>59815.036709999986</v>
      </c>
      <c r="O87" s="309">
        <v>0</v>
      </c>
      <c r="P87" s="309">
        <v>13.286429999999999</v>
      </c>
      <c r="Q87" s="309">
        <v>0</v>
      </c>
      <c r="R87" s="325">
        <v>93</v>
      </c>
      <c r="S87" s="325">
        <v>0</v>
      </c>
      <c r="T87" s="325">
        <v>1200</v>
      </c>
      <c r="U87" s="325"/>
      <c r="V87" s="293">
        <f t="shared" si="7"/>
        <v>59815.036709999986</v>
      </c>
      <c r="W87" s="293">
        <f t="shared" si="8"/>
        <v>0</v>
      </c>
      <c r="X87" s="293">
        <f t="shared" si="9"/>
        <v>13.286429999999999</v>
      </c>
      <c r="Y87" s="293">
        <f t="shared" si="10"/>
        <v>0</v>
      </c>
    </row>
    <row r="88" spans="2:25">
      <c r="B88" s="1" t="str">
        <f t="shared" si="11"/>
        <v>C&amp;I_C&amp;I Prescriptive_Lighting_LED Linear Replacement Lamp (≤4ft)_2017_Plan</v>
      </c>
      <c r="C88" s="1" t="s">
        <v>142</v>
      </c>
      <c r="D88" s="1" t="s">
        <v>228</v>
      </c>
      <c r="E88" s="1" t="s">
        <v>86</v>
      </c>
      <c r="F88" s="1" t="s">
        <v>192</v>
      </c>
      <c r="G88" s="1">
        <v>2017</v>
      </c>
      <c r="H88" s="1" t="s">
        <v>282</v>
      </c>
      <c r="I88" s="310" t="s">
        <v>1</v>
      </c>
      <c r="J88" s="308" t="s">
        <v>192</v>
      </c>
      <c r="K88" s="309">
        <v>4000</v>
      </c>
      <c r="L88" s="309">
        <v>16</v>
      </c>
      <c r="M88" s="309">
        <v>0</v>
      </c>
      <c r="N88" s="309">
        <v>1196300.7342000001</v>
      </c>
      <c r="O88" s="309">
        <v>0</v>
      </c>
      <c r="P88" s="309">
        <v>265.72859999999997</v>
      </c>
      <c r="Q88" s="309">
        <v>0</v>
      </c>
      <c r="R88" s="325">
        <v>9.5</v>
      </c>
      <c r="S88" s="325">
        <v>0</v>
      </c>
      <c r="T88" s="325">
        <v>64000</v>
      </c>
      <c r="U88" s="325"/>
      <c r="V88" s="293">
        <f t="shared" si="7"/>
        <v>1196300.7342000001</v>
      </c>
      <c r="W88" s="293">
        <f t="shared" si="8"/>
        <v>0</v>
      </c>
      <c r="X88" s="293">
        <f t="shared" si="9"/>
        <v>265.72859999999997</v>
      </c>
      <c r="Y88" s="293">
        <f t="shared" si="10"/>
        <v>0</v>
      </c>
    </row>
    <row r="89" spans="2:25">
      <c r="B89" s="1" t="str">
        <f t="shared" si="11"/>
        <v>C&amp;I_C&amp;I Prescriptive_Lighting_LED Linear Replacement Lamp (5-8ft)_2017_Plan</v>
      </c>
      <c r="C89" s="1" t="s">
        <v>142</v>
      </c>
      <c r="D89" s="1" t="s">
        <v>228</v>
      </c>
      <c r="E89" s="1" t="s">
        <v>86</v>
      </c>
      <c r="F89" s="1" t="s">
        <v>194</v>
      </c>
      <c r="G89" s="1">
        <v>2017</v>
      </c>
      <c r="H89" s="1" t="s">
        <v>282</v>
      </c>
      <c r="I89" s="310" t="s">
        <v>1</v>
      </c>
      <c r="J89" s="308" t="s">
        <v>194</v>
      </c>
      <c r="K89" s="309">
        <v>350</v>
      </c>
      <c r="L89" s="309">
        <v>16</v>
      </c>
      <c r="M89" s="309">
        <v>0</v>
      </c>
      <c r="N89" s="309">
        <v>127937.71740749999</v>
      </c>
      <c r="O89" s="309">
        <v>0</v>
      </c>
      <c r="P89" s="309">
        <v>28.418197499999998</v>
      </c>
      <c r="Q89" s="309">
        <v>0</v>
      </c>
      <c r="R89" s="325">
        <v>9.5</v>
      </c>
      <c r="S89" s="325">
        <v>0</v>
      </c>
      <c r="T89" s="325">
        <v>8050</v>
      </c>
      <c r="U89" s="325"/>
      <c r="V89" s="293">
        <f t="shared" si="7"/>
        <v>127937.71740749999</v>
      </c>
      <c r="W89" s="293">
        <f t="shared" si="8"/>
        <v>0</v>
      </c>
      <c r="X89" s="293">
        <f t="shared" si="9"/>
        <v>28.418197499999998</v>
      </c>
      <c r="Y89" s="293">
        <f t="shared" si="10"/>
        <v>0</v>
      </c>
    </row>
    <row r="90" spans="2:25">
      <c r="B90" s="1" t="str">
        <f t="shared" si="11"/>
        <v>C&amp;I_C&amp;I Prescriptive_Lighting_Fluorescent Fixture Specular Reflector 4-ft_2017_Plan</v>
      </c>
      <c r="C90" s="1" t="s">
        <v>142</v>
      </c>
      <c r="D90" s="1" t="s">
        <v>228</v>
      </c>
      <c r="E90" s="1" t="s">
        <v>86</v>
      </c>
      <c r="F90" s="1" t="s">
        <v>257</v>
      </c>
      <c r="G90" s="1">
        <v>2017</v>
      </c>
      <c r="H90" s="1" t="s">
        <v>282</v>
      </c>
      <c r="I90" s="310" t="s">
        <v>1</v>
      </c>
      <c r="J90" s="308" t="s">
        <v>257</v>
      </c>
      <c r="K90" s="309">
        <v>0</v>
      </c>
      <c r="L90" s="309">
        <v>15</v>
      </c>
      <c r="M90" s="309">
        <v>0</v>
      </c>
      <c r="N90" s="309">
        <v>0</v>
      </c>
      <c r="O90" s="309">
        <v>0</v>
      </c>
      <c r="P90" s="309">
        <v>0</v>
      </c>
      <c r="Q90" s="309">
        <v>0</v>
      </c>
      <c r="R90" s="325">
        <v>30</v>
      </c>
      <c r="S90" s="325">
        <v>0</v>
      </c>
      <c r="T90" s="325">
        <v>0</v>
      </c>
      <c r="U90" s="325"/>
      <c r="V90" s="293">
        <f t="shared" si="7"/>
        <v>0</v>
      </c>
      <c r="W90" s="293">
        <f t="shared" si="8"/>
        <v>0</v>
      </c>
      <c r="X90" s="293">
        <f t="shared" si="9"/>
        <v>0</v>
      </c>
      <c r="Y90" s="293">
        <f t="shared" si="10"/>
        <v>0</v>
      </c>
    </row>
    <row r="91" spans="2:25">
      <c r="B91" s="1" t="str">
        <f t="shared" si="11"/>
        <v>C&amp;I_C&amp;I Prescriptive_Lighting_Fluorescent Fixture Specular Reflector two 4-ft_2017_Plan</v>
      </c>
      <c r="C91" s="1" t="s">
        <v>142</v>
      </c>
      <c r="D91" s="1" t="s">
        <v>228</v>
      </c>
      <c r="E91" s="1" t="s">
        <v>86</v>
      </c>
      <c r="F91" s="1" t="s">
        <v>258</v>
      </c>
      <c r="G91" s="1">
        <v>2017</v>
      </c>
      <c r="H91" s="1" t="s">
        <v>282</v>
      </c>
      <c r="I91" s="310" t="s">
        <v>1</v>
      </c>
      <c r="J91" s="308" t="s">
        <v>258</v>
      </c>
      <c r="K91" s="309">
        <v>0</v>
      </c>
      <c r="L91" s="309">
        <v>15</v>
      </c>
      <c r="M91" s="309">
        <v>0</v>
      </c>
      <c r="N91" s="309">
        <v>0</v>
      </c>
      <c r="O91" s="309">
        <v>0</v>
      </c>
      <c r="P91" s="309">
        <v>0</v>
      </c>
      <c r="Q91" s="309">
        <v>0</v>
      </c>
      <c r="R91" s="325">
        <v>30</v>
      </c>
      <c r="S91" s="325">
        <v>0</v>
      </c>
      <c r="T91" s="325">
        <v>0</v>
      </c>
      <c r="U91" s="325"/>
      <c r="V91" s="293">
        <f t="shared" si="7"/>
        <v>0</v>
      </c>
      <c r="W91" s="293">
        <f t="shared" si="8"/>
        <v>0</v>
      </c>
      <c r="X91" s="293">
        <f t="shared" si="9"/>
        <v>0</v>
      </c>
      <c r="Y91" s="293">
        <f t="shared" si="10"/>
        <v>0</v>
      </c>
    </row>
    <row r="92" spans="2:25">
      <c r="B92" s="1" t="str">
        <f t="shared" si="11"/>
        <v>C&amp;I_C&amp;I Prescriptive_Lighting_Fluorescent Fixture Specular Reflector 8-ft_2017_Plan</v>
      </c>
      <c r="C92" s="1" t="s">
        <v>142</v>
      </c>
      <c r="D92" s="1" t="s">
        <v>228</v>
      </c>
      <c r="E92" s="1" t="s">
        <v>86</v>
      </c>
      <c r="F92" s="1" t="s">
        <v>259</v>
      </c>
      <c r="G92" s="1">
        <v>2017</v>
      </c>
      <c r="H92" s="1" t="s">
        <v>282</v>
      </c>
      <c r="I92" s="310" t="s">
        <v>1</v>
      </c>
      <c r="J92" s="308" t="s">
        <v>259</v>
      </c>
      <c r="K92" s="309">
        <v>0</v>
      </c>
      <c r="L92" s="309">
        <v>15</v>
      </c>
      <c r="M92" s="309">
        <v>0</v>
      </c>
      <c r="N92" s="309">
        <v>0</v>
      </c>
      <c r="O92" s="309">
        <v>0</v>
      </c>
      <c r="P92" s="309">
        <v>0</v>
      </c>
      <c r="Q92" s="309">
        <v>0</v>
      </c>
      <c r="R92" s="325">
        <v>50</v>
      </c>
      <c r="S92" s="325">
        <v>0</v>
      </c>
      <c r="T92" s="325">
        <v>0</v>
      </c>
      <c r="U92" s="325"/>
      <c r="V92" s="293">
        <f t="shared" si="7"/>
        <v>0</v>
      </c>
      <c r="W92" s="293">
        <f t="shared" si="8"/>
        <v>0</v>
      </c>
      <c r="X92" s="293">
        <f t="shared" si="9"/>
        <v>0</v>
      </c>
      <c r="Y92" s="293">
        <f t="shared" si="10"/>
        <v>0</v>
      </c>
    </row>
    <row r="93" spans="2:25">
      <c r="B93" s="1" t="str">
        <f t="shared" si="11"/>
        <v>C&amp;I_C&amp;I Prescriptive_Lighting_Fluorescent Fixture Specular Reflector two 8-ft_2017_Plan</v>
      </c>
      <c r="C93" s="1" t="s">
        <v>142</v>
      </c>
      <c r="D93" s="1" t="s">
        <v>228</v>
      </c>
      <c r="E93" s="1" t="s">
        <v>86</v>
      </c>
      <c r="F93" s="1" t="s">
        <v>260</v>
      </c>
      <c r="G93" s="1">
        <v>2017</v>
      </c>
      <c r="H93" s="1" t="s">
        <v>282</v>
      </c>
      <c r="I93" s="310" t="s">
        <v>1</v>
      </c>
      <c r="J93" s="308" t="s">
        <v>260</v>
      </c>
      <c r="K93" s="309">
        <v>0</v>
      </c>
      <c r="L93" s="309">
        <v>15</v>
      </c>
      <c r="M93" s="309">
        <v>0</v>
      </c>
      <c r="N93" s="309">
        <v>0</v>
      </c>
      <c r="O93" s="309">
        <v>0</v>
      </c>
      <c r="P93" s="309">
        <v>0</v>
      </c>
      <c r="Q93" s="309">
        <v>0</v>
      </c>
      <c r="R93" s="325">
        <v>50</v>
      </c>
      <c r="S93" s="325">
        <v>0</v>
      </c>
      <c r="T93" s="325">
        <v>0</v>
      </c>
      <c r="U93" s="325"/>
      <c r="V93" s="293">
        <f t="shared" si="7"/>
        <v>0</v>
      </c>
      <c r="W93" s="293">
        <f t="shared" si="8"/>
        <v>0</v>
      </c>
      <c r="X93" s="293">
        <f t="shared" si="9"/>
        <v>0</v>
      </c>
      <c r="Y93" s="293">
        <f t="shared" si="10"/>
        <v>0</v>
      </c>
    </row>
    <row r="94" spans="2:25">
      <c r="B94" s="1" t="str">
        <f t="shared" si="11"/>
        <v>C&amp;I_C&amp;I Prescriptive_Lighting_Multi-CFL Fixture_2017_Plan</v>
      </c>
      <c r="C94" s="1" t="s">
        <v>142</v>
      </c>
      <c r="D94" s="1" t="s">
        <v>228</v>
      </c>
      <c r="E94" s="1" t="s">
        <v>86</v>
      </c>
      <c r="F94" s="1" t="s">
        <v>261</v>
      </c>
      <c r="G94" s="1">
        <v>2017</v>
      </c>
      <c r="H94" s="1" t="s">
        <v>282</v>
      </c>
      <c r="I94" s="310" t="s">
        <v>1</v>
      </c>
      <c r="J94" s="308" t="s">
        <v>261</v>
      </c>
      <c r="K94" s="309">
        <v>0</v>
      </c>
      <c r="L94" s="309">
        <v>0</v>
      </c>
      <c r="M94" s="309">
        <v>0</v>
      </c>
      <c r="N94" s="309">
        <v>0</v>
      </c>
      <c r="O94" s="309">
        <v>0</v>
      </c>
      <c r="P94" s="309">
        <v>0</v>
      </c>
      <c r="Q94" s="309">
        <v>0</v>
      </c>
      <c r="R94" s="325">
        <v>0</v>
      </c>
      <c r="S94" s="325">
        <v>0</v>
      </c>
      <c r="T94" s="325">
        <v>0</v>
      </c>
      <c r="U94" s="325"/>
      <c r="V94" s="293">
        <f t="shared" si="7"/>
        <v>0</v>
      </c>
      <c r="W94" s="293">
        <f t="shared" si="8"/>
        <v>0</v>
      </c>
      <c r="X94" s="293">
        <f t="shared" si="9"/>
        <v>0</v>
      </c>
      <c r="Y94" s="293">
        <f t="shared" si="10"/>
        <v>0</v>
      </c>
    </row>
    <row r="95" spans="2:25">
      <c r="B95" s="1" t="str">
        <f t="shared" si="11"/>
        <v>C&amp;I_C&amp;I Prescriptive_Lighting_Indirect Fixture_2017_Plan</v>
      </c>
      <c r="C95" s="1" t="s">
        <v>142</v>
      </c>
      <c r="D95" s="1" t="s">
        <v>228</v>
      </c>
      <c r="E95" s="1" t="s">
        <v>86</v>
      </c>
      <c r="F95" s="1" t="s">
        <v>262</v>
      </c>
      <c r="G95" s="1">
        <v>2017</v>
      </c>
      <c r="H95" s="1" t="s">
        <v>282</v>
      </c>
      <c r="I95" s="310" t="s">
        <v>1</v>
      </c>
      <c r="J95" s="308" t="s">
        <v>262</v>
      </c>
      <c r="K95" s="309">
        <v>0</v>
      </c>
      <c r="L95" s="309">
        <v>0</v>
      </c>
      <c r="M95" s="309">
        <v>0</v>
      </c>
      <c r="N95" s="309">
        <v>0</v>
      </c>
      <c r="O95" s="309">
        <v>0</v>
      </c>
      <c r="P95" s="309">
        <v>0</v>
      </c>
      <c r="Q95" s="309">
        <v>0</v>
      </c>
      <c r="R95" s="325">
        <v>0</v>
      </c>
      <c r="S95" s="325">
        <v>0</v>
      </c>
      <c r="T95" s="325">
        <v>0</v>
      </c>
      <c r="U95" s="325"/>
      <c r="V95" s="293">
        <f t="shared" si="7"/>
        <v>0</v>
      </c>
      <c r="W95" s="293">
        <f t="shared" si="8"/>
        <v>0</v>
      </c>
      <c r="X95" s="293">
        <f t="shared" si="9"/>
        <v>0</v>
      </c>
      <c r="Y95" s="293">
        <f t="shared" si="10"/>
        <v>0</v>
      </c>
    </row>
    <row r="96" spans="2:25">
      <c r="B96" s="1" t="str">
        <f t="shared" si="11"/>
        <v>C&amp;I_C&amp;I Prescriptive_Lighting_Ceiling Mount Occupancy_2017_Plan</v>
      </c>
      <c r="C96" s="1" t="s">
        <v>142</v>
      </c>
      <c r="D96" s="1" t="s">
        <v>228</v>
      </c>
      <c r="E96" s="1" t="s">
        <v>86</v>
      </c>
      <c r="F96" s="1" t="s">
        <v>263</v>
      </c>
      <c r="G96" s="1">
        <v>2017</v>
      </c>
      <c r="H96" s="1" t="s">
        <v>282</v>
      </c>
      <c r="I96" s="310" t="s">
        <v>1</v>
      </c>
      <c r="J96" s="308" t="s">
        <v>263</v>
      </c>
      <c r="K96" s="309">
        <v>30</v>
      </c>
      <c r="L96" s="309">
        <v>8</v>
      </c>
      <c r="M96" s="309">
        <v>0</v>
      </c>
      <c r="N96" s="309">
        <v>11395.32813</v>
      </c>
      <c r="O96" s="309">
        <v>0</v>
      </c>
      <c r="P96" s="309">
        <v>0.36391531769999996</v>
      </c>
      <c r="Q96" s="309">
        <v>0</v>
      </c>
      <c r="R96" s="325">
        <v>125</v>
      </c>
      <c r="S96" s="325">
        <v>0</v>
      </c>
      <c r="T96" s="325">
        <v>900</v>
      </c>
      <c r="U96" s="325"/>
      <c r="V96" s="293">
        <f t="shared" si="7"/>
        <v>11395.32813</v>
      </c>
      <c r="W96" s="293">
        <f t="shared" si="8"/>
        <v>0</v>
      </c>
      <c r="X96" s="293">
        <f t="shared" si="9"/>
        <v>0.36391531769999996</v>
      </c>
      <c r="Y96" s="293">
        <f t="shared" si="10"/>
        <v>0</v>
      </c>
    </row>
    <row r="97" spans="2:25">
      <c r="B97" s="1" t="str">
        <f t="shared" si="11"/>
        <v>C&amp;I_C&amp;I Prescriptive_Lighting_Wall Mount Occupancy_2017_Plan</v>
      </c>
      <c r="C97" s="1" t="s">
        <v>142</v>
      </c>
      <c r="D97" s="1" t="s">
        <v>228</v>
      </c>
      <c r="E97" s="1" t="s">
        <v>86</v>
      </c>
      <c r="F97" s="1" t="s">
        <v>264</v>
      </c>
      <c r="G97" s="1">
        <v>2017</v>
      </c>
      <c r="H97" s="1" t="s">
        <v>282</v>
      </c>
      <c r="I97" s="310" t="s">
        <v>1</v>
      </c>
      <c r="J97" s="308" t="s">
        <v>264</v>
      </c>
      <c r="K97" s="309">
        <v>20</v>
      </c>
      <c r="L97" s="309">
        <v>8</v>
      </c>
      <c r="M97" s="309">
        <v>0</v>
      </c>
      <c r="N97" s="309">
        <v>7596.8854200000005</v>
      </c>
      <c r="O97" s="309">
        <v>0</v>
      </c>
      <c r="P97" s="309">
        <v>0.24261021179999998</v>
      </c>
      <c r="Q97" s="309">
        <v>0</v>
      </c>
      <c r="R97" s="325">
        <v>55</v>
      </c>
      <c r="S97" s="325">
        <v>0</v>
      </c>
      <c r="T97" s="325">
        <v>240</v>
      </c>
      <c r="U97" s="325"/>
      <c r="V97" s="293">
        <f t="shared" si="7"/>
        <v>7596.8854200000005</v>
      </c>
      <c r="W97" s="293">
        <f t="shared" si="8"/>
        <v>0</v>
      </c>
      <c r="X97" s="293">
        <f t="shared" si="9"/>
        <v>0.24261021179999998</v>
      </c>
      <c r="Y97" s="293">
        <f t="shared" si="10"/>
        <v>0</v>
      </c>
    </row>
    <row r="98" spans="2:25">
      <c r="B98" s="1" t="str">
        <f t="shared" si="11"/>
        <v>C&amp;I_C&amp;I Prescriptive_Lighting_Fixture Mount Occupancy_2017_Plan</v>
      </c>
      <c r="C98" s="1" t="s">
        <v>142</v>
      </c>
      <c r="D98" s="1" t="s">
        <v>228</v>
      </c>
      <c r="E98" s="1" t="s">
        <v>86</v>
      </c>
      <c r="F98" s="1" t="s">
        <v>195</v>
      </c>
      <c r="G98" s="1">
        <v>2017</v>
      </c>
      <c r="H98" s="1" t="s">
        <v>282</v>
      </c>
      <c r="I98" s="310" t="s">
        <v>1</v>
      </c>
      <c r="J98" s="308" t="s">
        <v>195</v>
      </c>
      <c r="K98" s="309">
        <v>20</v>
      </c>
      <c r="L98" s="309">
        <v>8</v>
      </c>
      <c r="M98" s="309">
        <v>0</v>
      </c>
      <c r="N98" s="309">
        <v>7596.8854200000005</v>
      </c>
      <c r="O98" s="309">
        <v>0</v>
      </c>
      <c r="P98" s="309">
        <v>0.24261021179999998</v>
      </c>
      <c r="Q98" s="309">
        <v>0</v>
      </c>
      <c r="R98" s="325">
        <v>55</v>
      </c>
      <c r="S98" s="325">
        <v>0</v>
      </c>
      <c r="T98" s="325">
        <v>240</v>
      </c>
      <c r="U98" s="325"/>
      <c r="V98" s="293">
        <f t="shared" si="7"/>
        <v>7596.8854200000005</v>
      </c>
      <c r="W98" s="293">
        <f t="shared" si="8"/>
        <v>0</v>
      </c>
      <c r="X98" s="293">
        <f t="shared" si="9"/>
        <v>0.24261021179999998</v>
      </c>
      <c r="Y98" s="293">
        <f t="shared" si="10"/>
        <v>0</v>
      </c>
    </row>
    <row r="99" spans="2:25">
      <c r="B99" s="1" t="str">
        <f t="shared" si="11"/>
        <v>C&amp;I_C&amp;I Prescriptive_Lighting_Fixture Mount Photo Sensor_2017_Plan</v>
      </c>
      <c r="C99" s="1" t="s">
        <v>142</v>
      </c>
      <c r="D99" s="1" t="s">
        <v>228</v>
      </c>
      <c r="E99" s="1" t="s">
        <v>86</v>
      </c>
      <c r="F99" s="1" t="s">
        <v>265</v>
      </c>
      <c r="G99" s="1">
        <v>2017</v>
      </c>
      <c r="H99" s="1" t="s">
        <v>282</v>
      </c>
      <c r="I99" s="310" t="s">
        <v>1</v>
      </c>
      <c r="J99" s="308" t="s">
        <v>265</v>
      </c>
      <c r="K99" s="309">
        <v>0</v>
      </c>
      <c r="L99" s="309">
        <v>8</v>
      </c>
      <c r="M99" s="309">
        <v>0</v>
      </c>
      <c r="N99" s="309">
        <v>0</v>
      </c>
      <c r="O99" s="309">
        <v>0</v>
      </c>
      <c r="P99" s="309">
        <v>0</v>
      </c>
      <c r="Q99" s="309">
        <v>0</v>
      </c>
      <c r="R99" s="325">
        <v>65</v>
      </c>
      <c r="S99" s="325">
        <v>0</v>
      </c>
      <c r="T99" s="325">
        <v>0</v>
      </c>
      <c r="U99" s="325"/>
      <c r="V99" s="293">
        <f t="shared" si="7"/>
        <v>0</v>
      </c>
      <c r="W99" s="293">
        <f t="shared" si="8"/>
        <v>0</v>
      </c>
      <c r="X99" s="293">
        <f t="shared" si="9"/>
        <v>0</v>
      </c>
      <c r="Y99" s="293">
        <f t="shared" si="10"/>
        <v>0</v>
      </c>
    </row>
    <row r="100" spans="2:25">
      <c r="B100" s="1" t="str">
        <f t="shared" si="11"/>
        <v>C&amp;I_C&amp;I Prescriptive_Lighting_Exit Sign_2017_Plan</v>
      </c>
      <c r="C100" s="1" t="s">
        <v>142</v>
      </c>
      <c r="D100" s="1" t="s">
        <v>228</v>
      </c>
      <c r="E100" s="1" t="s">
        <v>86</v>
      </c>
      <c r="F100" s="1" t="s">
        <v>266</v>
      </c>
      <c r="G100" s="1">
        <v>2017</v>
      </c>
      <c r="H100" s="1" t="s">
        <v>282</v>
      </c>
      <c r="I100" s="310" t="s">
        <v>1</v>
      </c>
      <c r="J100" s="308" t="s">
        <v>266</v>
      </c>
      <c r="K100" s="309">
        <v>160</v>
      </c>
      <c r="L100" s="309">
        <v>15</v>
      </c>
      <c r="M100" s="309">
        <v>0</v>
      </c>
      <c r="N100" s="309">
        <v>92333.539583999984</v>
      </c>
      <c r="O100" s="309">
        <v>0</v>
      </c>
      <c r="P100" s="309">
        <v>10.392940799999998</v>
      </c>
      <c r="Q100" s="309">
        <v>0</v>
      </c>
      <c r="R100" s="325">
        <v>25</v>
      </c>
      <c r="S100" s="325">
        <v>0</v>
      </c>
      <c r="T100" s="325">
        <v>960</v>
      </c>
      <c r="U100" s="325"/>
      <c r="V100" s="293">
        <f t="shared" si="7"/>
        <v>92333.539583999984</v>
      </c>
      <c r="W100" s="293">
        <f t="shared" si="8"/>
        <v>0</v>
      </c>
      <c r="X100" s="293">
        <f t="shared" si="9"/>
        <v>10.392940799999998</v>
      </c>
      <c r="Y100" s="293">
        <f t="shared" si="10"/>
        <v>0</v>
      </c>
    </row>
    <row r="101" spans="2:25">
      <c r="B101" s="1" t="str">
        <f t="shared" si="11"/>
        <v>C&amp;I_C&amp;I Prescriptive_HVAC_All_2017_Plan</v>
      </c>
      <c r="C101" s="1" t="s">
        <v>142</v>
      </c>
      <c r="D101" s="1" t="s">
        <v>228</v>
      </c>
      <c r="E101" s="1" t="s">
        <v>85</v>
      </c>
      <c r="F101" s="1" t="s">
        <v>28</v>
      </c>
      <c r="G101" s="1">
        <v>2017</v>
      </c>
      <c r="H101" s="1" t="s">
        <v>282</v>
      </c>
      <c r="I101" s="317" t="s">
        <v>142</v>
      </c>
      <c r="J101" s="312" t="s">
        <v>85</v>
      </c>
      <c r="K101" s="314"/>
      <c r="L101" s="314"/>
      <c r="M101" s="314"/>
      <c r="N101" s="314"/>
      <c r="O101" s="314"/>
      <c r="P101" s="314"/>
      <c r="Q101" s="314"/>
      <c r="R101" s="326"/>
      <c r="S101" s="326"/>
      <c r="T101" s="326">
        <v>7400</v>
      </c>
      <c r="U101" s="326">
        <v>4255</v>
      </c>
      <c r="V101" s="293">
        <f t="shared" si="7"/>
        <v>0</v>
      </c>
      <c r="W101" s="293">
        <f t="shared" si="8"/>
        <v>0</v>
      </c>
      <c r="X101" s="293">
        <f t="shared" si="9"/>
        <v>0</v>
      </c>
      <c r="Y101" s="293">
        <f t="shared" si="10"/>
        <v>0</v>
      </c>
    </row>
    <row r="102" spans="2:25">
      <c r="B102" s="1" t="str">
        <f t="shared" si="11"/>
        <v>C&amp;I_C&amp;I Prescriptive_HVAC_Split Package Heat Pump_2017_Plan</v>
      </c>
      <c r="C102" s="1" t="s">
        <v>142</v>
      </c>
      <c r="D102" s="1" t="s">
        <v>228</v>
      </c>
      <c r="E102" s="1" t="s">
        <v>85</v>
      </c>
      <c r="F102" s="1" t="s">
        <v>267</v>
      </c>
      <c r="G102" s="1">
        <v>2017</v>
      </c>
      <c r="H102" s="1" t="s">
        <v>282</v>
      </c>
      <c r="I102" s="310" t="s">
        <v>142</v>
      </c>
      <c r="J102" s="308" t="s">
        <v>267</v>
      </c>
      <c r="K102" s="309">
        <v>4</v>
      </c>
      <c r="L102" s="309">
        <v>15</v>
      </c>
      <c r="M102" s="309">
        <v>0</v>
      </c>
      <c r="N102" s="309">
        <v>8294.5509431744667</v>
      </c>
      <c r="O102" s="309">
        <v>0</v>
      </c>
      <c r="P102" s="309">
        <v>1.2605419780219798</v>
      </c>
      <c r="Q102" s="309">
        <v>0</v>
      </c>
      <c r="R102" s="325">
        <v>370</v>
      </c>
      <c r="S102" s="325">
        <v>0</v>
      </c>
      <c r="T102" s="325">
        <v>1000</v>
      </c>
      <c r="U102" s="325"/>
      <c r="V102" s="293">
        <f t="shared" si="7"/>
        <v>8294.5509431744667</v>
      </c>
      <c r="W102" s="293">
        <f t="shared" si="8"/>
        <v>0</v>
      </c>
      <c r="X102" s="293">
        <f t="shared" si="9"/>
        <v>1.2605419780219798</v>
      </c>
      <c r="Y102" s="293">
        <f t="shared" si="10"/>
        <v>0</v>
      </c>
    </row>
    <row r="103" spans="2:25">
      <c r="B103" s="1" t="str">
        <f t="shared" si="11"/>
        <v>C&amp;I_C&amp;I Prescriptive_HVAC_Single System Heat Pump_2017_Plan</v>
      </c>
      <c r="C103" s="1" t="s">
        <v>142</v>
      </c>
      <c r="D103" s="1" t="s">
        <v>228</v>
      </c>
      <c r="E103" s="1" t="s">
        <v>85</v>
      </c>
      <c r="F103" s="1" t="s">
        <v>268</v>
      </c>
      <c r="G103" s="1">
        <v>2017</v>
      </c>
      <c r="H103" s="1" t="s">
        <v>282</v>
      </c>
      <c r="I103" s="310" t="s">
        <v>142</v>
      </c>
      <c r="J103" s="308" t="s">
        <v>268</v>
      </c>
      <c r="K103" s="309">
        <v>8</v>
      </c>
      <c r="L103" s="309">
        <v>15</v>
      </c>
      <c r="M103" s="309">
        <v>0</v>
      </c>
      <c r="N103" s="309">
        <v>7594.7560039959908</v>
      </c>
      <c r="O103" s="309">
        <v>0</v>
      </c>
      <c r="P103" s="309">
        <v>2.5210839560439595</v>
      </c>
      <c r="Q103" s="309">
        <v>0</v>
      </c>
      <c r="R103" s="325">
        <v>370</v>
      </c>
      <c r="S103" s="325">
        <v>0</v>
      </c>
      <c r="T103" s="325">
        <v>2000</v>
      </c>
      <c r="U103" s="325"/>
      <c r="V103" s="293">
        <f t="shared" si="7"/>
        <v>7594.7560039959908</v>
      </c>
      <c r="W103" s="293">
        <f t="shared" si="8"/>
        <v>0</v>
      </c>
      <c r="X103" s="293">
        <f t="shared" si="9"/>
        <v>2.5210839560439595</v>
      </c>
      <c r="Y103" s="293">
        <f t="shared" si="10"/>
        <v>0</v>
      </c>
    </row>
    <row r="104" spans="2:25">
      <c r="B104" s="1" t="str">
        <f t="shared" si="11"/>
        <v>C&amp;I_C&amp;I Prescriptive_HVAC_Geothermal Heat Pump_2017_Plan</v>
      </c>
      <c r="C104" s="1" t="s">
        <v>142</v>
      </c>
      <c r="D104" s="1" t="s">
        <v>228</v>
      </c>
      <c r="E104" s="1" t="s">
        <v>85</v>
      </c>
      <c r="F104" s="1" t="s">
        <v>269</v>
      </c>
      <c r="G104" s="1">
        <v>2017</v>
      </c>
      <c r="H104" s="1" t="s">
        <v>282</v>
      </c>
      <c r="I104" s="310" t="s">
        <v>142</v>
      </c>
      <c r="J104" s="308" t="s">
        <v>269</v>
      </c>
      <c r="K104" s="309">
        <v>4</v>
      </c>
      <c r="L104" s="309">
        <v>15</v>
      </c>
      <c r="M104" s="309">
        <v>0</v>
      </c>
      <c r="N104" s="309">
        <v>93027.160235157266</v>
      </c>
      <c r="O104" s="309">
        <v>0</v>
      </c>
      <c r="P104" s="309">
        <v>8.7791639681304137</v>
      </c>
      <c r="Q104" s="309">
        <v>0</v>
      </c>
      <c r="R104" s="325">
        <v>4100</v>
      </c>
      <c r="S104" s="325">
        <v>0</v>
      </c>
      <c r="T104" s="325">
        <v>2800</v>
      </c>
      <c r="U104" s="325"/>
      <c r="V104" s="293">
        <f t="shared" si="7"/>
        <v>93027.160235157266</v>
      </c>
      <c r="W104" s="293">
        <f t="shared" si="8"/>
        <v>0</v>
      </c>
      <c r="X104" s="293">
        <f t="shared" si="9"/>
        <v>8.7791639681304137</v>
      </c>
      <c r="Y104" s="293">
        <f t="shared" si="10"/>
        <v>0</v>
      </c>
    </row>
    <row r="105" spans="2:25">
      <c r="B105" s="1" t="str">
        <f t="shared" si="11"/>
        <v>C&amp;I_C&amp;I Prescriptive_HVAC_Heat Pump Water Heater_2017_Plan</v>
      </c>
      <c r="C105" s="1" t="s">
        <v>142</v>
      </c>
      <c r="D105" s="1" t="s">
        <v>228</v>
      </c>
      <c r="E105" s="1" t="s">
        <v>85</v>
      </c>
      <c r="F105" s="1" t="s">
        <v>212</v>
      </c>
      <c r="G105" s="1">
        <v>2017</v>
      </c>
      <c r="H105" s="1" t="s">
        <v>282</v>
      </c>
      <c r="I105" s="310" t="s">
        <v>142</v>
      </c>
      <c r="J105" s="308" t="s">
        <v>212</v>
      </c>
      <c r="K105" s="309">
        <v>8</v>
      </c>
      <c r="L105" s="309">
        <v>15</v>
      </c>
      <c r="M105" s="309">
        <v>0</v>
      </c>
      <c r="N105" s="309">
        <v>14521.546870743474</v>
      </c>
      <c r="O105" s="309">
        <v>0</v>
      </c>
      <c r="P105" s="309">
        <v>0.68795326667556922</v>
      </c>
      <c r="Q105" s="309">
        <v>0</v>
      </c>
      <c r="R105" s="325">
        <v>700</v>
      </c>
      <c r="S105" s="325">
        <v>0</v>
      </c>
      <c r="T105" s="325">
        <v>1600</v>
      </c>
      <c r="U105" s="325"/>
      <c r="V105" s="293">
        <f t="shared" si="7"/>
        <v>14521.546870743474</v>
      </c>
      <c r="W105" s="293">
        <f t="shared" si="8"/>
        <v>0</v>
      </c>
      <c r="X105" s="293">
        <f t="shared" si="9"/>
        <v>0.68795326667556922</v>
      </c>
      <c r="Y105" s="293">
        <f t="shared" si="10"/>
        <v>0</v>
      </c>
    </row>
    <row r="106" spans="2:25">
      <c r="B106" s="1" t="str">
        <f t="shared" si="11"/>
        <v>C&amp;I_C&amp;I Prescriptive_Motors_All_2017_Plan</v>
      </c>
      <c r="C106" s="1" t="s">
        <v>142</v>
      </c>
      <c r="D106" s="1" t="s">
        <v>228</v>
      </c>
      <c r="E106" s="1" t="s">
        <v>270</v>
      </c>
      <c r="F106" s="1" t="s">
        <v>28</v>
      </c>
      <c r="G106" s="1">
        <v>2017</v>
      </c>
      <c r="H106" s="1" t="s">
        <v>282</v>
      </c>
      <c r="I106" s="317" t="s">
        <v>142</v>
      </c>
      <c r="J106" s="312" t="s">
        <v>270</v>
      </c>
      <c r="K106" s="314"/>
      <c r="L106" s="314"/>
      <c r="M106" s="314"/>
      <c r="N106" s="314"/>
      <c r="O106" s="314"/>
      <c r="P106" s="314"/>
      <c r="Q106" s="314"/>
      <c r="R106" s="326"/>
      <c r="S106" s="326"/>
      <c r="T106" s="326">
        <v>600</v>
      </c>
      <c r="U106" s="326">
        <v>345</v>
      </c>
      <c r="V106" s="293">
        <f t="shared" si="7"/>
        <v>0</v>
      </c>
      <c r="W106" s="293">
        <f t="shared" si="8"/>
        <v>0</v>
      </c>
      <c r="X106" s="293">
        <f t="shared" si="9"/>
        <v>0</v>
      </c>
      <c r="Y106" s="293">
        <f t="shared" si="10"/>
        <v>0</v>
      </c>
    </row>
    <row r="107" spans="2:25">
      <c r="B107" s="1" t="str">
        <f t="shared" si="11"/>
        <v>C&amp;I_C&amp;I Prescriptive_Motors_ODC Motor_2017_Plan</v>
      </c>
      <c r="C107" s="1" t="s">
        <v>142</v>
      </c>
      <c r="D107" s="1" t="s">
        <v>228</v>
      </c>
      <c r="E107" s="1" t="s">
        <v>270</v>
      </c>
      <c r="F107" s="1" t="s">
        <v>271</v>
      </c>
      <c r="G107" s="1">
        <v>2017</v>
      </c>
      <c r="H107" s="1" t="s">
        <v>282</v>
      </c>
      <c r="I107" s="310" t="s">
        <v>142</v>
      </c>
      <c r="J107" s="308" t="s">
        <v>271</v>
      </c>
      <c r="K107" s="309">
        <v>6</v>
      </c>
      <c r="L107" s="309">
        <v>15</v>
      </c>
      <c r="M107" s="309">
        <v>0</v>
      </c>
      <c r="N107" s="309">
        <v>2222.0812432470698</v>
      </c>
      <c r="O107" s="309">
        <v>0</v>
      </c>
      <c r="P107" s="309">
        <v>0.50501846437433406</v>
      </c>
      <c r="Q107" s="309">
        <v>0</v>
      </c>
      <c r="R107" s="325">
        <v>115</v>
      </c>
      <c r="S107" s="325">
        <v>0</v>
      </c>
      <c r="T107" s="325">
        <v>300</v>
      </c>
      <c r="U107" s="325"/>
      <c r="V107" s="293">
        <f t="shared" si="7"/>
        <v>2222.0812432470698</v>
      </c>
      <c r="W107" s="293">
        <f t="shared" si="8"/>
        <v>0</v>
      </c>
      <c r="X107" s="293">
        <f t="shared" si="9"/>
        <v>0.50501846437433406</v>
      </c>
      <c r="Y107" s="293">
        <f t="shared" si="10"/>
        <v>0</v>
      </c>
    </row>
    <row r="108" spans="2:25">
      <c r="B108" s="1" t="str">
        <f t="shared" si="11"/>
        <v>C&amp;I_C&amp;I Prescriptive_Motors_TEFC Motor_2017_Plan</v>
      </c>
      <c r="C108" s="1" t="s">
        <v>142</v>
      </c>
      <c r="D108" s="1" t="s">
        <v>228</v>
      </c>
      <c r="E108" s="1" t="s">
        <v>270</v>
      </c>
      <c r="F108" s="1" t="s">
        <v>272</v>
      </c>
      <c r="G108" s="1">
        <v>2017</v>
      </c>
      <c r="H108" s="1" t="s">
        <v>282</v>
      </c>
      <c r="I108" s="310" t="s">
        <v>142</v>
      </c>
      <c r="J108" s="308" t="s">
        <v>272</v>
      </c>
      <c r="K108" s="309">
        <v>6</v>
      </c>
      <c r="L108" s="309">
        <v>15</v>
      </c>
      <c r="M108" s="309">
        <v>0</v>
      </c>
      <c r="N108" s="309">
        <v>1565.5572395604281</v>
      </c>
      <c r="O108" s="309">
        <v>0</v>
      </c>
      <c r="P108" s="309">
        <v>0.35580846353646095</v>
      </c>
      <c r="Q108" s="309">
        <v>0</v>
      </c>
      <c r="R108" s="325">
        <v>115</v>
      </c>
      <c r="S108" s="325">
        <v>0</v>
      </c>
      <c r="T108" s="325">
        <v>300</v>
      </c>
      <c r="U108" s="325"/>
      <c r="V108" s="293">
        <f t="shared" si="7"/>
        <v>1565.5572395604281</v>
      </c>
      <c r="W108" s="293">
        <f t="shared" si="8"/>
        <v>0</v>
      </c>
      <c r="X108" s="293">
        <f t="shared" si="9"/>
        <v>0.35580846353646095</v>
      </c>
      <c r="Y108" s="293">
        <f t="shared" si="10"/>
        <v>0</v>
      </c>
    </row>
    <row r="109" spans="2:25">
      <c r="K109" s="318"/>
      <c r="L109" s="318"/>
      <c r="M109" s="318"/>
      <c r="N109" s="318"/>
      <c r="O109" s="318"/>
      <c r="P109" s="318"/>
      <c r="Q109" s="318"/>
      <c r="R109" s="328"/>
      <c r="S109" s="328"/>
      <c r="T109" s="328"/>
      <c r="U109" s="328"/>
    </row>
    <row r="110" spans="2:25">
      <c r="K110" s="318"/>
      <c r="L110" s="318"/>
      <c r="M110" s="318"/>
      <c r="N110" s="318"/>
      <c r="O110" s="318"/>
      <c r="P110" s="318"/>
      <c r="Q110" s="318"/>
      <c r="R110" s="328"/>
      <c r="S110" s="328"/>
      <c r="T110" s="328"/>
      <c r="U110" s="328"/>
    </row>
    <row r="111" spans="2:25">
      <c r="K111" s="318"/>
      <c r="L111" s="318"/>
      <c r="M111" s="318"/>
      <c r="N111" s="318"/>
      <c r="O111" s="318"/>
      <c r="P111" s="318"/>
      <c r="Q111" s="318"/>
      <c r="R111" s="328"/>
      <c r="S111" s="328"/>
      <c r="T111" s="328"/>
      <c r="U111" s="328"/>
    </row>
    <row r="112" spans="2:25">
      <c r="K112" s="318"/>
      <c r="L112" s="318"/>
      <c r="M112" s="318"/>
      <c r="N112" s="318"/>
      <c r="O112" s="318"/>
      <c r="P112" s="318"/>
      <c r="Q112" s="318"/>
      <c r="R112" s="328"/>
      <c r="S112" s="328"/>
      <c r="T112" s="328"/>
      <c r="U112" s="328"/>
    </row>
    <row r="113" spans="9:21">
      <c r="K113" s="318"/>
      <c r="L113" s="318"/>
      <c r="M113" s="318"/>
      <c r="N113" s="318"/>
      <c r="O113" s="318"/>
      <c r="P113" s="318"/>
      <c r="Q113" s="318"/>
      <c r="R113" s="328"/>
      <c r="S113" s="328"/>
      <c r="T113" s="328"/>
      <c r="U113" s="328"/>
    </row>
    <row r="114" spans="9:21">
      <c r="K114" s="318"/>
      <c r="L114" s="318"/>
      <c r="M114" s="318"/>
      <c r="N114" s="318"/>
      <c r="O114" s="318"/>
      <c r="P114" s="318"/>
      <c r="Q114" s="318"/>
      <c r="R114" s="328"/>
      <c r="S114" s="328"/>
      <c r="T114" s="328"/>
      <c r="U114" s="328"/>
    </row>
    <row r="115" spans="9:21">
      <c r="I115" s="334"/>
      <c r="J115" s="334"/>
      <c r="K115" s="334"/>
      <c r="L115" s="334"/>
      <c r="M115" s="334"/>
      <c r="N115" s="334"/>
      <c r="O115" s="334"/>
      <c r="P115" s="318"/>
      <c r="Q115" s="318"/>
      <c r="R115" s="328"/>
      <c r="S115" s="328"/>
      <c r="T115" s="328"/>
      <c r="U115" s="328"/>
    </row>
    <row r="116" spans="9:21" ht="28.8">
      <c r="I116" s="335"/>
      <c r="J116" s="336" t="s">
        <v>7</v>
      </c>
      <c r="K116" s="336" t="s">
        <v>3386</v>
      </c>
      <c r="L116" s="336" t="s">
        <v>3387</v>
      </c>
      <c r="M116" s="336" t="s">
        <v>73</v>
      </c>
      <c r="N116" s="336" t="s">
        <v>3388</v>
      </c>
      <c r="O116" s="334"/>
      <c r="P116" s="318"/>
      <c r="Q116" s="318"/>
      <c r="R116" s="328"/>
      <c r="S116" s="328"/>
      <c r="T116" s="328"/>
      <c r="U116" s="328"/>
    </row>
    <row r="117" spans="9:21">
      <c r="I117" s="337">
        <v>2015</v>
      </c>
      <c r="J117" s="338">
        <v>5634</v>
      </c>
      <c r="K117" s="338">
        <v>5798.2138247026433</v>
      </c>
      <c r="L117" s="338">
        <v>1246.6492438224932</v>
      </c>
      <c r="M117" s="339">
        <v>804948.96249999991</v>
      </c>
      <c r="N117" s="340">
        <v>6.0619143584106604E-3</v>
      </c>
      <c r="O117" s="334"/>
      <c r="P117" s="318"/>
      <c r="Q117" s="318"/>
      <c r="R117" s="328"/>
      <c r="S117" s="328"/>
      <c r="T117" s="328"/>
      <c r="U117" s="328"/>
    </row>
    <row r="118" spans="9:21">
      <c r="I118" s="337">
        <v>2016</v>
      </c>
      <c r="J118" s="338">
        <v>6815</v>
      </c>
      <c r="K118" s="338">
        <v>7107.8949874251321</v>
      </c>
      <c r="L118" s="338">
        <v>1558.0973966313354</v>
      </c>
      <c r="M118" s="339">
        <v>936790.5625</v>
      </c>
      <c r="N118" s="340">
        <v>7.0547878514003919E-3</v>
      </c>
      <c r="O118" s="334"/>
      <c r="P118" s="318"/>
      <c r="Q118" s="318"/>
      <c r="R118" s="328"/>
      <c r="S118" s="328"/>
      <c r="T118" s="328"/>
      <c r="U118" s="328"/>
    </row>
    <row r="119" spans="9:21">
      <c r="I119" s="334"/>
      <c r="J119" s="334"/>
      <c r="K119" s="334"/>
      <c r="L119" s="341"/>
      <c r="M119" s="334"/>
      <c r="N119" s="334"/>
      <c r="O119" s="334"/>
      <c r="P119" s="318"/>
      <c r="Q119" s="318"/>
      <c r="R119" s="328"/>
      <c r="S119" s="328"/>
      <c r="T119" s="328"/>
      <c r="U119" s="328"/>
    </row>
    <row r="120" spans="9:21">
      <c r="I120" s="335"/>
      <c r="J120" s="336">
        <v>2015</v>
      </c>
      <c r="K120" s="336">
        <v>2016</v>
      </c>
      <c r="L120" s="334"/>
      <c r="M120" s="334"/>
      <c r="N120" s="334"/>
      <c r="O120" s="334"/>
      <c r="P120" s="318"/>
      <c r="Q120" s="318"/>
      <c r="R120" s="328"/>
      <c r="S120" s="328"/>
      <c r="T120" s="328"/>
      <c r="U120" s="328"/>
    </row>
    <row r="121" spans="9:21">
      <c r="I121" s="337" t="s">
        <v>173</v>
      </c>
      <c r="J121" s="342">
        <v>1.0060307889430071</v>
      </c>
      <c r="K121" s="342">
        <v>1.0376770568030556</v>
      </c>
      <c r="L121" s="334"/>
      <c r="M121" s="334"/>
      <c r="N121" s="334"/>
      <c r="O121" s="334"/>
      <c r="P121" s="318"/>
      <c r="Q121" s="318"/>
      <c r="R121" s="328"/>
      <c r="S121" s="328"/>
      <c r="T121" s="328"/>
      <c r="U121" s="328"/>
    </row>
    <row r="122" spans="9:21">
      <c r="I122" s="337" t="s">
        <v>3389</v>
      </c>
      <c r="J122" s="342">
        <v>2.4522008776587638</v>
      </c>
      <c r="K122" s="342">
        <v>2.6191982029037373</v>
      </c>
      <c r="L122" s="334"/>
      <c r="M122" s="343">
        <f>SUM(M139:M147)</f>
        <v>886889.06250000012</v>
      </c>
      <c r="N122" s="334"/>
      <c r="O122" s="334"/>
      <c r="P122" s="318"/>
      <c r="Q122" s="318"/>
      <c r="R122" s="328"/>
      <c r="S122" s="328"/>
      <c r="T122" s="328"/>
      <c r="U122" s="328"/>
    </row>
    <row r="123" spans="9:21">
      <c r="I123" s="337" t="s">
        <v>200</v>
      </c>
      <c r="J123" s="342">
        <v>2.0322391238740338</v>
      </c>
      <c r="K123" s="342">
        <v>2.1313145042330572</v>
      </c>
      <c r="L123" s="334"/>
      <c r="M123" s="343">
        <f>M118-M122</f>
        <v>49901.499999999884</v>
      </c>
      <c r="N123" s="334"/>
      <c r="O123" s="334"/>
      <c r="P123" s="318"/>
      <c r="Q123" s="318"/>
      <c r="R123" s="328"/>
      <c r="S123" s="328"/>
      <c r="T123" s="328"/>
      <c r="U123" s="328"/>
    </row>
    <row r="124" spans="9:21">
      <c r="I124" s="334"/>
      <c r="J124" s="334"/>
      <c r="K124" s="334"/>
      <c r="L124" s="341"/>
      <c r="M124" s="334"/>
      <c r="N124" s="334"/>
      <c r="O124" s="334"/>
      <c r="P124" s="318"/>
      <c r="Q124" s="318"/>
      <c r="R124" s="328"/>
      <c r="S124" s="328"/>
      <c r="T124" s="328"/>
      <c r="U124" s="328"/>
    </row>
    <row r="125" spans="9:21">
      <c r="I125" s="344" t="s">
        <v>3390</v>
      </c>
      <c r="J125" s="334"/>
      <c r="K125" s="334"/>
      <c r="L125" s="334"/>
      <c r="M125" s="334"/>
      <c r="N125" s="334"/>
      <c r="O125" s="334"/>
      <c r="P125" s="318"/>
      <c r="Q125" s="318"/>
      <c r="R125" s="328"/>
      <c r="S125" s="328"/>
      <c r="T125" s="328"/>
      <c r="U125" s="328"/>
    </row>
    <row r="126" spans="9:21" ht="28.8">
      <c r="I126" s="335"/>
      <c r="J126" s="336" t="s">
        <v>7</v>
      </c>
      <c r="K126" s="336" t="s">
        <v>3386</v>
      </c>
      <c r="L126" s="336" t="s">
        <v>3387</v>
      </c>
      <c r="M126" s="336" t="s">
        <v>73</v>
      </c>
      <c r="N126" s="334"/>
      <c r="O126" s="334"/>
      <c r="P126" s="318"/>
      <c r="Q126" s="318"/>
      <c r="R126" s="328"/>
      <c r="S126" s="328"/>
      <c r="T126" s="328"/>
      <c r="U126" s="328"/>
    </row>
    <row r="127" spans="9:21">
      <c r="I127" s="345" t="s">
        <v>145</v>
      </c>
      <c r="J127" s="345">
        <v>3510</v>
      </c>
      <c r="K127" s="345">
        <v>152.0035</v>
      </c>
      <c r="L127" s="345">
        <v>17.889344368074063</v>
      </c>
      <c r="M127" s="346">
        <v>31635.45</v>
      </c>
      <c r="N127" s="334"/>
      <c r="O127" s="334"/>
      <c r="P127" s="318"/>
      <c r="Q127" s="318"/>
      <c r="R127" s="328"/>
      <c r="S127" s="328"/>
      <c r="T127" s="328"/>
      <c r="U127" s="328"/>
    </row>
    <row r="128" spans="9:21">
      <c r="I128" s="345" t="s">
        <v>203</v>
      </c>
      <c r="J128" s="345">
        <v>115</v>
      </c>
      <c r="K128" s="345">
        <v>81.399899999999988</v>
      </c>
      <c r="L128" s="345">
        <v>9.3732230123625229</v>
      </c>
      <c r="M128" s="346">
        <v>23999.0625</v>
      </c>
      <c r="N128" s="334"/>
      <c r="O128" s="334"/>
      <c r="P128" s="318"/>
      <c r="Q128" s="318"/>
      <c r="R128" s="328"/>
      <c r="S128" s="328"/>
      <c r="T128" s="328"/>
      <c r="U128" s="328"/>
    </row>
    <row r="129" spans="9:21">
      <c r="I129" s="345" t="s">
        <v>205</v>
      </c>
      <c r="J129" s="345">
        <v>125</v>
      </c>
      <c r="K129" s="345">
        <v>193.8238127596598</v>
      </c>
      <c r="L129" s="345">
        <v>68.919252126499742</v>
      </c>
      <c r="M129" s="346">
        <v>57660.54</v>
      </c>
      <c r="N129" s="334"/>
      <c r="O129" s="334"/>
      <c r="P129" s="318"/>
      <c r="Q129" s="318"/>
      <c r="R129" s="328"/>
      <c r="S129" s="328"/>
      <c r="T129" s="328"/>
      <c r="U129" s="328"/>
    </row>
    <row r="130" spans="9:21">
      <c r="I130" s="345" t="s">
        <v>147</v>
      </c>
      <c r="J130" s="345">
        <v>100</v>
      </c>
      <c r="K130" s="345">
        <v>90.540200137585074</v>
      </c>
      <c r="L130" s="345">
        <v>23.030414738130393</v>
      </c>
      <c r="M130" s="346">
        <v>32287.5</v>
      </c>
      <c r="N130" s="334"/>
      <c r="O130" s="334"/>
      <c r="P130" s="318"/>
      <c r="Q130" s="318"/>
      <c r="R130" s="328"/>
      <c r="S130" s="328"/>
      <c r="T130" s="328"/>
      <c r="U130" s="328"/>
    </row>
    <row r="131" spans="9:21">
      <c r="I131" s="345" t="s">
        <v>144</v>
      </c>
      <c r="J131" s="345">
        <v>400</v>
      </c>
      <c r="K131" s="345">
        <v>79.399544077264167</v>
      </c>
      <c r="L131" s="345">
        <v>8.0018171584689668</v>
      </c>
      <c r="M131" s="346">
        <v>25263</v>
      </c>
      <c r="N131" s="334"/>
      <c r="O131" s="334"/>
      <c r="P131" s="318"/>
      <c r="Q131" s="318"/>
      <c r="R131" s="328"/>
      <c r="S131" s="328"/>
      <c r="T131" s="328"/>
      <c r="U131" s="328"/>
    </row>
    <row r="132" spans="9:21">
      <c r="I132" s="345" t="s">
        <v>224</v>
      </c>
      <c r="J132" s="345">
        <v>1200</v>
      </c>
      <c r="K132" s="345">
        <v>476.39726446358503</v>
      </c>
      <c r="L132" s="345">
        <v>48.010902950813801</v>
      </c>
      <c r="M132" s="346">
        <v>66150</v>
      </c>
      <c r="N132" s="334"/>
      <c r="O132" s="334"/>
      <c r="P132" s="318"/>
      <c r="Q132" s="318"/>
      <c r="R132" s="328"/>
      <c r="S132" s="328"/>
      <c r="T132" s="328"/>
      <c r="U132" s="328"/>
    </row>
    <row r="133" spans="9:21">
      <c r="I133" s="345" t="s">
        <v>83</v>
      </c>
      <c r="J133" s="345">
        <v>25</v>
      </c>
      <c r="K133" s="345">
        <v>41.479874026174159</v>
      </c>
      <c r="L133" s="345">
        <v>5.8868512151819195</v>
      </c>
      <c r="M133" s="346">
        <v>9646.875</v>
      </c>
      <c r="N133" s="334"/>
      <c r="O133" s="334"/>
      <c r="P133" s="318"/>
      <c r="Q133" s="318"/>
      <c r="R133" s="328"/>
      <c r="S133" s="328"/>
      <c r="T133" s="328"/>
      <c r="U133" s="328"/>
    </row>
    <row r="134" spans="9:21">
      <c r="I134" s="345" t="s">
        <v>187</v>
      </c>
      <c r="J134" s="345">
        <v>45</v>
      </c>
      <c r="K134" s="345">
        <v>1942.9802099999997</v>
      </c>
      <c r="L134" s="345">
        <v>481.98449999999997</v>
      </c>
      <c r="M134" s="346">
        <v>275746.27500000002</v>
      </c>
      <c r="N134" s="334"/>
      <c r="O134" s="334"/>
      <c r="P134" s="318"/>
      <c r="Q134" s="318"/>
      <c r="R134" s="328"/>
      <c r="S134" s="328"/>
      <c r="T134" s="328"/>
      <c r="U134" s="328"/>
    </row>
    <row r="135" spans="9:21">
      <c r="I135" s="345" t="s">
        <v>228</v>
      </c>
      <c r="J135" s="345">
        <v>114</v>
      </c>
      <c r="K135" s="345">
        <v>2740.1895192383754</v>
      </c>
      <c r="L135" s="345">
        <v>583.55293825296167</v>
      </c>
      <c r="M135" s="346">
        <v>242914.56</v>
      </c>
      <c r="N135" s="334"/>
      <c r="O135" s="334"/>
      <c r="P135" s="318"/>
      <c r="Q135" s="318"/>
      <c r="R135" s="328"/>
      <c r="S135" s="328"/>
      <c r="T135" s="328"/>
      <c r="U135" s="328"/>
    </row>
    <row r="136" spans="9:21">
      <c r="I136" s="334"/>
      <c r="J136" s="347"/>
      <c r="K136" s="347"/>
      <c r="L136" s="347"/>
      <c r="M136" s="347"/>
      <c r="N136" s="334"/>
      <c r="O136" s="334"/>
      <c r="P136" s="318"/>
      <c r="Q136" s="318"/>
      <c r="R136" s="328"/>
      <c r="S136" s="328"/>
      <c r="T136" s="328"/>
      <c r="U136" s="328"/>
    </row>
    <row r="137" spans="9:21">
      <c r="I137" s="344" t="s">
        <v>3391</v>
      </c>
      <c r="J137" s="334"/>
      <c r="K137" s="334"/>
      <c r="L137" s="334"/>
      <c r="M137" s="334"/>
      <c r="N137" s="334"/>
      <c r="O137" s="334"/>
      <c r="P137" s="318"/>
      <c r="Q137" s="318"/>
      <c r="R137" s="328"/>
      <c r="S137" s="328"/>
      <c r="T137" s="328"/>
      <c r="U137" s="328"/>
    </row>
    <row r="138" spans="9:21" ht="28.8">
      <c r="I138" s="335"/>
      <c r="J138" s="336" t="s">
        <v>7</v>
      </c>
      <c r="K138" s="336" t="s">
        <v>3386</v>
      </c>
      <c r="L138" s="336" t="s">
        <v>3387</v>
      </c>
      <c r="M138" s="336" t="s">
        <v>73</v>
      </c>
      <c r="N138" s="334"/>
      <c r="O138" s="334"/>
      <c r="P138" s="318"/>
      <c r="Q138" s="318"/>
      <c r="R138" s="328"/>
      <c r="S138" s="328"/>
      <c r="T138" s="328"/>
      <c r="U138" s="328"/>
    </row>
    <row r="139" spans="9:21">
      <c r="I139" s="348" t="s">
        <v>145</v>
      </c>
      <c r="J139" s="348">
        <v>4560</v>
      </c>
      <c r="K139" s="348">
        <v>193.95085999999998</v>
      </c>
      <c r="L139" s="348">
        <v>22.821440368074065</v>
      </c>
      <c r="M139" s="349">
        <v>40555.199999999997</v>
      </c>
      <c r="N139" s="334"/>
      <c r="O139" s="334"/>
      <c r="P139" s="318"/>
      <c r="Q139" s="318"/>
      <c r="R139" s="328"/>
      <c r="S139" s="328"/>
      <c r="T139" s="328"/>
      <c r="U139" s="328"/>
    </row>
    <row r="140" spans="9:21">
      <c r="I140" s="348" t="s">
        <v>203</v>
      </c>
      <c r="J140" s="348">
        <v>145</v>
      </c>
      <c r="K140" s="348">
        <v>100.47936999999999</v>
      </c>
      <c r="L140" s="348">
        <v>11.575543797349816</v>
      </c>
      <c r="M140" s="349">
        <v>30318.75</v>
      </c>
      <c r="N140" s="334"/>
      <c r="O140" s="334"/>
      <c r="P140" s="318"/>
      <c r="Q140" s="318"/>
      <c r="R140" s="328"/>
      <c r="S140" s="328"/>
      <c r="T140" s="328"/>
      <c r="U140" s="328"/>
    </row>
    <row r="141" spans="9:21">
      <c r="I141" s="348" t="s">
        <v>205</v>
      </c>
      <c r="J141" s="348">
        <v>164</v>
      </c>
      <c r="K141" s="348">
        <v>324.06339840716555</v>
      </c>
      <c r="L141" s="348">
        <v>116.38277020375556</v>
      </c>
      <c r="M141" s="349">
        <v>84943.95</v>
      </c>
      <c r="N141" s="334"/>
      <c r="O141" s="334"/>
      <c r="P141" s="318"/>
      <c r="Q141" s="318"/>
      <c r="R141" s="328"/>
      <c r="S141" s="328"/>
      <c r="T141" s="328"/>
      <c r="U141" s="328"/>
    </row>
    <row r="142" spans="9:21">
      <c r="I142" s="348" t="s">
        <v>147</v>
      </c>
      <c r="J142" s="348">
        <v>125</v>
      </c>
      <c r="K142" s="348">
        <v>113.46316177002643</v>
      </c>
      <c r="L142" s="348">
        <v>28.905120123802426</v>
      </c>
      <c r="M142" s="349">
        <v>37078.125</v>
      </c>
      <c r="N142" s="334"/>
      <c r="O142" s="334"/>
      <c r="P142" s="318"/>
      <c r="Q142" s="318"/>
      <c r="R142" s="328"/>
      <c r="S142" s="328"/>
      <c r="T142" s="328"/>
      <c r="U142" s="328"/>
    </row>
    <row r="143" spans="9:21">
      <c r="I143" s="348" t="s">
        <v>144</v>
      </c>
      <c r="J143" s="348">
        <v>400</v>
      </c>
      <c r="K143" s="348">
        <v>79.399544077264167</v>
      </c>
      <c r="L143" s="348">
        <v>8.0018171584689668</v>
      </c>
      <c r="M143" s="349">
        <v>25263</v>
      </c>
      <c r="N143" s="334"/>
      <c r="O143" s="334"/>
      <c r="P143" s="318"/>
      <c r="Q143" s="318"/>
      <c r="R143" s="328"/>
      <c r="S143" s="328"/>
      <c r="T143" s="328"/>
      <c r="U143" s="328"/>
    </row>
    <row r="144" spans="9:21">
      <c r="I144" s="348" t="s">
        <v>224</v>
      </c>
      <c r="J144" s="348">
        <v>1200</v>
      </c>
      <c r="K144" s="348">
        <v>476.39726446358503</v>
      </c>
      <c r="L144" s="348">
        <v>48.010902950813801</v>
      </c>
      <c r="M144" s="349">
        <v>66150</v>
      </c>
      <c r="N144" s="334"/>
      <c r="O144" s="334"/>
      <c r="P144" s="318"/>
      <c r="Q144" s="318"/>
      <c r="R144" s="328"/>
      <c r="S144" s="328"/>
      <c r="T144" s="328"/>
      <c r="U144" s="328"/>
    </row>
    <row r="145" spans="9:21">
      <c r="I145" s="348" t="s">
        <v>83</v>
      </c>
      <c r="J145" s="348">
        <v>30</v>
      </c>
      <c r="K145" s="348">
        <v>49.775848831409007</v>
      </c>
      <c r="L145" s="348">
        <v>7.0642214582183032</v>
      </c>
      <c r="M145" s="349">
        <v>11576.25</v>
      </c>
      <c r="N145" s="334"/>
      <c r="O145" s="334"/>
      <c r="P145" s="318"/>
      <c r="Q145" s="318"/>
      <c r="R145" s="328"/>
      <c r="S145" s="328"/>
      <c r="T145" s="328"/>
      <c r="U145" s="328"/>
    </row>
    <row r="146" spans="9:21">
      <c r="I146" s="348" t="s">
        <v>187</v>
      </c>
      <c r="J146" s="348">
        <v>55</v>
      </c>
      <c r="K146" s="348">
        <v>2374.7535899999998</v>
      </c>
      <c r="L146" s="348">
        <v>589.09216666666669</v>
      </c>
      <c r="M146" s="349">
        <v>318681.82500000001</v>
      </c>
      <c r="N146" s="334"/>
      <c r="O146" s="334"/>
      <c r="P146" s="318"/>
      <c r="Q146" s="318"/>
      <c r="R146" s="328"/>
      <c r="S146" s="328"/>
      <c r="T146" s="328"/>
      <c r="U146" s="328"/>
    </row>
    <row r="147" spans="9:21">
      <c r="I147" s="348" t="s">
        <v>228</v>
      </c>
      <c r="J147" s="348">
        <v>136</v>
      </c>
      <c r="K147" s="348">
        <v>3395.6119498756816</v>
      </c>
      <c r="L147" s="348">
        <v>726.24341390418579</v>
      </c>
      <c r="M147" s="349">
        <v>272321.96250000002</v>
      </c>
      <c r="N147" s="334"/>
      <c r="O147" s="334"/>
      <c r="P147" s="318"/>
      <c r="Q147" s="318"/>
      <c r="R147" s="328"/>
      <c r="S147" s="328"/>
      <c r="T147" s="328"/>
      <c r="U147" s="328"/>
    </row>
    <row r="148" spans="9:21">
      <c r="I148" s="334"/>
      <c r="J148" s="334"/>
      <c r="K148" s="334"/>
      <c r="L148" s="334"/>
      <c r="M148" s="334"/>
      <c r="N148" s="334"/>
      <c r="O148" s="334"/>
      <c r="P148" s="318"/>
      <c r="Q148" s="318"/>
      <c r="R148" s="328"/>
      <c r="S148" s="328"/>
      <c r="T148" s="328"/>
      <c r="U148" s="328"/>
    </row>
    <row r="149" spans="9:21">
      <c r="I149" s="1"/>
      <c r="J149" s="1"/>
      <c r="K149" s="1"/>
      <c r="L149" s="1"/>
      <c r="M149" s="1"/>
      <c r="N149" s="1"/>
      <c r="O149" s="1"/>
      <c r="P149" s="318"/>
      <c r="Q149" s="318"/>
      <c r="R149" s="328"/>
      <c r="S149" s="328"/>
      <c r="T149" s="328"/>
      <c r="U149" s="328"/>
    </row>
    <row r="150" spans="9:21">
      <c r="I150" s="1"/>
      <c r="J150" s="1"/>
      <c r="K150" s="1"/>
      <c r="L150" s="1"/>
      <c r="M150" s="1"/>
      <c r="N150" s="1"/>
      <c r="O150" s="1"/>
      <c r="P150" s="318"/>
      <c r="Q150" s="318"/>
      <c r="R150" s="328"/>
      <c r="S150" s="328"/>
      <c r="T150" s="328"/>
      <c r="U150" s="328"/>
    </row>
    <row r="151" spans="9:21">
      <c r="I151" s="1"/>
      <c r="J151" s="1"/>
      <c r="K151" s="318"/>
      <c r="L151" s="318"/>
      <c r="M151" s="318"/>
      <c r="N151" s="318"/>
      <c r="O151" s="318"/>
      <c r="P151" s="318"/>
      <c r="Q151" s="318"/>
      <c r="R151" s="328"/>
      <c r="S151" s="328"/>
      <c r="T151" s="328"/>
      <c r="U151" s="328"/>
    </row>
    <row r="152" spans="9:21">
      <c r="I152" s="1"/>
      <c r="J152" s="1"/>
      <c r="K152" s="318"/>
      <c r="L152" s="318"/>
      <c r="M152" s="318"/>
      <c r="N152" s="318"/>
      <c r="O152" s="318"/>
      <c r="P152" s="318"/>
      <c r="Q152" s="318"/>
      <c r="R152" s="328"/>
      <c r="S152" s="328"/>
      <c r="T152" s="328"/>
      <c r="U152" s="328"/>
    </row>
    <row r="153" spans="9:21">
      <c r="I153" s="1"/>
      <c r="J153" s="1"/>
      <c r="K153" s="318"/>
      <c r="L153" s="318"/>
      <c r="M153" s="318"/>
      <c r="N153" s="318"/>
      <c r="O153" s="318"/>
      <c r="P153" s="318"/>
      <c r="Q153" s="318"/>
      <c r="R153" s="328"/>
      <c r="S153" s="328"/>
      <c r="T153" s="328"/>
      <c r="U153" s="328"/>
    </row>
    <row r="154" spans="9:21">
      <c r="I154" s="1"/>
      <c r="J154" s="1"/>
      <c r="K154" s="318"/>
      <c r="L154" s="318"/>
      <c r="M154" s="318"/>
      <c r="N154" s="318"/>
      <c r="O154" s="318"/>
      <c r="P154" s="318"/>
      <c r="Q154" s="318"/>
      <c r="R154" s="328"/>
      <c r="S154" s="328"/>
      <c r="T154" s="328"/>
      <c r="U154" s="328"/>
    </row>
    <row r="155" spans="9:21">
      <c r="I155" s="1"/>
      <c r="J155" s="1"/>
      <c r="K155" s="318"/>
      <c r="L155" s="318"/>
      <c r="M155" s="318"/>
      <c r="N155" s="318"/>
      <c r="O155" s="318"/>
      <c r="P155" s="318"/>
      <c r="Q155" s="318"/>
      <c r="R155" s="328"/>
      <c r="S155" s="328"/>
      <c r="T155" s="328"/>
      <c r="U155" s="328"/>
    </row>
    <row r="156" spans="9:21">
      <c r="I156" s="1"/>
      <c r="J156" s="1"/>
      <c r="K156" s="318"/>
      <c r="L156" s="318"/>
      <c r="M156" s="318"/>
      <c r="N156" s="318"/>
      <c r="O156" s="318"/>
      <c r="P156" s="318"/>
      <c r="Q156" s="318"/>
      <c r="R156" s="328"/>
      <c r="S156" s="328"/>
      <c r="T156" s="328"/>
      <c r="U156" s="328"/>
    </row>
    <row r="157" spans="9:21">
      <c r="I157" s="1"/>
      <c r="J157" s="1"/>
      <c r="K157" s="318"/>
      <c r="L157" s="318"/>
      <c r="M157" s="318"/>
      <c r="N157" s="318"/>
      <c r="O157" s="318"/>
      <c r="P157" s="318"/>
      <c r="Q157" s="318"/>
      <c r="R157" s="328"/>
      <c r="S157" s="328"/>
      <c r="T157" s="328"/>
      <c r="U157" s="328"/>
    </row>
    <row r="158" spans="9:21">
      <c r="I158" s="1"/>
      <c r="J158" s="1"/>
      <c r="K158" s="318"/>
      <c r="L158" s="318"/>
      <c r="M158" s="318"/>
      <c r="N158" s="318"/>
      <c r="O158" s="318"/>
      <c r="P158" s="318"/>
      <c r="Q158" s="318"/>
      <c r="R158" s="328"/>
      <c r="S158" s="328"/>
      <c r="T158" s="328"/>
      <c r="U158" s="328"/>
    </row>
    <row r="159" spans="9:21">
      <c r="I159" s="1"/>
      <c r="J159" s="1"/>
      <c r="K159" s="318"/>
      <c r="L159" s="318"/>
      <c r="M159" s="318"/>
      <c r="N159" s="318"/>
      <c r="O159" s="318"/>
      <c r="P159" s="318"/>
      <c r="Q159" s="318"/>
      <c r="R159" s="328"/>
      <c r="S159" s="328"/>
      <c r="T159" s="328"/>
      <c r="U159" s="328"/>
    </row>
    <row r="160" spans="9:21">
      <c r="I160" s="1"/>
      <c r="J160" s="1"/>
      <c r="K160" s="318"/>
      <c r="L160" s="318"/>
      <c r="M160" s="318"/>
      <c r="N160" s="318"/>
      <c r="O160" s="318"/>
      <c r="P160" s="318"/>
      <c r="Q160" s="318"/>
      <c r="R160" s="328"/>
      <c r="S160" s="328"/>
      <c r="T160" s="328"/>
      <c r="U160" s="328"/>
    </row>
    <row r="161" spans="9:21">
      <c r="I161" s="1"/>
      <c r="J161" s="1"/>
      <c r="K161" s="318"/>
      <c r="L161" s="318"/>
      <c r="M161" s="318"/>
      <c r="N161" s="318"/>
      <c r="O161" s="318"/>
      <c r="P161" s="318"/>
      <c r="Q161" s="318"/>
      <c r="R161" s="328"/>
      <c r="S161" s="328"/>
      <c r="T161" s="328"/>
      <c r="U161" s="328"/>
    </row>
    <row r="162" spans="9:21">
      <c r="I162" s="1"/>
      <c r="J162" s="1"/>
      <c r="K162" s="318"/>
      <c r="L162" s="318"/>
      <c r="M162" s="318"/>
      <c r="N162" s="318"/>
      <c r="O162" s="318"/>
      <c r="P162" s="318"/>
      <c r="Q162" s="318"/>
      <c r="R162" s="328"/>
      <c r="S162" s="328"/>
      <c r="T162" s="328"/>
      <c r="U162" s="328"/>
    </row>
    <row r="163" spans="9:21">
      <c r="I163" s="1"/>
      <c r="J163" s="1"/>
      <c r="K163" s="318"/>
      <c r="L163" s="318"/>
      <c r="M163" s="318"/>
      <c r="N163" s="318"/>
      <c r="O163" s="318"/>
      <c r="P163" s="318"/>
      <c r="Q163" s="318"/>
      <c r="R163" s="328"/>
      <c r="S163" s="328"/>
      <c r="T163" s="328"/>
      <c r="U163" s="328"/>
    </row>
    <row r="164" spans="9:21">
      <c r="I164" s="1"/>
      <c r="J164" s="1"/>
      <c r="K164" s="318"/>
      <c r="L164" s="318"/>
      <c r="M164" s="318"/>
      <c r="N164" s="318"/>
      <c r="O164" s="318"/>
      <c r="P164" s="318"/>
      <c r="Q164" s="318"/>
      <c r="R164" s="328"/>
      <c r="S164" s="328"/>
      <c r="T164" s="328"/>
      <c r="U164" s="328"/>
    </row>
    <row r="165" spans="9:21">
      <c r="I165" s="1"/>
      <c r="J165" s="1"/>
      <c r="K165" s="318"/>
      <c r="L165" s="318"/>
      <c r="M165" s="318"/>
      <c r="N165" s="318"/>
      <c r="O165" s="318"/>
      <c r="P165" s="318"/>
      <c r="Q165" s="318"/>
      <c r="R165" s="328"/>
      <c r="S165" s="328"/>
      <c r="T165" s="328"/>
      <c r="U165" s="328"/>
    </row>
    <row r="166" spans="9:21">
      <c r="I166" s="1"/>
      <c r="J166" s="1"/>
      <c r="K166" s="318"/>
      <c r="L166" s="318"/>
      <c r="M166" s="318"/>
      <c r="N166" s="318"/>
      <c r="O166" s="318"/>
      <c r="P166" s="318"/>
      <c r="Q166" s="318"/>
      <c r="R166" s="328"/>
      <c r="S166" s="328"/>
      <c r="T166" s="328"/>
      <c r="U166" s="328"/>
    </row>
    <row r="167" spans="9:21">
      <c r="I167" s="1"/>
      <c r="J167" s="1"/>
      <c r="K167" s="318"/>
      <c r="L167" s="318"/>
      <c r="M167" s="318"/>
      <c r="N167" s="318"/>
      <c r="O167" s="318"/>
      <c r="P167" s="318"/>
      <c r="Q167" s="318"/>
      <c r="R167" s="328"/>
      <c r="S167" s="328"/>
      <c r="T167" s="328"/>
      <c r="U167" s="328"/>
    </row>
    <row r="168" spans="9:21">
      <c r="I168" s="1"/>
      <c r="J168" s="1"/>
      <c r="K168" s="318"/>
      <c r="L168" s="318"/>
      <c r="M168" s="318"/>
      <c r="N168" s="318"/>
      <c r="O168" s="318"/>
      <c r="P168" s="318"/>
      <c r="Q168" s="318"/>
      <c r="R168" s="328"/>
      <c r="S168" s="328"/>
      <c r="T168" s="328"/>
      <c r="U168" s="328"/>
    </row>
  </sheetData>
  <mergeCells count="2">
    <mergeCell ref="N2:O2"/>
    <mergeCell ref="T2:U2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9</vt:i4>
      </vt:variant>
    </vt:vector>
  </HeadingPairs>
  <TitlesOfParts>
    <vt:vector size="25" baseType="lpstr">
      <vt:lpstr>Contents</vt:lpstr>
      <vt:lpstr>Tables</vt:lpstr>
      <vt:lpstr>General Inputs</vt:lpstr>
      <vt:lpstr>Measure Inputs</vt:lpstr>
      <vt:lpstr>Program Inputs</vt:lpstr>
      <vt:lpstr>Analysis</vt:lpstr>
      <vt:lpstr>ErrorCheck</vt:lpstr>
      <vt:lpstr>BHP SD PY2-3 Plan Adj</vt:lpstr>
      <vt:lpstr>Plan Data</vt:lpstr>
      <vt:lpstr>BHS Program Application Details</vt:lpstr>
      <vt:lpstr>VDSM Executive Summary</vt:lpstr>
      <vt:lpstr>APP DATA</vt:lpstr>
      <vt:lpstr>VDSM MAPPING</vt:lpstr>
      <vt:lpstr>VDSM to BenCost Inputs</vt:lpstr>
      <vt:lpstr>Res Lighting</vt:lpstr>
      <vt:lpstr>App Data Outliers</vt:lpstr>
      <vt:lpstr>BaseYear</vt:lpstr>
      <vt:lpstr>CycleEndYear</vt:lpstr>
      <vt:lpstr>CycleStartYear</vt:lpstr>
      <vt:lpstr>DiscountRateTRC</vt:lpstr>
      <vt:lpstr>EndYear</vt:lpstr>
      <vt:lpstr>EscalationRate</vt:lpstr>
      <vt:lpstr>InputRows</vt:lpstr>
      <vt:lpstr>TotalMeasures</vt:lpstr>
      <vt:lpstr>TotalPrograms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Benefit-Cost Analysis Tool</dc:title>
  <dc:creator>jreilly@appliedenergygroup.com</dc:creator>
  <cp:lastModifiedBy>Douglas, Tina  (PUC)</cp:lastModifiedBy>
  <dcterms:created xsi:type="dcterms:W3CDTF">2016-06-29T15:53:35Z</dcterms:created>
  <dcterms:modified xsi:type="dcterms:W3CDTF">2017-10-17T15:42:57Z</dcterms:modified>
</cp:coreProperties>
</file>